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showInkAnnotation="0" codeName="ThisWorkbook" autoCompressPictures="0" defaultThemeVersion="124226"/>
  <mc:AlternateContent xmlns:mc="http://schemas.openxmlformats.org/markup-compatibility/2006">
    <mc:Choice Requires="x15">
      <x15ac:absPath xmlns:x15ac="http://schemas.microsoft.com/office/spreadsheetml/2010/11/ac" url="U:\pECOSYSTEM\Leveringer\Modellen\"/>
    </mc:Choice>
  </mc:AlternateContent>
  <bookViews>
    <workbookView xWindow="0" yWindow="0" windowWidth="21630" windowHeight="7560" tabRatio="924" activeTab="2"/>
  </bookViews>
  <sheets>
    <sheet name="model" sheetId="56" r:id="rId1"/>
    <sheet name="Fodertabel" sheetId="31" r:id="rId2"/>
    <sheet name="input-data" sheetId="19" r:id="rId3"/>
    <sheet name="N-balance" sheetId="1" r:id="rId4"/>
    <sheet name="results" sheetId="41" r:id="rId5"/>
    <sheet name="feed available" sheetId="57" state="hidden" r:id="rId6"/>
    <sheet name="Feed rations" sheetId="60" r:id="rId7"/>
    <sheet name="Mark-Fields" sheetId="36" r:id="rId8"/>
    <sheet name="Feed - overview" sheetId="40" r:id="rId9"/>
    <sheet name="Feed use at farm" sheetId="59" r:id="rId10"/>
    <sheet name="Flow sohold" sheetId="24" r:id="rId11"/>
    <sheet name="Flow smågrise" sheetId="25" r:id="rId12"/>
    <sheet name="Flow slagtesvin" sheetId="26" r:id="rId13"/>
    <sheet name="N-P balance sohold" sheetId="30" r:id="rId14"/>
    <sheet name="N-P balance smågrise" sheetId="29" r:id="rId15"/>
    <sheet name="N-P balance slagtesvin" sheetId="37" r:id="rId16"/>
    <sheet name="Opstaldingsform-Housing " sheetId="32" r:id="rId17"/>
    <sheet name="Lagring-Storage" sheetId="33" r:id="rId18"/>
    <sheet name="Udbringning af gylleApplication" sheetId="34" r:id="rId19"/>
    <sheet name="background data" sheetId="20" r:id="rId20"/>
    <sheet name="øvrige EFS-other EFs" sheetId="22" r:id="rId21"/>
    <sheet name="topdowntables" sheetId="21" r:id="rId22"/>
    <sheet name="NPK tal" sheetId="10" r:id="rId23"/>
    <sheet name="Emission Stald-fold" sheetId="39" r:id="rId24"/>
  </sheets>
  <externalReferences>
    <externalReference r:id="rId25"/>
  </externalReferences>
  <definedNames>
    <definedName name="_AMO_UniqueIdentifier" localSheetId="23" hidden="1">"'9ebd6c5b-6786-41c7-b3f4-68e201ae0023'"</definedName>
    <definedName name="_AMO_UniqueIdentifier" hidden="1">"'f57ee001-7c46-4454-b33a-365065237e00'"</definedName>
    <definedName name="allfeed">Fodertabel!$D:$IM</definedName>
    <definedName name="availablefeed">#REF!</definedName>
    <definedName name="cropsonfarm">topdowntables!$R$5:$AH$26</definedName>
    <definedName name="ENfoder">Fodertabel!$D$374:$D$718</definedName>
    <definedName name="feedavailability">'feed available'!$B$5:$K$21</definedName>
    <definedName name="feedimpact">Fodertabel!$1:$1048576</definedName>
    <definedName name="feeduse">#REF!</definedName>
    <definedName name="FoderEN">Fodertabel!$D$372:$IA$719</definedName>
    <definedName name="Fodermiddel">Fodertabel!$D$4:$D$348</definedName>
    <definedName name="Fodertabel">Fodertabel!$D:$IA</definedName>
    <definedName name="homeprod">topdowntables!$R$4:$AG$26</definedName>
    <definedName name="Housing_sows">topdowntables!$C$4:$G$6</definedName>
    <definedName name="Indendørs_areal">'Opstaldingsform-Housing '!$B$7:$B$18</definedName>
    <definedName name="Indoor_area">'Opstaldingsform-Housing '!$B$44:$B$55</definedName>
    <definedName name="Konv._NH4_udskilt">'Emission Stald-fold'!$C$4</definedName>
    <definedName name="LAgerAfgassetGylle">'Lagring-Storage'!$B$12:$B$16</definedName>
    <definedName name="LagerAjle">'Lagring-Storage'!$B$28:$B$32</definedName>
    <definedName name="LagerDybstrøelse">'Lagring-Storage'!$B$33:$B$36</definedName>
    <definedName name="LagerFastGødning">'Lagring-Storage'!$B$37:$B$41</definedName>
    <definedName name="LagerForsurretGylle">'Lagring-Storage'!$B$17:$B$21</definedName>
    <definedName name="lagerGylle">'Lagring-Storage'!$B$6:$B$10</definedName>
    <definedName name="Opstald_flyt">topdowntables!$C$14:$G$16</definedName>
    <definedName name="Opstald_sl">topdowntables!$C$25:$C$27</definedName>
    <definedName name="Opstald_so">topdowntables!$C$4:$C$6</definedName>
    <definedName name="Opstaldind_smågrise" localSheetId="6">'Opstaldingsform-Housing '!#REF!</definedName>
    <definedName name="Opstaldind_smågrise" localSheetId="15">'Opstaldingsform-Housing '!#REF!</definedName>
    <definedName name="Opstaldind_smågrise">'Opstaldingsform-Housing '!#REF!</definedName>
    <definedName name="Opstalding_slagtesvin">'Opstaldingsform-Housing '!$B$7:$B$26</definedName>
    <definedName name="Opstalding_søer" localSheetId="6">'Opstaldingsform-Housing '!#REF!</definedName>
    <definedName name="Opstalding_søer" localSheetId="15">'Opstaldingsform-Housing '!#REF!</definedName>
    <definedName name="Opstalding_søer">'Opstaldingsform-Housing '!#REF!</definedName>
    <definedName name="Opstaldningsform">topdowntables!$C$14:$C$16</definedName>
    <definedName name="Outdoor_area">'Opstaldingsform-Housing '!$B$57:$B$65</definedName>
    <definedName name="production">'Feed - overview'!$B$7:$E$12</definedName>
    <definedName name="So_flyt">topdowntables!$C$4:$G$6</definedName>
    <definedName name="StorageDeepLitter">'Lagring-Storage'!$B$73:$B$76</definedName>
    <definedName name="StorageSlurry">'Lagring-Storage'!$B$47:$B$51</definedName>
    <definedName name="StorageSolidManure">'Lagring-Storage'!$B$78:$B$82</definedName>
    <definedName name="Udendørs_areal">'Opstaldingsform-Housing '!$B$20:$B$28</definedName>
    <definedName name="Øko_NH4_N_udskilt">'Emission Stald-fold'!$C$3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22" i="41" l="1"/>
  <c r="D153" i="1"/>
  <c r="C46" i="41" l="1"/>
  <c r="B46" i="41"/>
  <c r="C79" i="41"/>
  <c r="B79" i="41"/>
  <c r="C112" i="41"/>
  <c r="C111" i="41"/>
  <c r="B110" i="41"/>
  <c r="B112" i="41"/>
  <c r="B111" i="41"/>
  <c r="B53" i="36"/>
  <c r="B22" i="36"/>
  <c r="F4" i="36"/>
  <c r="D4" i="36"/>
  <c r="B126" i="41"/>
  <c r="B70" i="41"/>
  <c r="B67" i="41"/>
  <c r="B63" i="41"/>
  <c r="G8" i="41"/>
  <c r="B31" i="41"/>
  <c r="F40" i="1"/>
  <c r="H493" i="19"/>
  <c r="E168" i="1"/>
  <c r="E166" i="1" l="1"/>
  <c r="E161" i="1"/>
  <c r="D156" i="1"/>
  <c r="D143" i="1"/>
  <c r="D145" i="1"/>
  <c r="E132" i="1"/>
  <c r="E100" i="1"/>
  <c r="E106" i="1"/>
  <c r="E104" i="1"/>
  <c r="D105" i="1"/>
  <c r="D81" i="1"/>
  <c r="D82" i="1"/>
  <c r="E83" i="1"/>
  <c r="E79" i="1"/>
  <c r="E73" i="1"/>
  <c r="E54" i="1"/>
  <c r="E51" i="1"/>
  <c r="E28" i="1"/>
  <c r="E27" i="1"/>
  <c r="E23" i="1"/>
  <c r="E22" i="1"/>
  <c r="F12" i="1"/>
  <c r="E508" i="19"/>
  <c r="E507" i="19"/>
  <c r="E506" i="19"/>
  <c r="E505" i="19"/>
  <c r="E504" i="19"/>
  <c r="E503" i="19"/>
  <c r="B499" i="19"/>
  <c r="B502" i="19"/>
  <c r="B501" i="19"/>
  <c r="B500" i="19"/>
  <c r="B404" i="19"/>
  <c r="B421" i="19"/>
  <c r="B371" i="19"/>
  <c r="B372" i="19"/>
  <c r="B28" i="19"/>
  <c r="B18" i="19"/>
  <c r="HS61" i="31" l="1"/>
  <c r="HQ61" i="31"/>
  <c r="HP61" i="31"/>
  <c r="HO61" i="31"/>
  <c r="HN61" i="31"/>
  <c r="HM61" i="31"/>
  <c r="B131" i="41" l="1"/>
  <c r="B130" i="41"/>
  <c r="B129" i="41"/>
  <c r="B5" i="60" l="1"/>
  <c r="B10" i="60" l="1"/>
  <c r="C22" i="59"/>
  <c r="B2" i="60"/>
  <c r="G3" i="60"/>
  <c r="F3" i="60"/>
  <c r="E3" i="60"/>
  <c r="D3" i="60"/>
  <c r="C3" i="60"/>
  <c r="B18" i="60"/>
  <c r="B15" i="60"/>
  <c r="B11" i="60"/>
  <c r="C23" i="59"/>
  <c r="B16" i="60" s="1"/>
  <c r="B3" i="57"/>
  <c r="B30" i="59"/>
  <c r="B4" i="59"/>
  <c r="C27" i="59"/>
  <c r="C25" i="59"/>
  <c r="C19" i="59"/>
  <c r="C17" i="59"/>
  <c r="B28" i="59"/>
  <c r="C13" i="59"/>
  <c r="C11" i="59"/>
  <c r="C21" i="59"/>
  <c r="C26" i="59"/>
  <c r="C24" i="59"/>
  <c r="B17" i="60" s="1"/>
  <c r="C9" i="59"/>
  <c r="C7" i="59"/>
  <c r="C5" i="59"/>
  <c r="C20" i="59"/>
  <c r="B14" i="60" s="1"/>
  <c r="C18" i="59"/>
  <c r="B13" i="60" s="1"/>
  <c r="C15" i="59"/>
  <c r="C16" i="59"/>
  <c r="B12" i="60" s="1"/>
  <c r="C14" i="59"/>
  <c r="B9" i="60" s="1"/>
  <c r="C12" i="59"/>
  <c r="B8" i="60" s="1"/>
  <c r="C10" i="59"/>
  <c r="B7" i="60" s="1"/>
  <c r="C8" i="59"/>
  <c r="B6" i="60" s="1"/>
  <c r="C6" i="59"/>
  <c r="C4" i="59"/>
  <c r="B4" i="60" s="1"/>
  <c r="H3" i="57"/>
  <c r="M16" i="40"/>
  <c r="O290" i="19"/>
  <c r="O291" i="19"/>
  <c r="O292" i="19"/>
  <c r="O293" i="19"/>
  <c r="O269" i="19"/>
  <c r="O270" i="19"/>
  <c r="O271" i="19"/>
  <c r="O272" i="19"/>
  <c r="O273" i="19"/>
  <c r="O274" i="19"/>
  <c r="O275" i="19"/>
  <c r="O276" i="19"/>
  <c r="O277" i="19"/>
  <c r="O278" i="19"/>
  <c r="O279" i="19"/>
  <c r="O280" i="19"/>
  <c r="O281" i="19"/>
  <c r="O282" i="19"/>
  <c r="O268" i="19"/>
  <c r="O250" i="19"/>
  <c r="O251" i="19"/>
  <c r="O252" i="19"/>
  <c r="O253" i="19"/>
  <c r="O254" i="19"/>
  <c r="O255" i="19"/>
  <c r="O256" i="19"/>
  <c r="O257" i="19"/>
  <c r="O258" i="19"/>
  <c r="O259" i="19"/>
  <c r="O260" i="19"/>
  <c r="O261" i="19"/>
  <c r="O262" i="19"/>
  <c r="O263" i="19"/>
  <c r="O249" i="19"/>
  <c r="O231" i="19"/>
  <c r="O232" i="19"/>
  <c r="O233" i="19"/>
  <c r="O234" i="19"/>
  <c r="O236" i="19"/>
  <c r="O237" i="19"/>
  <c r="O238" i="19"/>
  <c r="O239" i="19"/>
  <c r="O240" i="19"/>
  <c r="O241" i="19"/>
  <c r="O242" i="19"/>
  <c r="O243" i="19"/>
  <c r="O244" i="19"/>
  <c r="O230" i="19"/>
  <c r="O219" i="19"/>
  <c r="O220" i="19"/>
  <c r="O221" i="19"/>
  <c r="O222" i="19"/>
  <c r="O218" i="19"/>
  <c r="O198" i="19"/>
  <c r="O199" i="19"/>
  <c r="O200" i="19"/>
  <c r="O201" i="19"/>
  <c r="O202" i="19"/>
  <c r="O203" i="19"/>
  <c r="O204" i="19"/>
  <c r="O205" i="19"/>
  <c r="O206" i="19"/>
  <c r="O207" i="19"/>
  <c r="O208" i="19"/>
  <c r="O209" i="19"/>
  <c r="O210" i="19"/>
  <c r="O211" i="19"/>
  <c r="O197" i="19"/>
  <c r="O179" i="19"/>
  <c r="O180" i="19"/>
  <c r="O181" i="19"/>
  <c r="O182" i="19"/>
  <c r="O183" i="19"/>
  <c r="O184" i="19"/>
  <c r="O185" i="19"/>
  <c r="O186" i="19"/>
  <c r="O187" i="19"/>
  <c r="O188" i="19"/>
  <c r="O189" i="19"/>
  <c r="O190" i="19"/>
  <c r="O191" i="19"/>
  <c r="O192" i="19"/>
  <c r="O178" i="19"/>
  <c r="O267" i="19"/>
  <c r="O248" i="19"/>
  <c r="O217" i="19"/>
  <c r="O196" i="19"/>
  <c r="O177" i="19"/>
  <c r="O160" i="19"/>
  <c r="O161" i="19"/>
  <c r="O162" i="19"/>
  <c r="O163" i="19"/>
  <c r="O164" i="19"/>
  <c r="O165" i="19"/>
  <c r="O166" i="19"/>
  <c r="O167" i="19"/>
  <c r="O168" i="19"/>
  <c r="O169" i="19"/>
  <c r="O170" i="19"/>
  <c r="O171" i="19"/>
  <c r="O172" i="19"/>
  <c r="O173" i="19"/>
  <c r="O159" i="19"/>
  <c r="O148" i="19"/>
  <c r="O149" i="19"/>
  <c r="O150" i="19"/>
  <c r="O151" i="19"/>
  <c r="O147" i="19"/>
  <c r="O126" i="19"/>
  <c r="O127" i="19"/>
  <c r="O128" i="19"/>
  <c r="O129" i="19"/>
  <c r="O130" i="19"/>
  <c r="O131" i="19"/>
  <c r="O132" i="19"/>
  <c r="O133" i="19"/>
  <c r="O134" i="19"/>
  <c r="O135" i="19"/>
  <c r="O136" i="19"/>
  <c r="O137" i="19"/>
  <c r="O138" i="19"/>
  <c r="O139" i="19"/>
  <c r="O125" i="19"/>
  <c r="O82" i="19"/>
  <c r="O83" i="19"/>
  <c r="O84" i="19"/>
  <c r="O85" i="19"/>
  <c r="O86" i="19"/>
  <c r="O87" i="19"/>
  <c r="O88" i="19"/>
  <c r="O89" i="19"/>
  <c r="O90" i="19"/>
  <c r="O91" i="19"/>
  <c r="O92" i="19"/>
  <c r="O93" i="19"/>
  <c r="O94" i="19"/>
  <c r="O95" i="19"/>
  <c r="O81" i="19"/>
  <c r="O80" i="19"/>
  <c r="O71" i="19"/>
  <c r="O72" i="19"/>
  <c r="O73" i="19"/>
  <c r="O74" i="19"/>
  <c r="O70" i="19"/>
  <c r="O51" i="19"/>
  <c r="O52" i="19"/>
  <c r="O53" i="19"/>
  <c r="O54" i="19"/>
  <c r="O55" i="19"/>
  <c r="O56" i="19"/>
  <c r="O57" i="19"/>
  <c r="O58" i="19"/>
  <c r="O59" i="19"/>
  <c r="O60" i="19"/>
  <c r="O61" i="19"/>
  <c r="O62" i="19"/>
  <c r="O63" i="19"/>
  <c r="O64" i="19"/>
  <c r="O50" i="19"/>
  <c r="B5" i="57"/>
  <c r="D3" i="57"/>
  <c r="C3" i="57"/>
  <c r="F3" i="57"/>
  <c r="E3" i="57"/>
  <c r="B6" i="57" l="1"/>
  <c r="B7" i="57"/>
  <c r="B8" i="57"/>
  <c r="B9" i="57"/>
  <c r="B10" i="57"/>
  <c r="B11" i="57"/>
  <c r="B12" i="57"/>
  <c r="B13" i="57"/>
  <c r="B14" i="57"/>
  <c r="G3" i="57"/>
  <c r="B17" i="19" l="1"/>
  <c r="B57" i="19" l="1"/>
  <c r="H380" i="19" l="1"/>
  <c r="H379" i="19"/>
  <c r="H358" i="19"/>
  <c r="H357" i="19"/>
  <c r="H336" i="19"/>
  <c r="H335" i="19"/>
  <c r="H314" i="19"/>
  <c r="H313" i="19"/>
  <c r="H15" i="19"/>
  <c r="H16" i="19"/>
  <c r="H17" i="19"/>
  <c r="H18" i="19"/>
  <c r="H20" i="19"/>
  <c r="H21" i="19"/>
  <c r="H23" i="19"/>
  <c r="H24" i="19"/>
  <c r="H25" i="19"/>
  <c r="H29" i="19"/>
  <c r="H30" i="19"/>
  <c r="H31" i="19"/>
  <c r="H36" i="19"/>
  <c r="H37" i="19"/>
  <c r="H38" i="19"/>
  <c r="H14" i="19"/>
  <c r="H312" i="19"/>
  <c r="F90" i="1"/>
  <c r="E90" i="1"/>
  <c r="O288" i="19" l="1"/>
  <c r="O229" i="19"/>
  <c r="O158" i="19"/>
  <c r="O146" i="19"/>
  <c r="O124" i="19"/>
  <c r="O103" i="19"/>
  <c r="O69" i="19"/>
  <c r="O49" i="19"/>
  <c r="T25" i="21" l="1"/>
  <c r="U25" i="21"/>
  <c r="V25" i="21"/>
  <c r="W25" i="21"/>
  <c r="X25" i="21"/>
  <c r="Y25" i="21"/>
  <c r="Z25" i="21"/>
  <c r="AA25" i="21"/>
  <c r="AB25" i="21"/>
  <c r="AC25" i="21"/>
  <c r="AD25" i="21"/>
  <c r="AE25" i="21"/>
  <c r="AF25" i="21"/>
  <c r="AG25" i="21"/>
  <c r="S25" i="21"/>
  <c r="T13" i="21"/>
  <c r="U13" i="21"/>
  <c r="S13" i="21"/>
  <c r="B19" i="36"/>
  <c r="B18" i="36"/>
  <c r="B17" i="36"/>
  <c r="D83" i="26" l="1"/>
  <c r="D82" i="26"/>
  <c r="D81" i="26"/>
  <c r="D80" i="26"/>
  <c r="D84" i="25"/>
  <c r="D83" i="25"/>
  <c r="D82" i="25"/>
  <c r="F157" i="19" l="1"/>
  <c r="E19" i="19"/>
  <c r="E406" i="19" l="1"/>
  <c r="D319" i="31" s="1"/>
  <c r="E411" i="19"/>
  <c r="D320" i="31" s="1"/>
  <c r="D690" i="31" s="1"/>
  <c r="E88" i="40" s="1"/>
  <c r="E416" i="19"/>
  <c r="D321" i="31" s="1"/>
  <c r="E421" i="19"/>
  <c r="D322" i="31" s="1"/>
  <c r="D692" i="31" s="1"/>
  <c r="E190" i="40" s="1"/>
  <c r="D10" i="20"/>
  <c r="E10" i="20"/>
  <c r="F10" i="20"/>
  <c r="G10" i="20"/>
  <c r="H10" i="20"/>
  <c r="J10" i="20"/>
  <c r="L10" i="20"/>
  <c r="HQ374" i="31"/>
  <c r="N10" i="20"/>
  <c r="HM375" i="31"/>
  <c r="HN376" i="31"/>
  <c r="HO11" i="31"/>
  <c r="HQ11" i="31"/>
  <c r="HR11" i="31"/>
  <c r="HS11" i="31"/>
  <c r="HN12" i="31"/>
  <c r="HP12" i="31"/>
  <c r="HQ12" i="31"/>
  <c r="HR12" i="31"/>
  <c r="HS12" i="31"/>
  <c r="HN13" i="31"/>
  <c r="HP13" i="31"/>
  <c r="HQ13" i="31"/>
  <c r="HR13" i="31"/>
  <c r="HS13" i="31"/>
  <c r="HN14" i="31"/>
  <c r="HP14" i="31"/>
  <c r="HQ14" i="31"/>
  <c r="HR14" i="31"/>
  <c r="HS14" i="31"/>
  <c r="HN15" i="31"/>
  <c r="HO15" i="31"/>
  <c r="HP15" i="31"/>
  <c r="HQ15" i="31"/>
  <c r="HR15" i="31"/>
  <c r="HS15" i="31"/>
  <c r="HN16" i="31"/>
  <c r="HP16" i="31"/>
  <c r="HQ16" i="31"/>
  <c r="HR16" i="31"/>
  <c r="HS16" i="31"/>
  <c r="HN17" i="31"/>
  <c r="HP17" i="31"/>
  <c r="HQ17" i="31"/>
  <c r="HR17" i="31"/>
  <c r="HS17" i="31"/>
  <c r="HN18" i="31"/>
  <c r="HP18" i="31"/>
  <c r="HQ18" i="31"/>
  <c r="HR18" i="31"/>
  <c r="HS18" i="31"/>
  <c r="HN19" i="31"/>
  <c r="HO19" i="31"/>
  <c r="HP19" i="31"/>
  <c r="HQ19" i="31"/>
  <c r="HR19" i="31"/>
  <c r="HS19" i="31"/>
  <c r="HN20" i="31"/>
  <c r="HP20" i="31"/>
  <c r="HQ20" i="31"/>
  <c r="HR20" i="31"/>
  <c r="HS20" i="31"/>
  <c r="HN21" i="31"/>
  <c r="HP21" i="31"/>
  <c r="HQ21" i="31"/>
  <c r="HR21" i="31"/>
  <c r="HS21" i="31"/>
  <c r="HN22" i="31"/>
  <c r="HP22" i="31"/>
  <c r="HQ22" i="31"/>
  <c r="HR22" i="31"/>
  <c r="HS22" i="31"/>
  <c r="HN23" i="31"/>
  <c r="HO23" i="31"/>
  <c r="HP23" i="31"/>
  <c r="HQ23" i="31"/>
  <c r="HR23" i="31"/>
  <c r="HS23" i="31"/>
  <c r="HN24" i="31"/>
  <c r="HP24" i="31"/>
  <c r="HQ24" i="31"/>
  <c r="HR24" i="31"/>
  <c r="HS24" i="31"/>
  <c r="HN25" i="31"/>
  <c r="HP25" i="31"/>
  <c r="HQ25" i="31"/>
  <c r="HR25" i="31"/>
  <c r="HS25" i="31"/>
  <c r="HN26" i="31"/>
  <c r="HP26" i="31"/>
  <c r="HQ26" i="31"/>
  <c r="HR26" i="31"/>
  <c r="HS26" i="31"/>
  <c r="HN27" i="31"/>
  <c r="HO27" i="31"/>
  <c r="HP27" i="31"/>
  <c r="HQ27" i="31"/>
  <c r="HR27" i="31"/>
  <c r="HS27" i="31"/>
  <c r="HN28" i="31"/>
  <c r="HP28" i="31"/>
  <c r="HQ28" i="31"/>
  <c r="HR28" i="31"/>
  <c r="HS28" i="31"/>
  <c r="HN29" i="31"/>
  <c r="HP29" i="31"/>
  <c r="HQ29" i="31"/>
  <c r="HR29" i="31"/>
  <c r="HS29" i="31"/>
  <c r="HN30" i="31"/>
  <c r="HP30" i="31"/>
  <c r="HQ30" i="31"/>
  <c r="HR30" i="31"/>
  <c r="HS30" i="31"/>
  <c r="HN31" i="31"/>
  <c r="HO31" i="31"/>
  <c r="HP31" i="31"/>
  <c r="HQ31" i="31"/>
  <c r="HR31" i="31"/>
  <c r="HS31" i="31"/>
  <c r="HN32" i="31"/>
  <c r="HP32" i="31"/>
  <c r="HQ32" i="31"/>
  <c r="HR32" i="31"/>
  <c r="HS32" i="31"/>
  <c r="HN33" i="31"/>
  <c r="HP33" i="31"/>
  <c r="HQ33" i="31"/>
  <c r="HR33" i="31"/>
  <c r="HS33" i="31"/>
  <c r="HN34" i="31"/>
  <c r="HP34" i="31"/>
  <c r="HQ34" i="31"/>
  <c r="HR34" i="31"/>
  <c r="HS34" i="31"/>
  <c r="HN35" i="31"/>
  <c r="HO35" i="31"/>
  <c r="HP35" i="31"/>
  <c r="HQ35" i="31"/>
  <c r="HR35" i="31"/>
  <c r="HS35" i="31"/>
  <c r="HN36" i="31"/>
  <c r="HP36" i="31"/>
  <c r="HQ36" i="31"/>
  <c r="HR36" i="31"/>
  <c r="HS36" i="31"/>
  <c r="HN37" i="31"/>
  <c r="HP37" i="31"/>
  <c r="HQ37" i="31"/>
  <c r="HR37" i="31"/>
  <c r="HS37" i="31"/>
  <c r="D18" i="20"/>
  <c r="G18" i="20" s="1"/>
  <c r="E18" i="20"/>
  <c r="F18" i="20"/>
  <c r="H18" i="20"/>
  <c r="J18" i="20"/>
  <c r="HO54" i="31"/>
  <c r="L18" i="20"/>
  <c r="HQ54" i="31"/>
  <c r="N18" i="20"/>
  <c r="HR57" i="31" s="1"/>
  <c r="HR54" i="31"/>
  <c r="HS54" i="31"/>
  <c r="HO55" i="31"/>
  <c r="HQ55" i="31"/>
  <c r="HR55" i="31"/>
  <c r="HS55" i="31"/>
  <c r="HO56" i="31"/>
  <c r="HQ56" i="31"/>
  <c r="HS56" i="31"/>
  <c r="HO57" i="31"/>
  <c r="HQ57" i="31"/>
  <c r="HS57" i="31"/>
  <c r="HN58" i="31"/>
  <c r="HO58" i="31"/>
  <c r="HQ58" i="31"/>
  <c r="HR58" i="31"/>
  <c r="HS58" i="31"/>
  <c r="D13" i="20"/>
  <c r="G13" i="20"/>
  <c r="HM68" i="31"/>
  <c r="H13" i="20"/>
  <c r="J13" i="20"/>
  <c r="HO68" i="31"/>
  <c r="L13" i="20"/>
  <c r="HQ68" i="31"/>
  <c r="N13" i="20"/>
  <c r="HR70" i="31" s="1"/>
  <c r="HR68" i="31"/>
  <c r="HS68" i="31"/>
  <c r="HM69" i="31"/>
  <c r="HO69" i="31"/>
  <c r="HQ69" i="31"/>
  <c r="HR69" i="31"/>
  <c r="HS69" i="31"/>
  <c r="HM70" i="31"/>
  <c r="HO70" i="31"/>
  <c r="HP70" i="31"/>
  <c r="HQ70" i="31"/>
  <c r="HS70" i="31"/>
  <c r="HN73" i="31"/>
  <c r="HO73" i="31"/>
  <c r="HP73" i="31"/>
  <c r="HQ73" i="31"/>
  <c r="HR73" i="31"/>
  <c r="HS73" i="31"/>
  <c r="HN74" i="31"/>
  <c r="HP74" i="31"/>
  <c r="HQ74" i="31"/>
  <c r="HR74" i="31"/>
  <c r="HS74" i="31"/>
  <c r="HN75" i="31"/>
  <c r="HP75" i="31"/>
  <c r="HQ75" i="31"/>
  <c r="HR75" i="31"/>
  <c r="HS75" i="31"/>
  <c r="HN76" i="31"/>
  <c r="HP76" i="31"/>
  <c r="HQ76" i="31"/>
  <c r="HR76" i="31"/>
  <c r="HS76" i="31"/>
  <c r="HN77" i="31"/>
  <c r="HO77" i="31"/>
  <c r="HP77" i="31"/>
  <c r="HQ77" i="31"/>
  <c r="HR77" i="31"/>
  <c r="HS77" i="31"/>
  <c r="HN78" i="31"/>
  <c r="HP78" i="31"/>
  <c r="HQ78" i="31"/>
  <c r="HR78" i="31"/>
  <c r="HS78" i="31"/>
  <c r="HN79" i="31"/>
  <c r="HP79" i="31"/>
  <c r="HQ79" i="31"/>
  <c r="HR79" i="31"/>
  <c r="HS79" i="31"/>
  <c r="HN80" i="31"/>
  <c r="HP80" i="31"/>
  <c r="HQ80" i="31"/>
  <c r="HR80" i="31"/>
  <c r="HS80" i="31"/>
  <c r="HM81" i="31"/>
  <c r="HN81" i="31"/>
  <c r="J20" i="20"/>
  <c r="HO83" i="31" s="1"/>
  <c r="HP81" i="31"/>
  <c r="HQ81" i="31"/>
  <c r="N20" i="20"/>
  <c r="HS81" i="31"/>
  <c r="HM82" i="31"/>
  <c r="HN82" i="31"/>
  <c r="HP82" i="31"/>
  <c r="HQ82" i="31"/>
  <c r="HR82" i="31"/>
  <c r="HS82" i="31"/>
  <c r="HM83" i="31"/>
  <c r="HN83" i="31"/>
  <c r="HP83" i="31"/>
  <c r="HQ83" i="31"/>
  <c r="HS83" i="31"/>
  <c r="HM84" i="31"/>
  <c r="HN84" i="31"/>
  <c r="HP84" i="31"/>
  <c r="HQ84" i="31"/>
  <c r="HS84" i="31"/>
  <c r="HM85" i="31"/>
  <c r="HN85" i="31"/>
  <c r="HP85" i="31"/>
  <c r="HQ85" i="31"/>
  <c r="HS85" i="31"/>
  <c r="HM86" i="31"/>
  <c r="HN86" i="31"/>
  <c r="HP86" i="31"/>
  <c r="HQ86" i="31"/>
  <c r="HR86" i="31"/>
  <c r="HS86" i="31"/>
  <c r="HM87" i="31"/>
  <c r="HN87" i="31"/>
  <c r="HP87" i="31"/>
  <c r="HQ87" i="31"/>
  <c r="HS87" i="31"/>
  <c r="HN89" i="31"/>
  <c r="HP89" i="31"/>
  <c r="HQ89" i="31"/>
  <c r="HR89" i="31"/>
  <c r="HS89" i="31"/>
  <c r="HN90" i="31"/>
  <c r="HP90" i="31"/>
  <c r="HQ90" i="31"/>
  <c r="HR90" i="31"/>
  <c r="HS90" i="31"/>
  <c r="HN91" i="31"/>
  <c r="HO91" i="31"/>
  <c r="HP91" i="31"/>
  <c r="HQ91" i="31"/>
  <c r="HR91" i="31"/>
  <c r="HS91" i="31"/>
  <c r="HN92" i="31"/>
  <c r="HP92" i="31"/>
  <c r="HQ92" i="31"/>
  <c r="HR92" i="31"/>
  <c r="HS92" i="31"/>
  <c r="HN93" i="31"/>
  <c r="HP93" i="31"/>
  <c r="HQ93" i="31"/>
  <c r="HR93" i="31"/>
  <c r="HS93" i="31"/>
  <c r="HN94" i="31"/>
  <c r="HP94" i="31"/>
  <c r="HQ94" i="31"/>
  <c r="HR94" i="31"/>
  <c r="HS94" i="31"/>
  <c r="HN95" i="31"/>
  <c r="HO95" i="31"/>
  <c r="HP95" i="31"/>
  <c r="HQ95" i="31"/>
  <c r="HR95" i="31"/>
  <c r="HS95" i="31"/>
  <c r="HN96" i="31"/>
  <c r="HP96" i="31"/>
  <c r="HQ96" i="31"/>
  <c r="HR96" i="31"/>
  <c r="HS96" i="31"/>
  <c r="HN97" i="31"/>
  <c r="HP97" i="31"/>
  <c r="HQ97" i="31"/>
  <c r="HR97" i="31"/>
  <c r="HS97" i="31"/>
  <c r="HN98" i="31"/>
  <c r="HP98" i="31"/>
  <c r="HQ98" i="31"/>
  <c r="HR98" i="31"/>
  <c r="HS98" i="31"/>
  <c r="HN99" i="31"/>
  <c r="HO99" i="31"/>
  <c r="HP99" i="31"/>
  <c r="HQ99" i="31"/>
  <c r="HR99" i="31"/>
  <c r="HS99" i="31"/>
  <c r="HN100" i="31"/>
  <c r="HO100" i="31"/>
  <c r="HP100" i="31"/>
  <c r="HQ100" i="31"/>
  <c r="HR100" i="31"/>
  <c r="HS100" i="31"/>
  <c r="HN101" i="31"/>
  <c r="HP101" i="31"/>
  <c r="HQ101" i="31"/>
  <c r="HR101" i="31"/>
  <c r="HS101" i="31"/>
  <c r="HN102" i="31"/>
  <c r="HP102" i="31"/>
  <c r="HQ102" i="31"/>
  <c r="HR102" i="31"/>
  <c r="HS102" i="31"/>
  <c r="HN103" i="31"/>
  <c r="HO103" i="31"/>
  <c r="HP103" i="31"/>
  <c r="HQ103" i="31"/>
  <c r="HR103" i="31"/>
  <c r="HS103" i="31"/>
  <c r="HN104" i="31"/>
  <c r="HO104" i="31"/>
  <c r="HP104" i="31"/>
  <c r="HQ104" i="31"/>
  <c r="HR104" i="31"/>
  <c r="HS104" i="31"/>
  <c r="HN105" i="31"/>
  <c r="HP105" i="31"/>
  <c r="HQ105" i="31"/>
  <c r="HR105" i="31"/>
  <c r="HS105" i="31"/>
  <c r="HN106" i="31"/>
  <c r="HP106" i="31"/>
  <c r="HQ106" i="31"/>
  <c r="HR106" i="31"/>
  <c r="HS106" i="31"/>
  <c r="HN107" i="31"/>
  <c r="HO107" i="31"/>
  <c r="HP107" i="31"/>
  <c r="HQ107" i="31"/>
  <c r="HR107" i="31"/>
  <c r="HS107" i="31"/>
  <c r="HN108" i="31"/>
  <c r="HO108" i="31"/>
  <c r="HP108" i="31"/>
  <c r="HQ108" i="31"/>
  <c r="HR108" i="31"/>
  <c r="HS108" i="31"/>
  <c r="HM118" i="31"/>
  <c r="HN118" i="31"/>
  <c r="HO118" i="31"/>
  <c r="HQ118" i="31"/>
  <c r="HR118" i="31"/>
  <c r="HS118" i="31"/>
  <c r="D15" i="20"/>
  <c r="G15" i="20"/>
  <c r="HM119" i="31" s="1"/>
  <c r="H15" i="20"/>
  <c r="HN119" i="31"/>
  <c r="J15" i="20"/>
  <c r="HO119" i="31" s="1"/>
  <c r="L15" i="20"/>
  <c r="HP119" i="31"/>
  <c r="HQ119" i="31"/>
  <c r="N15" i="20"/>
  <c r="HR119" i="31" s="1"/>
  <c r="HS119" i="31"/>
  <c r="HN120" i="31"/>
  <c r="HP120" i="31"/>
  <c r="HQ120" i="31"/>
  <c r="HR120" i="31"/>
  <c r="HS120" i="31"/>
  <c r="D11" i="20"/>
  <c r="E11" i="20"/>
  <c r="G11" i="20" s="1"/>
  <c r="F11" i="20"/>
  <c r="H11" i="20"/>
  <c r="HN122" i="31" s="1"/>
  <c r="J11" i="20"/>
  <c r="HO121" i="31" s="1"/>
  <c r="L11" i="20"/>
  <c r="HP121" i="31"/>
  <c r="HQ121" i="31"/>
  <c r="N11" i="20"/>
  <c r="HR121" i="31"/>
  <c r="HS121" i="31"/>
  <c r="HO122" i="31"/>
  <c r="HP122" i="31"/>
  <c r="HQ122" i="31"/>
  <c r="HR122" i="31"/>
  <c r="HS122" i="31"/>
  <c r="D16" i="20"/>
  <c r="G16" i="20" s="1"/>
  <c r="H16" i="20"/>
  <c r="HN123" i="31"/>
  <c r="J16" i="20"/>
  <c r="HO123" i="31"/>
  <c r="L16" i="20"/>
  <c r="HP123" i="31"/>
  <c r="HQ123" i="31"/>
  <c r="N16" i="20"/>
  <c r="HR123" i="31"/>
  <c r="HS123" i="31"/>
  <c r="HO124" i="31"/>
  <c r="HP124" i="31"/>
  <c r="HQ124" i="31"/>
  <c r="HR124" i="31"/>
  <c r="HS124" i="31"/>
  <c r="HM125" i="31"/>
  <c r="HO125" i="31"/>
  <c r="HP125" i="31"/>
  <c r="HQ125" i="31"/>
  <c r="HR125" i="31"/>
  <c r="HS125" i="31"/>
  <c r="HN126" i="31"/>
  <c r="HO126" i="31"/>
  <c r="HQ126" i="31"/>
  <c r="HR126" i="31"/>
  <c r="HS126" i="31"/>
  <c r="HN127" i="31"/>
  <c r="HO127" i="31"/>
  <c r="HQ127" i="31"/>
  <c r="HR127" i="31"/>
  <c r="HS127" i="31"/>
  <c r="HM131" i="31"/>
  <c r="HN131" i="31"/>
  <c r="HO131" i="31"/>
  <c r="HQ131" i="31"/>
  <c r="HR131" i="31"/>
  <c r="HS131" i="31"/>
  <c r="HM132" i="31"/>
  <c r="HN132" i="31"/>
  <c r="HO132" i="31"/>
  <c r="HP132" i="31"/>
  <c r="HQ132" i="31"/>
  <c r="HS132" i="31"/>
  <c r="HM133" i="31"/>
  <c r="HN133" i="31"/>
  <c r="HP133" i="31"/>
  <c r="HQ133" i="31"/>
  <c r="HS133" i="31"/>
  <c r="HP511" i="31"/>
  <c r="HP513" i="31"/>
  <c r="HQ514" i="31"/>
  <c r="HM147" i="31"/>
  <c r="HN147" i="31"/>
  <c r="HO147" i="31"/>
  <c r="HP147" i="31"/>
  <c r="HQ147" i="31"/>
  <c r="HR147" i="31"/>
  <c r="HS147" i="31"/>
  <c r="HM148" i="31"/>
  <c r="HN148" i="31"/>
  <c r="HO148" i="31"/>
  <c r="HP148" i="31"/>
  <c r="HQ148" i="31"/>
  <c r="HR148" i="31"/>
  <c r="HS148" i="31"/>
  <c r="HM149" i="31"/>
  <c r="HN149" i="31"/>
  <c r="HO149" i="31"/>
  <c r="HP149" i="31"/>
  <c r="HQ149" i="31"/>
  <c r="HR149" i="31"/>
  <c r="HS149" i="31"/>
  <c r="HM150" i="31"/>
  <c r="HN150" i="31"/>
  <c r="HO150" i="31"/>
  <c r="HP150" i="31"/>
  <c r="HQ150" i="31"/>
  <c r="HR150" i="31"/>
  <c r="HS150" i="31"/>
  <c r="HM151" i="31"/>
  <c r="HN151" i="31"/>
  <c r="HO151" i="31"/>
  <c r="HP151" i="31"/>
  <c r="HQ151" i="31"/>
  <c r="HR151" i="31"/>
  <c r="HS151" i="31"/>
  <c r="HM152" i="31"/>
  <c r="HN152" i="31"/>
  <c r="HO152" i="31"/>
  <c r="HP152" i="31"/>
  <c r="HQ152" i="31"/>
  <c r="HR152" i="31"/>
  <c r="HS152" i="31"/>
  <c r="HM153" i="31"/>
  <c r="HN153" i="31"/>
  <c r="HO153" i="31"/>
  <c r="HP153" i="31"/>
  <c r="HQ153" i="31"/>
  <c r="HR153" i="31"/>
  <c r="HS153" i="31"/>
  <c r="HM154" i="31"/>
  <c r="HN154" i="31"/>
  <c r="HO154" i="31"/>
  <c r="HP154" i="31"/>
  <c r="HQ154" i="31"/>
  <c r="HR154" i="31"/>
  <c r="HS154" i="31"/>
  <c r="HM155" i="31"/>
  <c r="HN155" i="31"/>
  <c r="HO155" i="31"/>
  <c r="HP155" i="31"/>
  <c r="HQ155" i="31"/>
  <c r="HR155" i="31"/>
  <c r="HS155" i="31"/>
  <c r="HN161" i="31"/>
  <c r="HO161" i="31"/>
  <c r="HP161" i="31"/>
  <c r="HQ161" i="31"/>
  <c r="HR161" i="31"/>
  <c r="HS161" i="31"/>
  <c r="HN162" i="31"/>
  <c r="HO162" i="31"/>
  <c r="HP162" i="31"/>
  <c r="HQ162" i="31"/>
  <c r="HR162" i="31"/>
  <c r="HS162" i="31"/>
  <c r="HO544" i="31"/>
  <c r="HS544" i="31"/>
  <c r="HM179" i="31"/>
  <c r="HN179" i="31"/>
  <c r="HO179" i="31"/>
  <c r="HP179" i="31"/>
  <c r="HQ179" i="31"/>
  <c r="HR179" i="31"/>
  <c r="HS179" i="31"/>
  <c r="D12" i="20"/>
  <c r="E12" i="20"/>
  <c r="F12" i="20"/>
  <c r="G12" i="20"/>
  <c r="H12" i="20"/>
  <c r="HN184" i="31" s="1"/>
  <c r="J12" i="20"/>
  <c r="L12" i="20"/>
  <c r="HP186" i="31" s="1"/>
  <c r="HQ183" i="31"/>
  <c r="N12" i="20"/>
  <c r="HR183" i="31"/>
  <c r="HS183" i="31"/>
  <c r="HM184" i="31"/>
  <c r="HQ184" i="31"/>
  <c r="HR184" i="31"/>
  <c r="HS184" i="31"/>
  <c r="HN185" i="31"/>
  <c r="HP185" i="31"/>
  <c r="HQ185" i="31"/>
  <c r="HR185" i="31"/>
  <c r="HS185" i="31"/>
  <c r="HO186" i="31"/>
  <c r="HQ186" i="31"/>
  <c r="HR186" i="31"/>
  <c r="HS186" i="31"/>
  <c r="HN187" i="31"/>
  <c r="HP187" i="31"/>
  <c r="HQ187" i="31"/>
  <c r="HR187" i="31"/>
  <c r="HS187" i="31"/>
  <c r="HN189" i="31"/>
  <c r="HO189" i="31"/>
  <c r="HP189" i="31"/>
  <c r="HQ189" i="31"/>
  <c r="HR189" i="31"/>
  <c r="HS189" i="31"/>
  <c r="HN190" i="31"/>
  <c r="HO190" i="31"/>
  <c r="HP190" i="31"/>
  <c r="HQ190" i="31"/>
  <c r="HR190" i="31"/>
  <c r="HS190" i="31"/>
  <c r="HN191" i="31"/>
  <c r="HO191" i="31"/>
  <c r="HP191" i="31"/>
  <c r="HQ191" i="31"/>
  <c r="HR191" i="31"/>
  <c r="HS191" i="31"/>
  <c r="HN192" i="31"/>
  <c r="HO192" i="31"/>
  <c r="HP192" i="31"/>
  <c r="HQ192" i="31"/>
  <c r="HR192" i="31"/>
  <c r="HS192" i="31"/>
  <c r="HN193" i="31"/>
  <c r="HO193" i="31"/>
  <c r="HP193" i="31"/>
  <c r="HQ193" i="31"/>
  <c r="HR193" i="31"/>
  <c r="HS193" i="31"/>
  <c r="HN194" i="31"/>
  <c r="HO194" i="31"/>
  <c r="HO564" i="31" s="1"/>
  <c r="HP194" i="31"/>
  <c r="HQ194" i="31"/>
  <c r="HR194" i="31"/>
  <c r="HS194" i="31"/>
  <c r="HS564" i="31" s="1"/>
  <c r="HN195" i="31"/>
  <c r="HO195" i="31"/>
  <c r="HP195" i="31"/>
  <c r="HQ195" i="31"/>
  <c r="HR195" i="31"/>
  <c r="HS195" i="31"/>
  <c r="HN196" i="31"/>
  <c r="HO196" i="31"/>
  <c r="HP196" i="31"/>
  <c r="HQ196" i="31"/>
  <c r="HR196" i="31"/>
  <c r="HS196" i="31"/>
  <c r="HN197" i="31"/>
  <c r="HO197" i="31"/>
  <c r="HP197" i="31"/>
  <c r="HQ197" i="31"/>
  <c r="HR197" i="31"/>
  <c r="HS197" i="31"/>
  <c r="HN198" i="31"/>
  <c r="HO198" i="31"/>
  <c r="HP198" i="31"/>
  <c r="HQ198" i="31"/>
  <c r="HR198" i="31"/>
  <c r="HS198" i="31"/>
  <c r="HN199" i="31"/>
  <c r="HO199" i="31"/>
  <c r="HP199" i="31"/>
  <c r="HQ199" i="31"/>
  <c r="HR199" i="31"/>
  <c r="HS199" i="31"/>
  <c r="D17" i="20"/>
  <c r="F17" i="20"/>
  <c r="G17" i="20" s="1"/>
  <c r="HM210" i="31" s="1"/>
  <c r="H17" i="20"/>
  <c r="HN210" i="31"/>
  <c r="J17" i="20"/>
  <c r="HO210" i="31"/>
  <c r="L17" i="20"/>
  <c r="HP210" i="31"/>
  <c r="HQ210" i="31"/>
  <c r="N17" i="20"/>
  <c r="HR210" i="31" s="1"/>
  <c r="HS210" i="31"/>
  <c r="HM211" i="31"/>
  <c r="HN211" i="31"/>
  <c r="HO211" i="31"/>
  <c r="HP211" i="31"/>
  <c r="HQ211" i="31"/>
  <c r="HR211" i="31"/>
  <c r="HS211" i="31"/>
  <c r="HM212" i="31"/>
  <c r="HN212" i="31"/>
  <c r="HO212" i="31"/>
  <c r="HQ212" i="31"/>
  <c r="HR212" i="31"/>
  <c r="HS212" i="31"/>
  <c r="HM213" i="31"/>
  <c r="HN213" i="31"/>
  <c r="HO213" i="31"/>
  <c r="HQ213" i="31"/>
  <c r="HR213" i="31"/>
  <c r="HS213" i="31"/>
  <c r="HM214" i="31"/>
  <c r="HN214" i="31"/>
  <c r="HO214" i="31"/>
  <c r="HQ214" i="31"/>
  <c r="HR214" i="31"/>
  <c r="HS214" i="31"/>
  <c r="HM215" i="31"/>
  <c r="HN215" i="31"/>
  <c r="HO215" i="31"/>
  <c r="HP215" i="31"/>
  <c r="HQ215" i="31"/>
  <c r="HR215" i="31"/>
  <c r="HS215" i="31"/>
  <c r="HM216" i="31"/>
  <c r="HN216" i="31"/>
  <c r="HO216" i="31"/>
  <c r="HQ216" i="31"/>
  <c r="HR216" i="31"/>
  <c r="HS216" i="31"/>
  <c r="HM217" i="31"/>
  <c r="HN217" i="31"/>
  <c r="HO217" i="31"/>
  <c r="HQ217" i="31"/>
  <c r="HR217" i="31"/>
  <c r="HS217" i="31"/>
  <c r="HM218" i="31"/>
  <c r="HN218" i="31"/>
  <c r="HO218" i="31"/>
  <c r="HQ218" i="31"/>
  <c r="HR218" i="31"/>
  <c r="HS218" i="31"/>
  <c r="HM219" i="31"/>
  <c r="HN219" i="31"/>
  <c r="HO219" i="31"/>
  <c r="HP219" i="31"/>
  <c r="HQ219" i="31"/>
  <c r="HR219" i="31"/>
  <c r="HS219" i="31"/>
  <c r="HM220" i="31"/>
  <c r="HN220" i="31"/>
  <c r="HO220" i="31"/>
  <c r="HQ220" i="31"/>
  <c r="HR220" i="31"/>
  <c r="HS220" i="31"/>
  <c r="HM221" i="31"/>
  <c r="HN221" i="31"/>
  <c r="HO221" i="31"/>
  <c r="HQ221" i="31"/>
  <c r="HR221" i="31"/>
  <c r="HS221" i="31"/>
  <c r="HM222" i="31"/>
  <c r="HN222" i="31"/>
  <c r="HO222" i="31"/>
  <c r="HQ222" i="31"/>
  <c r="HR222" i="31"/>
  <c r="HS222" i="31"/>
  <c r="HM223" i="31"/>
  <c r="HN223" i="31"/>
  <c r="HO223" i="31"/>
  <c r="HP223" i="31"/>
  <c r="HQ223" i="31"/>
  <c r="HR223" i="31"/>
  <c r="HS223" i="31"/>
  <c r="HM224" i="31"/>
  <c r="HN224" i="31"/>
  <c r="HO224" i="31"/>
  <c r="HQ224" i="31"/>
  <c r="HR224" i="31"/>
  <c r="HS224" i="31"/>
  <c r="HM225" i="31"/>
  <c r="HN225" i="31"/>
  <c r="HO225" i="31"/>
  <c r="HQ225" i="31"/>
  <c r="HR225" i="31"/>
  <c r="HS225" i="31"/>
  <c r="HM226" i="31"/>
  <c r="HN226" i="31"/>
  <c r="HO226" i="31"/>
  <c r="HQ226" i="31"/>
  <c r="HR226" i="31"/>
  <c r="HS226" i="31"/>
  <c r="HM227" i="31"/>
  <c r="HN227" i="31"/>
  <c r="HO227" i="31"/>
  <c r="HP227" i="31"/>
  <c r="HQ227" i="31"/>
  <c r="HR227" i="31"/>
  <c r="HS227" i="31"/>
  <c r="HN228" i="31"/>
  <c r="HO228" i="31"/>
  <c r="HP228" i="31"/>
  <c r="HN229" i="31"/>
  <c r="HO229" i="31"/>
  <c r="HP229" i="31"/>
  <c r="HN230" i="31"/>
  <c r="HO230" i="31"/>
  <c r="HP230" i="31"/>
  <c r="HN231" i="31"/>
  <c r="HO231" i="31"/>
  <c r="HP231" i="31"/>
  <c r="HN232" i="31"/>
  <c r="HO232" i="31"/>
  <c r="HP232" i="31"/>
  <c r="HN233" i="31"/>
  <c r="HO233" i="31"/>
  <c r="HP233" i="31"/>
  <c r="HN235" i="31"/>
  <c r="HO235" i="31"/>
  <c r="HP235" i="31"/>
  <c r="HQ235" i="31"/>
  <c r="HR235" i="31"/>
  <c r="HS235" i="31"/>
  <c r="HN236" i="31"/>
  <c r="HO236" i="31"/>
  <c r="HP236" i="31"/>
  <c r="HQ236" i="31"/>
  <c r="HR236" i="31"/>
  <c r="HS236" i="31"/>
  <c r="HN237" i="31"/>
  <c r="HO237" i="31"/>
  <c r="HP237" i="31"/>
  <c r="HQ237" i="31"/>
  <c r="HR237" i="31"/>
  <c r="HS237" i="31"/>
  <c r="HN238" i="31"/>
  <c r="HO238" i="31"/>
  <c r="HP238" i="31"/>
  <c r="HQ238" i="31"/>
  <c r="HR238" i="31"/>
  <c r="HS238" i="31"/>
  <c r="HN239" i="31"/>
  <c r="HO239" i="31"/>
  <c r="HP239" i="31"/>
  <c r="HQ239" i="31"/>
  <c r="HR239" i="31"/>
  <c r="HS239" i="31"/>
  <c r="HN240" i="31"/>
  <c r="HO240" i="31"/>
  <c r="HP240" i="31"/>
  <c r="HQ240" i="31"/>
  <c r="HR240" i="31"/>
  <c r="HS240" i="31"/>
  <c r="HN241" i="31"/>
  <c r="HO241" i="31"/>
  <c r="HP241" i="31"/>
  <c r="HQ241" i="31"/>
  <c r="HR241" i="31"/>
  <c r="HS241" i="31"/>
  <c r="HN242" i="31"/>
  <c r="HO242" i="31"/>
  <c r="HP242" i="31"/>
  <c r="HQ242" i="31"/>
  <c r="HR242" i="31"/>
  <c r="HS242" i="31"/>
  <c r="HN243" i="31"/>
  <c r="HO243" i="31"/>
  <c r="HP243" i="31"/>
  <c r="HP613" i="31" s="1"/>
  <c r="HQ243" i="31"/>
  <c r="HR243" i="31"/>
  <c r="HS243" i="31"/>
  <c r="HN244" i="31"/>
  <c r="HO244" i="31"/>
  <c r="HP244" i="31"/>
  <c r="HQ244" i="31"/>
  <c r="HQ614" i="31" s="1"/>
  <c r="HR244" i="31"/>
  <c r="HS244" i="31"/>
  <c r="HN245" i="31"/>
  <c r="HO245" i="31"/>
  <c r="HP245" i="31"/>
  <c r="HQ245" i="31"/>
  <c r="HR245" i="31"/>
  <c r="HS245" i="31"/>
  <c r="HN246" i="31"/>
  <c r="HO246" i="31"/>
  <c r="HP246" i="31"/>
  <c r="HQ246" i="31"/>
  <c r="HR246" i="31"/>
  <c r="HS246" i="31"/>
  <c r="HN247" i="31"/>
  <c r="HO247" i="31"/>
  <c r="HP247" i="31"/>
  <c r="HQ247" i="31"/>
  <c r="HR247" i="31"/>
  <c r="HS247" i="31"/>
  <c r="HN248" i="31"/>
  <c r="HO248" i="31"/>
  <c r="HP248" i="31"/>
  <c r="HQ248" i="31"/>
  <c r="HR248" i="31"/>
  <c r="HS248" i="31"/>
  <c r="HN249" i="31"/>
  <c r="HO249" i="31"/>
  <c r="HP249" i="31"/>
  <c r="HQ249" i="31"/>
  <c r="HR249" i="31"/>
  <c r="HS249" i="31"/>
  <c r="HN250" i="31"/>
  <c r="HO250" i="31"/>
  <c r="HP250" i="31"/>
  <c r="HQ250" i="31"/>
  <c r="HR250" i="31"/>
  <c r="HS250" i="31"/>
  <c r="HN251" i="31"/>
  <c r="HO251" i="31"/>
  <c r="HP251" i="31"/>
  <c r="HQ251" i="31"/>
  <c r="HR251" i="31"/>
  <c r="HS251" i="31"/>
  <c r="HN252" i="31"/>
  <c r="HO252" i="31"/>
  <c r="HP252" i="31"/>
  <c r="HQ252" i="31"/>
  <c r="HR252" i="31"/>
  <c r="HS252" i="31"/>
  <c r="HN253" i="31"/>
  <c r="HO253" i="31"/>
  <c r="HP253" i="31"/>
  <c r="HQ253" i="31"/>
  <c r="HR253" i="31"/>
  <c r="HS253" i="31"/>
  <c r="HN254" i="31"/>
  <c r="HO254" i="31"/>
  <c r="HP254" i="31"/>
  <c r="HQ254" i="31"/>
  <c r="HR254" i="31"/>
  <c r="HS254" i="31"/>
  <c r="HN255" i="31"/>
  <c r="HO255" i="31"/>
  <c r="HP255" i="31"/>
  <c r="HQ255" i="31"/>
  <c r="HR255" i="31"/>
  <c r="HS255" i="31"/>
  <c r="HN256" i="31"/>
  <c r="HO256" i="31"/>
  <c r="HP256" i="31"/>
  <c r="HQ256" i="31"/>
  <c r="HR256" i="31"/>
  <c r="HS256" i="31"/>
  <c r="HN257" i="31"/>
  <c r="HO257" i="31"/>
  <c r="HP257" i="31"/>
  <c r="HQ257" i="31"/>
  <c r="HR257" i="31"/>
  <c r="HS257" i="31"/>
  <c r="HN258" i="31"/>
  <c r="HO258" i="31"/>
  <c r="HP258" i="31"/>
  <c r="HQ258" i="31"/>
  <c r="HR258" i="31"/>
  <c r="HS258" i="31"/>
  <c r="HN259" i="31"/>
  <c r="HO259" i="31"/>
  <c r="HP259" i="31"/>
  <c r="HQ259" i="31"/>
  <c r="HR259" i="31"/>
  <c r="HS259" i="31"/>
  <c r="HN260" i="31"/>
  <c r="HO260" i="31"/>
  <c r="HP260" i="31"/>
  <c r="HQ260" i="31"/>
  <c r="HR260" i="31"/>
  <c r="HS260" i="31"/>
  <c r="HP637" i="31"/>
  <c r="HM268" i="31"/>
  <c r="HM638" i="31" s="1"/>
  <c r="HN268" i="31"/>
  <c r="HO268" i="31"/>
  <c r="HP268" i="31"/>
  <c r="HQ268" i="31"/>
  <c r="HQ638" i="31" s="1"/>
  <c r="HR268" i="31"/>
  <c r="HS268" i="31"/>
  <c r="HN269" i="31"/>
  <c r="HO269" i="31"/>
  <c r="HP269" i="31"/>
  <c r="HQ269" i="31"/>
  <c r="HR269" i="31"/>
  <c r="HS269" i="31"/>
  <c r="HN270" i="31"/>
  <c r="HO270" i="31"/>
  <c r="HP270" i="31"/>
  <c r="HQ270" i="31"/>
  <c r="HR270" i="31"/>
  <c r="HS270" i="31"/>
  <c r="HN271" i="31"/>
  <c r="HO271" i="31"/>
  <c r="HP271" i="31"/>
  <c r="HQ271" i="31"/>
  <c r="HR271" i="31"/>
  <c r="HS271" i="31"/>
  <c r="HN272" i="31"/>
  <c r="HO272" i="31"/>
  <c r="HP272" i="31"/>
  <c r="HQ272" i="31"/>
  <c r="HR272" i="31"/>
  <c r="HS272" i="31"/>
  <c r="HN273" i="31"/>
  <c r="HO273" i="31"/>
  <c r="HP273" i="31"/>
  <c r="HQ273" i="31"/>
  <c r="HR273" i="31"/>
  <c r="HS273" i="31"/>
  <c r="HN274" i="31"/>
  <c r="HO274" i="31"/>
  <c r="HP274" i="31"/>
  <c r="HQ274" i="31"/>
  <c r="HR274" i="31"/>
  <c r="HS274" i="31"/>
  <c r="HN275" i="31"/>
  <c r="HO275" i="31"/>
  <c r="HP275" i="31"/>
  <c r="HQ275" i="31"/>
  <c r="HR275" i="31"/>
  <c r="HS275" i="31"/>
  <c r="HN276" i="31"/>
  <c r="HO276" i="31"/>
  <c r="HP276" i="31"/>
  <c r="HQ276" i="31"/>
  <c r="HR276" i="31"/>
  <c r="HS276" i="31"/>
  <c r="HN277" i="31"/>
  <c r="HO277" i="31"/>
  <c r="HP277" i="31"/>
  <c r="HQ277" i="31"/>
  <c r="HR277" i="31"/>
  <c r="HS277" i="31"/>
  <c r="HN659" i="31"/>
  <c r="HR659" i="31"/>
  <c r="HM304" i="31"/>
  <c r="HN304" i="31"/>
  <c r="HO304" i="31"/>
  <c r="HP304" i="31"/>
  <c r="HS304" i="31"/>
  <c r="HM305" i="31"/>
  <c r="HN305" i="31"/>
  <c r="HO305" i="31"/>
  <c r="HP305" i="31"/>
  <c r="HS305" i="31"/>
  <c r="HM306" i="31"/>
  <c r="HN306" i="31"/>
  <c r="HO306" i="31"/>
  <c r="HP306" i="31"/>
  <c r="HS306" i="31"/>
  <c r="HM307" i="31"/>
  <c r="HN307" i="31"/>
  <c r="HO307" i="31"/>
  <c r="HP307" i="31"/>
  <c r="HS307" i="31"/>
  <c r="HM308" i="31"/>
  <c r="HN308" i="31"/>
  <c r="HO308" i="31"/>
  <c r="HP308" i="31"/>
  <c r="HS308" i="31"/>
  <c r="HM309" i="31"/>
  <c r="HN309" i="31"/>
  <c r="HO309" i="31"/>
  <c r="HP309" i="31"/>
  <c r="HS309" i="31"/>
  <c r="HM318" i="31"/>
  <c r="HN318" i="31"/>
  <c r="J19" i="20"/>
  <c r="HO318" i="31"/>
  <c r="HP318" i="31"/>
  <c r="HQ318" i="31"/>
  <c r="N19" i="20"/>
  <c r="HR318" i="31"/>
  <c r="HS318" i="31"/>
  <c r="N4" i="21"/>
  <c r="F319" i="31"/>
  <c r="G319" i="31"/>
  <c r="G320" i="31" s="1"/>
  <c r="G321" i="31" s="1"/>
  <c r="C6" i="36"/>
  <c r="K35" i="20"/>
  <c r="C128" i="36"/>
  <c r="C129" i="36"/>
  <c r="C130" i="36"/>
  <c r="C79" i="36"/>
  <c r="C131" i="36"/>
  <c r="C19" i="10"/>
  <c r="D5" i="24"/>
  <c r="D44" i="24" s="1"/>
  <c r="C135" i="36"/>
  <c r="C119" i="36"/>
  <c r="L31" i="20"/>
  <c r="L34" i="20"/>
  <c r="L35" i="20" s="1"/>
  <c r="L38" i="20"/>
  <c r="L27" i="20"/>
  <c r="D323" i="31"/>
  <c r="D324" i="31"/>
  <c r="D325" i="31"/>
  <c r="AF5" i="21"/>
  <c r="AF17" i="21" s="1"/>
  <c r="V5" i="21"/>
  <c r="V17" i="21" s="1"/>
  <c r="M35" i="20"/>
  <c r="N34" i="20"/>
  <c r="N35" i="20" s="1"/>
  <c r="C205" i="36"/>
  <c r="F320" i="31"/>
  <c r="H320" i="31"/>
  <c r="H321" i="31" s="1"/>
  <c r="I320" i="31"/>
  <c r="J320" i="31"/>
  <c r="K320" i="31"/>
  <c r="L320" i="31"/>
  <c r="L321" i="31" s="1"/>
  <c r="M320" i="31"/>
  <c r="N320" i="31"/>
  <c r="O320" i="31"/>
  <c r="P320" i="31"/>
  <c r="P321" i="31" s="1"/>
  <c r="Q320" i="31"/>
  <c r="R320" i="31"/>
  <c r="S320" i="31"/>
  <c r="T320" i="31"/>
  <c r="T321" i="31" s="1"/>
  <c r="U320" i="31"/>
  <c r="V320" i="31"/>
  <c r="W320" i="31"/>
  <c r="X320" i="31"/>
  <c r="X321" i="31" s="1"/>
  <c r="Y320" i="31"/>
  <c r="Z320" i="31"/>
  <c r="Z321" i="31" s="1"/>
  <c r="AA320" i="31"/>
  <c r="AB320" i="31"/>
  <c r="AB321" i="31" s="1"/>
  <c r="AC320" i="31"/>
  <c r="AD320" i="31"/>
  <c r="AE320" i="31"/>
  <c r="AF320" i="31"/>
  <c r="AF321" i="31" s="1"/>
  <c r="AG320" i="31"/>
  <c r="AH320" i="31"/>
  <c r="AI320" i="31"/>
  <c r="AJ320" i="31"/>
  <c r="AJ321" i="31" s="1"/>
  <c r="AK320" i="31"/>
  <c r="AL320" i="31"/>
  <c r="AM320" i="31"/>
  <c r="AN320" i="31"/>
  <c r="AN321" i="31" s="1"/>
  <c r="AO320" i="31"/>
  <c r="AP320" i="31"/>
  <c r="AQ320" i="31"/>
  <c r="AR320" i="31"/>
  <c r="AR321" i="31" s="1"/>
  <c r="AS320" i="31"/>
  <c r="AT320" i="31"/>
  <c r="AU320" i="31"/>
  <c r="AV320" i="31"/>
  <c r="AV321" i="31" s="1"/>
  <c r="AW320" i="31"/>
  <c r="AX320" i="31"/>
  <c r="AY320" i="31"/>
  <c r="AZ320" i="31"/>
  <c r="AZ321" i="31" s="1"/>
  <c r="BA320" i="31"/>
  <c r="BB320" i="31"/>
  <c r="BC320" i="31"/>
  <c r="BD320" i="31"/>
  <c r="BD321" i="31" s="1"/>
  <c r="BE320" i="31"/>
  <c r="BF320" i="31"/>
  <c r="BG320" i="31"/>
  <c r="BH320" i="31"/>
  <c r="BH321" i="31" s="1"/>
  <c r="BI320" i="31"/>
  <c r="BJ320" i="31"/>
  <c r="BK320" i="31"/>
  <c r="BL320" i="31"/>
  <c r="BL321" i="31" s="1"/>
  <c r="BM320" i="31"/>
  <c r="BN320" i="31"/>
  <c r="BO320" i="31"/>
  <c r="BP320" i="31"/>
  <c r="BP321" i="31" s="1"/>
  <c r="BQ320" i="31"/>
  <c r="BR320" i="31"/>
  <c r="BS320" i="31"/>
  <c r="BT320" i="31"/>
  <c r="BT321" i="31" s="1"/>
  <c r="BU320" i="31"/>
  <c r="BV320" i="31"/>
  <c r="BW320" i="31"/>
  <c r="BX320" i="31"/>
  <c r="BX321" i="31" s="1"/>
  <c r="BY320" i="31"/>
  <c r="BZ320" i="31"/>
  <c r="CA320" i="31"/>
  <c r="CB320" i="31"/>
  <c r="CB321" i="31" s="1"/>
  <c r="CC320" i="31"/>
  <c r="CD320" i="31"/>
  <c r="CD321" i="31" s="1"/>
  <c r="CE320" i="31"/>
  <c r="CF320" i="31"/>
  <c r="CF321" i="31" s="1"/>
  <c r="CG320" i="31"/>
  <c r="CH320" i="31"/>
  <c r="CI320" i="31"/>
  <c r="CJ320" i="31"/>
  <c r="CJ321" i="31" s="1"/>
  <c r="CK320" i="31"/>
  <c r="CL320" i="31"/>
  <c r="CM320" i="31"/>
  <c r="CN320" i="31"/>
  <c r="CN321" i="31" s="1"/>
  <c r="CO320" i="31"/>
  <c r="CP320" i="31"/>
  <c r="CQ320" i="31"/>
  <c r="CR320" i="31"/>
  <c r="CR321" i="31" s="1"/>
  <c r="CS320" i="31"/>
  <c r="CT320" i="31"/>
  <c r="CU320" i="31"/>
  <c r="CV320" i="31"/>
  <c r="CV321" i="31" s="1"/>
  <c r="CW320" i="31"/>
  <c r="CX320" i="31"/>
  <c r="CY320" i="31"/>
  <c r="CZ320" i="31"/>
  <c r="CZ321" i="31" s="1"/>
  <c r="DA320" i="31"/>
  <c r="DB320" i="31"/>
  <c r="DC320" i="31"/>
  <c r="DD320" i="31"/>
  <c r="DD321" i="31" s="1"/>
  <c r="DE320" i="31"/>
  <c r="DF320" i="31"/>
  <c r="DG320" i="31"/>
  <c r="DH320" i="31"/>
  <c r="DH321" i="31" s="1"/>
  <c r="DI320" i="31"/>
  <c r="DJ320" i="31"/>
  <c r="DK320" i="31"/>
  <c r="DL320" i="31"/>
  <c r="DL321" i="31" s="1"/>
  <c r="DM320" i="31"/>
  <c r="DN320" i="31"/>
  <c r="DO320" i="31"/>
  <c r="DP320" i="31"/>
  <c r="DP321" i="31" s="1"/>
  <c r="DQ320" i="31"/>
  <c r="DR320" i="31"/>
  <c r="DS320" i="31"/>
  <c r="DT320" i="31"/>
  <c r="DU320" i="31"/>
  <c r="DV320" i="31"/>
  <c r="DW320" i="31"/>
  <c r="DX320" i="31"/>
  <c r="DY320" i="31"/>
  <c r="DZ320" i="31"/>
  <c r="EA320" i="31"/>
  <c r="EB320" i="31"/>
  <c r="EC320" i="31"/>
  <c r="ED320" i="31"/>
  <c r="EE320" i="31"/>
  <c r="EF320" i="31"/>
  <c r="EG320" i="31"/>
  <c r="EH320" i="31"/>
  <c r="EI320" i="31"/>
  <c r="EJ320" i="31"/>
  <c r="EK320" i="31"/>
  <c r="EL320" i="31"/>
  <c r="EM320" i="31"/>
  <c r="EN320" i="31"/>
  <c r="EO320" i="31"/>
  <c r="EP320" i="31"/>
  <c r="EQ320" i="31"/>
  <c r="ER320" i="31"/>
  <c r="ES320" i="31"/>
  <c r="ET320" i="31"/>
  <c r="EU320" i="31"/>
  <c r="EV320" i="31"/>
  <c r="EW320" i="31"/>
  <c r="EX320" i="31"/>
  <c r="EY320" i="31"/>
  <c r="EZ320" i="31"/>
  <c r="FA320" i="31"/>
  <c r="FB320" i="31"/>
  <c r="FC320" i="31"/>
  <c r="FD320" i="31"/>
  <c r="FE320" i="31"/>
  <c r="FF320" i="31"/>
  <c r="FG320" i="31"/>
  <c r="FH320" i="31"/>
  <c r="FI320" i="31"/>
  <c r="FJ320" i="31"/>
  <c r="FK320" i="31"/>
  <c r="FL320" i="31"/>
  <c r="FM320" i="31"/>
  <c r="FN320" i="31"/>
  <c r="FO320" i="31"/>
  <c r="FP320" i="31"/>
  <c r="FQ320" i="31"/>
  <c r="FR320" i="31"/>
  <c r="FS320" i="31"/>
  <c r="FT320" i="31"/>
  <c r="FU320" i="31"/>
  <c r="FV320" i="31"/>
  <c r="FW320" i="31"/>
  <c r="FX320" i="31"/>
  <c r="FY320" i="31"/>
  <c r="FZ320" i="31"/>
  <c r="GA320" i="31"/>
  <c r="GB320" i="31"/>
  <c r="GC320" i="31"/>
  <c r="GD320" i="31"/>
  <c r="GE320" i="31"/>
  <c r="GF320" i="31"/>
  <c r="GG320" i="31"/>
  <c r="GH320" i="31"/>
  <c r="GI320" i="31"/>
  <c r="GJ320" i="31"/>
  <c r="GK320" i="31"/>
  <c r="GL320" i="31"/>
  <c r="GM320" i="31"/>
  <c r="GN320" i="31"/>
  <c r="GO320" i="31"/>
  <c r="GP320" i="31"/>
  <c r="GQ320" i="31"/>
  <c r="GR320" i="31"/>
  <c r="GS320" i="31"/>
  <c r="GT320" i="31"/>
  <c r="GU320" i="31"/>
  <c r="GV320" i="31"/>
  <c r="GW320" i="31"/>
  <c r="GX320" i="31"/>
  <c r="GY320" i="31"/>
  <c r="GZ320" i="31"/>
  <c r="HA320" i="31"/>
  <c r="HB320" i="31"/>
  <c r="HC320" i="31"/>
  <c r="HD320" i="31"/>
  <c r="HE320" i="31"/>
  <c r="HF320" i="31"/>
  <c r="HG320" i="31"/>
  <c r="HH320" i="31"/>
  <c r="HI320" i="31"/>
  <c r="HJ320" i="31"/>
  <c r="HK320" i="31"/>
  <c r="HL320" i="31"/>
  <c r="D6" i="36"/>
  <c r="D26" i="36" s="1"/>
  <c r="D128" i="36"/>
  <c r="D129" i="36"/>
  <c r="D130" i="36"/>
  <c r="D79" i="36"/>
  <c r="D131" i="36"/>
  <c r="D326" i="31"/>
  <c r="HV326" i="31" s="1"/>
  <c r="D327" i="31"/>
  <c r="D328" i="31"/>
  <c r="HV328" i="31" s="1"/>
  <c r="D329" i="31"/>
  <c r="HV329" i="31" s="1"/>
  <c r="D135" i="36"/>
  <c r="D330" i="31"/>
  <c r="HV330" i="31" s="1"/>
  <c r="AF7" i="21"/>
  <c r="AF19" i="21"/>
  <c r="V7" i="21"/>
  <c r="V19" i="21" s="1"/>
  <c r="F321" i="31"/>
  <c r="F322" i="31" s="1"/>
  <c r="I321" i="31"/>
  <c r="J321" i="31"/>
  <c r="J322" i="31" s="1"/>
  <c r="J692" i="31" s="1"/>
  <c r="K321" i="31"/>
  <c r="M321" i="31"/>
  <c r="M322" i="31" s="1"/>
  <c r="N321" i="31"/>
  <c r="N322" i="31" s="1"/>
  <c r="O321" i="31"/>
  <c r="Q321" i="31"/>
  <c r="R321" i="31"/>
  <c r="R322" i="31" s="1"/>
  <c r="S321" i="31"/>
  <c r="U321" i="31"/>
  <c r="V321" i="31"/>
  <c r="W321" i="31"/>
  <c r="Y321" i="31"/>
  <c r="AA321" i="31"/>
  <c r="AC321" i="31"/>
  <c r="AC322" i="31" s="1"/>
  <c r="AD321" i="31"/>
  <c r="AD322" i="31" s="1"/>
  <c r="AE321" i="31"/>
  <c r="AG321" i="31"/>
  <c r="AH321" i="31"/>
  <c r="AH322" i="31" s="1"/>
  <c r="AI321" i="31"/>
  <c r="AK321" i="31"/>
  <c r="AL321" i="31"/>
  <c r="AM321" i="31"/>
  <c r="AO321" i="31"/>
  <c r="AP321" i="31"/>
  <c r="AP322" i="31" s="1"/>
  <c r="AP692" i="31" s="1"/>
  <c r="AQ321" i="31"/>
  <c r="AS321" i="31"/>
  <c r="AS322" i="31" s="1"/>
  <c r="AT321" i="31"/>
  <c r="AT322" i="31" s="1"/>
  <c r="AU321" i="31"/>
  <c r="AW321" i="31"/>
  <c r="AX321" i="31"/>
  <c r="AX322" i="31" s="1"/>
  <c r="AY321" i="31"/>
  <c r="BA321" i="31"/>
  <c r="BB321" i="31"/>
  <c r="BC321" i="31"/>
  <c r="BE321" i="31"/>
  <c r="BF321" i="31"/>
  <c r="BF322" i="31" s="1"/>
  <c r="BF692" i="31" s="1"/>
  <c r="BG321" i="31"/>
  <c r="BI321" i="31"/>
  <c r="BI322" i="31" s="1"/>
  <c r="BJ321" i="31"/>
  <c r="BJ322" i="31" s="1"/>
  <c r="BK321" i="31"/>
  <c r="BM321" i="31"/>
  <c r="BN321" i="31"/>
  <c r="BN322" i="31" s="1"/>
  <c r="BO321" i="31"/>
  <c r="BQ321" i="31"/>
  <c r="BR321" i="31"/>
  <c r="BS321" i="31"/>
  <c r="BU321" i="31"/>
  <c r="BV321" i="31"/>
  <c r="BV322" i="31" s="1"/>
  <c r="BV692" i="31" s="1"/>
  <c r="BW321" i="31"/>
  <c r="BY321" i="31"/>
  <c r="BY322" i="31" s="1"/>
  <c r="BZ321" i="31"/>
  <c r="BZ322" i="31" s="1"/>
  <c r="CA321" i="31"/>
  <c r="CC321" i="31"/>
  <c r="CE321" i="31"/>
  <c r="CG321" i="31"/>
  <c r="CH321" i="31"/>
  <c r="CI321" i="31"/>
  <c r="CK321" i="31"/>
  <c r="CL321" i="31"/>
  <c r="CL322" i="31" s="1"/>
  <c r="CL692" i="31" s="1"/>
  <c r="CM321" i="31"/>
  <c r="CO321" i="31"/>
  <c r="CO322" i="31" s="1"/>
  <c r="CP321" i="31"/>
  <c r="CP322" i="31" s="1"/>
  <c r="CQ321" i="31"/>
  <c r="CS321" i="31"/>
  <c r="CT321" i="31"/>
  <c r="CT322" i="31" s="1"/>
  <c r="CU321" i="31"/>
  <c r="CW321" i="31"/>
  <c r="CX321" i="31"/>
  <c r="CY321" i="31"/>
  <c r="DA321" i="31"/>
  <c r="DB321" i="31"/>
  <c r="DB322" i="31" s="1"/>
  <c r="DB692" i="31" s="1"/>
  <c r="DC321" i="31"/>
  <c r="DE321" i="31"/>
  <c r="DE322" i="31" s="1"/>
  <c r="DF321" i="31"/>
  <c r="DF322" i="31" s="1"/>
  <c r="DG321" i="31"/>
  <c r="DI321" i="31"/>
  <c r="DJ321" i="31"/>
  <c r="DJ322" i="31" s="1"/>
  <c r="DK321" i="31"/>
  <c r="DM321" i="31"/>
  <c r="DN321" i="31"/>
  <c r="DO321" i="31"/>
  <c r="DQ321" i="31"/>
  <c r="DR321" i="31"/>
  <c r="DR322" i="31" s="1"/>
  <c r="DR692" i="31" s="1"/>
  <c r="DS321" i="31"/>
  <c r="DT321" i="31"/>
  <c r="DT322" i="31" s="1"/>
  <c r="DU321" i="31"/>
  <c r="DV321" i="31"/>
  <c r="DV322" i="31" s="1"/>
  <c r="DV692" i="31" s="1"/>
  <c r="DW321" i="31"/>
  <c r="DX321" i="31"/>
  <c r="DX322" i="31" s="1"/>
  <c r="DY321" i="31"/>
  <c r="DZ321" i="31"/>
  <c r="DZ322" i="31" s="1"/>
  <c r="DZ692" i="31" s="1"/>
  <c r="EA321" i="31"/>
  <c r="EB321" i="31"/>
  <c r="EB322" i="31" s="1"/>
  <c r="EC321" i="31"/>
  <c r="ED321" i="31"/>
  <c r="ED322" i="31" s="1"/>
  <c r="ED692" i="31" s="1"/>
  <c r="EE321" i="31"/>
  <c r="EF321" i="31"/>
  <c r="EF322" i="31" s="1"/>
  <c r="EG321" i="31"/>
  <c r="EH321" i="31"/>
  <c r="EH322" i="31" s="1"/>
  <c r="EI321" i="31"/>
  <c r="EJ321" i="31"/>
  <c r="EJ322" i="31" s="1"/>
  <c r="EK321" i="31"/>
  <c r="EL321" i="31"/>
  <c r="EL322" i="31" s="1"/>
  <c r="EM321" i="31"/>
  <c r="EN321" i="31"/>
  <c r="EN322" i="31" s="1"/>
  <c r="EO321" i="31"/>
  <c r="EP321" i="31"/>
  <c r="EP322" i="31" s="1"/>
  <c r="EQ321" i="31"/>
  <c r="ER321" i="31"/>
  <c r="ER322" i="31" s="1"/>
  <c r="ES321" i="31"/>
  <c r="ET321" i="31"/>
  <c r="ET322" i="31" s="1"/>
  <c r="EU321" i="31"/>
  <c r="EV321" i="31"/>
  <c r="EV322" i="31" s="1"/>
  <c r="EW321" i="31"/>
  <c r="EX321" i="31"/>
  <c r="EX322" i="31" s="1"/>
  <c r="EY321" i="31"/>
  <c r="EZ321" i="31"/>
  <c r="EZ322" i="31" s="1"/>
  <c r="FA321" i="31"/>
  <c r="FB321" i="31"/>
  <c r="FB322" i="31" s="1"/>
  <c r="FC321" i="31"/>
  <c r="FD321" i="31"/>
  <c r="FD322" i="31" s="1"/>
  <c r="FE321" i="31"/>
  <c r="FF321" i="31"/>
  <c r="FF322" i="31" s="1"/>
  <c r="FG321" i="31"/>
  <c r="FH321" i="31"/>
  <c r="FH322" i="31" s="1"/>
  <c r="FI321" i="31"/>
  <c r="FJ321" i="31"/>
  <c r="FJ322" i="31" s="1"/>
  <c r="FK321" i="31"/>
  <c r="FL321" i="31"/>
  <c r="FL322" i="31" s="1"/>
  <c r="FM321" i="31"/>
  <c r="FN321" i="31"/>
  <c r="FN322" i="31" s="1"/>
  <c r="FO321" i="31"/>
  <c r="FP321" i="31"/>
  <c r="FP322" i="31" s="1"/>
  <c r="FQ321" i="31"/>
  <c r="FR321" i="31"/>
  <c r="FR322" i="31" s="1"/>
  <c r="FS321" i="31"/>
  <c r="FT321" i="31"/>
  <c r="FT322" i="31" s="1"/>
  <c r="FU321" i="31"/>
  <c r="FV321" i="31"/>
  <c r="FV322" i="31" s="1"/>
  <c r="FW321" i="31"/>
  <c r="FX321" i="31"/>
  <c r="FX322" i="31" s="1"/>
  <c r="FY321" i="31"/>
  <c r="FZ321" i="31"/>
  <c r="FZ322" i="31" s="1"/>
  <c r="GA321" i="31"/>
  <c r="GB321" i="31"/>
  <c r="GB322" i="31" s="1"/>
  <c r="GC321" i="31"/>
  <c r="GD321" i="31"/>
  <c r="GD322" i="31" s="1"/>
  <c r="GE321" i="31"/>
  <c r="GF321" i="31"/>
  <c r="GF322" i="31" s="1"/>
  <c r="GG321" i="31"/>
  <c r="GH321" i="31"/>
  <c r="GH322" i="31" s="1"/>
  <c r="GI321" i="31"/>
  <c r="GJ321" i="31"/>
  <c r="GJ322" i="31" s="1"/>
  <c r="GK321" i="31"/>
  <c r="GL321" i="31"/>
  <c r="GL322" i="31" s="1"/>
  <c r="GM321" i="31"/>
  <c r="GN321" i="31"/>
  <c r="GN322" i="31" s="1"/>
  <c r="GO321" i="31"/>
  <c r="GP321" i="31"/>
  <c r="GP322" i="31" s="1"/>
  <c r="GQ321" i="31"/>
  <c r="GR321" i="31"/>
  <c r="GR322" i="31" s="1"/>
  <c r="GS321" i="31"/>
  <c r="GT321" i="31"/>
  <c r="GT322" i="31" s="1"/>
  <c r="GU321" i="31"/>
  <c r="GV321" i="31"/>
  <c r="GV322" i="31" s="1"/>
  <c r="GW321" i="31"/>
  <c r="GX321" i="31"/>
  <c r="GX322" i="31" s="1"/>
  <c r="GY321" i="31"/>
  <c r="GZ321" i="31"/>
  <c r="GZ322" i="31" s="1"/>
  <c r="HA321" i="31"/>
  <c r="HB321" i="31"/>
  <c r="HB322" i="31" s="1"/>
  <c r="HC321" i="31"/>
  <c r="HD321" i="31"/>
  <c r="HD322" i="31" s="1"/>
  <c r="HE321" i="31"/>
  <c r="HF321" i="31"/>
  <c r="HF322" i="31" s="1"/>
  <c r="HG321" i="31"/>
  <c r="HH321" i="31"/>
  <c r="HH322" i="31" s="1"/>
  <c r="HI321" i="31"/>
  <c r="HJ321" i="31"/>
  <c r="HJ322" i="31" s="1"/>
  <c r="HK321" i="31"/>
  <c r="HL321" i="31"/>
  <c r="HL322" i="31" s="1"/>
  <c r="E6" i="36"/>
  <c r="E20" i="36" s="1"/>
  <c r="E128" i="36"/>
  <c r="E129" i="36"/>
  <c r="E130" i="36"/>
  <c r="E79" i="36"/>
  <c r="E131" i="36" s="1"/>
  <c r="E135" i="36"/>
  <c r="G322" i="31"/>
  <c r="H322" i="31"/>
  <c r="I322" i="31"/>
  <c r="K322" i="31"/>
  <c r="L322" i="31"/>
  <c r="O322" i="31"/>
  <c r="P322" i="31"/>
  <c r="Q322" i="31"/>
  <c r="S322" i="31"/>
  <c r="T322" i="31"/>
  <c r="U322" i="31"/>
  <c r="V322" i="31"/>
  <c r="W322" i="31"/>
  <c r="X322" i="31"/>
  <c r="Y322" i="31"/>
  <c r="AA322" i="31"/>
  <c r="AB322" i="31"/>
  <c r="AE322" i="31"/>
  <c r="AF322" i="31"/>
  <c r="AG322" i="31"/>
  <c r="AI322" i="31"/>
  <c r="AJ322" i="31"/>
  <c r="AK322" i="31"/>
  <c r="AL322" i="31"/>
  <c r="AM322" i="31"/>
  <c r="AN322" i="31"/>
  <c r="AO322" i="31"/>
  <c r="AQ322" i="31"/>
  <c r="AR322" i="31"/>
  <c r="AU322" i="31"/>
  <c r="AV322" i="31"/>
  <c r="AW322" i="31"/>
  <c r="AY322" i="31"/>
  <c r="AZ322" i="31"/>
  <c r="BA322" i="31"/>
  <c r="BB322" i="31"/>
  <c r="BC322" i="31"/>
  <c r="BD322" i="31"/>
  <c r="BE322" i="31"/>
  <c r="BG322" i="31"/>
  <c r="BH322" i="31"/>
  <c r="BK322" i="31"/>
  <c r="BL322" i="31"/>
  <c r="BM322" i="31"/>
  <c r="BO322" i="31"/>
  <c r="BP322" i="31"/>
  <c r="BQ322" i="31"/>
  <c r="BR322" i="31"/>
  <c r="BS322" i="31"/>
  <c r="BT322" i="31"/>
  <c r="BU322" i="31"/>
  <c r="BW322" i="31"/>
  <c r="BX322" i="31"/>
  <c r="CA322" i="31"/>
  <c r="CB322" i="31"/>
  <c r="CC322" i="31"/>
  <c r="CE322" i="31"/>
  <c r="CF322" i="31"/>
  <c r="CG322" i="31"/>
  <c r="CH322" i="31"/>
  <c r="CI322" i="31"/>
  <c r="CJ322" i="31"/>
  <c r="CK322" i="31"/>
  <c r="CM322" i="31"/>
  <c r="CN322" i="31"/>
  <c r="CQ322" i="31"/>
  <c r="CR322" i="31"/>
  <c r="CS322" i="31"/>
  <c r="CU322" i="31"/>
  <c r="CV322" i="31"/>
  <c r="CW322" i="31"/>
  <c r="CX322" i="31"/>
  <c r="CY322" i="31"/>
  <c r="CZ322" i="31"/>
  <c r="DA322" i="31"/>
  <c r="DC322" i="31"/>
  <c r="DD322" i="31"/>
  <c r="DG322" i="31"/>
  <c r="DH322" i="31"/>
  <c r="DI322" i="31"/>
  <c r="DK322" i="31"/>
  <c r="DL322" i="31"/>
  <c r="DM322" i="31"/>
  <c r="DN322" i="31"/>
  <c r="DO322" i="31"/>
  <c r="DP322" i="31"/>
  <c r="DQ322" i="31"/>
  <c r="DS322" i="31"/>
  <c r="DU322" i="31"/>
  <c r="DW322" i="31"/>
  <c r="DY322" i="31"/>
  <c r="EA322" i="31"/>
  <c r="EC322" i="31"/>
  <c r="EE322" i="31"/>
  <c r="EG322" i="31"/>
  <c r="EI322" i="31"/>
  <c r="EK322" i="31"/>
  <c r="EM322" i="31"/>
  <c r="EO322" i="31"/>
  <c r="EQ322" i="31"/>
  <c r="ES322" i="31"/>
  <c r="EU322" i="31"/>
  <c r="EW322" i="31"/>
  <c r="EY322" i="31"/>
  <c r="FA322" i="31"/>
  <c r="FC322" i="31"/>
  <c r="FE322" i="31"/>
  <c r="FG322" i="31"/>
  <c r="FI322" i="31"/>
  <c r="FK322" i="31"/>
  <c r="FM322" i="31"/>
  <c r="FO322" i="31"/>
  <c r="FQ322" i="31"/>
  <c r="FS322" i="31"/>
  <c r="FU322" i="31"/>
  <c r="FW322" i="31"/>
  <c r="FY322" i="31"/>
  <c r="GA322" i="31"/>
  <c r="GC322" i="31"/>
  <c r="GE322" i="31"/>
  <c r="GG322" i="31"/>
  <c r="GI322" i="31"/>
  <c r="GK322" i="31"/>
  <c r="GM322" i="31"/>
  <c r="GO322" i="31"/>
  <c r="GQ322" i="31"/>
  <c r="GS322" i="31"/>
  <c r="GU322" i="31"/>
  <c r="GW322" i="31"/>
  <c r="GY322" i="31"/>
  <c r="HA322" i="31"/>
  <c r="HC322" i="31"/>
  <c r="HE322" i="31"/>
  <c r="HG322" i="31"/>
  <c r="HI322" i="31"/>
  <c r="HK322" i="31"/>
  <c r="F6" i="36"/>
  <c r="F26" i="36" s="1"/>
  <c r="F127" i="36" s="1"/>
  <c r="F128" i="36"/>
  <c r="F129" i="36"/>
  <c r="F130" i="36"/>
  <c r="F79" i="36"/>
  <c r="F131" i="36"/>
  <c r="C27" i="37"/>
  <c r="C36" i="37" s="1"/>
  <c r="C31" i="37"/>
  <c r="F42" i="36"/>
  <c r="C23" i="37"/>
  <c r="D17" i="24"/>
  <c r="D34" i="24" s="1"/>
  <c r="D19" i="24"/>
  <c r="D6" i="25"/>
  <c r="D11" i="25"/>
  <c r="E500" i="19" s="1"/>
  <c r="C128" i="41" s="1"/>
  <c r="D6" i="26"/>
  <c r="F228" i="19"/>
  <c r="D23" i="26" s="1"/>
  <c r="AD17" i="21"/>
  <c r="AD22" i="21"/>
  <c r="BK327" i="31"/>
  <c r="BK697" i="31" s="1"/>
  <c r="V10" i="21"/>
  <c r="V22" i="21" s="1"/>
  <c r="F119" i="36"/>
  <c r="F135" i="36"/>
  <c r="F158" i="36"/>
  <c r="F159" i="36"/>
  <c r="F173" i="36"/>
  <c r="F176" i="36"/>
  <c r="W5" i="21"/>
  <c r="W17" i="21" s="1"/>
  <c r="B7" i="40"/>
  <c r="G20" i="36"/>
  <c r="G126" i="36" s="1"/>
  <c r="G6" i="36"/>
  <c r="G5" i="36" s="1"/>
  <c r="G23" i="36"/>
  <c r="G22" i="36"/>
  <c r="G21" i="36"/>
  <c r="G130" i="36" s="1"/>
  <c r="C128" i="30"/>
  <c r="D128" i="30" s="1"/>
  <c r="D24" i="25"/>
  <c r="H195" i="19"/>
  <c r="D693" i="31"/>
  <c r="D694" i="31"/>
  <c r="T17" i="21"/>
  <c r="S17" i="21"/>
  <c r="Y17" i="21"/>
  <c r="G36" i="36"/>
  <c r="G135" i="36"/>
  <c r="B392" i="19"/>
  <c r="D45" i="32"/>
  <c r="D60" i="32"/>
  <c r="E45" i="32"/>
  <c r="D46" i="32"/>
  <c r="E9" i="32"/>
  <c r="E46" i="32"/>
  <c r="D47" i="32"/>
  <c r="E10" i="32"/>
  <c r="E47" i="32"/>
  <c r="D48" i="32"/>
  <c r="E48" i="32"/>
  <c r="D49" i="32"/>
  <c r="E49" i="32"/>
  <c r="D50" i="32"/>
  <c r="E50" i="32"/>
  <c r="D51" i="32"/>
  <c r="E51" i="32"/>
  <c r="D52" i="32"/>
  <c r="E52" i="32"/>
  <c r="G52" i="32"/>
  <c r="D53" i="32"/>
  <c r="E53" i="32"/>
  <c r="D54" i="32"/>
  <c r="D55" i="32"/>
  <c r="D56" i="32"/>
  <c r="D57" i="32"/>
  <c r="D58" i="32"/>
  <c r="D59" i="32"/>
  <c r="E59" i="32"/>
  <c r="E60" i="32"/>
  <c r="D61" i="32"/>
  <c r="E61" i="32"/>
  <c r="D62" i="32"/>
  <c r="E62" i="32"/>
  <c r="G62" i="32"/>
  <c r="D63" i="32"/>
  <c r="E63" i="32"/>
  <c r="D7" i="33"/>
  <c r="D18" i="33" s="1"/>
  <c r="F18" i="33"/>
  <c r="C68" i="30"/>
  <c r="D68" i="30" s="1"/>
  <c r="C69" i="30"/>
  <c r="D69" i="30" s="1"/>
  <c r="C71" i="30"/>
  <c r="D71" i="30" s="1"/>
  <c r="C70" i="30"/>
  <c r="C132" i="30"/>
  <c r="C136" i="30"/>
  <c r="C172" i="30"/>
  <c r="D172" i="30" s="1"/>
  <c r="C173" i="30"/>
  <c r="C175" i="30"/>
  <c r="D175" i="30" s="1"/>
  <c r="C174" i="30"/>
  <c r="D174" i="30" s="1"/>
  <c r="W7" i="21"/>
  <c r="W19" i="21" s="1"/>
  <c r="AD19" i="21"/>
  <c r="B8" i="40"/>
  <c r="H20" i="36"/>
  <c r="H126" i="36" s="1"/>
  <c r="H6" i="36"/>
  <c r="H26" i="36" s="1"/>
  <c r="H23" i="36"/>
  <c r="H22" i="36"/>
  <c r="H21" i="36"/>
  <c r="H130" i="36" s="1"/>
  <c r="H135" i="36"/>
  <c r="Y19" i="21"/>
  <c r="H36" i="36"/>
  <c r="T19" i="21"/>
  <c r="S19" i="21"/>
  <c r="W10" i="21"/>
  <c r="W22" i="21"/>
  <c r="AF10" i="21"/>
  <c r="AF22" i="21" s="1"/>
  <c r="B9" i="40"/>
  <c r="I20" i="36"/>
  <c r="I126" i="36" s="1"/>
  <c r="I6" i="36"/>
  <c r="I69" i="36" s="1"/>
  <c r="I23" i="36"/>
  <c r="I22" i="36"/>
  <c r="I21" i="36"/>
  <c r="I130" i="36" s="1"/>
  <c r="T10" i="21"/>
  <c r="T22" i="21" s="1"/>
  <c r="S10" i="21"/>
  <c r="S22" i="21"/>
  <c r="Y22" i="21"/>
  <c r="I36" i="36"/>
  <c r="I135" i="36"/>
  <c r="W11" i="21"/>
  <c r="F330" i="31" s="1"/>
  <c r="F700" i="31" s="1"/>
  <c r="V11" i="21"/>
  <c r="V23" i="21"/>
  <c r="AD23" i="21"/>
  <c r="AF11" i="21"/>
  <c r="AF23" i="21"/>
  <c r="B10" i="40"/>
  <c r="J20" i="36"/>
  <c r="J126" i="36" s="1"/>
  <c r="J6" i="36"/>
  <c r="J153" i="36" s="1"/>
  <c r="J23" i="36"/>
  <c r="J22" i="36"/>
  <c r="J21" i="36"/>
  <c r="J79" i="36" s="1"/>
  <c r="J131" i="36" s="1"/>
  <c r="T23" i="21"/>
  <c r="S23" i="21"/>
  <c r="Y23" i="21"/>
  <c r="J36" i="36"/>
  <c r="J135" i="36"/>
  <c r="B11" i="40"/>
  <c r="K20" i="36"/>
  <c r="K126" i="36" s="1"/>
  <c r="K6" i="36"/>
  <c r="K26" i="36" s="1"/>
  <c r="K23" i="36"/>
  <c r="K22" i="36"/>
  <c r="K21" i="36"/>
  <c r="K130" i="36" s="1"/>
  <c r="E7" i="34"/>
  <c r="E8" i="34"/>
  <c r="K36" i="36"/>
  <c r="C7" i="34"/>
  <c r="C8" i="34"/>
  <c r="K135" i="36"/>
  <c r="L330" i="31"/>
  <c r="L700" i="31" s="1"/>
  <c r="BK330" i="31"/>
  <c r="BK700" i="31" s="1"/>
  <c r="Z330" i="31"/>
  <c r="Z700" i="31" s="1"/>
  <c r="B12" i="40"/>
  <c r="L20" i="36"/>
  <c r="L126" i="36" s="1"/>
  <c r="L6" i="36"/>
  <c r="L5" i="36" s="1"/>
  <c r="L23" i="36"/>
  <c r="L22" i="36"/>
  <c r="L21" i="36"/>
  <c r="L79" i="36" s="1"/>
  <c r="L131" i="36" s="1"/>
  <c r="L36" i="36"/>
  <c r="F353" i="31"/>
  <c r="D81" i="25" s="1"/>
  <c r="G353" i="31"/>
  <c r="D104" i="24" s="1"/>
  <c r="HQ353" i="31"/>
  <c r="C213" i="36"/>
  <c r="C120" i="36"/>
  <c r="C147" i="36" s="1"/>
  <c r="HS353" i="31"/>
  <c r="F354" i="31"/>
  <c r="F355" i="31" s="1"/>
  <c r="G354" i="31"/>
  <c r="G355" i="31" s="1"/>
  <c r="H354" i="31"/>
  <c r="I354" i="31"/>
  <c r="J354" i="31"/>
  <c r="J355" i="31" s="1"/>
  <c r="K354" i="31"/>
  <c r="K355" i="31" s="1"/>
  <c r="L354" i="31"/>
  <c r="N354" i="31"/>
  <c r="O354" i="31"/>
  <c r="O355" i="31" s="1"/>
  <c r="P354" i="31"/>
  <c r="P355" i="31" s="1"/>
  <c r="P356" i="31" s="1"/>
  <c r="Q354" i="31"/>
  <c r="R354" i="31"/>
  <c r="S354" i="31"/>
  <c r="S355" i="31" s="1"/>
  <c r="T354" i="31"/>
  <c r="T355" i="31" s="1"/>
  <c r="T356" i="31" s="1"/>
  <c r="U354" i="31"/>
  <c r="V354" i="31"/>
  <c r="W354" i="31"/>
  <c r="W355" i="31" s="1"/>
  <c r="X354" i="31"/>
  <c r="X355" i="31" s="1"/>
  <c r="Y354" i="31"/>
  <c r="Z354" i="31"/>
  <c r="AA354" i="31"/>
  <c r="AA355" i="31" s="1"/>
  <c r="AB354" i="31"/>
  <c r="AB355" i="31" s="1"/>
  <c r="AC354" i="31"/>
  <c r="AD354" i="31"/>
  <c r="AE354" i="31"/>
  <c r="AE355" i="31" s="1"/>
  <c r="AF354" i="31"/>
  <c r="AF355" i="31" s="1"/>
  <c r="AG354" i="31"/>
  <c r="AH354" i="31"/>
  <c r="AI354" i="31"/>
  <c r="AI355" i="31" s="1"/>
  <c r="AJ354" i="31"/>
  <c r="AJ355" i="31" s="1"/>
  <c r="AK354" i="31"/>
  <c r="AL354" i="31"/>
  <c r="AM354" i="31"/>
  <c r="AM355" i="31" s="1"/>
  <c r="AN354" i="31"/>
  <c r="AN355" i="31" s="1"/>
  <c r="AN356" i="31" s="1"/>
  <c r="AO354" i="31"/>
  <c r="AP354" i="31"/>
  <c r="AQ354" i="31"/>
  <c r="AQ355" i="31" s="1"/>
  <c r="AR354" i="31"/>
  <c r="AR355" i="31" s="1"/>
  <c r="AR356" i="31" s="1"/>
  <c r="AS354" i="31"/>
  <c r="AT354" i="31"/>
  <c r="AU354" i="31"/>
  <c r="AU355" i="31" s="1"/>
  <c r="AV354" i="31"/>
  <c r="AV355" i="31" s="1"/>
  <c r="AV356" i="31" s="1"/>
  <c r="AW354" i="31"/>
  <c r="AX354" i="31"/>
  <c r="AY354" i="31"/>
  <c r="AY355" i="31" s="1"/>
  <c r="AZ354" i="31"/>
  <c r="AZ355" i="31" s="1"/>
  <c r="AZ356" i="31" s="1"/>
  <c r="BA354" i="31"/>
  <c r="BB354" i="31"/>
  <c r="BC354" i="31"/>
  <c r="BC355" i="31" s="1"/>
  <c r="BD354" i="31"/>
  <c r="BD355" i="31" s="1"/>
  <c r="BE354" i="31"/>
  <c r="BF354" i="31"/>
  <c r="BG354" i="31"/>
  <c r="BG355" i="31" s="1"/>
  <c r="BH354" i="31"/>
  <c r="BH355" i="31" s="1"/>
  <c r="BI354" i="31"/>
  <c r="BJ354" i="31"/>
  <c r="BK354" i="31"/>
  <c r="BK355" i="31" s="1"/>
  <c r="BK356" i="31" s="1"/>
  <c r="BL354" i="31"/>
  <c r="BL355" i="31" s="1"/>
  <c r="BL356" i="31" s="1"/>
  <c r="BM354" i="31"/>
  <c r="BN354" i="31"/>
  <c r="BO354" i="31"/>
  <c r="BP354" i="31"/>
  <c r="BP355" i="31" s="1"/>
  <c r="BQ354" i="31"/>
  <c r="BR354" i="31"/>
  <c r="BS354" i="31"/>
  <c r="BT354" i="31"/>
  <c r="BT355" i="31" s="1"/>
  <c r="BU354" i="31"/>
  <c r="BV354" i="31"/>
  <c r="BW354" i="31"/>
  <c r="BX354" i="31"/>
  <c r="BX355" i="31" s="1"/>
  <c r="BY354" i="31"/>
  <c r="BZ354" i="31"/>
  <c r="CA354" i="31"/>
  <c r="CA355" i="31" s="1"/>
  <c r="CA356" i="31" s="1"/>
  <c r="CB354" i="31"/>
  <c r="CB355" i="31" s="1"/>
  <c r="CB356" i="31" s="1"/>
  <c r="CC354" i="31"/>
  <c r="CD354" i="31"/>
  <c r="CE354" i="31"/>
  <c r="CE355" i="31" s="1"/>
  <c r="CE356" i="31" s="1"/>
  <c r="CF354" i="31"/>
  <c r="CF355" i="31" s="1"/>
  <c r="CG354" i="31"/>
  <c r="CH354" i="31"/>
  <c r="CI354" i="31"/>
  <c r="CI355" i="31" s="1"/>
  <c r="CI356" i="31" s="1"/>
  <c r="CJ354" i="31"/>
  <c r="CJ355" i="31" s="1"/>
  <c r="CJ356" i="31" s="1"/>
  <c r="CK354" i="31"/>
  <c r="CL354" i="31"/>
  <c r="CM354" i="31"/>
  <c r="CM355" i="31" s="1"/>
  <c r="CM356" i="31" s="1"/>
  <c r="CN354" i="31"/>
  <c r="CN355" i="31" s="1"/>
  <c r="CO354" i="31"/>
  <c r="CP354" i="31"/>
  <c r="CQ354" i="31"/>
  <c r="CQ355" i="31" s="1"/>
  <c r="CQ356" i="31" s="1"/>
  <c r="CR354" i="31"/>
  <c r="CR355" i="31" s="1"/>
  <c r="CR356" i="31" s="1"/>
  <c r="CS354" i="31"/>
  <c r="CT354" i="31"/>
  <c r="CU354" i="31"/>
  <c r="CU355" i="31" s="1"/>
  <c r="CU356" i="31" s="1"/>
  <c r="CV354" i="31"/>
  <c r="CV355" i="31" s="1"/>
  <c r="CW354" i="31"/>
  <c r="CX354" i="31"/>
  <c r="CY354" i="31"/>
  <c r="CY355" i="31" s="1"/>
  <c r="CY356" i="31" s="1"/>
  <c r="CZ354" i="31"/>
  <c r="CZ355" i="31" s="1"/>
  <c r="CZ356" i="31" s="1"/>
  <c r="DA354" i="31"/>
  <c r="DB354" i="31"/>
  <c r="DC354" i="31"/>
  <c r="DC355" i="31" s="1"/>
  <c r="DC356" i="31" s="1"/>
  <c r="DD354" i="31"/>
  <c r="DD355" i="31" s="1"/>
  <c r="DE354" i="31"/>
  <c r="DF354" i="31"/>
  <c r="DG354" i="31"/>
  <c r="DG355" i="31" s="1"/>
  <c r="DG356" i="31" s="1"/>
  <c r="DH354" i="31"/>
  <c r="DH355" i="31" s="1"/>
  <c r="DH356" i="31" s="1"/>
  <c r="DI354" i="31"/>
  <c r="DJ354" i="31"/>
  <c r="DK354" i="31"/>
  <c r="DK355" i="31" s="1"/>
  <c r="DK356" i="31" s="1"/>
  <c r="DL354" i="31"/>
  <c r="DL355" i="31" s="1"/>
  <c r="DM354" i="31"/>
  <c r="DN354" i="31"/>
  <c r="DO354" i="31"/>
  <c r="DO355" i="31" s="1"/>
  <c r="DO356" i="31" s="1"/>
  <c r="DP354" i="31"/>
  <c r="DP355" i="31" s="1"/>
  <c r="DP356" i="31" s="1"/>
  <c r="DQ354" i="31"/>
  <c r="DR354" i="31"/>
  <c r="DS354" i="31"/>
  <c r="DS355" i="31" s="1"/>
  <c r="DS356" i="31" s="1"/>
  <c r="DT354" i="31"/>
  <c r="DT355" i="31" s="1"/>
  <c r="DU354" i="31"/>
  <c r="DV354" i="31"/>
  <c r="DW354" i="31"/>
  <c r="DW355" i="31" s="1"/>
  <c r="DW356" i="31" s="1"/>
  <c r="DX354" i="31"/>
  <c r="DX355" i="31" s="1"/>
  <c r="DX356" i="31" s="1"/>
  <c r="DY354" i="31"/>
  <c r="DZ354" i="31"/>
  <c r="EA354" i="31"/>
  <c r="EA355" i="31" s="1"/>
  <c r="EA356" i="31" s="1"/>
  <c r="EB354" i="31"/>
  <c r="EB355" i="31" s="1"/>
  <c r="EC354" i="31"/>
  <c r="ED354" i="31"/>
  <c r="EE354" i="31"/>
  <c r="EE355" i="31" s="1"/>
  <c r="EE356" i="31" s="1"/>
  <c r="EF354" i="31"/>
  <c r="EF355" i="31" s="1"/>
  <c r="EF356" i="31" s="1"/>
  <c r="EG354" i="31"/>
  <c r="EH354" i="31"/>
  <c r="EI354" i="31"/>
  <c r="EI355" i="31" s="1"/>
  <c r="EI356" i="31" s="1"/>
  <c r="EJ354" i="31"/>
  <c r="EJ355" i="31" s="1"/>
  <c r="EK354" i="31"/>
  <c r="EL354" i="31"/>
  <c r="EM354" i="31"/>
  <c r="EM355" i="31" s="1"/>
  <c r="EM356" i="31" s="1"/>
  <c r="EN354" i="31"/>
  <c r="EN355" i="31" s="1"/>
  <c r="EN356" i="31" s="1"/>
  <c r="EO354" i="31"/>
  <c r="EP354" i="31"/>
  <c r="EQ354" i="31"/>
  <c r="EQ355" i="31" s="1"/>
  <c r="EQ356" i="31" s="1"/>
  <c r="ER354" i="31"/>
  <c r="ER355" i="31" s="1"/>
  <c r="ES354" i="31"/>
  <c r="ET354" i="31"/>
  <c r="EU354" i="31"/>
  <c r="EU355" i="31" s="1"/>
  <c r="EU356" i="31" s="1"/>
  <c r="EV354" i="31"/>
  <c r="EV355" i="31" s="1"/>
  <c r="EV356" i="31" s="1"/>
  <c r="EW354" i="31"/>
  <c r="EX354" i="31"/>
  <c r="EY354" i="31"/>
  <c r="EY355" i="31" s="1"/>
  <c r="EY356" i="31" s="1"/>
  <c r="EZ354" i="31"/>
  <c r="EZ355" i="31" s="1"/>
  <c r="FA354" i="31"/>
  <c r="FB354" i="31"/>
  <c r="FC354" i="31"/>
  <c r="FC355" i="31" s="1"/>
  <c r="FC356" i="31" s="1"/>
  <c r="FD354" i="31"/>
  <c r="FD355" i="31" s="1"/>
  <c r="FD356" i="31" s="1"/>
  <c r="FE354" i="31"/>
  <c r="FF354" i="31"/>
  <c r="FG354" i="31"/>
  <c r="FG355" i="31" s="1"/>
  <c r="FG356" i="31" s="1"/>
  <c r="FH354" i="31"/>
  <c r="FH355" i="31" s="1"/>
  <c r="FI354" i="31"/>
  <c r="FJ354" i="31"/>
  <c r="FK354" i="31"/>
  <c r="FK355" i="31" s="1"/>
  <c r="FK356" i="31" s="1"/>
  <c r="FL354" i="31"/>
  <c r="FL355" i="31" s="1"/>
  <c r="FL356" i="31" s="1"/>
  <c r="FM354" i="31"/>
  <c r="FN354" i="31"/>
  <c r="FO354" i="31"/>
  <c r="FO355" i="31" s="1"/>
  <c r="FO356" i="31" s="1"/>
  <c r="FP354" i="31"/>
  <c r="FP355" i="31" s="1"/>
  <c r="FQ354" i="31"/>
  <c r="FR354" i="31"/>
  <c r="FS354" i="31"/>
  <c r="FS355" i="31" s="1"/>
  <c r="FS356" i="31" s="1"/>
  <c r="FT354" i="31"/>
  <c r="FT355" i="31" s="1"/>
  <c r="FT356" i="31" s="1"/>
  <c r="FU354" i="31"/>
  <c r="FV354" i="31"/>
  <c r="FW354" i="31"/>
  <c r="FW355" i="31" s="1"/>
  <c r="FW356" i="31" s="1"/>
  <c r="FX354" i="31"/>
  <c r="FX355" i="31" s="1"/>
  <c r="FY354" i="31"/>
  <c r="FZ354" i="31"/>
  <c r="GA354" i="31"/>
  <c r="GA355" i="31" s="1"/>
  <c r="GA356" i="31" s="1"/>
  <c r="GB354" i="31"/>
  <c r="GB355" i="31" s="1"/>
  <c r="GB356" i="31" s="1"/>
  <c r="GC354" i="31"/>
  <c r="GD354" i="31"/>
  <c r="GE354" i="31"/>
  <c r="GE355" i="31" s="1"/>
  <c r="GE356" i="31" s="1"/>
  <c r="GF354" i="31"/>
  <c r="GF355" i="31" s="1"/>
  <c r="GG354" i="31"/>
  <c r="GH354" i="31"/>
  <c r="GI354" i="31"/>
  <c r="GI355" i="31" s="1"/>
  <c r="GI356" i="31" s="1"/>
  <c r="GJ354" i="31"/>
  <c r="GJ355" i="31" s="1"/>
  <c r="GJ356" i="31" s="1"/>
  <c r="GK354" i="31"/>
  <c r="GL354" i="31"/>
  <c r="GM354" i="31"/>
  <c r="GM355" i="31" s="1"/>
  <c r="GM356" i="31" s="1"/>
  <c r="GN354" i="31"/>
  <c r="GN355" i="31" s="1"/>
  <c r="GO354" i="31"/>
  <c r="GP354" i="31"/>
  <c r="GQ354" i="31"/>
  <c r="GQ355" i="31" s="1"/>
  <c r="GQ356" i="31" s="1"/>
  <c r="GR354" i="31"/>
  <c r="GR355" i="31" s="1"/>
  <c r="GR356" i="31" s="1"/>
  <c r="GS354" i="31"/>
  <c r="GT354" i="31"/>
  <c r="GU354" i="31"/>
  <c r="GU355" i="31" s="1"/>
  <c r="GU356" i="31" s="1"/>
  <c r="GV354" i="31"/>
  <c r="GV355" i="31" s="1"/>
  <c r="GW354" i="31"/>
  <c r="GX354" i="31"/>
  <c r="GY354" i="31"/>
  <c r="GY355" i="31" s="1"/>
  <c r="GY356" i="31" s="1"/>
  <c r="GZ354" i="31"/>
  <c r="GZ355" i="31" s="1"/>
  <c r="GZ356" i="31" s="1"/>
  <c r="HA354" i="31"/>
  <c r="HB354" i="31"/>
  <c r="HC354" i="31"/>
  <c r="HC355" i="31" s="1"/>
  <c r="HC356" i="31" s="1"/>
  <c r="HD354" i="31"/>
  <c r="HD355" i="31" s="1"/>
  <c r="HE354" i="31"/>
  <c r="HF354" i="31"/>
  <c r="HG354" i="31"/>
  <c r="HG355" i="31" s="1"/>
  <c r="HG356" i="31" s="1"/>
  <c r="HH354" i="31"/>
  <c r="HH355" i="31" s="1"/>
  <c r="HH356" i="31" s="1"/>
  <c r="HI354" i="31"/>
  <c r="HJ354" i="31"/>
  <c r="HK354" i="31"/>
  <c r="HK355" i="31" s="1"/>
  <c r="HK356" i="31" s="1"/>
  <c r="HL354" i="31"/>
  <c r="HL355" i="31" s="1"/>
  <c r="HQ354" i="31"/>
  <c r="D120" i="36"/>
  <c r="HS354" i="31"/>
  <c r="H355" i="31"/>
  <c r="I355" i="31"/>
  <c r="L355" i="31"/>
  <c r="L356" i="31" s="1"/>
  <c r="N355" i="31"/>
  <c r="N356" i="31" s="1"/>
  <c r="Q355" i="31"/>
  <c r="R355" i="31"/>
  <c r="U355" i="31"/>
  <c r="V355" i="31"/>
  <c r="V356" i="31" s="1"/>
  <c r="Y355" i="31"/>
  <c r="Z355" i="31"/>
  <c r="AC355" i="31"/>
  <c r="AD355" i="31"/>
  <c r="AD356" i="31" s="1"/>
  <c r="AG355" i="31"/>
  <c r="AH355" i="31"/>
  <c r="AK355" i="31"/>
  <c r="AL355" i="31"/>
  <c r="AL356" i="31" s="1"/>
  <c r="AO355" i="31"/>
  <c r="AP355" i="31"/>
  <c r="AS355" i="31"/>
  <c r="AT355" i="31"/>
  <c r="AT356" i="31" s="1"/>
  <c r="AW355" i="31"/>
  <c r="AX355" i="31"/>
  <c r="BA355" i="31"/>
  <c r="BB355" i="31"/>
  <c r="BB356" i="31" s="1"/>
  <c r="BE355" i="31"/>
  <c r="BF355" i="31"/>
  <c r="BI355" i="31"/>
  <c r="BJ355" i="31"/>
  <c r="BJ356" i="31" s="1"/>
  <c r="BM355" i="31"/>
  <c r="BM356" i="31" s="1"/>
  <c r="BN355" i="31"/>
  <c r="BO355" i="31"/>
  <c r="BO356" i="31" s="1"/>
  <c r="BQ355" i="31"/>
  <c r="BR355" i="31"/>
  <c r="BS355" i="31"/>
  <c r="BU355" i="31"/>
  <c r="BU356" i="31" s="1"/>
  <c r="BV355" i="31"/>
  <c r="BW355" i="31"/>
  <c r="BY355" i="31"/>
  <c r="BZ355" i="31"/>
  <c r="BZ356" i="31" s="1"/>
  <c r="CC355" i="31"/>
  <c r="CD355" i="31"/>
  <c r="CD356" i="31" s="1"/>
  <c r="CG355" i="31"/>
  <c r="CH355" i="31"/>
  <c r="CH356" i="31" s="1"/>
  <c r="CK355" i="31"/>
  <c r="CL355" i="31"/>
  <c r="CL356" i="31" s="1"/>
  <c r="CO355" i="31"/>
  <c r="CP355" i="31"/>
  <c r="CP356" i="31" s="1"/>
  <c r="CS355" i="31"/>
  <c r="CT355" i="31"/>
  <c r="CT356" i="31" s="1"/>
  <c r="CW355" i="31"/>
  <c r="CX355" i="31"/>
  <c r="CX356" i="31" s="1"/>
  <c r="DA355" i="31"/>
  <c r="DB355" i="31"/>
  <c r="DB356" i="31" s="1"/>
  <c r="DE355" i="31"/>
  <c r="DF355" i="31"/>
  <c r="DF356" i="31" s="1"/>
  <c r="DI355" i="31"/>
  <c r="DJ355" i="31"/>
  <c r="DJ356" i="31" s="1"/>
  <c r="DM355" i="31"/>
  <c r="DN355" i="31"/>
  <c r="DN356" i="31" s="1"/>
  <c r="DQ355" i="31"/>
  <c r="DR355" i="31"/>
  <c r="DR356" i="31" s="1"/>
  <c r="DU355" i="31"/>
  <c r="DV355" i="31"/>
  <c r="DV356" i="31" s="1"/>
  <c r="DY355" i="31"/>
  <c r="DZ355" i="31"/>
  <c r="DZ356" i="31" s="1"/>
  <c r="EC355" i="31"/>
  <c r="ED355" i="31"/>
  <c r="ED356" i="31" s="1"/>
  <c r="EG355" i="31"/>
  <c r="EH355" i="31"/>
  <c r="EH356" i="31" s="1"/>
  <c r="EK355" i="31"/>
  <c r="EL355" i="31"/>
  <c r="EL356" i="31" s="1"/>
  <c r="EO355" i="31"/>
  <c r="EP355" i="31"/>
  <c r="EP356" i="31" s="1"/>
  <c r="ES355" i="31"/>
  <c r="ET355" i="31"/>
  <c r="ET356" i="31" s="1"/>
  <c r="EW355" i="31"/>
  <c r="EX355" i="31"/>
  <c r="EX356" i="31" s="1"/>
  <c r="FA355" i="31"/>
  <c r="FB355" i="31"/>
  <c r="FB356" i="31" s="1"/>
  <c r="FE355" i="31"/>
  <c r="FF355" i="31"/>
  <c r="FF356" i="31" s="1"/>
  <c r="FI355" i="31"/>
  <c r="FJ355" i="31"/>
  <c r="FJ356" i="31" s="1"/>
  <c r="FM355" i="31"/>
  <c r="FN355" i="31"/>
  <c r="FN356" i="31" s="1"/>
  <c r="FQ355" i="31"/>
  <c r="FR355" i="31"/>
  <c r="FR356" i="31" s="1"/>
  <c r="FU355" i="31"/>
  <c r="FV355" i="31"/>
  <c r="FV356" i="31" s="1"/>
  <c r="FY355" i="31"/>
  <c r="FZ355" i="31"/>
  <c r="FZ356" i="31" s="1"/>
  <c r="GC355" i="31"/>
  <c r="GD355" i="31"/>
  <c r="GD356" i="31" s="1"/>
  <c r="GG355" i="31"/>
  <c r="GH355" i="31"/>
  <c r="GH356" i="31" s="1"/>
  <c r="GK355" i="31"/>
  <c r="GL355" i="31"/>
  <c r="GL356" i="31" s="1"/>
  <c r="GO355" i="31"/>
  <c r="GP355" i="31"/>
  <c r="GP356" i="31" s="1"/>
  <c r="GS355" i="31"/>
  <c r="GT355" i="31"/>
  <c r="GT356" i="31" s="1"/>
  <c r="GW355" i="31"/>
  <c r="GX355" i="31"/>
  <c r="GX356" i="31" s="1"/>
  <c r="HA355" i="31"/>
  <c r="HB355" i="31"/>
  <c r="HB356" i="31" s="1"/>
  <c r="HE355" i="31"/>
  <c r="HF355" i="31"/>
  <c r="HF356" i="31" s="1"/>
  <c r="HI355" i="31"/>
  <c r="HJ355" i="31"/>
  <c r="HJ356" i="31" s="1"/>
  <c r="HQ355" i="31"/>
  <c r="E213" i="36"/>
  <c r="E120" i="36"/>
  <c r="HS355" i="31"/>
  <c r="F356" i="31"/>
  <c r="G356" i="31"/>
  <c r="H356" i="31"/>
  <c r="I356" i="31"/>
  <c r="J356" i="31"/>
  <c r="K356" i="31"/>
  <c r="O356" i="31"/>
  <c r="Q356" i="31"/>
  <c r="R356" i="31"/>
  <c r="S356" i="31"/>
  <c r="U356" i="31"/>
  <c r="W356" i="31"/>
  <c r="X356" i="31"/>
  <c r="Y356" i="31"/>
  <c r="Z356" i="31"/>
  <c r="AA356" i="31"/>
  <c r="AB356" i="31"/>
  <c r="AC356" i="31"/>
  <c r="AE356" i="31"/>
  <c r="AF356" i="31"/>
  <c r="AG356" i="31"/>
  <c r="AH356" i="31"/>
  <c r="AI356" i="31"/>
  <c r="AJ356" i="31"/>
  <c r="AK356" i="31"/>
  <c r="AM356" i="31"/>
  <c r="AO356" i="31"/>
  <c r="AP356" i="31"/>
  <c r="AQ356" i="31"/>
  <c r="AS356" i="31"/>
  <c r="AU356" i="31"/>
  <c r="AW356" i="31"/>
  <c r="AX356" i="31"/>
  <c r="AY356" i="31"/>
  <c r="BA356" i="31"/>
  <c r="BC356" i="31"/>
  <c r="BD356" i="31"/>
  <c r="BE356" i="31"/>
  <c r="BF356" i="31"/>
  <c r="BG356" i="31"/>
  <c r="BH356" i="31"/>
  <c r="BI356" i="31"/>
  <c r="BN356" i="31"/>
  <c r="BP356" i="31"/>
  <c r="BQ356" i="31"/>
  <c r="BR356" i="31"/>
  <c r="BS356" i="31"/>
  <c r="BT356" i="31"/>
  <c r="BV356" i="31"/>
  <c r="BW356" i="31"/>
  <c r="BX356" i="31"/>
  <c r="BY356" i="31"/>
  <c r="CC356" i="31"/>
  <c r="CF356" i="31"/>
  <c r="CG356" i="31"/>
  <c r="CK356" i="31"/>
  <c r="CN356" i="31"/>
  <c r="CO356" i="31"/>
  <c r="CS356" i="31"/>
  <c r="CV356" i="31"/>
  <c r="CW356" i="31"/>
  <c r="DA356" i="31"/>
  <c r="DD356" i="31"/>
  <c r="DE356" i="31"/>
  <c r="DI356" i="31"/>
  <c r="DL356" i="31"/>
  <c r="DM356" i="31"/>
  <c r="DQ356" i="31"/>
  <c r="DT356" i="31"/>
  <c r="DU356" i="31"/>
  <c r="DY356" i="31"/>
  <c r="EB356" i="31"/>
  <c r="EC356" i="31"/>
  <c r="EG356" i="31"/>
  <c r="EJ356" i="31"/>
  <c r="EK356" i="31"/>
  <c r="EO356" i="31"/>
  <c r="ER356" i="31"/>
  <c r="ES356" i="31"/>
  <c r="EW356" i="31"/>
  <c r="EZ356" i="31"/>
  <c r="FA356" i="31"/>
  <c r="FE356" i="31"/>
  <c r="FH356" i="31"/>
  <c r="FI356" i="31"/>
  <c r="FM356" i="31"/>
  <c r="FP356" i="31"/>
  <c r="FQ356" i="31"/>
  <c r="FU356" i="31"/>
  <c r="FX356" i="31"/>
  <c r="FY356" i="31"/>
  <c r="GC356" i="31"/>
  <c r="GF356" i="31"/>
  <c r="GG356" i="31"/>
  <c r="GK356" i="31"/>
  <c r="GN356" i="31"/>
  <c r="GO356" i="31"/>
  <c r="GS356" i="31"/>
  <c r="GV356" i="31"/>
  <c r="GW356" i="31"/>
  <c r="HA356" i="31"/>
  <c r="HD356" i="31"/>
  <c r="HE356" i="31"/>
  <c r="HI356" i="31"/>
  <c r="HL356" i="31"/>
  <c r="HQ356" i="31"/>
  <c r="F213" i="36"/>
  <c r="F120" i="36"/>
  <c r="HS356" i="31"/>
  <c r="HR374" i="31"/>
  <c r="HS374" i="31"/>
  <c r="HT374" i="31"/>
  <c r="HU374" i="31"/>
  <c r="HN375" i="31"/>
  <c r="HQ375" i="31"/>
  <c r="HR375" i="31"/>
  <c r="HS375" i="31"/>
  <c r="HT375" i="31"/>
  <c r="HU375" i="31"/>
  <c r="HP376" i="31"/>
  <c r="HQ376" i="31"/>
  <c r="HR376" i="31"/>
  <c r="HS376" i="31"/>
  <c r="HT376" i="31"/>
  <c r="HU376" i="31"/>
  <c r="HP377" i="31"/>
  <c r="HQ377" i="31"/>
  <c r="HR377" i="31"/>
  <c r="HS377" i="31"/>
  <c r="HT377" i="31"/>
  <c r="HU377" i="31"/>
  <c r="HN378" i="31"/>
  <c r="HP378" i="31"/>
  <c r="HQ378" i="31"/>
  <c r="HR378" i="31"/>
  <c r="HS378" i="31"/>
  <c r="HT378" i="31"/>
  <c r="HU378" i="31"/>
  <c r="HQ379" i="31"/>
  <c r="HR379" i="31"/>
  <c r="HS379" i="31"/>
  <c r="HT379" i="31"/>
  <c r="HU379" i="31"/>
  <c r="HN380" i="31"/>
  <c r="HP380" i="31"/>
  <c r="HQ380" i="31"/>
  <c r="HR380" i="31"/>
  <c r="HS380" i="31"/>
  <c r="HT380" i="31"/>
  <c r="HU380" i="31"/>
  <c r="HO381" i="31"/>
  <c r="HQ381" i="31"/>
  <c r="HR381" i="31"/>
  <c r="HS381" i="31"/>
  <c r="HT381" i="31"/>
  <c r="HU381" i="31"/>
  <c r="HN382" i="31"/>
  <c r="HP382" i="31"/>
  <c r="HQ382" i="31"/>
  <c r="HR382" i="31"/>
  <c r="HS382" i="31"/>
  <c r="HT382" i="31"/>
  <c r="HU382" i="31"/>
  <c r="HN383" i="31"/>
  <c r="HP383" i="31"/>
  <c r="HQ383" i="31"/>
  <c r="HR383" i="31"/>
  <c r="HS383" i="31"/>
  <c r="HT383" i="31"/>
  <c r="HU383" i="31"/>
  <c r="HN384" i="31"/>
  <c r="HP384" i="31"/>
  <c r="HQ384" i="31"/>
  <c r="HR384" i="31"/>
  <c r="HS384" i="31"/>
  <c r="HT384" i="31"/>
  <c r="HU384" i="31"/>
  <c r="HN385" i="31"/>
  <c r="HO385" i="31"/>
  <c r="HP385" i="31"/>
  <c r="HQ385" i="31"/>
  <c r="HR385" i="31"/>
  <c r="HS385" i="31"/>
  <c r="HT385" i="31"/>
  <c r="HU385" i="31"/>
  <c r="HN386" i="31"/>
  <c r="HP386" i="31"/>
  <c r="HQ386" i="31"/>
  <c r="HR386" i="31"/>
  <c r="HS386" i="31"/>
  <c r="HT386" i="31"/>
  <c r="HU386" i="31"/>
  <c r="HN387" i="31"/>
  <c r="HP387" i="31"/>
  <c r="HQ387" i="31"/>
  <c r="HR387" i="31"/>
  <c r="HS387" i="31"/>
  <c r="HT387" i="31"/>
  <c r="HU387" i="31"/>
  <c r="HN388" i="31"/>
  <c r="HP388" i="31"/>
  <c r="HQ388" i="31"/>
  <c r="HR388" i="31"/>
  <c r="HS388" i="31"/>
  <c r="HT388" i="31"/>
  <c r="HU388" i="31"/>
  <c r="HN389" i="31"/>
  <c r="HO389" i="31"/>
  <c r="HP389" i="31"/>
  <c r="HQ389" i="31"/>
  <c r="HR389" i="31"/>
  <c r="HS389" i="31"/>
  <c r="HT389" i="31"/>
  <c r="HU389" i="31"/>
  <c r="HN390" i="31"/>
  <c r="HP390" i="31"/>
  <c r="HQ390" i="31"/>
  <c r="HR390" i="31"/>
  <c r="HS390" i="31"/>
  <c r="HT390" i="31"/>
  <c r="HU390" i="31"/>
  <c r="HN391" i="31"/>
  <c r="HP391" i="31"/>
  <c r="HQ391" i="31"/>
  <c r="HR391" i="31"/>
  <c r="HS391" i="31"/>
  <c r="HT391" i="31"/>
  <c r="HU391" i="31"/>
  <c r="HN392" i="31"/>
  <c r="HP392" i="31"/>
  <c r="HQ392" i="31"/>
  <c r="HR392" i="31"/>
  <c r="HS392" i="31"/>
  <c r="HT392" i="31"/>
  <c r="HU392" i="31"/>
  <c r="HN393" i="31"/>
  <c r="HO393" i="31"/>
  <c r="HP393" i="31"/>
  <c r="HQ393" i="31"/>
  <c r="HR393" i="31"/>
  <c r="HS393" i="31"/>
  <c r="HT393" i="31"/>
  <c r="HU393" i="31"/>
  <c r="HN394" i="31"/>
  <c r="HP394" i="31"/>
  <c r="HQ394" i="31"/>
  <c r="HR394" i="31"/>
  <c r="HS394" i="31"/>
  <c r="HT394" i="31"/>
  <c r="HU394" i="31"/>
  <c r="HN395" i="31"/>
  <c r="HP395" i="31"/>
  <c r="HQ395" i="31"/>
  <c r="HR395" i="31"/>
  <c r="HS395" i="31"/>
  <c r="HT395" i="31"/>
  <c r="HU395" i="31"/>
  <c r="HN396" i="31"/>
  <c r="HP396" i="31"/>
  <c r="HQ396" i="31"/>
  <c r="HR396" i="31"/>
  <c r="HS396" i="31"/>
  <c r="HT396" i="31"/>
  <c r="HU396" i="31"/>
  <c r="HN397" i="31"/>
  <c r="HO397" i="31"/>
  <c r="HP397" i="31"/>
  <c r="HQ397" i="31"/>
  <c r="HR397" i="31"/>
  <c r="HS397" i="31"/>
  <c r="HT397" i="31"/>
  <c r="HU397" i="31"/>
  <c r="HN398" i="31"/>
  <c r="HP398" i="31"/>
  <c r="HQ398" i="31"/>
  <c r="HR398" i="31"/>
  <c r="HS398" i="31"/>
  <c r="HT398" i="31"/>
  <c r="HU398" i="31"/>
  <c r="HN399" i="31"/>
  <c r="HP399" i="31"/>
  <c r="HQ399" i="31"/>
  <c r="HR399" i="31"/>
  <c r="HS399" i="31"/>
  <c r="HT399" i="31"/>
  <c r="HU399" i="31"/>
  <c r="HN400" i="31"/>
  <c r="HP400" i="31"/>
  <c r="HQ400" i="31"/>
  <c r="HR400" i="31"/>
  <c r="HS400" i="31"/>
  <c r="HT400" i="31"/>
  <c r="HU400" i="31"/>
  <c r="HN401" i="31"/>
  <c r="HO401" i="31"/>
  <c r="HP401" i="31"/>
  <c r="HQ401" i="31"/>
  <c r="HR401" i="31"/>
  <c r="HS401" i="31"/>
  <c r="HT401" i="31"/>
  <c r="HU401" i="31"/>
  <c r="HN402" i="31"/>
  <c r="HP402" i="31"/>
  <c r="HQ402" i="31"/>
  <c r="HR402" i="31"/>
  <c r="HS402" i="31"/>
  <c r="HT402" i="31"/>
  <c r="HU402" i="31"/>
  <c r="HN403" i="31"/>
  <c r="HP403" i="31"/>
  <c r="HQ403" i="31"/>
  <c r="HR403" i="31"/>
  <c r="HS403" i="31"/>
  <c r="HT403" i="31"/>
  <c r="HU403" i="31"/>
  <c r="HN404" i="31"/>
  <c r="HP404" i="31"/>
  <c r="HQ404" i="31"/>
  <c r="HR404" i="31"/>
  <c r="HS404" i="31"/>
  <c r="HT404" i="31"/>
  <c r="HU404" i="31"/>
  <c r="HN405" i="31"/>
  <c r="HO405" i="31"/>
  <c r="HP405" i="31"/>
  <c r="HQ405" i="31"/>
  <c r="HR405" i="31"/>
  <c r="HS405" i="31"/>
  <c r="HT405" i="31"/>
  <c r="HU405" i="31"/>
  <c r="HN406" i="31"/>
  <c r="HP406" i="31"/>
  <c r="HQ406" i="31"/>
  <c r="HR406" i="31"/>
  <c r="HS406" i="31"/>
  <c r="HT406" i="31"/>
  <c r="HU406" i="31"/>
  <c r="HN407" i="31"/>
  <c r="HP407" i="31"/>
  <c r="HQ407" i="31"/>
  <c r="HR407" i="31"/>
  <c r="HS407" i="31"/>
  <c r="HT407" i="31"/>
  <c r="HU407" i="31"/>
  <c r="HN408" i="31"/>
  <c r="HP408" i="31"/>
  <c r="HQ408" i="31"/>
  <c r="HR408" i="31"/>
  <c r="HS408" i="31"/>
  <c r="HT408" i="31"/>
  <c r="HU408" i="31"/>
  <c r="HN409" i="31"/>
  <c r="HO409" i="31"/>
  <c r="HP409" i="31"/>
  <c r="HQ409" i="31"/>
  <c r="HR409" i="31"/>
  <c r="HS409" i="31"/>
  <c r="HT409" i="31"/>
  <c r="HU409" i="31"/>
  <c r="HN410" i="31"/>
  <c r="HP410" i="31"/>
  <c r="HQ410" i="31"/>
  <c r="HR410" i="31"/>
  <c r="HS410" i="31"/>
  <c r="HT410" i="31"/>
  <c r="HU410" i="31"/>
  <c r="HN411" i="31"/>
  <c r="HP411" i="31"/>
  <c r="HQ411" i="31"/>
  <c r="HR411" i="31"/>
  <c r="HS411" i="31"/>
  <c r="HT411" i="31"/>
  <c r="HU411" i="31"/>
  <c r="HN412" i="31"/>
  <c r="HP412" i="31"/>
  <c r="HQ412" i="31"/>
  <c r="HR412" i="31"/>
  <c r="HS412" i="31"/>
  <c r="HT412" i="31"/>
  <c r="HU412" i="31"/>
  <c r="HN413" i="31"/>
  <c r="HO413" i="31"/>
  <c r="HP413" i="31"/>
  <c r="HQ413" i="31"/>
  <c r="HR413" i="31"/>
  <c r="HS413" i="31"/>
  <c r="HT413" i="31"/>
  <c r="HU413" i="31"/>
  <c r="HN414" i="31"/>
  <c r="HP414" i="31"/>
  <c r="HQ414" i="31"/>
  <c r="HR414" i="31"/>
  <c r="HS414" i="31"/>
  <c r="HT414" i="31"/>
  <c r="HU414" i="31"/>
  <c r="HN415" i="31"/>
  <c r="HP415" i="31"/>
  <c r="HQ415" i="31"/>
  <c r="HR415" i="31"/>
  <c r="HS415" i="31"/>
  <c r="HT415" i="31"/>
  <c r="HU415" i="31"/>
  <c r="HN416" i="31"/>
  <c r="HP416" i="31"/>
  <c r="HQ416" i="31"/>
  <c r="HR416" i="31"/>
  <c r="HS416" i="31"/>
  <c r="HT416" i="31"/>
  <c r="HU416" i="31"/>
  <c r="HN417" i="31"/>
  <c r="HO417" i="31"/>
  <c r="HP417" i="31"/>
  <c r="HQ417" i="31"/>
  <c r="HR417" i="31"/>
  <c r="HS417" i="31"/>
  <c r="HT417" i="31"/>
  <c r="HU417" i="31"/>
  <c r="HN418" i="31"/>
  <c r="HP418" i="31"/>
  <c r="HQ418" i="31"/>
  <c r="HR418" i="31"/>
  <c r="HS418" i="31"/>
  <c r="HT418" i="31"/>
  <c r="HU418" i="31"/>
  <c r="HN419" i="31"/>
  <c r="HP419" i="31"/>
  <c r="HQ419" i="31"/>
  <c r="HR419" i="31"/>
  <c r="HS419" i="31"/>
  <c r="HT419" i="31"/>
  <c r="HU419" i="31"/>
  <c r="HN420" i="31"/>
  <c r="HP420" i="31"/>
  <c r="HQ420" i="31"/>
  <c r="HR420" i="31"/>
  <c r="HS420" i="31"/>
  <c r="HT420" i="31"/>
  <c r="HU420" i="31"/>
  <c r="HN421" i="31"/>
  <c r="HO421" i="31"/>
  <c r="HP421" i="31"/>
  <c r="HQ421" i="31"/>
  <c r="HR421" i="31"/>
  <c r="HS421" i="31"/>
  <c r="HT421" i="31"/>
  <c r="HU421" i="31"/>
  <c r="HN422" i="31"/>
  <c r="HP422" i="31"/>
  <c r="HQ422" i="31"/>
  <c r="HR422" i="31"/>
  <c r="HS422" i="31"/>
  <c r="HT422" i="31"/>
  <c r="HU422" i="31"/>
  <c r="HN423" i="31"/>
  <c r="HP423" i="31"/>
  <c r="HQ423" i="31"/>
  <c r="HR423" i="31"/>
  <c r="HS423" i="31"/>
  <c r="HT423" i="31"/>
  <c r="HU423" i="31"/>
  <c r="HO424" i="31"/>
  <c r="HQ424" i="31"/>
  <c r="HR424" i="31"/>
  <c r="HS424" i="31"/>
  <c r="HT424" i="31"/>
  <c r="HU424" i="31"/>
  <c r="HO425" i="31"/>
  <c r="HQ425" i="31"/>
  <c r="HR425" i="31"/>
  <c r="HS425" i="31"/>
  <c r="HT425" i="31"/>
  <c r="HU425" i="31"/>
  <c r="HO426" i="31"/>
  <c r="HQ426" i="31"/>
  <c r="HS426" i="31"/>
  <c r="HT426" i="31"/>
  <c r="HU426" i="31"/>
  <c r="HO427" i="31"/>
  <c r="HQ427" i="31"/>
  <c r="HR427" i="31"/>
  <c r="HS427" i="31"/>
  <c r="HT427" i="31"/>
  <c r="HU427" i="31"/>
  <c r="HN428" i="31"/>
  <c r="HO428" i="31"/>
  <c r="HQ428" i="31"/>
  <c r="HR428" i="31"/>
  <c r="HS428" i="31"/>
  <c r="HT428" i="31"/>
  <c r="HU428" i="31"/>
  <c r="HN429" i="31"/>
  <c r="HO429" i="31"/>
  <c r="HP429" i="31"/>
  <c r="HQ429" i="31"/>
  <c r="HR429" i="31"/>
  <c r="HS429" i="31"/>
  <c r="HT429" i="31"/>
  <c r="HU429" i="31"/>
  <c r="HN430" i="31"/>
  <c r="HP430" i="31"/>
  <c r="HQ430" i="31"/>
  <c r="HR430" i="31"/>
  <c r="HS430" i="31"/>
  <c r="HT430" i="31"/>
  <c r="HU430" i="31"/>
  <c r="HN431" i="31"/>
  <c r="HP431" i="31"/>
  <c r="HQ431" i="31"/>
  <c r="HR431" i="31"/>
  <c r="HS431" i="31"/>
  <c r="HT431" i="31"/>
  <c r="HU431" i="31"/>
  <c r="HN432" i="31"/>
  <c r="HP432" i="31"/>
  <c r="HQ432" i="31"/>
  <c r="HR432" i="31"/>
  <c r="HS432" i="31"/>
  <c r="HT432" i="31"/>
  <c r="HU432" i="31"/>
  <c r="HN433" i="31"/>
  <c r="HO433" i="31"/>
  <c r="HP433" i="31"/>
  <c r="HQ433" i="31"/>
  <c r="HR433" i="31"/>
  <c r="HS433" i="31"/>
  <c r="HT433" i="31"/>
  <c r="HU433" i="31"/>
  <c r="HN434" i="31"/>
  <c r="HP434" i="31"/>
  <c r="HQ434" i="31"/>
  <c r="HR434" i="31"/>
  <c r="HS434" i="31"/>
  <c r="HT434" i="31"/>
  <c r="HU434" i="31"/>
  <c r="HN435" i="31"/>
  <c r="HP435" i="31"/>
  <c r="HQ435" i="31"/>
  <c r="HR435" i="31"/>
  <c r="HS435" i="31"/>
  <c r="HT435" i="31"/>
  <c r="HU435" i="31"/>
  <c r="HN436" i="31"/>
  <c r="HP436" i="31"/>
  <c r="HQ436" i="31"/>
  <c r="HR436" i="31"/>
  <c r="HS436" i="31"/>
  <c r="HT436" i="31"/>
  <c r="HU436" i="31"/>
  <c r="HN437" i="31"/>
  <c r="HO437" i="31"/>
  <c r="HP437" i="31"/>
  <c r="HQ437" i="31"/>
  <c r="HR437" i="31"/>
  <c r="HS437" i="31"/>
  <c r="HT437" i="31"/>
  <c r="HU437" i="31"/>
  <c r="HM438" i="31"/>
  <c r="HO438" i="31"/>
  <c r="HQ438" i="31"/>
  <c r="HR438" i="31"/>
  <c r="HS438" i="31"/>
  <c r="HT438" i="31"/>
  <c r="HU438" i="31"/>
  <c r="HM439" i="31"/>
  <c r="HO439" i="31"/>
  <c r="HQ439" i="31"/>
  <c r="HR439" i="31"/>
  <c r="HS439" i="31"/>
  <c r="HT439" i="31"/>
  <c r="HU439" i="31"/>
  <c r="HM440" i="31"/>
  <c r="HO440" i="31"/>
  <c r="HP440" i="31"/>
  <c r="HQ440" i="31"/>
  <c r="HR440" i="31"/>
  <c r="HS440" i="31"/>
  <c r="HT440" i="31"/>
  <c r="HU440" i="31"/>
  <c r="HN441" i="31"/>
  <c r="HP441" i="31"/>
  <c r="HQ441" i="31"/>
  <c r="HR441" i="31"/>
  <c r="HS441" i="31"/>
  <c r="HT441" i="31"/>
  <c r="HU441" i="31"/>
  <c r="HN442" i="31"/>
  <c r="HP442" i="31"/>
  <c r="HQ442" i="31"/>
  <c r="HR442" i="31"/>
  <c r="HS442" i="31"/>
  <c r="HT442" i="31"/>
  <c r="HU442" i="31"/>
  <c r="HN443" i="31"/>
  <c r="HO443" i="31"/>
  <c r="HP443" i="31"/>
  <c r="HQ443" i="31"/>
  <c r="HR443" i="31"/>
  <c r="HS443" i="31"/>
  <c r="HT443" i="31"/>
  <c r="HU443" i="31"/>
  <c r="HN444" i="31"/>
  <c r="HP444" i="31"/>
  <c r="HQ444" i="31"/>
  <c r="HR444" i="31"/>
  <c r="HS444" i="31"/>
  <c r="HT444" i="31"/>
  <c r="HU444" i="31"/>
  <c r="HN445" i="31"/>
  <c r="HP445" i="31"/>
  <c r="HQ445" i="31"/>
  <c r="HR445" i="31"/>
  <c r="HS445" i="31"/>
  <c r="HT445" i="31"/>
  <c r="HU445" i="31"/>
  <c r="HN446" i="31"/>
  <c r="HP446" i="31"/>
  <c r="HQ446" i="31"/>
  <c r="HR446" i="31"/>
  <c r="HS446" i="31"/>
  <c r="HT446" i="31"/>
  <c r="HU446" i="31"/>
  <c r="HN447" i="31"/>
  <c r="HO447" i="31"/>
  <c r="HP447" i="31"/>
  <c r="HQ447" i="31"/>
  <c r="HR447" i="31"/>
  <c r="HS447" i="31"/>
  <c r="HT447" i="31"/>
  <c r="HU447" i="31"/>
  <c r="HN448" i="31"/>
  <c r="HP448" i="31"/>
  <c r="HQ448" i="31"/>
  <c r="HR448" i="31"/>
  <c r="HS448" i="31"/>
  <c r="HT448" i="31"/>
  <c r="HU448" i="31"/>
  <c r="HN449" i="31"/>
  <c r="HP449" i="31"/>
  <c r="HQ449" i="31"/>
  <c r="HR449" i="31"/>
  <c r="HS449" i="31"/>
  <c r="HT449" i="31"/>
  <c r="HU449" i="31"/>
  <c r="HN450" i="31"/>
  <c r="HP450" i="31"/>
  <c r="HQ450" i="31"/>
  <c r="HR450" i="31"/>
  <c r="HS450" i="31"/>
  <c r="HT450" i="31"/>
  <c r="HU450" i="31"/>
  <c r="HM451" i="31"/>
  <c r="HN451" i="31"/>
  <c r="HP451" i="31"/>
  <c r="HQ451" i="31"/>
  <c r="HS451" i="31"/>
  <c r="HT451" i="31"/>
  <c r="HU451" i="31"/>
  <c r="HM452" i="31"/>
  <c r="HN452" i="31"/>
  <c r="HP452" i="31"/>
  <c r="HQ452" i="31"/>
  <c r="HR452" i="31"/>
  <c r="HS452" i="31"/>
  <c r="HT452" i="31"/>
  <c r="HU452" i="31"/>
  <c r="HM453" i="31"/>
  <c r="HN453" i="31"/>
  <c r="HO453" i="31"/>
  <c r="HP453" i="31"/>
  <c r="HQ453" i="31"/>
  <c r="HS453" i="31"/>
  <c r="HT453" i="31"/>
  <c r="HU453" i="31"/>
  <c r="HM454" i="31"/>
  <c r="HN454" i="31"/>
  <c r="HP454" i="31"/>
  <c r="HQ454" i="31"/>
  <c r="HS454" i="31"/>
  <c r="HT454" i="31"/>
  <c r="HU454" i="31"/>
  <c r="HM455" i="31"/>
  <c r="HN455" i="31"/>
  <c r="HP455" i="31"/>
  <c r="HQ455" i="31"/>
  <c r="HS455" i="31"/>
  <c r="HT455" i="31"/>
  <c r="HU455" i="31"/>
  <c r="HM456" i="31"/>
  <c r="HN456" i="31"/>
  <c r="HP456" i="31"/>
  <c r="HQ456" i="31"/>
  <c r="HR456" i="31"/>
  <c r="HS456" i="31"/>
  <c r="HT456" i="31"/>
  <c r="HU456" i="31"/>
  <c r="HM457" i="31"/>
  <c r="HN457" i="31"/>
  <c r="HP457" i="31"/>
  <c r="HQ457" i="31"/>
  <c r="HS457" i="31"/>
  <c r="HT457" i="31"/>
  <c r="HU457" i="31"/>
  <c r="HN458" i="31"/>
  <c r="HP458" i="31"/>
  <c r="HQ458" i="31"/>
  <c r="HR458" i="31"/>
  <c r="HS458" i="31"/>
  <c r="HT458" i="31"/>
  <c r="HU458" i="31"/>
  <c r="HN459" i="31"/>
  <c r="HP459" i="31"/>
  <c r="HQ459" i="31"/>
  <c r="HR459" i="31"/>
  <c r="HS459" i="31"/>
  <c r="HT459" i="31"/>
  <c r="HU459" i="31"/>
  <c r="HN460" i="31"/>
  <c r="HP460" i="31"/>
  <c r="HQ460" i="31"/>
  <c r="HR460" i="31"/>
  <c r="HS460" i="31"/>
  <c r="HT460" i="31"/>
  <c r="HU460" i="31"/>
  <c r="HN461" i="31"/>
  <c r="HO461" i="31"/>
  <c r="HP461" i="31"/>
  <c r="HQ461" i="31"/>
  <c r="HR461" i="31"/>
  <c r="HS461" i="31"/>
  <c r="HT461" i="31"/>
  <c r="HU461" i="31"/>
  <c r="HN462" i="31"/>
  <c r="HP462" i="31"/>
  <c r="HQ462" i="31"/>
  <c r="HR462" i="31"/>
  <c r="HS462" i="31"/>
  <c r="HT462" i="31"/>
  <c r="HU462" i="31"/>
  <c r="HN463" i="31"/>
  <c r="HP463" i="31"/>
  <c r="HQ463" i="31"/>
  <c r="HR463" i="31"/>
  <c r="HS463" i="31"/>
  <c r="HT463" i="31"/>
  <c r="HU463" i="31"/>
  <c r="HN464" i="31"/>
  <c r="HP464" i="31"/>
  <c r="HQ464" i="31"/>
  <c r="HR464" i="31"/>
  <c r="HS464" i="31"/>
  <c r="HT464" i="31"/>
  <c r="HU464" i="31"/>
  <c r="HN465" i="31"/>
  <c r="HO465" i="31"/>
  <c r="HP465" i="31"/>
  <c r="HQ465" i="31"/>
  <c r="HR465" i="31"/>
  <c r="HS465" i="31"/>
  <c r="HT465" i="31"/>
  <c r="HU465" i="31"/>
  <c r="HN466" i="31"/>
  <c r="HP466" i="31"/>
  <c r="HQ466" i="31"/>
  <c r="HR466" i="31"/>
  <c r="HS466" i="31"/>
  <c r="HT466" i="31"/>
  <c r="HU466" i="31"/>
  <c r="HN467" i="31"/>
  <c r="HP467" i="31"/>
  <c r="HQ467" i="31"/>
  <c r="HR467" i="31"/>
  <c r="HS467" i="31"/>
  <c r="HT467" i="31"/>
  <c r="HU467" i="31"/>
  <c r="HN468" i="31"/>
  <c r="HP468" i="31"/>
  <c r="HQ468" i="31"/>
  <c r="HR468" i="31"/>
  <c r="HS468" i="31"/>
  <c r="HT468" i="31"/>
  <c r="HU468" i="31"/>
  <c r="HN469" i="31"/>
  <c r="HO469" i="31"/>
  <c r="HP469" i="31"/>
  <c r="HQ469" i="31"/>
  <c r="HR469" i="31"/>
  <c r="HS469" i="31"/>
  <c r="HT469" i="31"/>
  <c r="HU469" i="31"/>
  <c r="HN470" i="31"/>
  <c r="HO470" i="31"/>
  <c r="HP470" i="31"/>
  <c r="HQ470" i="31"/>
  <c r="HR470" i="31"/>
  <c r="HS470" i="31"/>
  <c r="HT470" i="31"/>
  <c r="HU470" i="31"/>
  <c r="HN471" i="31"/>
  <c r="HP471" i="31"/>
  <c r="HQ471" i="31"/>
  <c r="HR471" i="31"/>
  <c r="HS471" i="31"/>
  <c r="HT471" i="31"/>
  <c r="HU471" i="31"/>
  <c r="HN472" i="31"/>
  <c r="HP472" i="31"/>
  <c r="HQ472" i="31"/>
  <c r="HR472" i="31"/>
  <c r="HS472" i="31"/>
  <c r="HT472" i="31"/>
  <c r="HU472" i="31"/>
  <c r="HN473" i="31"/>
  <c r="HO473" i="31"/>
  <c r="HP473" i="31"/>
  <c r="HQ473" i="31"/>
  <c r="HR473" i="31"/>
  <c r="HS473" i="31"/>
  <c r="HT473" i="31"/>
  <c r="HU473" i="31"/>
  <c r="HN474" i="31"/>
  <c r="HO474" i="31"/>
  <c r="HP474" i="31"/>
  <c r="HQ474" i="31"/>
  <c r="HR474" i="31"/>
  <c r="HS474" i="31"/>
  <c r="HT474" i="31"/>
  <c r="HU474" i="31"/>
  <c r="HN475" i="31"/>
  <c r="HP475" i="31"/>
  <c r="HQ475" i="31"/>
  <c r="HR475" i="31"/>
  <c r="HS475" i="31"/>
  <c r="HT475" i="31"/>
  <c r="HU475" i="31"/>
  <c r="HN476" i="31"/>
  <c r="HP476" i="31"/>
  <c r="HQ476" i="31"/>
  <c r="HR476" i="31"/>
  <c r="HS476" i="31"/>
  <c r="HT476" i="31"/>
  <c r="HU476" i="31"/>
  <c r="HN477" i="31"/>
  <c r="HO477" i="31"/>
  <c r="HP477" i="31"/>
  <c r="HQ477" i="31"/>
  <c r="HR477" i="31"/>
  <c r="HS477" i="31"/>
  <c r="HT477" i="31"/>
  <c r="HU477" i="31"/>
  <c r="HN478" i="31"/>
  <c r="HO478" i="31"/>
  <c r="HP478" i="31"/>
  <c r="HQ478" i="31"/>
  <c r="HR478" i="31"/>
  <c r="HS478" i="31"/>
  <c r="HT478" i="31"/>
  <c r="HU478" i="31"/>
  <c r="HN479" i="31"/>
  <c r="HP479" i="31"/>
  <c r="HQ479" i="31"/>
  <c r="HR479" i="31"/>
  <c r="HS479" i="31"/>
  <c r="HT479" i="31"/>
  <c r="HU479" i="31"/>
  <c r="HN480" i="31"/>
  <c r="HP480" i="31"/>
  <c r="HQ480" i="31"/>
  <c r="HR480" i="31"/>
  <c r="HS480" i="31"/>
  <c r="HT480" i="31"/>
  <c r="HU480" i="31"/>
  <c r="HN481" i="31"/>
  <c r="HO481" i="31"/>
  <c r="HP481" i="31"/>
  <c r="HQ481" i="31"/>
  <c r="HR481" i="31"/>
  <c r="HS481" i="31"/>
  <c r="HT481" i="31"/>
  <c r="HU481" i="31"/>
  <c r="HN482" i="31"/>
  <c r="HO482" i="31"/>
  <c r="HP482" i="31"/>
  <c r="HQ482" i="31"/>
  <c r="HR482" i="31"/>
  <c r="HS482" i="31"/>
  <c r="HT482" i="31"/>
  <c r="HU482" i="31"/>
  <c r="HN483" i="31"/>
  <c r="HP483" i="31"/>
  <c r="HQ483" i="31"/>
  <c r="HR483" i="31"/>
  <c r="HS483" i="31"/>
  <c r="HT483" i="31"/>
  <c r="HU483" i="31"/>
  <c r="HN484" i="31"/>
  <c r="HP484" i="31"/>
  <c r="HQ484" i="31"/>
  <c r="HR484" i="31"/>
  <c r="HS484" i="31"/>
  <c r="HT484" i="31"/>
  <c r="HU484" i="31"/>
  <c r="HN485" i="31"/>
  <c r="HO485" i="31"/>
  <c r="HP485" i="31"/>
  <c r="HQ485" i="31"/>
  <c r="HR485" i="31"/>
  <c r="HS485" i="31"/>
  <c r="HT485" i="31"/>
  <c r="HU485" i="31"/>
  <c r="HN486" i="31"/>
  <c r="HO486" i="31"/>
  <c r="HP486" i="31"/>
  <c r="HQ486" i="31"/>
  <c r="HR486" i="31"/>
  <c r="HS486" i="31"/>
  <c r="HT486" i="31"/>
  <c r="HU486" i="31"/>
  <c r="HN487" i="31"/>
  <c r="HP487" i="31"/>
  <c r="HQ487" i="31"/>
  <c r="HR487" i="31"/>
  <c r="HS487" i="31"/>
  <c r="HT487" i="31"/>
  <c r="HU487" i="31"/>
  <c r="HM488" i="31"/>
  <c r="HN488" i="31"/>
  <c r="HO488" i="31"/>
  <c r="HQ488" i="31"/>
  <c r="HR488" i="31"/>
  <c r="HS488" i="31"/>
  <c r="HT488" i="31"/>
  <c r="HU488" i="31"/>
  <c r="HM489" i="31"/>
  <c r="HN489" i="31"/>
  <c r="HO489" i="31"/>
  <c r="HP489" i="31"/>
  <c r="HQ489" i="31"/>
  <c r="HR489" i="31"/>
  <c r="HS489" i="31"/>
  <c r="HT489" i="31"/>
  <c r="HU489" i="31"/>
  <c r="HN490" i="31"/>
  <c r="HP490" i="31"/>
  <c r="HQ490" i="31"/>
  <c r="HR490" i="31"/>
  <c r="HS490" i="31"/>
  <c r="HT490" i="31"/>
  <c r="HU490" i="31"/>
  <c r="HO491" i="31"/>
  <c r="HP491" i="31"/>
  <c r="HQ491" i="31"/>
  <c r="HR491" i="31"/>
  <c r="HS491" i="31"/>
  <c r="HT491" i="31"/>
  <c r="HU491" i="31"/>
  <c r="HN492" i="31"/>
  <c r="HO492" i="31"/>
  <c r="HP492" i="31"/>
  <c r="HQ492" i="31"/>
  <c r="HR492" i="31"/>
  <c r="HS492" i="31"/>
  <c r="HT492" i="31"/>
  <c r="HU492" i="31"/>
  <c r="HN493" i="31"/>
  <c r="HO493" i="31"/>
  <c r="HP493" i="31"/>
  <c r="HQ493" i="31"/>
  <c r="HR493" i="31"/>
  <c r="HS493" i="31"/>
  <c r="HT493" i="31"/>
  <c r="HU493" i="31"/>
  <c r="HO494" i="31"/>
  <c r="HP494" i="31"/>
  <c r="HQ494" i="31"/>
  <c r="HR494" i="31"/>
  <c r="HS494" i="31"/>
  <c r="HT494" i="31"/>
  <c r="HU494" i="31"/>
  <c r="HM495" i="31"/>
  <c r="HO495" i="31"/>
  <c r="HP495" i="31"/>
  <c r="HQ495" i="31"/>
  <c r="HR495" i="31"/>
  <c r="HS495" i="31"/>
  <c r="HT495" i="31"/>
  <c r="HU495" i="31"/>
  <c r="HN496" i="31"/>
  <c r="HO496" i="31"/>
  <c r="HQ496" i="31"/>
  <c r="HR496" i="31"/>
  <c r="HS496" i="31"/>
  <c r="HT496" i="31"/>
  <c r="HU496" i="31"/>
  <c r="HN497" i="31"/>
  <c r="HO497" i="31"/>
  <c r="HQ497" i="31"/>
  <c r="HR497" i="31"/>
  <c r="HS497" i="31"/>
  <c r="HT497" i="31"/>
  <c r="HU497" i="31"/>
  <c r="HN498" i="31"/>
  <c r="HO498" i="31"/>
  <c r="HP498" i="31"/>
  <c r="HQ498" i="31"/>
  <c r="HR498" i="31"/>
  <c r="HS498" i="31"/>
  <c r="HT498" i="31"/>
  <c r="HU498" i="31"/>
  <c r="HN499" i="31"/>
  <c r="HP499" i="31"/>
  <c r="HQ499" i="31"/>
  <c r="HR499" i="31"/>
  <c r="HS499" i="31"/>
  <c r="HT499" i="31"/>
  <c r="HU499" i="31"/>
  <c r="HN500" i="31"/>
  <c r="HP500" i="31"/>
  <c r="HQ500" i="31"/>
  <c r="HR500" i="31"/>
  <c r="HS500" i="31"/>
  <c r="HT500" i="31"/>
  <c r="HU500" i="31"/>
  <c r="HM501" i="31"/>
  <c r="HN501" i="31"/>
  <c r="HO501" i="31"/>
  <c r="HQ501" i="31"/>
  <c r="HR501" i="31"/>
  <c r="HS501" i="31"/>
  <c r="HT501" i="31"/>
  <c r="HU501" i="31"/>
  <c r="HM502" i="31"/>
  <c r="HN502" i="31"/>
  <c r="HO502" i="31"/>
  <c r="HP502" i="31"/>
  <c r="HQ502" i="31"/>
  <c r="HS502" i="31"/>
  <c r="HT502" i="31"/>
  <c r="HU502" i="31"/>
  <c r="HM503" i="31"/>
  <c r="HN503" i="31"/>
  <c r="HP503" i="31"/>
  <c r="HQ503" i="31"/>
  <c r="HS503" i="31"/>
  <c r="HT503" i="31"/>
  <c r="HU503" i="31"/>
  <c r="HN504" i="31"/>
  <c r="HP504" i="31"/>
  <c r="HQ504" i="31"/>
  <c r="HR504" i="31"/>
  <c r="HS504" i="31"/>
  <c r="HT504" i="31"/>
  <c r="HU504" i="31"/>
  <c r="HN505" i="31"/>
  <c r="HO505" i="31"/>
  <c r="HP505" i="31"/>
  <c r="HQ505" i="31"/>
  <c r="HR505" i="31"/>
  <c r="HS505" i="31"/>
  <c r="HT505" i="31"/>
  <c r="HU505" i="31"/>
  <c r="HN506" i="31"/>
  <c r="HO506" i="31"/>
  <c r="HP506" i="31"/>
  <c r="HQ506" i="31"/>
  <c r="HR506" i="31"/>
  <c r="HS506" i="31"/>
  <c r="HT506" i="31"/>
  <c r="HU506" i="31"/>
  <c r="HN507" i="31"/>
  <c r="HP507" i="31"/>
  <c r="HQ507" i="31"/>
  <c r="HR507" i="31"/>
  <c r="HS507" i="31"/>
  <c r="HT507" i="31"/>
  <c r="HU507" i="31"/>
  <c r="HN508" i="31"/>
  <c r="HP508" i="31"/>
  <c r="HQ508" i="31"/>
  <c r="HR508" i="31"/>
  <c r="HS508" i="31"/>
  <c r="HT508" i="31"/>
  <c r="HU508" i="31"/>
  <c r="HN509" i="31"/>
  <c r="HO509" i="31"/>
  <c r="HP509" i="31"/>
  <c r="HQ509" i="31"/>
  <c r="HR509" i="31"/>
  <c r="HS509" i="31"/>
  <c r="HT509" i="31"/>
  <c r="HU509" i="31"/>
  <c r="HN510" i="31"/>
  <c r="HO510" i="31"/>
  <c r="HP510" i="31"/>
  <c r="HQ510" i="31"/>
  <c r="HR510" i="31"/>
  <c r="HS510" i="31"/>
  <c r="HT510" i="31"/>
  <c r="HU510" i="31"/>
  <c r="HN511" i="31"/>
  <c r="HQ511" i="31"/>
  <c r="HR511" i="31"/>
  <c r="HS511" i="31"/>
  <c r="HT511" i="31"/>
  <c r="HU511" i="31"/>
  <c r="HN512" i="31"/>
  <c r="HP512" i="31"/>
  <c r="HQ512" i="31"/>
  <c r="HR512" i="31"/>
  <c r="HS512" i="31"/>
  <c r="HT512" i="31"/>
  <c r="HU512" i="31"/>
  <c r="HN513" i="31"/>
  <c r="HO513" i="31"/>
  <c r="HQ513" i="31"/>
  <c r="HR513" i="31"/>
  <c r="HS513" i="31"/>
  <c r="HT513" i="31"/>
  <c r="HU513" i="31"/>
  <c r="HN514" i="31"/>
  <c r="HO514" i="31"/>
  <c r="HP514" i="31"/>
  <c r="HR514" i="31"/>
  <c r="HS514" i="31"/>
  <c r="HT514" i="31"/>
  <c r="HU514" i="31"/>
  <c r="HN515" i="31"/>
  <c r="HO515" i="31"/>
  <c r="HP515" i="31"/>
  <c r="HQ515" i="31"/>
  <c r="HR515" i="31"/>
  <c r="HS515" i="31"/>
  <c r="HT515" i="31"/>
  <c r="HU515" i="31"/>
  <c r="HN516" i="31"/>
  <c r="HO516" i="31"/>
  <c r="HP516" i="31"/>
  <c r="HQ516" i="31"/>
  <c r="HR516" i="31"/>
  <c r="HS516" i="31"/>
  <c r="HT516" i="31"/>
  <c r="HU516" i="31"/>
  <c r="HM517" i="31"/>
  <c r="HN517" i="31"/>
  <c r="HO517" i="31"/>
  <c r="HP517" i="31"/>
  <c r="HQ517" i="31"/>
  <c r="HR517" i="31"/>
  <c r="HS517" i="31"/>
  <c r="HT517" i="31"/>
  <c r="HU517" i="31"/>
  <c r="HM518" i="31"/>
  <c r="HN518" i="31"/>
  <c r="HO518" i="31"/>
  <c r="HP518" i="31"/>
  <c r="HQ518" i="31"/>
  <c r="HR518" i="31"/>
  <c r="HS518" i="31"/>
  <c r="HT518" i="31"/>
  <c r="HU518" i="31"/>
  <c r="HM519" i="31"/>
  <c r="HN519" i="31"/>
  <c r="HO519" i="31"/>
  <c r="HP519" i="31"/>
  <c r="HQ519" i="31"/>
  <c r="HR519" i="31"/>
  <c r="HS519" i="31"/>
  <c r="HT519" i="31"/>
  <c r="HU519" i="31"/>
  <c r="HM520" i="31"/>
  <c r="HN520" i="31"/>
  <c r="HO520" i="31"/>
  <c r="HP520" i="31"/>
  <c r="HQ520" i="31"/>
  <c r="HR520" i="31"/>
  <c r="HS520" i="31"/>
  <c r="HT520" i="31"/>
  <c r="HU520" i="31"/>
  <c r="HM521" i="31"/>
  <c r="HN521" i="31"/>
  <c r="HO521" i="31"/>
  <c r="HP521" i="31"/>
  <c r="HQ521" i="31"/>
  <c r="HR521" i="31"/>
  <c r="HS521" i="31"/>
  <c r="HT521" i="31"/>
  <c r="HU521" i="31"/>
  <c r="HM522" i="31"/>
  <c r="HN522" i="31"/>
  <c r="HO522" i="31"/>
  <c r="HP522" i="31"/>
  <c r="HQ522" i="31"/>
  <c r="HR522" i="31"/>
  <c r="HS522" i="31"/>
  <c r="HT522" i="31"/>
  <c r="HU522" i="31"/>
  <c r="HM523" i="31"/>
  <c r="HN523" i="31"/>
  <c r="HO523" i="31"/>
  <c r="HP523" i="31"/>
  <c r="HQ523" i="31"/>
  <c r="HR523" i="31"/>
  <c r="HS523" i="31"/>
  <c r="HT523" i="31"/>
  <c r="HU523" i="31"/>
  <c r="HM524" i="31"/>
  <c r="HN524" i="31"/>
  <c r="HO524" i="31"/>
  <c r="HP524" i="31"/>
  <c r="HQ524" i="31"/>
  <c r="HR524" i="31"/>
  <c r="HS524" i="31"/>
  <c r="HT524" i="31"/>
  <c r="HU524" i="31"/>
  <c r="HM525" i="31"/>
  <c r="HN525" i="31"/>
  <c r="HO525" i="31"/>
  <c r="HP525" i="31"/>
  <c r="HQ525" i="31"/>
  <c r="HR525" i="31"/>
  <c r="HS525" i="31"/>
  <c r="HT525" i="31"/>
  <c r="HU525" i="31"/>
  <c r="HN526" i="31"/>
  <c r="HO526" i="31"/>
  <c r="HP526" i="31"/>
  <c r="HQ526" i="31"/>
  <c r="HR526" i="31"/>
  <c r="HS526" i="31"/>
  <c r="HT526" i="31"/>
  <c r="HU526" i="31"/>
  <c r="HN527" i="31"/>
  <c r="HO527" i="31"/>
  <c r="HP527" i="31"/>
  <c r="HQ527" i="31"/>
  <c r="HR527" i="31"/>
  <c r="HS527" i="31"/>
  <c r="HT527" i="31"/>
  <c r="HU527" i="31"/>
  <c r="HN528" i="31"/>
  <c r="HO528" i="31"/>
  <c r="HP528" i="31"/>
  <c r="HQ528" i="31"/>
  <c r="HR528" i="31"/>
  <c r="HS528" i="31"/>
  <c r="HT528" i="31"/>
  <c r="HU528" i="31"/>
  <c r="HN529" i="31"/>
  <c r="HO529" i="31"/>
  <c r="HP529" i="31"/>
  <c r="HQ529" i="31"/>
  <c r="HR529" i="31"/>
  <c r="HS529" i="31"/>
  <c r="HT529" i="31"/>
  <c r="HU529" i="31"/>
  <c r="HN530" i="31"/>
  <c r="HO530" i="31"/>
  <c r="HP530" i="31"/>
  <c r="HQ530" i="31"/>
  <c r="HR530" i="31"/>
  <c r="HS530" i="31"/>
  <c r="HT530" i="31"/>
  <c r="HU530" i="31"/>
  <c r="HN531" i="31"/>
  <c r="HO531" i="31"/>
  <c r="HP531" i="31"/>
  <c r="HQ531" i="31"/>
  <c r="HR531" i="31"/>
  <c r="HS531" i="31"/>
  <c r="HT531" i="31"/>
  <c r="HU531" i="31"/>
  <c r="HN532" i="31"/>
  <c r="HO532" i="31"/>
  <c r="HP532" i="31"/>
  <c r="HQ532" i="31"/>
  <c r="HR532" i="31"/>
  <c r="HS532" i="31"/>
  <c r="HT532" i="31"/>
  <c r="HU532" i="31"/>
  <c r="HN533" i="31"/>
  <c r="HO533" i="31"/>
  <c r="HP533" i="31"/>
  <c r="HQ533" i="31"/>
  <c r="HR533" i="31"/>
  <c r="HS533" i="31"/>
  <c r="HT533" i="31"/>
  <c r="HU533" i="31"/>
  <c r="HN534" i="31"/>
  <c r="HO534" i="31"/>
  <c r="HP534" i="31"/>
  <c r="HQ534" i="31"/>
  <c r="HR534" i="31"/>
  <c r="HS534" i="31"/>
  <c r="HT534" i="31"/>
  <c r="HU534" i="31"/>
  <c r="HN535" i="31"/>
  <c r="HO535" i="31"/>
  <c r="HP535" i="31"/>
  <c r="HQ535" i="31"/>
  <c r="HR535" i="31"/>
  <c r="HS535" i="31"/>
  <c r="HT535" i="31"/>
  <c r="HU535" i="31"/>
  <c r="HN536" i="31"/>
  <c r="HO536" i="31"/>
  <c r="HP536" i="31"/>
  <c r="HQ536" i="31"/>
  <c r="HR536" i="31"/>
  <c r="HS536" i="31"/>
  <c r="HT536" i="31"/>
  <c r="HU536" i="31"/>
  <c r="HN537" i="31"/>
  <c r="HO537" i="31"/>
  <c r="HP537" i="31"/>
  <c r="HQ537" i="31"/>
  <c r="HR537" i="31"/>
  <c r="HS537" i="31"/>
  <c r="HT537" i="31"/>
  <c r="HU537" i="31"/>
  <c r="HN538" i="31"/>
  <c r="HO538" i="31"/>
  <c r="HP538" i="31"/>
  <c r="HQ538" i="31"/>
  <c r="HR538" i="31"/>
  <c r="HS538" i="31"/>
  <c r="HT538" i="31"/>
  <c r="HU538" i="31"/>
  <c r="HN539" i="31"/>
  <c r="HO539" i="31"/>
  <c r="HP539" i="31"/>
  <c r="HQ539" i="31"/>
  <c r="HR539" i="31"/>
  <c r="HS539" i="31"/>
  <c r="HT539" i="31"/>
  <c r="HU539" i="31"/>
  <c r="HN540" i="31"/>
  <c r="HO540" i="31"/>
  <c r="HP540" i="31"/>
  <c r="HQ540" i="31"/>
  <c r="HR540" i="31"/>
  <c r="HS540" i="31"/>
  <c r="HT540" i="31"/>
  <c r="HU540" i="31"/>
  <c r="HN541" i="31"/>
  <c r="HO541" i="31"/>
  <c r="HP541" i="31"/>
  <c r="HQ541" i="31"/>
  <c r="HR541" i="31"/>
  <c r="HS541" i="31"/>
  <c r="HT541" i="31"/>
  <c r="HU541" i="31"/>
  <c r="HN542" i="31"/>
  <c r="HO542" i="31"/>
  <c r="HP542" i="31"/>
  <c r="HQ542" i="31"/>
  <c r="HR542" i="31"/>
  <c r="HS542" i="31"/>
  <c r="HT542" i="31"/>
  <c r="HU542" i="31"/>
  <c r="HN543" i="31"/>
  <c r="HO543" i="31"/>
  <c r="HP543" i="31"/>
  <c r="HQ543" i="31"/>
  <c r="HR543" i="31"/>
  <c r="HS543" i="31"/>
  <c r="HT543" i="31"/>
  <c r="HU543" i="31"/>
  <c r="HN544" i="31"/>
  <c r="HP544" i="31"/>
  <c r="HQ544" i="31"/>
  <c r="HR544" i="31"/>
  <c r="HT544" i="31"/>
  <c r="HU544" i="31"/>
  <c r="HN545" i="31"/>
  <c r="HO545" i="31"/>
  <c r="HP545" i="31"/>
  <c r="HQ545" i="31"/>
  <c r="HR545" i="31"/>
  <c r="HS545" i="31"/>
  <c r="HT545" i="31"/>
  <c r="HU545" i="31"/>
  <c r="HN546" i="31"/>
  <c r="HO546" i="31"/>
  <c r="HP546" i="31"/>
  <c r="HQ546" i="31"/>
  <c r="HR546" i="31"/>
  <c r="HS546" i="31"/>
  <c r="HT546" i="31"/>
  <c r="HU546" i="31"/>
  <c r="HN547" i="31"/>
  <c r="HO547" i="31"/>
  <c r="HP547" i="31"/>
  <c r="HQ547" i="31"/>
  <c r="HR547" i="31"/>
  <c r="HS547" i="31"/>
  <c r="HT547" i="31"/>
  <c r="HU547" i="31"/>
  <c r="HN548" i="31"/>
  <c r="HO548" i="31"/>
  <c r="HP548" i="31"/>
  <c r="HQ548" i="31"/>
  <c r="HR548" i="31"/>
  <c r="HS548" i="31"/>
  <c r="HT548" i="31"/>
  <c r="HU548" i="31"/>
  <c r="HM549" i="31"/>
  <c r="HN549" i="31"/>
  <c r="HO549" i="31"/>
  <c r="HP549" i="31"/>
  <c r="HQ549" i="31"/>
  <c r="HR549" i="31"/>
  <c r="HS549" i="31"/>
  <c r="HT549" i="31"/>
  <c r="HU549" i="31"/>
  <c r="HN550" i="31"/>
  <c r="HO550" i="31"/>
  <c r="HP550" i="31"/>
  <c r="HQ550" i="31"/>
  <c r="HR550" i="31"/>
  <c r="HS550" i="31"/>
  <c r="HT550" i="31"/>
  <c r="HU550" i="31"/>
  <c r="HN551" i="31"/>
  <c r="HO551" i="31"/>
  <c r="HP551" i="31"/>
  <c r="HQ551" i="31"/>
  <c r="HR551" i="31"/>
  <c r="HS551" i="31"/>
  <c r="HT551" i="31"/>
  <c r="HU551" i="31"/>
  <c r="HN552" i="31"/>
  <c r="HO552" i="31"/>
  <c r="HP552" i="31"/>
  <c r="HQ552" i="31"/>
  <c r="HR552" i="31"/>
  <c r="HS552" i="31"/>
  <c r="HT552" i="31"/>
  <c r="HU552" i="31"/>
  <c r="HQ553" i="31"/>
  <c r="HR553" i="31"/>
  <c r="HS553" i="31"/>
  <c r="HT553" i="31"/>
  <c r="HU553" i="31"/>
  <c r="HM554" i="31"/>
  <c r="HN554" i="31"/>
  <c r="HQ554" i="31"/>
  <c r="HR554" i="31"/>
  <c r="HS554" i="31"/>
  <c r="HT554" i="31"/>
  <c r="HU554" i="31"/>
  <c r="HN555" i="31"/>
  <c r="HP555" i="31"/>
  <c r="HQ555" i="31"/>
  <c r="HR555" i="31"/>
  <c r="HS555" i="31"/>
  <c r="HT555" i="31"/>
  <c r="HU555" i="31"/>
  <c r="HO556" i="31"/>
  <c r="HP556" i="31"/>
  <c r="HQ556" i="31"/>
  <c r="HR556" i="31"/>
  <c r="HS556" i="31"/>
  <c r="HT556" i="31"/>
  <c r="HU556" i="31"/>
  <c r="HN557" i="31"/>
  <c r="HP557" i="31"/>
  <c r="HQ557" i="31"/>
  <c r="HR557" i="31"/>
  <c r="HS557" i="31"/>
  <c r="HT557" i="31"/>
  <c r="HU557" i="31"/>
  <c r="HN558" i="31"/>
  <c r="HO558" i="31"/>
  <c r="HP558" i="31"/>
  <c r="HQ558" i="31"/>
  <c r="HR558" i="31"/>
  <c r="HS558" i="31"/>
  <c r="HT558" i="31"/>
  <c r="HU558" i="31"/>
  <c r="HN559" i="31"/>
  <c r="HO559" i="31"/>
  <c r="HP559" i="31"/>
  <c r="HQ559" i="31"/>
  <c r="HR559" i="31"/>
  <c r="HS559" i="31"/>
  <c r="HT559" i="31"/>
  <c r="HU559" i="31"/>
  <c r="HN560" i="31"/>
  <c r="HO560" i="31"/>
  <c r="HP560" i="31"/>
  <c r="HQ560" i="31"/>
  <c r="HR560" i="31"/>
  <c r="HS560" i="31"/>
  <c r="HT560" i="31"/>
  <c r="HU560" i="31"/>
  <c r="HN561" i="31"/>
  <c r="HO561" i="31"/>
  <c r="HP561" i="31"/>
  <c r="HQ561" i="31"/>
  <c r="HR561" i="31"/>
  <c r="HS561" i="31"/>
  <c r="HT561" i="31"/>
  <c r="HU561" i="31"/>
  <c r="HN562" i="31"/>
  <c r="HO562" i="31"/>
  <c r="HP562" i="31"/>
  <c r="HQ562" i="31"/>
  <c r="HR562" i="31"/>
  <c r="HS562" i="31"/>
  <c r="HT562" i="31"/>
  <c r="HU562" i="31"/>
  <c r="HN563" i="31"/>
  <c r="HO563" i="31"/>
  <c r="HP563" i="31"/>
  <c r="HQ563" i="31"/>
  <c r="HR563" i="31"/>
  <c r="HS563" i="31"/>
  <c r="HT563" i="31"/>
  <c r="HU563" i="31"/>
  <c r="HN564" i="31"/>
  <c r="HP564" i="31"/>
  <c r="HQ564" i="31"/>
  <c r="HR564" i="31"/>
  <c r="HT564" i="31"/>
  <c r="HU564" i="31"/>
  <c r="HN565" i="31"/>
  <c r="HO565" i="31"/>
  <c r="HP565" i="31"/>
  <c r="HQ565" i="31"/>
  <c r="HR565" i="31"/>
  <c r="HS565" i="31"/>
  <c r="HT565" i="31"/>
  <c r="HU565" i="31"/>
  <c r="HN566" i="31"/>
  <c r="HO566" i="31"/>
  <c r="HP566" i="31"/>
  <c r="HQ566" i="31"/>
  <c r="HR566" i="31"/>
  <c r="HS566" i="31"/>
  <c r="HT566" i="31"/>
  <c r="HU566" i="31"/>
  <c r="HN567" i="31"/>
  <c r="HO567" i="31"/>
  <c r="HP567" i="31"/>
  <c r="HQ567" i="31"/>
  <c r="HR567" i="31"/>
  <c r="HS567" i="31"/>
  <c r="HT567" i="31"/>
  <c r="HU567" i="31"/>
  <c r="HN568" i="31"/>
  <c r="HO568" i="31"/>
  <c r="HP568" i="31"/>
  <c r="HQ568" i="31"/>
  <c r="HR568" i="31"/>
  <c r="HS568" i="31"/>
  <c r="HT568" i="31"/>
  <c r="HU568" i="31"/>
  <c r="HN569" i="31"/>
  <c r="HO569" i="31"/>
  <c r="HP569" i="31"/>
  <c r="HQ569" i="31"/>
  <c r="HR569" i="31"/>
  <c r="HS569" i="31"/>
  <c r="HT569" i="31"/>
  <c r="HU569" i="31"/>
  <c r="HN570" i="31"/>
  <c r="HO570" i="31"/>
  <c r="HP570" i="31"/>
  <c r="HQ570" i="31"/>
  <c r="HR570" i="31"/>
  <c r="HS570" i="31"/>
  <c r="HT570" i="31"/>
  <c r="HU570" i="31"/>
  <c r="HN571" i="31"/>
  <c r="HO571" i="31"/>
  <c r="HP571" i="31"/>
  <c r="HQ571" i="31"/>
  <c r="HR571" i="31"/>
  <c r="HS571" i="31"/>
  <c r="HT571" i="31"/>
  <c r="HU571" i="31"/>
  <c r="HN572" i="31"/>
  <c r="HO572" i="31"/>
  <c r="HP572" i="31"/>
  <c r="HQ572" i="31"/>
  <c r="HR572" i="31"/>
  <c r="HS572" i="31"/>
  <c r="HT572" i="31"/>
  <c r="HU572" i="31"/>
  <c r="HN573" i="31"/>
  <c r="HO573" i="31"/>
  <c r="HP573" i="31"/>
  <c r="HQ573" i="31"/>
  <c r="HR573" i="31"/>
  <c r="HS573" i="31"/>
  <c r="HT573" i="31"/>
  <c r="HU573" i="31"/>
  <c r="HN574" i="31"/>
  <c r="HO574" i="31"/>
  <c r="HP574" i="31"/>
  <c r="HQ574" i="31"/>
  <c r="HR574" i="31"/>
  <c r="HS574" i="31"/>
  <c r="HT574" i="31"/>
  <c r="HU574" i="31"/>
  <c r="HN575" i="31"/>
  <c r="HO575" i="31"/>
  <c r="HP575" i="31"/>
  <c r="HQ575" i="31"/>
  <c r="HR575" i="31"/>
  <c r="HS575" i="31"/>
  <c r="HT575" i="31"/>
  <c r="HU575" i="31"/>
  <c r="HN576" i="31"/>
  <c r="HO576" i="31"/>
  <c r="HP576" i="31"/>
  <c r="HQ576" i="31"/>
  <c r="HR576" i="31"/>
  <c r="HS576" i="31"/>
  <c r="HT576" i="31"/>
  <c r="HU576" i="31"/>
  <c r="HM577" i="31"/>
  <c r="HN577" i="31"/>
  <c r="HO577" i="31"/>
  <c r="HP577" i="31"/>
  <c r="HQ577" i="31"/>
  <c r="HR577" i="31"/>
  <c r="HS577" i="31"/>
  <c r="HT577" i="31"/>
  <c r="HU577" i="31"/>
  <c r="HM578" i="31"/>
  <c r="HN578" i="31"/>
  <c r="HO578" i="31"/>
  <c r="HP578" i="31"/>
  <c r="HQ578" i="31"/>
  <c r="HR578" i="31"/>
  <c r="HS578" i="31"/>
  <c r="HT578" i="31"/>
  <c r="HU578" i="31"/>
  <c r="HM579" i="31"/>
  <c r="HN579" i="31"/>
  <c r="HO579" i="31"/>
  <c r="HP579" i="31"/>
  <c r="HQ579" i="31"/>
  <c r="HR579" i="31"/>
  <c r="HS579" i="31"/>
  <c r="HT579" i="31"/>
  <c r="HU579" i="31"/>
  <c r="HM580" i="31"/>
  <c r="HN580" i="31"/>
  <c r="HO580" i="31"/>
  <c r="HP580" i="31"/>
  <c r="HQ580" i="31"/>
  <c r="HR580" i="31"/>
  <c r="HS580" i="31"/>
  <c r="HT580" i="31"/>
  <c r="HU580" i="31"/>
  <c r="HM581" i="31"/>
  <c r="HN581" i="31"/>
  <c r="HO581" i="31"/>
  <c r="HP581" i="31"/>
  <c r="HQ581" i="31"/>
  <c r="HR581" i="31"/>
  <c r="HS581" i="31"/>
  <c r="HT581" i="31"/>
  <c r="HU581" i="31"/>
  <c r="HM582" i="31"/>
  <c r="HN582" i="31"/>
  <c r="HO582" i="31"/>
  <c r="HQ582" i="31"/>
  <c r="HR582" i="31"/>
  <c r="HS582" i="31"/>
  <c r="HT582" i="31"/>
  <c r="HU582" i="31"/>
  <c r="HM583" i="31"/>
  <c r="HN583" i="31"/>
  <c r="HO583" i="31"/>
  <c r="HQ583" i="31"/>
  <c r="HR583" i="31"/>
  <c r="HS583" i="31"/>
  <c r="HT583" i="31"/>
  <c r="HU583" i="31"/>
  <c r="HM584" i="31"/>
  <c r="HN584" i="31"/>
  <c r="HO584" i="31"/>
  <c r="HQ584" i="31"/>
  <c r="HR584" i="31"/>
  <c r="HS584" i="31"/>
  <c r="HT584" i="31"/>
  <c r="HU584" i="31"/>
  <c r="HM585" i="31"/>
  <c r="HN585" i="31"/>
  <c r="HO585" i="31"/>
  <c r="HP585" i="31"/>
  <c r="HQ585" i="31"/>
  <c r="HR585" i="31"/>
  <c r="HS585" i="31"/>
  <c r="HT585" i="31"/>
  <c r="HU585" i="31"/>
  <c r="HM586" i="31"/>
  <c r="HN586" i="31"/>
  <c r="HO586" i="31"/>
  <c r="HQ586" i="31"/>
  <c r="HR586" i="31"/>
  <c r="HS586" i="31"/>
  <c r="HT586" i="31"/>
  <c r="HU586" i="31"/>
  <c r="HM587" i="31"/>
  <c r="HN587" i="31"/>
  <c r="HO587" i="31"/>
  <c r="HQ587" i="31"/>
  <c r="HR587" i="31"/>
  <c r="HS587" i="31"/>
  <c r="HT587" i="31"/>
  <c r="HU587" i="31"/>
  <c r="HM588" i="31"/>
  <c r="HN588" i="31"/>
  <c r="HO588" i="31"/>
  <c r="HQ588" i="31"/>
  <c r="HR588" i="31"/>
  <c r="HS588" i="31"/>
  <c r="HT588" i="31"/>
  <c r="HU588" i="31"/>
  <c r="HM589" i="31"/>
  <c r="HN589" i="31"/>
  <c r="HO589" i="31"/>
  <c r="HP589" i="31"/>
  <c r="HQ589" i="31"/>
  <c r="HR589" i="31"/>
  <c r="HS589" i="31"/>
  <c r="HT589" i="31"/>
  <c r="HU589" i="31"/>
  <c r="HM590" i="31"/>
  <c r="HN590" i="31"/>
  <c r="HO590" i="31"/>
  <c r="HQ590" i="31"/>
  <c r="HR590" i="31"/>
  <c r="HS590" i="31"/>
  <c r="HT590" i="31"/>
  <c r="HU590" i="31"/>
  <c r="HM591" i="31"/>
  <c r="HN591" i="31"/>
  <c r="HO591" i="31"/>
  <c r="HQ591" i="31"/>
  <c r="HR591" i="31"/>
  <c r="HS591" i="31"/>
  <c r="HT591" i="31"/>
  <c r="HU591" i="31"/>
  <c r="HM592" i="31"/>
  <c r="HN592" i="31"/>
  <c r="HO592" i="31"/>
  <c r="HQ592" i="31"/>
  <c r="HR592" i="31"/>
  <c r="HS592" i="31"/>
  <c r="HT592" i="31"/>
  <c r="HU592" i="31"/>
  <c r="HM593" i="31"/>
  <c r="HN593" i="31"/>
  <c r="HO593" i="31"/>
  <c r="HP593" i="31"/>
  <c r="HQ593" i="31"/>
  <c r="HR593" i="31"/>
  <c r="HS593" i="31"/>
  <c r="HT593" i="31"/>
  <c r="HU593" i="31"/>
  <c r="HM594" i="31"/>
  <c r="HN594" i="31"/>
  <c r="HO594" i="31"/>
  <c r="HQ594" i="31"/>
  <c r="HR594" i="31"/>
  <c r="HS594" i="31"/>
  <c r="HT594" i="31"/>
  <c r="HU594" i="31"/>
  <c r="HM595" i="31"/>
  <c r="HN595" i="31"/>
  <c r="HO595" i="31"/>
  <c r="HQ595" i="31"/>
  <c r="HR595" i="31"/>
  <c r="HS595" i="31"/>
  <c r="HT595" i="31"/>
  <c r="HU595" i="31"/>
  <c r="HM596" i="31"/>
  <c r="HN596" i="31"/>
  <c r="HO596" i="31"/>
  <c r="HQ596" i="31"/>
  <c r="HR596" i="31"/>
  <c r="HS596" i="31"/>
  <c r="HT596" i="31"/>
  <c r="HU596" i="31"/>
  <c r="HM597" i="31"/>
  <c r="HN597" i="31"/>
  <c r="HO597" i="31"/>
  <c r="HP597" i="31"/>
  <c r="HQ597" i="31"/>
  <c r="HR597" i="31"/>
  <c r="HS597" i="31"/>
  <c r="HT597" i="31"/>
  <c r="HU597" i="31"/>
  <c r="HM598" i="31"/>
  <c r="HN598" i="31"/>
  <c r="HO598" i="31"/>
  <c r="HP598" i="31"/>
  <c r="HQ598" i="31"/>
  <c r="HR598" i="31"/>
  <c r="HS598" i="31"/>
  <c r="HT598" i="31"/>
  <c r="HU598" i="31"/>
  <c r="HM599" i="31"/>
  <c r="HN599" i="31"/>
  <c r="HO599" i="31"/>
  <c r="HP599" i="31"/>
  <c r="HQ599" i="31"/>
  <c r="HR599" i="31"/>
  <c r="HS599" i="31"/>
  <c r="HT599" i="31"/>
  <c r="HU599" i="31"/>
  <c r="HM600" i="31"/>
  <c r="HN600" i="31"/>
  <c r="HO600" i="31"/>
  <c r="HP600" i="31"/>
  <c r="HQ600" i="31"/>
  <c r="HR600" i="31"/>
  <c r="HS600" i="31"/>
  <c r="HT600" i="31"/>
  <c r="HU600" i="31"/>
  <c r="HM601" i="31"/>
  <c r="HN601" i="31"/>
  <c r="HO601" i="31"/>
  <c r="HP601" i="31"/>
  <c r="HQ601" i="31"/>
  <c r="HR601" i="31"/>
  <c r="HS601" i="31"/>
  <c r="HT601" i="31"/>
  <c r="HU601" i="31"/>
  <c r="HM602" i="31"/>
  <c r="HN602" i="31"/>
  <c r="HO602" i="31"/>
  <c r="HP602" i="31"/>
  <c r="HQ602" i="31"/>
  <c r="HR602" i="31"/>
  <c r="HS602" i="31"/>
  <c r="HT602" i="31"/>
  <c r="HU602" i="31"/>
  <c r="HM603" i="31"/>
  <c r="HN603" i="31"/>
  <c r="HO603" i="31"/>
  <c r="HP603" i="31"/>
  <c r="HQ603" i="31"/>
  <c r="HR603" i="31"/>
  <c r="HS603" i="31"/>
  <c r="HT603" i="31"/>
  <c r="HU603" i="31"/>
  <c r="HN604" i="31"/>
  <c r="HO604" i="31"/>
  <c r="HP604" i="31"/>
  <c r="HQ604" i="31"/>
  <c r="HR604" i="31"/>
  <c r="HS604" i="31"/>
  <c r="HT604" i="31"/>
  <c r="HU604" i="31"/>
  <c r="HN605" i="31"/>
  <c r="HO605" i="31"/>
  <c r="HP605" i="31"/>
  <c r="HQ605" i="31"/>
  <c r="HR605" i="31"/>
  <c r="HS605" i="31"/>
  <c r="HT605" i="31"/>
  <c r="HU605" i="31"/>
  <c r="HN606" i="31"/>
  <c r="HO606" i="31"/>
  <c r="HP606" i="31"/>
  <c r="HQ606" i="31"/>
  <c r="HR606" i="31"/>
  <c r="HS606" i="31"/>
  <c r="HT606" i="31"/>
  <c r="HU606" i="31"/>
  <c r="HN607" i="31"/>
  <c r="HO607" i="31"/>
  <c r="HP607" i="31"/>
  <c r="HQ607" i="31"/>
  <c r="HR607" i="31"/>
  <c r="HS607" i="31"/>
  <c r="HT607" i="31"/>
  <c r="HU607" i="31"/>
  <c r="HN608" i="31"/>
  <c r="HO608" i="31"/>
  <c r="HP608" i="31"/>
  <c r="HQ608" i="31"/>
  <c r="HR608" i="31"/>
  <c r="HS608" i="31"/>
  <c r="HT608" i="31"/>
  <c r="HU608" i="31"/>
  <c r="HN609" i="31"/>
  <c r="HO609" i="31"/>
  <c r="HP609" i="31"/>
  <c r="HQ609" i="31"/>
  <c r="HR609" i="31"/>
  <c r="HS609" i="31"/>
  <c r="HT609" i="31"/>
  <c r="HU609" i="31"/>
  <c r="HN610" i="31"/>
  <c r="HO610" i="31"/>
  <c r="HP610" i="31"/>
  <c r="HQ610" i="31"/>
  <c r="HR610" i="31"/>
  <c r="HS610" i="31"/>
  <c r="HT610" i="31"/>
  <c r="HU610" i="31"/>
  <c r="HN611" i="31"/>
  <c r="HO611" i="31"/>
  <c r="HP611" i="31"/>
  <c r="HQ611" i="31"/>
  <c r="HR611" i="31"/>
  <c r="HS611" i="31"/>
  <c r="HT611" i="31"/>
  <c r="HU611" i="31"/>
  <c r="HN612" i="31"/>
  <c r="HO612" i="31"/>
  <c r="HP612" i="31"/>
  <c r="HQ612" i="31"/>
  <c r="HR612" i="31"/>
  <c r="HS612" i="31"/>
  <c r="HT612" i="31"/>
  <c r="HU612" i="31"/>
  <c r="HN613" i="31"/>
  <c r="HO613" i="31"/>
  <c r="HQ613" i="31"/>
  <c r="HR613" i="31"/>
  <c r="HS613" i="31"/>
  <c r="HT613" i="31"/>
  <c r="HU613" i="31"/>
  <c r="HN614" i="31"/>
  <c r="HO614" i="31"/>
  <c r="HP614" i="31"/>
  <c r="HR614" i="31"/>
  <c r="HS614" i="31"/>
  <c r="HT614" i="31"/>
  <c r="HU614" i="31"/>
  <c r="HN615" i="31"/>
  <c r="HO615" i="31"/>
  <c r="HP615" i="31"/>
  <c r="HQ615" i="31"/>
  <c r="HR615" i="31"/>
  <c r="HS615" i="31"/>
  <c r="HT615" i="31"/>
  <c r="HU615" i="31"/>
  <c r="HN616" i="31"/>
  <c r="HO616" i="31"/>
  <c r="HP616" i="31"/>
  <c r="HQ616" i="31"/>
  <c r="HR616" i="31"/>
  <c r="HS616" i="31"/>
  <c r="HT616" i="31"/>
  <c r="HU616" i="31"/>
  <c r="HN617" i="31"/>
  <c r="HO617" i="31"/>
  <c r="HP617" i="31"/>
  <c r="HQ617" i="31"/>
  <c r="HR617" i="31"/>
  <c r="HS617" i="31"/>
  <c r="HT617" i="31"/>
  <c r="HU617" i="31"/>
  <c r="HN618" i="31"/>
  <c r="HO618" i="31"/>
  <c r="HP618" i="31"/>
  <c r="HQ618" i="31"/>
  <c r="HR618" i="31"/>
  <c r="HS618" i="31"/>
  <c r="HT618" i="31"/>
  <c r="HU618" i="31"/>
  <c r="HN619" i="31"/>
  <c r="HO619" i="31"/>
  <c r="HP619" i="31"/>
  <c r="HQ619" i="31"/>
  <c r="HR619" i="31"/>
  <c r="HS619" i="31"/>
  <c r="HT619" i="31"/>
  <c r="HU619" i="31"/>
  <c r="HN620" i="31"/>
  <c r="HO620" i="31"/>
  <c r="HP620" i="31"/>
  <c r="HQ620" i="31"/>
  <c r="HR620" i="31"/>
  <c r="HS620" i="31"/>
  <c r="HT620" i="31"/>
  <c r="HU620" i="31"/>
  <c r="HN621" i="31"/>
  <c r="HO621" i="31"/>
  <c r="HP621" i="31"/>
  <c r="HQ621" i="31"/>
  <c r="HR621" i="31"/>
  <c r="HS621" i="31"/>
  <c r="HT621" i="31"/>
  <c r="HU621" i="31"/>
  <c r="HN622" i="31"/>
  <c r="HO622" i="31"/>
  <c r="HP622" i="31"/>
  <c r="HQ622" i="31"/>
  <c r="HR622" i="31"/>
  <c r="HS622" i="31"/>
  <c r="HT622" i="31"/>
  <c r="HU622" i="31"/>
  <c r="HN623" i="31"/>
  <c r="HO623" i="31"/>
  <c r="HP623" i="31"/>
  <c r="HQ623" i="31"/>
  <c r="HR623" i="31"/>
  <c r="HS623" i="31"/>
  <c r="HT623" i="31"/>
  <c r="HU623" i="31"/>
  <c r="HN624" i="31"/>
  <c r="HO624" i="31"/>
  <c r="HP624" i="31"/>
  <c r="HQ624" i="31"/>
  <c r="HR624" i="31"/>
  <c r="HS624" i="31"/>
  <c r="HT624" i="31"/>
  <c r="HU624" i="31"/>
  <c r="HN625" i="31"/>
  <c r="HO625" i="31"/>
  <c r="HP625" i="31"/>
  <c r="HQ625" i="31"/>
  <c r="HR625" i="31"/>
  <c r="HS625" i="31"/>
  <c r="HT625" i="31"/>
  <c r="HU625" i="31"/>
  <c r="HN626" i="31"/>
  <c r="HO626" i="31"/>
  <c r="HP626" i="31"/>
  <c r="HQ626" i="31"/>
  <c r="HR626" i="31"/>
  <c r="HS626" i="31"/>
  <c r="HT626" i="31"/>
  <c r="HU626" i="31"/>
  <c r="HN627" i="31"/>
  <c r="HO627" i="31"/>
  <c r="HP627" i="31"/>
  <c r="HQ627" i="31"/>
  <c r="HR627" i="31"/>
  <c r="HS627" i="31"/>
  <c r="HT627" i="31"/>
  <c r="HU627" i="31"/>
  <c r="HN628" i="31"/>
  <c r="HO628" i="31"/>
  <c r="HP628" i="31"/>
  <c r="HQ628" i="31"/>
  <c r="HR628" i="31"/>
  <c r="HS628" i="31"/>
  <c r="HT628" i="31"/>
  <c r="HU628" i="31"/>
  <c r="HN629" i="31"/>
  <c r="HO629" i="31"/>
  <c r="HP629" i="31"/>
  <c r="HQ629" i="31"/>
  <c r="HR629" i="31"/>
  <c r="HS629" i="31"/>
  <c r="HT629" i="31"/>
  <c r="HU629" i="31"/>
  <c r="HN630" i="31"/>
  <c r="HO630" i="31"/>
  <c r="HP630" i="31"/>
  <c r="HQ630" i="31"/>
  <c r="HR630" i="31"/>
  <c r="HS630" i="31"/>
  <c r="HT630" i="31"/>
  <c r="HU630" i="31"/>
  <c r="HM631" i="31"/>
  <c r="HN631" i="31"/>
  <c r="HO631" i="31"/>
  <c r="HP631" i="31"/>
  <c r="HQ631" i="31"/>
  <c r="HR631" i="31"/>
  <c r="HS631" i="31"/>
  <c r="HT631" i="31"/>
  <c r="HU631" i="31"/>
  <c r="HM632" i="31"/>
  <c r="HN632" i="31"/>
  <c r="HO632" i="31"/>
  <c r="HP632" i="31"/>
  <c r="HQ632" i="31"/>
  <c r="HR632" i="31"/>
  <c r="HS632" i="31"/>
  <c r="HT632" i="31"/>
  <c r="HU632" i="31"/>
  <c r="HN633" i="31"/>
  <c r="HO633" i="31"/>
  <c r="HP633" i="31"/>
  <c r="HQ633" i="31"/>
  <c r="HR633" i="31"/>
  <c r="HS633" i="31"/>
  <c r="HT633" i="31"/>
  <c r="HU633" i="31"/>
  <c r="HN634" i="31"/>
  <c r="HO634" i="31"/>
  <c r="HP634" i="31"/>
  <c r="HQ634" i="31"/>
  <c r="HR634" i="31"/>
  <c r="HS634" i="31"/>
  <c r="HT634" i="31"/>
  <c r="HU634" i="31"/>
  <c r="HN635" i="31"/>
  <c r="HO635" i="31"/>
  <c r="HP635" i="31"/>
  <c r="HQ635" i="31"/>
  <c r="HR635" i="31"/>
  <c r="HS635" i="31"/>
  <c r="HT635" i="31"/>
  <c r="HU635" i="31"/>
  <c r="HN636" i="31"/>
  <c r="HO636" i="31"/>
  <c r="HP636" i="31"/>
  <c r="HQ636" i="31"/>
  <c r="HR636" i="31"/>
  <c r="HS636" i="31"/>
  <c r="HT636" i="31"/>
  <c r="HU636" i="31"/>
  <c r="HN637" i="31"/>
  <c r="HO637" i="31"/>
  <c r="HQ637" i="31"/>
  <c r="HR637" i="31"/>
  <c r="HS637" i="31"/>
  <c r="HT637" i="31"/>
  <c r="HU637" i="31"/>
  <c r="HN638" i="31"/>
  <c r="HO638" i="31"/>
  <c r="HP638" i="31"/>
  <c r="HR638" i="31"/>
  <c r="HS638" i="31"/>
  <c r="HT638" i="31"/>
  <c r="HU638" i="31"/>
  <c r="HN639" i="31"/>
  <c r="HO639" i="31"/>
  <c r="HP639" i="31"/>
  <c r="HQ639" i="31"/>
  <c r="HR639" i="31"/>
  <c r="HS639" i="31"/>
  <c r="HT639" i="31"/>
  <c r="HU639" i="31"/>
  <c r="HN640" i="31"/>
  <c r="HO640" i="31"/>
  <c r="HP640" i="31"/>
  <c r="HQ640" i="31"/>
  <c r="HR640" i="31"/>
  <c r="HS640" i="31"/>
  <c r="HT640" i="31"/>
  <c r="HU640" i="31"/>
  <c r="HN641" i="31"/>
  <c r="HO641" i="31"/>
  <c r="HP641" i="31"/>
  <c r="HQ641" i="31"/>
  <c r="HR641" i="31"/>
  <c r="HS641" i="31"/>
  <c r="HT641" i="31"/>
  <c r="HU641" i="31"/>
  <c r="HN642" i="31"/>
  <c r="HO642" i="31"/>
  <c r="HP642" i="31"/>
  <c r="HQ642" i="31"/>
  <c r="HR642" i="31"/>
  <c r="HS642" i="31"/>
  <c r="HT642" i="31"/>
  <c r="HU642" i="31"/>
  <c r="HN643" i="31"/>
  <c r="HO643" i="31"/>
  <c r="HP643" i="31"/>
  <c r="HQ643" i="31"/>
  <c r="HR643" i="31"/>
  <c r="HS643" i="31"/>
  <c r="HT643" i="31"/>
  <c r="HU643" i="31"/>
  <c r="HN644" i="31"/>
  <c r="HO644" i="31"/>
  <c r="HP644" i="31"/>
  <c r="HQ644" i="31"/>
  <c r="HR644" i="31"/>
  <c r="HS644" i="31"/>
  <c r="HT644" i="31"/>
  <c r="HU644" i="31"/>
  <c r="HN645" i="31"/>
  <c r="HO645" i="31"/>
  <c r="HP645" i="31"/>
  <c r="HQ645" i="31"/>
  <c r="HR645" i="31"/>
  <c r="HS645" i="31"/>
  <c r="HT645" i="31"/>
  <c r="HU645" i="31"/>
  <c r="HN646" i="31"/>
  <c r="HO646" i="31"/>
  <c r="HP646" i="31"/>
  <c r="HQ646" i="31"/>
  <c r="HR646" i="31"/>
  <c r="HS646" i="31"/>
  <c r="HT646" i="31"/>
  <c r="HU646" i="31"/>
  <c r="HN647" i="31"/>
  <c r="HO647" i="31"/>
  <c r="HP647" i="31"/>
  <c r="HQ647" i="31"/>
  <c r="HR647" i="31"/>
  <c r="HS647" i="31"/>
  <c r="HT647" i="31"/>
  <c r="HU647" i="31"/>
  <c r="HN648" i="31"/>
  <c r="HO648" i="31"/>
  <c r="HP648" i="31"/>
  <c r="HQ648" i="31"/>
  <c r="HR648" i="31"/>
  <c r="HS648" i="31"/>
  <c r="HT648" i="31"/>
  <c r="HU648" i="31"/>
  <c r="HN649" i="31"/>
  <c r="HO649" i="31"/>
  <c r="HP649" i="31"/>
  <c r="HQ649" i="31"/>
  <c r="HR649" i="31"/>
  <c r="HS649" i="31"/>
  <c r="HT649" i="31"/>
  <c r="HU649" i="31"/>
  <c r="HN650" i="31"/>
  <c r="HO650" i="31"/>
  <c r="HP650" i="31"/>
  <c r="HQ650" i="31"/>
  <c r="HR650" i="31"/>
  <c r="HS650" i="31"/>
  <c r="HT650" i="31"/>
  <c r="HU650" i="31"/>
  <c r="HN651" i="31"/>
  <c r="HO651" i="31"/>
  <c r="HP651" i="31"/>
  <c r="HQ651" i="31"/>
  <c r="HR651" i="31"/>
  <c r="HS651" i="31"/>
  <c r="HT651" i="31"/>
  <c r="HU651" i="31"/>
  <c r="HN652" i="31"/>
  <c r="HO652" i="31"/>
  <c r="HP652" i="31"/>
  <c r="HQ652" i="31"/>
  <c r="HR652" i="31"/>
  <c r="HS652" i="31"/>
  <c r="HT652" i="31"/>
  <c r="HU652" i="31"/>
  <c r="HN653" i="31"/>
  <c r="HO653" i="31"/>
  <c r="HP653" i="31"/>
  <c r="HQ653" i="31"/>
  <c r="HR653" i="31"/>
  <c r="HS653" i="31"/>
  <c r="HT653" i="31"/>
  <c r="HU653" i="31"/>
  <c r="HN654" i="31"/>
  <c r="HO654" i="31"/>
  <c r="HP654" i="31"/>
  <c r="HQ654" i="31"/>
  <c r="HR654" i="31"/>
  <c r="HS654" i="31"/>
  <c r="HT654" i="31"/>
  <c r="HU654" i="31"/>
  <c r="HN655" i="31"/>
  <c r="HO655" i="31"/>
  <c r="HP655" i="31"/>
  <c r="HQ655" i="31"/>
  <c r="HR655" i="31"/>
  <c r="HS655" i="31"/>
  <c r="HT655" i="31"/>
  <c r="HU655" i="31"/>
  <c r="HN656" i="31"/>
  <c r="HO656" i="31"/>
  <c r="HP656" i="31"/>
  <c r="HQ656" i="31"/>
  <c r="HR656" i="31"/>
  <c r="HS656" i="31"/>
  <c r="HT656" i="31"/>
  <c r="HU656" i="31"/>
  <c r="HN657" i="31"/>
  <c r="HO657" i="31"/>
  <c r="HP657" i="31"/>
  <c r="HQ657" i="31"/>
  <c r="HR657" i="31"/>
  <c r="HS657" i="31"/>
  <c r="HT657" i="31"/>
  <c r="HU657" i="31"/>
  <c r="HN658" i="31"/>
  <c r="HO658" i="31"/>
  <c r="HP658" i="31"/>
  <c r="HQ658" i="31"/>
  <c r="HR658" i="31"/>
  <c r="HS658" i="31"/>
  <c r="HT658" i="31"/>
  <c r="HU658" i="31"/>
  <c r="HO659" i="31"/>
  <c r="HP659" i="31"/>
  <c r="HQ659" i="31"/>
  <c r="HS659" i="31"/>
  <c r="HT659" i="31"/>
  <c r="HU659" i="31"/>
  <c r="HN660" i="31"/>
  <c r="HO660" i="31"/>
  <c r="HP660" i="31"/>
  <c r="HQ660" i="31"/>
  <c r="HR660" i="31"/>
  <c r="HS660" i="31"/>
  <c r="HT660" i="31"/>
  <c r="HU660" i="31"/>
  <c r="HN661" i="31"/>
  <c r="HO661" i="31"/>
  <c r="HP661" i="31"/>
  <c r="HQ661" i="31"/>
  <c r="HR661" i="31"/>
  <c r="HS661" i="31"/>
  <c r="HT661" i="31"/>
  <c r="HU661" i="31"/>
  <c r="HN662" i="31"/>
  <c r="HO662" i="31"/>
  <c r="HP662" i="31"/>
  <c r="HQ662" i="31"/>
  <c r="HR662" i="31"/>
  <c r="HS662" i="31"/>
  <c r="HT662" i="31"/>
  <c r="HU662" i="31"/>
  <c r="HN663" i="31"/>
  <c r="HO663" i="31"/>
  <c r="HP663" i="31"/>
  <c r="HQ663" i="31"/>
  <c r="HR663" i="31"/>
  <c r="HS663" i="31"/>
  <c r="HT663" i="31"/>
  <c r="HU663" i="31"/>
  <c r="HN664" i="31"/>
  <c r="HO664" i="31"/>
  <c r="HP664" i="31"/>
  <c r="HQ664" i="31"/>
  <c r="HR664" i="31"/>
  <c r="HS664" i="31"/>
  <c r="HT664" i="31"/>
  <c r="HU664" i="31"/>
  <c r="HN665" i="31"/>
  <c r="HO665" i="31"/>
  <c r="HP665" i="31"/>
  <c r="HQ665" i="31"/>
  <c r="HR665" i="31"/>
  <c r="HS665" i="31"/>
  <c r="HT665" i="31"/>
  <c r="HU665" i="31"/>
  <c r="HN666" i="31"/>
  <c r="HO666" i="31"/>
  <c r="HP666" i="31"/>
  <c r="HQ666" i="31"/>
  <c r="HR666" i="31"/>
  <c r="HS666" i="31"/>
  <c r="HT666" i="31"/>
  <c r="HU666" i="31"/>
  <c r="HN667" i="31"/>
  <c r="HO667" i="31"/>
  <c r="HP667" i="31"/>
  <c r="HQ667" i="31"/>
  <c r="HR667" i="31"/>
  <c r="HS667" i="31"/>
  <c r="HT667" i="31"/>
  <c r="HU667" i="31"/>
  <c r="HN668" i="31"/>
  <c r="HO668" i="31"/>
  <c r="HP668" i="31"/>
  <c r="HQ668" i="31"/>
  <c r="HR668" i="31"/>
  <c r="HS668" i="31"/>
  <c r="HT668" i="31"/>
  <c r="HU668" i="31"/>
  <c r="HN669" i="31"/>
  <c r="HO669" i="31"/>
  <c r="HP669" i="31"/>
  <c r="HQ669" i="31"/>
  <c r="HR669" i="31"/>
  <c r="HS669" i="31"/>
  <c r="HT669" i="31"/>
  <c r="HU669" i="31"/>
  <c r="HN670" i="31"/>
  <c r="HO670" i="31"/>
  <c r="HP670" i="31"/>
  <c r="HQ670" i="31"/>
  <c r="HR670" i="31"/>
  <c r="HS670" i="31"/>
  <c r="HT670" i="31"/>
  <c r="HU670" i="31"/>
  <c r="HN671" i="31"/>
  <c r="HO671" i="31"/>
  <c r="HP671" i="31"/>
  <c r="HQ671" i="31"/>
  <c r="HR671" i="31"/>
  <c r="HS671" i="31"/>
  <c r="HT671" i="31"/>
  <c r="HU671" i="31"/>
  <c r="HN672" i="31"/>
  <c r="HO672" i="31"/>
  <c r="HP672" i="31"/>
  <c r="HQ672" i="31"/>
  <c r="HR672" i="31"/>
  <c r="HS672" i="31"/>
  <c r="HT672" i="31"/>
  <c r="HU672" i="31"/>
  <c r="HM673" i="31"/>
  <c r="HN673" i="31"/>
  <c r="HO673" i="31"/>
  <c r="HP673" i="31"/>
  <c r="HQ673" i="31"/>
  <c r="HR673" i="31"/>
  <c r="HS673" i="31"/>
  <c r="HT673" i="31"/>
  <c r="HU673" i="31"/>
  <c r="HM674" i="31"/>
  <c r="HN674" i="31"/>
  <c r="HO674" i="31"/>
  <c r="HP674" i="31"/>
  <c r="HQ674" i="31"/>
  <c r="HR674" i="31"/>
  <c r="HS674" i="31"/>
  <c r="HT674" i="31"/>
  <c r="HU674" i="31"/>
  <c r="HM675" i="31"/>
  <c r="HN675" i="31"/>
  <c r="HO675" i="31"/>
  <c r="HP675" i="31"/>
  <c r="HQ675" i="31"/>
  <c r="HR675" i="31"/>
  <c r="HS675" i="31"/>
  <c r="HT675" i="31"/>
  <c r="HU675" i="31"/>
  <c r="HM676" i="31"/>
  <c r="HN676" i="31"/>
  <c r="HO676" i="31"/>
  <c r="HP676" i="31"/>
  <c r="HQ676" i="31"/>
  <c r="HR676" i="31"/>
  <c r="HS676" i="31"/>
  <c r="HT676" i="31"/>
  <c r="HU676" i="31"/>
  <c r="HM677" i="31"/>
  <c r="HN677" i="31"/>
  <c r="HO677" i="31"/>
  <c r="HP677" i="31"/>
  <c r="HQ677" i="31"/>
  <c r="HR677" i="31"/>
  <c r="HS677" i="31"/>
  <c r="HT677" i="31"/>
  <c r="HU677" i="31"/>
  <c r="HM678" i="31"/>
  <c r="HN678" i="31"/>
  <c r="HO678" i="31"/>
  <c r="HP678" i="31"/>
  <c r="HQ678" i="31"/>
  <c r="HR678" i="31"/>
  <c r="HS678" i="31"/>
  <c r="HT678" i="31"/>
  <c r="HU678" i="31"/>
  <c r="HM679" i="31"/>
  <c r="HN679" i="31"/>
  <c r="HO679" i="31"/>
  <c r="HP679" i="31"/>
  <c r="HQ679" i="31"/>
  <c r="HR679" i="31"/>
  <c r="HS679" i="31"/>
  <c r="HT679" i="31"/>
  <c r="HU679" i="31"/>
  <c r="HN680" i="31"/>
  <c r="HO680" i="31"/>
  <c r="HP680" i="31"/>
  <c r="HQ680" i="31"/>
  <c r="HR680" i="31"/>
  <c r="HS680" i="31"/>
  <c r="HT680" i="31"/>
  <c r="HU680" i="31"/>
  <c r="HN681" i="31"/>
  <c r="HO681" i="31"/>
  <c r="HP681" i="31"/>
  <c r="HQ681" i="31"/>
  <c r="HR681" i="31"/>
  <c r="HS681" i="31"/>
  <c r="HT681" i="31"/>
  <c r="HU681" i="31"/>
  <c r="HN682" i="31"/>
  <c r="HO682" i="31"/>
  <c r="HP682" i="31"/>
  <c r="HQ682" i="31"/>
  <c r="HR682" i="31"/>
  <c r="HS682" i="31"/>
  <c r="HT682" i="31"/>
  <c r="HU682" i="31"/>
  <c r="HN683" i="31"/>
  <c r="HO683" i="31"/>
  <c r="HP683" i="31"/>
  <c r="HQ683" i="31"/>
  <c r="HR683" i="31"/>
  <c r="HS683" i="31"/>
  <c r="HT683" i="31"/>
  <c r="HU683" i="31"/>
  <c r="HN684" i="31"/>
  <c r="HO684" i="31"/>
  <c r="HP684" i="31"/>
  <c r="HQ684" i="31"/>
  <c r="HR684" i="31"/>
  <c r="HS684" i="31"/>
  <c r="HT684" i="31"/>
  <c r="HU684" i="31"/>
  <c r="HN685" i="31"/>
  <c r="HO685" i="31"/>
  <c r="HP685" i="31"/>
  <c r="HQ685" i="31"/>
  <c r="HR685" i="31"/>
  <c r="HS685" i="31"/>
  <c r="HT685" i="31"/>
  <c r="HU685" i="31"/>
  <c r="HN686" i="31"/>
  <c r="HO686" i="31"/>
  <c r="HP686" i="31"/>
  <c r="HQ686" i="31"/>
  <c r="HR686" i="31"/>
  <c r="HS686" i="31"/>
  <c r="HT686" i="31"/>
  <c r="HU686" i="31"/>
  <c r="HN687" i="31"/>
  <c r="HO687" i="31"/>
  <c r="HP687" i="31"/>
  <c r="HQ687" i="31"/>
  <c r="HR687" i="31"/>
  <c r="HS687" i="31"/>
  <c r="HT687" i="31"/>
  <c r="HU687" i="31"/>
  <c r="HM688" i="31"/>
  <c r="HN688" i="31"/>
  <c r="HO688" i="31"/>
  <c r="HP688" i="31"/>
  <c r="HQ688" i="31"/>
  <c r="HR688" i="31"/>
  <c r="HS688" i="31"/>
  <c r="HT688" i="31"/>
  <c r="HU688" i="31"/>
  <c r="F689" i="31"/>
  <c r="G689" i="31"/>
  <c r="H689" i="31"/>
  <c r="I689" i="31"/>
  <c r="J689" i="31"/>
  <c r="K689" i="31"/>
  <c r="L689" i="31"/>
  <c r="M689" i="31"/>
  <c r="N689" i="31"/>
  <c r="O689" i="31"/>
  <c r="P689" i="31"/>
  <c r="Q689" i="31"/>
  <c r="R689" i="31"/>
  <c r="S689" i="31"/>
  <c r="T689" i="31"/>
  <c r="U689" i="31"/>
  <c r="V689" i="31"/>
  <c r="W689" i="31"/>
  <c r="X689" i="31"/>
  <c r="Y689" i="31"/>
  <c r="Z689" i="31"/>
  <c r="AA689" i="31"/>
  <c r="AB689" i="31"/>
  <c r="AC689" i="31"/>
  <c r="AD689" i="31"/>
  <c r="AE689" i="31"/>
  <c r="AF689" i="31"/>
  <c r="AG689" i="31"/>
  <c r="AH689" i="31"/>
  <c r="AI689" i="31"/>
  <c r="AJ689" i="31"/>
  <c r="AK689" i="31"/>
  <c r="AL689" i="31"/>
  <c r="AM689" i="31"/>
  <c r="AN689" i="31"/>
  <c r="AO689" i="31"/>
  <c r="AP689" i="31"/>
  <c r="AQ689" i="31"/>
  <c r="AR689" i="31"/>
  <c r="AS689" i="31"/>
  <c r="AT689" i="31"/>
  <c r="AU689" i="31"/>
  <c r="AV689" i="31"/>
  <c r="AW689" i="31"/>
  <c r="AX689" i="31"/>
  <c r="AY689" i="31"/>
  <c r="AZ689" i="31"/>
  <c r="BA689" i="31"/>
  <c r="BB689" i="31"/>
  <c r="BC689" i="31"/>
  <c r="BD689" i="31"/>
  <c r="BE689" i="31"/>
  <c r="BF689" i="31"/>
  <c r="BG689" i="31"/>
  <c r="BH689" i="31"/>
  <c r="BI689" i="31"/>
  <c r="BJ689" i="31"/>
  <c r="BK689" i="31"/>
  <c r="BL689" i="31"/>
  <c r="BM689" i="31"/>
  <c r="BN689" i="31"/>
  <c r="BO689" i="31"/>
  <c r="BP689" i="31"/>
  <c r="BQ689" i="31"/>
  <c r="BR689" i="31"/>
  <c r="BS689" i="31"/>
  <c r="BT689" i="31"/>
  <c r="BU689" i="31"/>
  <c r="BV689" i="31"/>
  <c r="BW689" i="31"/>
  <c r="BX689" i="31"/>
  <c r="BY689" i="31"/>
  <c r="BZ689" i="31"/>
  <c r="CA689" i="31"/>
  <c r="CB689" i="31"/>
  <c r="CC689" i="31"/>
  <c r="CD689" i="31"/>
  <c r="CE689" i="31"/>
  <c r="CF689" i="31"/>
  <c r="CG689" i="31"/>
  <c r="CH689" i="31"/>
  <c r="CI689" i="31"/>
  <c r="CJ689" i="31"/>
  <c r="CK689" i="31"/>
  <c r="CL689" i="31"/>
  <c r="CM689" i="31"/>
  <c r="CN689" i="31"/>
  <c r="CO689" i="31"/>
  <c r="CP689" i="31"/>
  <c r="CQ689" i="31"/>
  <c r="CR689" i="31"/>
  <c r="CS689" i="31"/>
  <c r="CT689" i="31"/>
  <c r="CU689" i="31"/>
  <c r="CV689" i="31"/>
  <c r="CW689" i="31"/>
  <c r="CX689" i="31"/>
  <c r="CY689" i="31"/>
  <c r="CZ689" i="31"/>
  <c r="DA689" i="31"/>
  <c r="DB689" i="31"/>
  <c r="DC689" i="31"/>
  <c r="DD689" i="31"/>
  <c r="DE689" i="31"/>
  <c r="DF689" i="31"/>
  <c r="DG689" i="31"/>
  <c r="DH689" i="31"/>
  <c r="DI689" i="31"/>
  <c r="DJ689" i="31"/>
  <c r="DK689" i="31"/>
  <c r="DL689" i="31"/>
  <c r="DM689" i="31"/>
  <c r="DN689" i="31"/>
  <c r="DO689" i="31"/>
  <c r="DP689" i="31"/>
  <c r="DQ689" i="31"/>
  <c r="DR689" i="31"/>
  <c r="DS689" i="31"/>
  <c r="DT689" i="31"/>
  <c r="DU689" i="31"/>
  <c r="DV689" i="31"/>
  <c r="DW689" i="31"/>
  <c r="DX689" i="31"/>
  <c r="DY689" i="31"/>
  <c r="DZ689" i="31"/>
  <c r="EA689" i="31"/>
  <c r="EB689" i="31"/>
  <c r="EC689" i="31"/>
  <c r="ED689" i="31"/>
  <c r="EE689" i="31"/>
  <c r="EF689" i="31"/>
  <c r="EG689" i="31"/>
  <c r="EH689" i="31"/>
  <c r="EI689" i="31"/>
  <c r="EJ689" i="31"/>
  <c r="EK689" i="31"/>
  <c r="EL689" i="31"/>
  <c r="EM689" i="31"/>
  <c r="EN689" i="31"/>
  <c r="EO689" i="31"/>
  <c r="EP689" i="31"/>
  <c r="EQ689" i="31"/>
  <c r="ER689" i="31"/>
  <c r="ES689" i="31"/>
  <c r="ET689" i="31"/>
  <c r="EU689" i="31"/>
  <c r="EV689" i="31"/>
  <c r="EW689" i="31"/>
  <c r="EX689" i="31"/>
  <c r="EY689" i="31"/>
  <c r="EZ689" i="31"/>
  <c r="FA689" i="31"/>
  <c r="FB689" i="31"/>
  <c r="FC689" i="31"/>
  <c r="FD689" i="31"/>
  <c r="FE689" i="31"/>
  <c r="FF689" i="31"/>
  <c r="FG689" i="31"/>
  <c r="FH689" i="31"/>
  <c r="FI689" i="31"/>
  <c r="FJ689" i="31"/>
  <c r="FK689" i="31"/>
  <c r="FL689" i="31"/>
  <c r="FM689" i="31"/>
  <c r="FN689" i="31"/>
  <c r="FO689" i="31"/>
  <c r="FP689" i="31"/>
  <c r="FQ689" i="31"/>
  <c r="FR689" i="31"/>
  <c r="FS689" i="31"/>
  <c r="FT689" i="31"/>
  <c r="FU689" i="31"/>
  <c r="FV689" i="31"/>
  <c r="FW689" i="31"/>
  <c r="FX689" i="31"/>
  <c r="FY689" i="31"/>
  <c r="FZ689" i="31"/>
  <c r="GA689" i="31"/>
  <c r="GB689" i="31"/>
  <c r="GC689" i="31"/>
  <c r="GD689" i="31"/>
  <c r="GE689" i="31"/>
  <c r="GF689" i="31"/>
  <c r="GG689" i="31"/>
  <c r="GH689" i="31"/>
  <c r="GI689" i="31"/>
  <c r="GJ689" i="31"/>
  <c r="GK689" i="31"/>
  <c r="GL689" i="31"/>
  <c r="GM689" i="31"/>
  <c r="GN689" i="31"/>
  <c r="GO689" i="31"/>
  <c r="GP689" i="31"/>
  <c r="GQ689" i="31"/>
  <c r="GR689" i="31"/>
  <c r="GS689" i="31"/>
  <c r="GT689" i="31"/>
  <c r="GU689" i="31"/>
  <c r="GV689" i="31"/>
  <c r="GW689" i="31"/>
  <c r="GX689" i="31"/>
  <c r="GY689" i="31"/>
  <c r="GZ689" i="31"/>
  <c r="HA689" i="31"/>
  <c r="HB689" i="31"/>
  <c r="HC689" i="31"/>
  <c r="HD689" i="31"/>
  <c r="HE689" i="31"/>
  <c r="HF689" i="31"/>
  <c r="HG689" i="31"/>
  <c r="HH689" i="31"/>
  <c r="HI689" i="31"/>
  <c r="HJ689" i="31"/>
  <c r="HK689" i="31"/>
  <c r="HL689" i="31"/>
  <c r="HT689" i="31"/>
  <c r="F690" i="31"/>
  <c r="G690" i="31"/>
  <c r="H690" i="31"/>
  <c r="I690" i="31"/>
  <c r="J690" i="31"/>
  <c r="K690" i="31"/>
  <c r="L690" i="31"/>
  <c r="M690" i="31"/>
  <c r="N690" i="31"/>
  <c r="O690" i="31"/>
  <c r="P690" i="31"/>
  <c r="Q690" i="31"/>
  <c r="R690" i="31"/>
  <c r="S690" i="31"/>
  <c r="T690" i="31"/>
  <c r="U690" i="31"/>
  <c r="V690" i="31"/>
  <c r="W690" i="31"/>
  <c r="X690" i="31"/>
  <c r="Y690" i="31"/>
  <c r="AA690" i="31"/>
  <c r="AB690" i="31"/>
  <c r="AC690" i="31"/>
  <c r="AD690" i="31"/>
  <c r="AE690" i="31"/>
  <c r="AF690" i="31"/>
  <c r="AG690" i="31"/>
  <c r="AH690" i="31"/>
  <c r="AI690" i="31"/>
  <c r="AJ690" i="31"/>
  <c r="AK690" i="31"/>
  <c r="AL690" i="31"/>
  <c r="AM690" i="31"/>
  <c r="AN690" i="31"/>
  <c r="AO690" i="31"/>
  <c r="AP690" i="31"/>
  <c r="AQ690" i="31"/>
  <c r="AR690" i="31"/>
  <c r="AS690" i="31"/>
  <c r="AT690" i="31"/>
  <c r="AU690" i="31"/>
  <c r="AV690" i="31"/>
  <c r="AW690" i="31"/>
  <c r="AX690" i="31"/>
  <c r="AY690" i="31"/>
  <c r="AZ690" i="31"/>
  <c r="BA690" i="31"/>
  <c r="BB690" i="31"/>
  <c r="BC690" i="31"/>
  <c r="BD690" i="31"/>
  <c r="BE690" i="31"/>
  <c r="BF690" i="31"/>
  <c r="BG690" i="31"/>
  <c r="BH690" i="31"/>
  <c r="BI690" i="31"/>
  <c r="BJ690" i="31"/>
  <c r="BK690" i="31"/>
  <c r="BL690" i="31"/>
  <c r="BM690" i="31"/>
  <c r="BN690" i="31"/>
  <c r="BO690" i="31"/>
  <c r="BP690" i="31"/>
  <c r="BQ690" i="31"/>
  <c r="BR690" i="31"/>
  <c r="BS690" i="31"/>
  <c r="BT690" i="31"/>
  <c r="BU690" i="31"/>
  <c r="BV690" i="31"/>
  <c r="BW690" i="31"/>
  <c r="BX690" i="31"/>
  <c r="BY690" i="31"/>
  <c r="BZ690" i="31"/>
  <c r="CA690" i="31"/>
  <c r="CB690" i="31"/>
  <c r="CC690" i="31"/>
  <c r="CD690" i="31"/>
  <c r="CE690" i="31"/>
  <c r="CF690" i="31"/>
  <c r="CG690" i="31"/>
  <c r="CH690" i="31"/>
  <c r="CI690" i="31"/>
  <c r="CJ690" i="31"/>
  <c r="CK690" i="31"/>
  <c r="CL690" i="31"/>
  <c r="CM690" i="31"/>
  <c r="CN690" i="31"/>
  <c r="CO690" i="31"/>
  <c r="CP690" i="31"/>
  <c r="CQ690" i="31"/>
  <c r="CR690" i="31"/>
  <c r="CS690" i="31"/>
  <c r="CT690" i="31"/>
  <c r="CU690" i="31"/>
  <c r="CV690" i="31"/>
  <c r="CW690" i="31"/>
  <c r="CX690" i="31"/>
  <c r="CY690" i="31"/>
  <c r="CZ690" i="31"/>
  <c r="DA690" i="31"/>
  <c r="DB690" i="31"/>
  <c r="DC690" i="31"/>
  <c r="DD690" i="31"/>
  <c r="DE690" i="31"/>
  <c r="DF690" i="31"/>
  <c r="DG690" i="31"/>
  <c r="DH690" i="31"/>
  <c r="DI690" i="31"/>
  <c r="DJ690" i="31"/>
  <c r="DK690" i="31"/>
  <c r="DL690" i="31"/>
  <c r="DM690" i="31"/>
  <c r="DN690" i="31"/>
  <c r="DO690" i="31"/>
  <c r="DP690" i="31"/>
  <c r="DQ690" i="31"/>
  <c r="DR690" i="31"/>
  <c r="DS690" i="31"/>
  <c r="DT690" i="31"/>
  <c r="DU690" i="31"/>
  <c r="DV690" i="31"/>
  <c r="DW690" i="31"/>
  <c r="DX690" i="31"/>
  <c r="DY690" i="31"/>
  <c r="DZ690" i="31"/>
  <c r="EA690" i="31"/>
  <c r="EB690" i="31"/>
  <c r="EC690" i="31"/>
  <c r="ED690" i="31"/>
  <c r="EE690" i="31"/>
  <c r="EF690" i="31"/>
  <c r="EG690" i="31"/>
  <c r="EH690" i="31"/>
  <c r="EI690" i="31"/>
  <c r="EJ690" i="31"/>
  <c r="EK690" i="31"/>
  <c r="EL690" i="31"/>
  <c r="EM690" i="31"/>
  <c r="EN690" i="31"/>
  <c r="EO690" i="31"/>
  <c r="EP690" i="31"/>
  <c r="EQ690" i="31"/>
  <c r="ER690" i="31"/>
  <c r="ES690" i="31"/>
  <c r="ET690" i="31"/>
  <c r="EU690" i="31"/>
  <c r="EV690" i="31"/>
  <c r="EW690" i="31"/>
  <c r="EX690" i="31"/>
  <c r="EY690" i="31"/>
  <c r="EZ690" i="31"/>
  <c r="FA690" i="31"/>
  <c r="FB690" i="31"/>
  <c r="FC690" i="31"/>
  <c r="FD690" i="31"/>
  <c r="FE690" i="31"/>
  <c r="FF690" i="31"/>
  <c r="FG690" i="31"/>
  <c r="FH690" i="31"/>
  <c r="FI690" i="31"/>
  <c r="FJ690" i="31"/>
  <c r="FK690" i="31"/>
  <c r="FL690" i="31"/>
  <c r="FM690" i="31"/>
  <c r="FN690" i="31"/>
  <c r="FO690" i="31"/>
  <c r="FP690" i="31"/>
  <c r="FQ690" i="31"/>
  <c r="FR690" i="31"/>
  <c r="FS690" i="31"/>
  <c r="FT690" i="31"/>
  <c r="FU690" i="31"/>
  <c r="FV690" i="31"/>
  <c r="FW690" i="31"/>
  <c r="FX690" i="31"/>
  <c r="FY690" i="31"/>
  <c r="FZ690" i="31"/>
  <c r="GA690" i="31"/>
  <c r="GB690" i="31"/>
  <c r="GC690" i="31"/>
  <c r="GD690" i="31"/>
  <c r="GE690" i="31"/>
  <c r="GF690" i="31"/>
  <c r="GG690" i="31"/>
  <c r="GH690" i="31"/>
  <c r="GI690" i="31"/>
  <c r="GJ690" i="31"/>
  <c r="GK690" i="31"/>
  <c r="GL690" i="31"/>
  <c r="GM690" i="31"/>
  <c r="GN690" i="31"/>
  <c r="GO690" i="31"/>
  <c r="GP690" i="31"/>
  <c r="GQ690" i="31"/>
  <c r="GR690" i="31"/>
  <c r="GS690" i="31"/>
  <c r="GT690" i="31"/>
  <c r="GU690" i="31"/>
  <c r="GV690" i="31"/>
  <c r="GW690" i="31"/>
  <c r="GX690" i="31"/>
  <c r="GY690" i="31"/>
  <c r="GZ690" i="31"/>
  <c r="HA690" i="31"/>
  <c r="HB690" i="31"/>
  <c r="HC690" i="31"/>
  <c r="HD690" i="31"/>
  <c r="HE690" i="31"/>
  <c r="HF690" i="31"/>
  <c r="HG690" i="31"/>
  <c r="HH690" i="31"/>
  <c r="HI690" i="31"/>
  <c r="HJ690" i="31"/>
  <c r="HK690" i="31"/>
  <c r="HL690" i="31"/>
  <c r="HT690" i="31"/>
  <c r="F691" i="31"/>
  <c r="G691" i="31"/>
  <c r="H691" i="31"/>
  <c r="I691" i="31"/>
  <c r="J691" i="31"/>
  <c r="K691" i="31"/>
  <c r="L691" i="31"/>
  <c r="M691" i="31"/>
  <c r="N691" i="31"/>
  <c r="O691" i="31"/>
  <c r="P691" i="31"/>
  <c r="Q691" i="31"/>
  <c r="R691" i="31"/>
  <c r="S691" i="31"/>
  <c r="T691" i="31"/>
  <c r="U691" i="31"/>
  <c r="V691" i="31"/>
  <c r="W691" i="31"/>
  <c r="X691" i="31"/>
  <c r="Y691" i="31"/>
  <c r="AA691" i="31"/>
  <c r="AB691" i="31"/>
  <c r="AC691" i="31"/>
  <c r="AD691" i="31"/>
  <c r="AE691" i="31"/>
  <c r="AF691" i="31"/>
  <c r="AG691" i="31"/>
  <c r="AH691" i="31"/>
  <c r="AI691" i="31"/>
  <c r="AJ691" i="31"/>
  <c r="AK691" i="31"/>
  <c r="AL691" i="31"/>
  <c r="AM691" i="31"/>
  <c r="AN691" i="31"/>
  <c r="AO691" i="31"/>
  <c r="AP691" i="31"/>
  <c r="AQ691" i="31"/>
  <c r="AR691" i="31"/>
  <c r="AS691" i="31"/>
  <c r="AT691" i="31"/>
  <c r="AU691" i="31"/>
  <c r="AV691" i="31"/>
  <c r="AW691" i="31"/>
  <c r="AX691" i="31"/>
  <c r="AY691" i="31"/>
  <c r="AZ691" i="31"/>
  <c r="BA691" i="31"/>
  <c r="BB691" i="31"/>
  <c r="BC691" i="31"/>
  <c r="BD691" i="31"/>
  <c r="BE691" i="31"/>
  <c r="BF691" i="31"/>
  <c r="BG691" i="31"/>
  <c r="BH691" i="31"/>
  <c r="BI691" i="31"/>
  <c r="BJ691" i="31"/>
  <c r="BK691" i="31"/>
  <c r="BL691" i="31"/>
  <c r="BM691" i="31"/>
  <c r="BN691" i="31"/>
  <c r="BO691" i="31"/>
  <c r="BP691" i="31"/>
  <c r="BQ691" i="31"/>
  <c r="BR691" i="31"/>
  <c r="BS691" i="31"/>
  <c r="BT691" i="31"/>
  <c r="BU691" i="31"/>
  <c r="BV691" i="31"/>
  <c r="BW691" i="31"/>
  <c r="BX691" i="31"/>
  <c r="BY691" i="31"/>
  <c r="BZ691" i="31"/>
  <c r="CA691" i="31"/>
  <c r="CB691" i="31"/>
  <c r="CC691" i="31"/>
  <c r="CE691" i="31"/>
  <c r="CF691" i="31"/>
  <c r="CG691" i="31"/>
  <c r="CH691" i="31"/>
  <c r="CI691" i="31"/>
  <c r="CJ691" i="31"/>
  <c r="CK691" i="31"/>
  <c r="CL691" i="31"/>
  <c r="CM691" i="31"/>
  <c r="CN691" i="31"/>
  <c r="CO691" i="31"/>
  <c r="CP691" i="31"/>
  <c r="CQ691" i="31"/>
  <c r="CR691" i="31"/>
  <c r="CS691" i="31"/>
  <c r="CT691" i="31"/>
  <c r="CU691" i="31"/>
  <c r="CV691" i="31"/>
  <c r="CW691" i="31"/>
  <c r="CX691" i="31"/>
  <c r="CY691" i="31"/>
  <c r="CZ691" i="31"/>
  <c r="DA691" i="31"/>
  <c r="DB691" i="31"/>
  <c r="DC691" i="31"/>
  <c r="DD691" i="31"/>
  <c r="DE691" i="31"/>
  <c r="DF691" i="31"/>
  <c r="DG691" i="31"/>
  <c r="DH691" i="31"/>
  <c r="DI691" i="31"/>
  <c r="DJ691" i="31"/>
  <c r="DK691" i="31"/>
  <c r="DL691" i="31"/>
  <c r="DM691" i="31"/>
  <c r="DN691" i="31"/>
  <c r="DO691" i="31"/>
  <c r="DP691" i="31"/>
  <c r="DQ691" i="31"/>
  <c r="DR691" i="31"/>
  <c r="DS691" i="31"/>
  <c r="DT691" i="31"/>
  <c r="DU691" i="31"/>
  <c r="DV691" i="31"/>
  <c r="DW691" i="31"/>
  <c r="DX691" i="31"/>
  <c r="DY691" i="31"/>
  <c r="DZ691" i="31"/>
  <c r="EA691" i="31"/>
  <c r="EB691" i="31"/>
  <c r="EC691" i="31"/>
  <c r="ED691" i="31"/>
  <c r="EE691" i="31"/>
  <c r="EF691" i="31"/>
  <c r="EG691" i="31"/>
  <c r="EH691" i="31"/>
  <c r="EI691" i="31"/>
  <c r="EJ691" i="31"/>
  <c r="EK691" i="31"/>
  <c r="EL691" i="31"/>
  <c r="EM691" i="31"/>
  <c r="EN691" i="31"/>
  <c r="EO691" i="31"/>
  <c r="EP691" i="31"/>
  <c r="EQ691" i="31"/>
  <c r="ER691" i="31"/>
  <c r="ES691" i="31"/>
  <c r="ET691" i="31"/>
  <c r="EU691" i="31"/>
  <c r="EV691" i="31"/>
  <c r="EW691" i="31"/>
  <c r="EX691" i="31"/>
  <c r="EY691" i="31"/>
  <c r="EZ691" i="31"/>
  <c r="FA691" i="31"/>
  <c r="FB691" i="31"/>
  <c r="FC691" i="31"/>
  <c r="FD691" i="31"/>
  <c r="FE691" i="31"/>
  <c r="FF691" i="31"/>
  <c r="FG691" i="31"/>
  <c r="FH691" i="31"/>
  <c r="FI691" i="31"/>
  <c r="FJ691" i="31"/>
  <c r="FK691" i="31"/>
  <c r="FL691" i="31"/>
  <c r="FM691" i="31"/>
  <c r="FN691" i="31"/>
  <c r="FO691" i="31"/>
  <c r="FP691" i="31"/>
  <c r="FQ691" i="31"/>
  <c r="FR691" i="31"/>
  <c r="FS691" i="31"/>
  <c r="FT691" i="31"/>
  <c r="FU691" i="31"/>
  <c r="FV691" i="31"/>
  <c r="FW691" i="31"/>
  <c r="FX691" i="31"/>
  <c r="FY691" i="31"/>
  <c r="FZ691" i="31"/>
  <c r="GA691" i="31"/>
  <c r="GB691" i="31"/>
  <c r="GC691" i="31"/>
  <c r="GD691" i="31"/>
  <c r="GE691" i="31"/>
  <c r="GF691" i="31"/>
  <c r="GG691" i="31"/>
  <c r="GH691" i="31"/>
  <c r="GI691" i="31"/>
  <c r="GJ691" i="31"/>
  <c r="GK691" i="31"/>
  <c r="GL691" i="31"/>
  <c r="GM691" i="31"/>
  <c r="GN691" i="31"/>
  <c r="GO691" i="31"/>
  <c r="GP691" i="31"/>
  <c r="GQ691" i="31"/>
  <c r="GR691" i="31"/>
  <c r="GS691" i="31"/>
  <c r="GT691" i="31"/>
  <c r="GU691" i="31"/>
  <c r="GV691" i="31"/>
  <c r="GW691" i="31"/>
  <c r="GX691" i="31"/>
  <c r="GY691" i="31"/>
  <c r="GZ691" i="31"/>
  <c r="HA691" i="31"/>
  <c r="HB691" i="31"/>
  <c r="HC691" i="31"/>
  <c r="HD691" i="31"/>
  <c r="HE691" i="31"/>
  <c r="HF691" i="31"/>
  <c r="HG691" i="31"/>
  <c r="HH691" i="31"/>
  <c r="HI691" i="31"/>
  <c r="HJ691" i="31"/>
  <c r="HK691" i="31"/>
  <c r="HL691" i="31"/>
  <c r="HT691" i="31"/>
  <c r="F692" i="31"/>
  <c r="G692" i="31"/>
  <c r="H692" i="31"/>
  <c r="I692" i="31"/>
  <c r="K692" i="31"/>
  <c r="L692" i="31"/>
  <c r="M692" i="31"/>
  <c r="N692" i="31"/>
  <c r="O692" i="31"/>
  <c r="P692" i="31"/>
  <c r="Q692" i="31"/>
  <c r="R692" i="31"/>
  <c r="S692" i="31"/>
  <c r="T692" i="31"/>
  <c r="U692" i="31"/>
  <c r="V692" i="31"/>
  <c r="W692" i="31"/>
  <c r="X692" i="31"/>
  <c r="Y692" i="31"/>
  <c r="AA692" i="31"/>
  <c r="AB692" i="31"/>
  <c r="AC692" i="31"/>
  <c r="AD692" i="31"/>
  <c r="AE692" i="31"/>
  <c r="AF692" i="31"/>
  <c r="AG692" i="31"/>
  <c r="AH692" i="31"/>
  <c r="AI692" i="31"/>
  <c r="AJ692" i="31"/>
  <c r="AK692" i="31"/>
  <c r="AL692" i="31"/>
  <c r="AM692" i="31"/>
  <c r="AN692" i="31"/>
  <c r="AO692" i="31"/>
  <c r="AQ692" i="31"/>
  <c r="AR692" i="31"/>
  <c r="AS692" i="31"/>
  <c r="AT692" i="31"/>
  <c r="AU692" i="31"/>
  <c r="AV692" i="31"/>
  <c r="AW692" i="31"/>
  <c r="AX692" i="31"/>
  <c r="AY692" i="31"/>
  <c r="AZ692" i="31"/>
  <c r="BA692" i="31"/>
  <c r="BB692" i="31"/>
  <c r="BC692" i="31"/>
  <c r="BD692" i="31"/>
  <c r="BE692" i="31"/>
  <c r="BG692" i="31"/>
  <c r="BH692" i="31"/>
  <c r="BI692" i="31"/>
  <c r="BJ692" i="31"/>
  <c r="BK692" i="31"/>
  <c r="BL692" i="31"/>
  <c r="BM692" i="31"/>
  <c r="BN692" i="31"/>
  <c r="BO692" i="31"/>
  <c r="BP692" i="31"/>
  <c r="BQ692" i="31"/>
  <c r="BR692" i="31"/>
  <c r="BS692" i="31"/>
  <c r="BT692" i="31"/>
  <c r="BU692" i="31"/>
  <c r="BW692" i="31"/>
  <c r="BX692" i="31"/>
  <c r="BY692" i="31"/>
  <c r="BZ692" i="31"/>
  <c r="CA692" i="31"/>
  <c r="CB692" i="31"/>
  <c r="CC692" i="31"/>
  <c r="CE692" i="31"/>
  <c r="CF692" i="31"/>
  <c r="CG692" i="31"/>
  <c r="CH692" i="31"/>
  <c r="CI692" i="31"/>
  <c r="CJ692" i="31"/>
  <c r="CK692" i="31"/>
  <c r="CM692" i="31"/>
  <c r="CN692" i="31"/>
  <c r="CO692" i="31"/>
  <c r="CP692" i="31"/>
  <c r="CQ692" i="31"/>
  <c r="CR692" i="31"/>
  <c r="CS692" i="31"/>
  <c r="CT692" i="31"/>
  <c r="CU692" i="31"/>
  <c r="CV692" i="31"/>
  <c r="CW692" i="31"/>
  <c r="CX692" i="31"/>
  <c r="CY692" i="31"/>
  <c r="CZ692" i="31"/>
  <c r="DA692" i="31"/>
  <c r="DC692" i="31"/>
  <c r="DD692" i="31"/>
  <c r="DE692" i="31"/>
  <c r="DF692" i="31"/>
  <c r="DG692" i="31"/>
  <c r="DH692" i="31"/>
  <c r="DI692" i="31"/>
  <c r="DJ692" i="31"/>
  <c r="DK692" i="31"/>
  <c r="DL692" i="31"/>
  <c r="DM692" i="31"/>
  <c r="DN692" i="31"/>
  <c r="DO692" i="31"/>
  <c r="DP692" i="31"/>
  <c r="DQ692" i="31"/>
  <c r="DS692" i="31"/>
  <c r="DT692" i="31"/>
  <c r="DU692" i="31"/>
  <c r="DW692" i="31"/>
  <c r="DX692" i="31"/>
  <c r="DY692" i="31"/>
  <c r="EA692" i="31"/>
  <c r="EB692" i="31"/>
  <c r="EC692" i="31"/>
  <c r="EE692" i="31"/>
  <c r="EF692" i="31"/>
  <c r="EG692" i="31"/>
  <c r="EH692" i="31"/>
  <c r="EI692" i="31"/>
  <c r="EJ692" i="31"/>
  <c r="EK692" i="31"/>
  <c r="EL692" i="31"/>
  <c r="EM692" i="31"/>
  <c r="EN692" i="31"/>
  <c r="EO692" i="31"/>
  <c r="EP692" i="31"/>
  <c r="EQ692" i="31"/>
  <c r="ER692" i="31"/>
  <c r="ES692" i="31"/>
  <c r="ET692" i="31"/>
  <c r="EU692" i="31"/>
  <c r="EV692" i="31"/>
  <c r="EW692" i="31"/>
  <c r="EX692" i="31"/>
  <c r="EY692" i="31"/>
  <c r="EZ692" i="31"/>
  <c r="FA692" i="31"/>
  <c r="FB692" i="31"/>
  <c r="FC692" i="31"/>
  <c r="FD692" i="31"/>
  <c r="FE692" i="31"/>
  <c r="FF692" i="31"/>
  <c r="FG692" i="31"/>
  <c r="FH692" i="31"/>
  <c r="FI692" i="31"/>
  <c r="FJ692" i="31"/>
  <c r="FK692" i="31"/>
  <c r="FL692" i="31"/>
  <c r="FM692" i="31"/>
  <c r="FN692" i="31"/>
  <c r="FO692" i="31"/>
  <c r="FP692" i="31"/>
  <c r="FQ692" i="31"/>
  <c r="FR692" i="31"/>
  <c r="FS692" i="31"/>
  <c r="FT692" i="31"/>
  <c r="FU692" i="31"/>
  <c r="FV692" i="31"/>
  <c r="FW692" i="31"/>
  <c r="FX692" i="31"/>
  <c r="FY692" i="31"/>
  <c r="FZ692" i="31"/>
  <c r="GA692" i="31"/>
  <c r="GB692" i="31"/>
  <c r="GC692" i="31"/>
  <c r="GD692" i="31"/>
  <c r="GE692" i="31"/>
  <c r="GF692" i="31"/>
  <c r="GG692" i="31"/>
  <c r="GH692" i="31"/>
  <c r="GI692" i="31"/>
  <c r="GJ692" i="31"/>
  <c r="GK692" i="31"/>
  <c r="GL692" i="31"/>
  <c r="GM692" i="31"/>
  <c r="GN692" i="31"/>
  <c r="GO692" i="31"/>
  <c r="GP692" i="31"/>
  <c r="GQ692" i="31"/>
  <c r="GR692" i="31"/>
  <c r="GS692" i="31"/>
  <c r="GT692" i="31"/>
  <c r="GU692" i="31"/>
  <c r="GV692" i="31"/>
  <c r="GW692" i="31"/>
  <c r="GX692" i="31"/>
  <c r="GY692" i="31"/>
  <c r="GZ692" i="31"/>
  <c r="HA692" i="31"/>
  <c r="HB692" i="31"/>
  <c r="HC692" i="31"/>
  <c r="HD692" i="31"/>
  <c r="HE692" i="31"/>
  <c r="HF692" i="31"/>
  <c r="HG692" i="31"/>
  <c r="HH692" i="31"/>
  <c r="HI692" i="31"/>
  <c r="HJ692" i="31"/>
  <c r="HK692" i="31"/>
  <c r="HL692" i="31"/>
  <c r="HT692" i="31"/>
  <c r="E693" i="31"/>
  <c r="F693" i="31"/>
  <c r="G693" i="31"/>
  <c r="H693" i="31"/>
  <c r="I693" i="31"/>
  <c r="J693" i="31"/>
  <c r="K693" i="31"/>
  <c r="L693" i="31"/>
  <c r="M693" i="31"/>
  <c r="N693" i="31"/>
  <c r="O693" i="31"/>
  <c r="P693" i="31"/>
  <c r="Q693" i="31"/>
  <c r="R693" i="31"/>
  <c r="S693" i="31"/>
  <c r="T693" i="31"/>
  <c r="U693" i="31"/>
  <c r="V693" i="31"/>
  <c r="W693" i="31"/>
  <c r="X693" i="31"/>
  <c r="Y693" i="31"/>
  <c r="Z693" i="31"/>
  <c r="AA693" i="31"/>
  <c r="AB693" i="31"/>
  <c r="AC693" i="31"/>
  <c r="AD693" i="31"/>
  <c r="AE693" i="31"/>
  <c r="AF693" i="31"/>
  <c r="AG693" i="31"/>
  <c r="AH693" i="31"/>
  <c r="AI693" i="31"/>
  <c r="AJ693" i="31"/>
  <c r="AK693" i="31"/>
  <c r="AL693" i="31"/>
  <c r="AM693" i="31"/>
  <c r="AN693" i="31"/>
  <c r="AO693" i="31"/>
  <c r="AP693" i="31"/>
  <c r="AQ693" i="31"/>
  <c r="AR693" i="31"/>
  <c r="AS693" i="31"/>
  <c r="AT693" i="31"/>
  <c r="AU693" i="31"/>
  <c r="AV693" i="31"/>
  <c r="AW693" i="31"/>
  <c r="AX693" i="31"/>
  <c r="AY693" i="31"/>
  <c r="AZ693" i="31"/>
  <c r="BA693" i="31"/>
  <c r="BB693" i="31"/>
  <c r="BC693" i="31"/>
  <c r="BD693" i="31"/>
  <c r="BE693" i="31"/>
  <c r="BF693" i="31"/>
  <c r="BG693" i="31"/>
  <c r="BH693" i="31"/>
  <c r="BI693" i="31"/>
  <c r="BJ693" i="31"/>
  <c r="BK693" i="31"/>
  <c r="BL693" i="31"/>
  <c r="BM693" i="31"/>
  <c r="BN693" i="31"/>
  <c r="BO693" i="31"/>
  <c r="BP693" i="31"/>
  <c r="BQ693" i="31"/>
  <c r="BR693" i="31"/>
  <c r="BS693" i="31"/>
  <c r="BT693" i="31"/>
  <c r="BU693" i="31"/>
  <c r="BV693" i="31"/>
  <c r="BW693" i="31"/>
  <c r="BX693" i="31"/>
  <c r="BY693" i="31"/>
  <c r="BZ693" i="31"/>
  <c r="CA693" i="31"/>
  <c r="CB693" i="31"/>
  <c r="CC693" i="31"/>
  <c r="CD693" i="31"/>
  <c r="CE693" i="31"/>
  <c r="CF693" i="31"/>
  <c r="CG693" i="31"/>
  <c r="CH693" i="31"/>
  <c r="CI693" i="31"/>
  <c r="CJ693" i="31"/>
  <c r="CK693" i="31"/>
  <c r="CL693" i="31"/>
  <c r="CM693" i="31"/>
  <c r="CN693" i="31"/>
  <c r="CO693" i="31"/>
  <c r="CP693" i="31"/>
  <c r="CQ693" i="31"/>
  <c r="CR693" i="31"/>
  <c r="CS693" i="31"/>
  <c r="CT693" i="31"/>
  <c r="CU693" i="31"/>
  <c r="CV693" i="31"/>
  <c r="CW693" i="31"/>
  <c r="CX693" i="31"/>
  <c r="CY693" i="31"/>
  <c r="CZ693" i="31"/>
  <c r="DA693" i="31"/>
  <c r="DB693" i="31"/>
  <c r="DC693" i="31"/>
  <c r="DD693" i="31"/>
  <c r="DE693" i="31"/>
  <c r="DF693" i="31"/>
  <c r="DG693" i="31"/>
  <c r="DH693" i="31"/>
  <c r="DI693" i="31"/>
  <c r="DJ693" i="31"/>
  <c r="DK693" i="31"/>
  <c r="DL693" i="31"/>
  <c r="DM693" i="31"/>
  <c r="DN693" i="31"/>
  <c r="DO693" i="31"/>
  <c r="DP693" i="31"/>
  <c r="DQ693" i="31"/>
  <c r="DR693" i="31"/>
  <c r="DS693" i="31"/>
  <c r="DT693" i="31"/>
  <c r="DU693" i="31"/>
  <c r="DV693" i="31"/>
  <c r="DW693" i="31"/>
  <c r="DX693" i="31"/>
  <c r="DY693" i="31"/>
  <c r="DZ693" i="31"/>
  <c r="EA693" i="31"/>
  <c r="EB693" i="31"/>
  <c r="EC693" i="31"/>
  <c r="ED693" i="31"/>
  <c r="EE693" i="31"/>
  <c r="EF693" i="31"/>
  <c r="EG693" i="31"/>
  <c r="EH693" i="31"/>
  <c r="EI693" i="31"/>
  <c r="EJ693" i="31"/>
  <c r="EK693" i="31"/>
  <c r="EL693" i="31"/>
  <c r="EM693" i="31"/>
  <c r="EN693" i="31"/>
  <c r="EO693" i="31"/>
  <c r="EP693" i="31"/>
  <c r="EQ693" i="31"/>
  <c r="ER693" i="31"/>
  <c r="ES693" i="31"/>
  <c r="ET693" i="31"/>
  <c r="EU693" i="31"/>
  <c r="EV693" i="31"/>
  <c r="EW693" i="31"/>
  <c r="EX693" i="31"/>
  <c r="EY693" i="31"/>
  <c r="EZ693" i="31"/>
  <c r="FA693" i="31"/>
  <c r="FB693" i="31"/>
  <c r="FC693" i="31"/>
  <c r="FD693" i="31"/>
  <c r="FE693" i="31"/>
  <c r="FF693" i="31"/>
  <c r="FG693" i="31"/>
  <c r="FH693" i="31"/>
  <c r="FI693" i="31"/>
  <c r="FJ693" i="31"/>
  <c r="FK693" i="31"/>
  <c r="FL693" i="31"/>
  <c r="FM693" i="31"/>
  <c r="FN693" i="31"/>
  <c r="FO693" i="31"/>
  <c r="FP693" i="31"/>
  <c r="FQ693" i="31"/>
  <c r="FR693" i="31"/>
  <c r="FS693" i="31"/>
  <c r="FT693" i="31"/>
  <c r="FU693" i="31"/>
  <c r="FV693" i="31"/>
  <c r="FW693" i="31"/>
  <c r="FX693" i="31"/>
  <c r="FY693" i="31"/>
  <c r="FZ693" i="31"/>
  <c r="GA693" i="31"/>
  <c r="GB693" i="31"/>
  <c r="GC693" i="31"/>
  <c r="GD693" i="31"/>
  <c r="GE693" i="31"/>
  <c r="GF693" i="31"/>
  <c r="GG693" i="31"/>
  <c r="GH693" i="31"/>
  <c r="GI693" i="31"/>
  <c r="GJ693" i="31"/>
  <c r="GK693" i="31"/>
  <c r="GL693" i="31"/>
  <c r="GM693" i="31"/>
  <c r="GN693" i="31"/>
  <c r="GO693" i="31"/>
  <c r="GP693" i="31"/>
  <c r="GQ693" i="31"/>
  <c r="GR693" i="31"/>
  <c r="GS693" i="31"/>
  <c r="GT693" i="31"/>
  <c r="GU693" i="31"/>
  <c r="GV693" i="31"/>
  <c r="GW693" i="31"/>
  <c r="GX693" i="31"/>
  <c r="GY693" i="31"/>
  <c r="GZ693" i="31"/>
  <c r="HA693" i="31"/>
  <c r="HB693" i="31"/>
  <c r="HC693" i="31"/>
  <c r="HD693" i="31"/>
  <c r="HE693" i="31"/>
  <c r="HF693" i="31"/>
  <c r="HG693" i="31"/>
  <c r="HH693" i="31"/>
  <c r="HI693" i="31"/>
  <c r="HJ693" i="31"/>
  <c r="HK693" i="31"/>
  <c r="HL693" i="31"/>
  <c r="HM693" i="31"/>
  <c r="HN693" i="31"/>
  <c r="HO693" i="31"/>
  <c r="HP693" i="31"/>
  <c r="HQ693" i="31"/>
  <c r="HR693" i="31"/>
  <c r="HS693" i="31"/>
  <c r="HT693" i="31"/>
  <c r="E694" i="31"/>
  <c r="F694" i="31"/>
  <c r="G694" i="31"/>
  <c r="H694" i="31"/>
  <c r="I694" i="31"/>
  <c r="J694" i="31"/>
  <c r="K694" i="31"/>
  <c r="L694" i="31"/>
  <c r="M694" i="31"/>
  <c r="N694" i="31"/>
  <c r="O694" i="31"/>
  <c r="P694" i="31"/>
  <c r="Q694" i="31"/>
  <c r="R694" i="31"/>
  <c r="S694" i="31"/>
  <c r="T694" i="31"/>
  <c r="U694" i="31"/>
  <c r="V694" i="31"/>
  <c r="W694" i="31"/>
  <c r="X694" i="31"/>
  <c r="Y694" i="31"/>
  <c r="Z694" i="31"/>
  <c r="AA694" i="31"/>
  <c r="AB694" i="31"/>
  <c r="AC694" i="31"/>
  <c r="AD694" i="31"/>
  <c r="AE694" i="31"/>
  <c r="AF694" i="31"/>
  <c r="AG694" i="31"/>
  <c r="AH694" i="31"/>
  <c r="AI694" i="31"/>
  <c r="AJ694" i="31"/>
  <c r="AK694" i="31"/>
  <c r="AL694" i="31"/>
  <c r="AM694" i="31"/>
  <c r="AN694" i="31"/>
  <c r="AO694" i="31"/>
  <c r="AP694" i="31"/>
  <c r="AQ694" i="31"/>
  <c r="AR694" i="31"/>
  <c r="AS694" i="31"/>
  <c r="AT694" i="31"/>
  <c r="AU694" i="31"/>
  <c r="AV694" i="31"/>
  <c r="AW694" i="31"/>
  <c r="AX694" i="31"/>
  <c r="AY694" i="31"/>
  <c r="AZ694" i="31"/>
  <c r="BA694" i="31"/>
  <c r="BB694" i="31"/>
  <c r="BC694" i="31"/>
  <c r="BD694" i="31"/>
  <c r="BE694" i="31"/>
  <c r="BF694" i="31"/>
  <c r="BG694" i="31"/>
  <c r="BH694" i="31"/>
  <c r="BI694" i="31"/>
  <c r="BJ694" i="31"/>
  <c r="BK694" i="31"/>
  <c r="BL694" i="31"/>
  <c r="BM694" i="31"/>
  <c r="BN694" i="31"/>
  <c r="BO694" i="31"/>
  <c r="BP694" i="31"/>
  <c r="BQ694" i="31"/>
  <c r="BR694" i="31"/>
  <c r="BS694" i="31"/>
  <c r="BT694" i="31"/>
  <c r="BU694" i="31"/>
  <c r="BV694" i="31"/>
  <c r="BW694" i="31"/>
  <c r="BX694" i="31"/>
  <c r="BY694" i="31"/>
  <c r="BZ694" i="31"/>
  <c r="CA694" i="31"/>
  <c r="CB694" i="31"/>
  <c r="CC694" i="31"/>
  <c r="CD694" i="31"/>
  <c r="CE694" i="31"/>
  <c r="CF694" i="31"/>
  <c r="CG694" i="31"/>
  <c r="CH694" i="31"/>
  <c r="CI694" i="31"/>
  <c r="CJ694" i="31"/>
  <c r="CK694" i="31"/>
  <c r="CL694" i="31"/>
  <c r="CM694" i="31"/>
  <c r="CN694" i="31"/>
  <c r="CO694" i="31"/>
  <c r="CP694" i="31"/>
  <c r="CQ694" i="31"/>
  <c r="CR694" i="31"/>
  <c r="CS694" i="31"/>
  <c r="CT694" i="31"/>
  <c r="CU694" i="31"/>
  <c r="CV694" i="31"/>
  <c r="CW694" i="31"/>
  <c r="CX694" i="31"/>
  <c r="CY694" i="31"/>
  <c r="CZ694" i="31"/>
  <c r="DA694" i="31"/>
  <c r="DB694" i="31"/>
  <c r="DC694" i="31"/>
  <c r="DD694" i="31"/>
  <c r="DE694" i="31"/>
  <c r="DF694" i="31"/>
  <c r="DG694" i="31"/>
  <c r="DH694" i="31"/>
  <c r="DI694" i="31"/>
  <c r="DJ694" i="31"/>
  <c r="DK694" i="31"/>
  <c r="DL694" i="31"/>
  <c r="DM694" i="31"/>
  <c r="DN694" i="31"/>
  <c r="DO694" i="31"/>
  <c r="DP694" i="31"/>
  <c r="DQ694" i="31"/>
  <c r="DR694" i="31"/>
  <c r="DS694" i="31"/>
  <c r="DT694" i="31"/>
  <c r="DU694" i="31"/>
  <c r="DV694" i="31"/>
  <c r="DW694" i="31"/>
  <c r="DX694" i="31"/>
  <c r="DY694" i="31"/>
  <c r="DZ694" i="31"/>
  <c r="EA694" i="31"/>
  <c r="EB694" i="31"/>
  <c r="EC694" i="31"/>
  <c r="ED694" i="31"/>
  <c r="EE694" i="31"/>
  <c r="EF694" i="31"/>
  <c r="EG694" i="31"/>
  <c r="EH694" i="31"/>
  <c r="EI694" i="31"/>
  <c r="EJ694" i="31"/>
  <c r="EK694" i="31"/>
  <c r="EL694" i="31"/>
  <c r="EM694" i="31"/>
  <c r="EN694" i="31"/>
  <c r="EO694" i="31"/>
  <c r="EP694" i="31"/>
  <c r="EQ694" i="31"/>
  <c r="ER694" i="31"/>
  <c r="ES694" i="31"/>
  <c r="ET694" i="31"/>
  <c r="EU694" i="31"/>
  <c r="EV694" i="31"/>
  <c r="EW694" i="31"/>
  <c r="EX694" i="31"/>
  <c r="EY694" i="31"/>
  <c r="EZ694" i="31"/>
  <c r="FA694" i="31"/>
  <c r="FB694" i="31"/>
  <c r="FC694" i="31"/>
  <c r="FD694" i="31"/>
  <c r="FE694" i="31"/>
  <c r="FF694" i="31"/>
  <c r="FG694" i="31"/>
  <c r="FH694" i="31"/>
  <c r="FI694" i="31"/>
  <c r="FJ694" i="31"/>
  <c r="FK694" i="31"/>
  <c r="FL694" i="31"/>
  <c r="FM694" i="31"/>
  <c r="FN694" i="31"/>
  <c r="FO694" i="31"/>
  <c r="FP694" i="31"/>
  <c r="FQ694" i="31"/>
  <c r="FR694" i="31"/>
  <c r="FS694" i="31"/>
  <c r="FT694" i="31"/>
  <c r="FU694" i="31"/>
  <c r="FV694" i="31"/>
  <c r="FW694" i="31"/>
  <c r="FX694" i="31"/>
  <c r="FY694" i="31"/>
  <c r="FZ694" i="31"/>
  <c r="GA694" i="31"/>
  <c r="GB694" i="31"/>
  <c r="GC694" i="31"/>
  <c r="GD694" i="31"/>
  <c r="GE694" i="31"/>
  <c r="GF694" i="31"/>
  <c r="GG694" i="31"/>
  <c r="GH694" i="31"/>
  <c r="GI694" i="31"/>
  <c r="GJ694" i="31"/>
  <c r="GK694" i="31"/>
  <c r="GL694" i="31"/>
  <c r="GM694" i="31"/>
  <c r="GN694" i="31"/>
  <c r="GO694" i="31"/>
  <c r="GP694" i="31"/>
  <c r="GQ694" i="31"/>
  <c r="GR694" i="31"/>
  <c r="GS694" i="31"/>
  <c r="GT694" i="31"/>
  <c r="GU694" i="31"/>
  <c r="GV694" i="31"/>
  <c r="GW694" i="31"/>
  <c r="GX694" i="31"/>
  <c r="GY694" i="31"/>
  <c r="GZ694" i="31"/>
  <c r="HA694" i="31"/>
  <c r="HB694" i="31"/>
  <c r="HC694" i="31"/>
  <c r="HD694" i="31"/>
  <c r="HE694" i="31"/>
  <c r="HF694" i="31"/>
  <c r="HG694" i="31"/>
  <c r="HH694" i="31"/>
  <c r="HI694" i="31"/>
  <c r="HJ694" i="31"/>
  <c r="HK694" i="31"/>
  <c r="HL694" i="31"/>
  <c r="HM694" i="31"/>
  <c r="HN694" i="31"/>
  <c r="HO694" i="31"/>
  <c r="HP694" i="31"/>
  <c r="HQ694" i="31"/>
  <c r="HR694" i="31"/>
  <c r="HS694" i="31"/>
  <c r="HT694" i="31"/>
  <c r="E695" i="31"/>
  <c r="H695" i="31"/>
  <c r="I695" i="31"/>
  <c r="J695" i="31"/>
  <c r="K695" i="31"/>
  <c r="N695" i="31"/>
  <c r="O695" i="31"/>
  <c r="P695" i="31"/>
  <c r="Q695" i="31"/>
  <c r="R695" i="31"/>
  <c r="S695" i="31"/>
  <c r="T695" i="31"/>
  <c r="U695" i="31"/>
  <c r="V695" i="31"/>
  <c r="W695" i="31"/>
  <c r="X695" i="31"/>
  <c r="Y695" i="31"/>
  <c r="AA695" i="31"/>
  <c r="AB695" i="31"/>
  <c r="AC695" i="31"/>
  <c r="AD695" i="31"/>
  <c r="AE695" i="31"/>
  <c r="AF695" i="31"/>
  <c r="AG695" i="31"/>
  <c r="AH695" i="31"/>
  <c r="AI695" i="31"/>
  <c r="AJ695" i="31"/>
  <c r="AK695" i="31"/>
  <c r="AL695" i="31"/>
  <c r="AM695" i="31"/>
  <c r="AN695" i="31"/>
  <c r="AO695" i="31"/>
  <c r="AP695" i="31"/>
  <c r="AQ695" i="31"/>
  <c r="AR695" i="31"/>
  <c r="AS695" i="31"/>
  <c r="AT695" i="31"/>
  <c r="AU695" i="31"/>
  <c r="AV695" i="31"/>
  <c r="AW695" i="31"/>
  <c r="AX695" i="31"/>
  <c r="AY695" i="31"/>
  <c r="AZ695" i="31"/>
  <c r="BA695" i="31"/>
  <c r="BB695" i="31"/>
  <c r="BC695" i="31"/>
  <c r="BD695" i="31"/>
  <c r="BE695" i="31"/>
  <c r="BF695" i="31"/>
  <c r="BG695" i="31"/>
  <c r="BH695" i="31"/>
  <c r="BI695" i="31"/>
  <c r="BJ695" i="31"/>
  <c r="BL695" i="31"/>
  <c r="BM695" i="31"/>
  <c r="BN695" i="31"/>
  <c r="BO695" i="31"/>
  <c r="BP695" i="31"/>
  <c r="BQ695" i="31"/>
  <c r="BR695" i="31"/>
  <c r="BS695" i="31"/>
  <c r="BT695" i="31"/>
  <c r="BU695" i="31"/>
  <c r="BV695" i="31"/>
  <c r="BW695" i="31"/>
  <c r="BX695" i="31"/>
  <c r="BY695" i="31"/>
  <c r="BZ695" i="31"/>
  <c r="CA695" i="31"/>
  <c r="CB695" i="31"/>
  <c r="CC695" i="31"/>
  <c r="CE695" i="31"/>
  <c r="CF695" i="31"/>
  <c r="CG695" i="31"/>
  <c r="CH695" i="31"/>
  <c r="CI695" i="31"/>
  <c r="CJ695" i="31"/>
  <c r="CK695" i="31"/>
  <c r="CL695" i="31"/>
  <c r="CM695" i="31"/>
  <c r="CN695" i="31"/>
  <c r="CO695" i="31"/>
  <c r="CP695" i="31"/>
  <c r="CQ695" i="31"/>
  <c r="CR695" i="31"/>
  <c r="CS695" i="31"/>
  <c r="CT695" i="31"/>
  <c r="CU695" i="31"/>
  <c r="CV695" i="31"/>
  <c r="CW695" i="31"/>
  <c r="CX695" i="31"/>
  <c r="CY695" i="31"/>
  <c r="CZ695" i="31"/>
  <c r="DA695" i="31"/>
  <c r="DB695" i="31"/>
  <c r="DC695" i="31"/>
  <c r="DD695" i="31"/>
  <c r="DE695" i="31"/>
  <c r="DF695" i="31"/>
  <c r="DG695" i="31"/>
  <c r="DH695" i="31"/>
  <c r="DI695" i="31"/>
  <c r="DJ695" i="31"/>
  <c r="DK695" i="31"/>
  <c r="DL695" i="31"/>
  <c r="DM695" i="31"/>
  <c r="DN695" i="31"/>
  <c r="DO695" i="31"/>
  <c r="DP695" i="31"/>
  <c r="DQ695" i="31"/>
  <c r="DR695" i="31"/>
  <c r="DS695" i="31"/>
  <c r="DT695" i="31"/>
  <c r="DU695" i="31"/>
  <c r="DV695" i="31"/>
  <c r="DW695" i="31"/>
  <c r="DX695" i="31"/>
  <c r="DY695" i="31"/>
  <c r="DZ695" i="31"/>
  <c r="EA695" i="31"/>
  <c r="EB695" i="31"/>
  <c r="EC695" i="31"/>
  <c r="ED695" i="31"/>
  <c r="EE695" i="31"/>
  <c r="EF695" i="31"/>
  <c r="EG695" i="31"/>
  <c r="EH695" i="31"/>
  <c r="EI695" i="31"/>
  <c r="EJ695" i="31"/>
  <c r="EK695" i="31"/>
  <c r="EL695" i="31"/>
  <c r="EM695" i="31"/>
  <c r="EN695" i="31"/>
  <c r="EO695" i="31"/>
  <c r="EP695" i="31"/>
  <c r="EQ695" i="31"/>
  <c r="ER695" i="31"/>
  <c r="ES695" i="31"/>
  <c r="ET695" i="31"/>
  <c r="EU695" i="31"/>
  <c r="EV695" i="31"/>
  <c r="EW695" i="31"/>
  <c r="EX695" i="31"/>
  <c r="EY695" i="31"/>
  <c r="EZ695" i="31"/>
  <c r="FA695" i="31"/>
  <c r="FB695" i="31"/>
  <c r="FC695" i="31"/>
  <c r="FD695" i="31"/>
  <c r="FE695" i="31"/>
  <c r="FF695" i="31"/>
  <c r="FG695" i="31"/>
  <c r="FH695" i="31"/>
  <c r="FI695" i="31"/>
  <c r="FJ695" i="31"/>
  <c r="FK695" i="31"/>
  <c r="FL695" i="31"/>
  <c r="FM695" i="31"/>
  <c r="FN695" i="31"/>
  <c r="FO695" i="31"/>
  <c r="FP695" i="31"/>
  <c r="FQ695" i="31"/>
  <c r="FR695" i="31"/>
  <c r="FS695" i="31"/>
  <c r="FT695" i="31"/>
  <c r="FU695" i="31"/>
  <c r="FV695" i="31"/>
  <c r="FW695" i="31"/>
  <c r="FX695" i="31"/>
  <c r="FY695" i="31"/>
  <c r="FZ695" i="31"/>
  <c r="GA695" i="31"/>
  <c r="GB695" i="31"/>
  <c r="GC695" i="31"/>
  <c r="GD695" i="31"/>
  <c r="GE695" i="31"/>
  <c r="GF695" i="31"/>
  <c r="GG695" i="31"/>
  <c r="GH695" i="31"/>
  <c r="GI695" i="31"/>
  <c r="GJ695" i="31"/>
  <c r="GK695" i="31"/>
  <c r="GL695" i="31"/>
  <c r="GM695" i="31"/>
  <c r="GN695" i="31"/>
  <c r="GO695" i="31"/>
  <c r="GP695" i="31"/>
  <c r="GQ695" i="31"/>
  <c r="GR695" i="31"/>
  <c r="GS695" i="31"/>
  <c r="GT695" i="31"/>
  <c r="GU695" i="31"/>
  <c r="GV695" i="31"/>
  <c r="GW695" i="31"/>
  <c r="GX695" i="31"/>
  <c r="GY695" i="31"/>
  <c r="GZ695" i="31"/>
  <c r="HA695" i="31"/>
  <c r="HB695" i="31"/>
  <c r="HC695" i="31"/>
  <c r="HD695" i="31"/>
  <c r="HE695" i="31"/>
  <c r="HF695" i="31"/>
  <c r="HG695" i="31"/>
  <c r="HH695" i="31"/>
  <c r="HI695" i="31"/>
  <c r="HJ695" i="31"/>
  <c r="HK695" i="31"/>
  <c r="HL695" i="31"/>
  <c r="HT695" i="31"/>
  <c r="E696" i="31"/>
  <c r="H696" i="31"/>
  <c r="I696" i="31"/>
  <c r="J696" i="31"/>
  <c r="K696" i="31"/>
  <c r="N696" i="31"/>
  <c r="O696" i="31"/>
  <c r="P696" i="31"/>
  <c r="Q696" i="31"/>
  <c r="R696" i="31"/>
  <c r="S696" i="31"/>
  <c r="T696" i="31"/>
  <c r="U696" i="31"/>
  <c r="V696" i="31"/>
  <c r="W696" i="31"/>
  <c r="X696" i="31"/>
  <c r="Y696" i="31"/>
  <c r="AA696" i="31"/>
  <c r="AB696" i="31"/>
  <c r="AC696" i="31"/>
  <c r="AD696" i="31"/>
  <c r="AE696" i="31"/>
  <c r="AF696" i="31"/>
  <c r="AG696" i="31"/>
  <c r="AH696" i="31"/>
  <c r="AI696" i="31"/>
  <c r="AJ696" i="31"/>
  <c r="AK696" i="31"/>
  <c r="AL696" i="31"/>
  <c r="AM696" i="31"/>
  <c r="AN696" i="31"/>
  <c r="AO696" i="31"/>
  <c r="AP696" i="31"/>
  <c r="AQ696" i="31"/>
  <c r="AR696" i="31"/>
  <c r="AS696" i="31"/>
  <c r="AT696" i="31"/>
  <c r="AU696" i="31"/>
  <c r="AV696" i="31"/>
  <c r="AW696" i="31"/>
  <c r="AX696" i="31"/>
  <c r="AY696" i="31"/>
  <c r="AZ696" i="31"/>
  <c r="BA696" i="31"/>
  <c r="BB696" i="31"/>
  <c r="BC696" i="31"/>
  <c r="BD696" i="31"/>
  <c r="BE696" i="31"/>
  <c r="BF696" i="31"/>
  <c r="BG696" i="31"/>
  <c r="BH696" i="31"/>
  <c r="BI696" i="31"/>
  <c r="BJ696" i="31"/>
  <c r="BL696" i="31"/>
  <c r="BM696" i="31"/>
  <c r="BN696" i="31"/>
  <c r="BO696" i="31"/>
  <c r="BP696" i="31"/>
  <c r="BQ696" i="31"/>
  <c r="BR696" i="31"/>
  <c r="BS696" i="31"/>
  <c r="BT696" i="31"/>
  <c r="BU696" i="31"/>
  <c r="BV696" i="31"/>
  <c r="BW696" i="31"/>
  <c r="BX696" i="31"/>
  <c r="BY696" i="31"/>
  <c r="BZ696" i="31"/>
  <c r="CA696" i="31"/>
  <c r="CB696" i="31"/>
  <c r="CC696" i="31"/>
  <c r="CE696" i="31"/>
  <c r="CF696" i="31"/>
  <c r="CG696" i="31"/>
  <c r="CH696" i="31"/>
  <c r="CI696" i="31"/>
  <c r="CJ696" i="31"/>
  <c r="CK696" i="31"/>
  <c r="CL696" i="31"/>
  <c r="CM696" i="31"/>
  <c r="CN696" i="31"/>
  <c r="CO696" i="31"/>
  <c r="CP696" i="31"/>
  <c r="CQ696" i="31"/>
  <c r="CR696" i="31"/>
  <c r="CS696" i="31"/>
  <c r="CT696" i="31"/>
  <c r="CU696" i="31"/>
  <c r="CV696" i="31"/>
  <c r="CW696" i="31"/>
  <c r="CX696" i="31"/>
  <c r="CY696" i="31"/>
  <c r="CZ696" i="31"/>
  <c r="DA696" i="31"/>
  <c r="DB696" i="31"/>
  <c r="DC696" i="31"/>
  <c r="DD696" i="31"/>
  <c r="DE696" i="31"/>
  <c r="DF696" i="31"/>
  <c r="DG696" i="31"/>
  <c r="DH696" i="31"/>
  <c r="DI696" i="31"/>
  <c r="DJ696" i="31"/>
  <c r="DK696" i="31"/>
  <c r="DL696" i="31"/>
  <c r="DM696" i="31"/>
  <c r="DN696" i="31"/>
  <c r="DO696" i="31"/>
  <c r="DP696" i="31"/>
  <c r="DQ696" i="31"/>
  <c r="DR696" i="31"/>
  <c r="DS696" i="31"/>
  <c r="DT696" i="31"/>
  <c r="DU696" i="31"/>
  <c r="DV696" i="31"/>
  <c r="DW696" i="31"/>
  <c r="DX696" i="31"/>
  <c r="DY696" i="31"/>
  <c r="DZ696" i="31"/>
  <c r="EA696" i="31"/>
  <c r="EB696" i="31"/>
  <c r="EC696" i="31"/>
  <c r="ED696" i="31"/>
  <c r="EE696" i="31"/>
  <c r="EF696" i="31"/>
  <c r="EG696" i="31"/>
  <c r="EH696" i="31"/>
  <c r="EI696" i="31"/>
  <c r="EJ696" i="31"/>
  <c r="EK696" i="31"/>
  <c r="EL696" i="31"/>
  <c r="EM696" i="31"/>
  <c r="EN696" i="31"/>
  <c r="EO696" i="31"/>
  <c r="EP696" i="31"/>
  <c r="EQ696" i="31"/>
  <c r="ER696" i="31"/>
  <c r="ES696" i="31"/>
  <c r="ET696" i="31"/>
  <c r="EU696" i="31"/>
  <c r="EV696" i="31"/>
  <c r="EW696" i="31"/>
  <c r="EX696" i="31"/>
  <c r="EY696" i="31"/>
  <c r="EZ696" i="31"/>
  <c r="FA696" i="31"/>
  <c r="FB696" i="31"/>
  <c r="FC696" i="31"/>
  <c r="FD696" i="31"/>
  <c r="FE696" i="31"/>
  <c r="FF696" i="31"/>
  <c r="FG696" i="31"/>
  <c r="FH696" i="31"/>
  <c r="FI696" i="31"/>
  <c r="FJ696" i="31"/>
  <c r="FK696" i="31"/>
  <c r="FL696" i="31"/>
  <c r="FM696" i="31"/>
  <c r="FN696" i="31"/>
  <c r="FO696" i="31"/>
  <c r="FP696" i="31"/>
  <c r="FQ696" i="31"/>
  <c r="FR696" i="31"/>
  <c r="FS696" i="31"/>
  <c r="FT696" i="31"/>
  <c r="FU696" i="31"/>
  <c r="FV696" i="31"/>
  <c r="FW696" i="31"/>
  <c r="FX696" i="31"/>
  <c r="FY696" i="31"/>
  <c r="FZ696" i="31"/>
  <c r="GA696" i="31"/>
  <c r="GB696" i="31"/>
  <c r="GC696" i="31"/>
  <c r="GD696" i="31"/>
  <c r="GE696" i="31"/>
  <c r="GF696" i="31"/>
  <c r="GG696" i="31"/>
  <c r="GH696" i="31"/>
  <c r="GI696" i="31"/>
  <c r="GJ696" i="31"/>
  <c r="GK696" i="31"/>
  <c r="GL696" i="31"/>
  <c r="GM696" i="31"/>
  <c r="GN696" i="31"/>
  <c r="GO696" i="31"/>
  <c r="GP696" i="31"/>
  <c r="GQ696" i="31"/>
  <c r="GR696" i="31"/>
  <c r="GS696" i="31"/>
  <c r="GT696" i="31"/>
  <c r="GU696" i="31"/>
  <c r="GV696" i="31"/>
  <c r="GW696" i="31"/>
  <c r="GX696" i="31"/>
  <c r="GY696" i="31"/>
  <c r="GZ696" i="31"/>
  <c r="HA696" i="31"/>
  <c r="HB696" i="31"/>
  <c r="HC696" i="31"/>
  <c r="HD696" i="31"/>
  <c r="HE696" i="31"/>
  <c r="HF696" i="31"/>
  <c r="HG696" i="31"/>
  <c r="HH696" i="31"/>
  <c r="HI696" i="31"/>
  <c r="HJ696" i="31"/>
  <c r="HK696" i="31"/>
  <c r="HL696" i="31"/>
  <c r="HT696" i="31"/>
  <c r="E697" i="31"/>
  <c r="H697" i="31"/>
  <c r="I697" i="31"/>
  <c r="J697" i="31"/>
  <c r="K697" i="31"/>
  <c r="N697" i="31"/>
  <c r="O697" i="31"/>
  <c r="P697" i="31"/>
  <c r="Q697" i="31"/>
  <c r="R697" i="31"/>
  <c r="S697" i="31"/>
  <c r="T697" i="31"/>
  <c r="U697" i="31"/>
  <c r="V697" i="31"/>
  <c r="W697" i="31"/>
  <c r="X697" i="31"/>
  <c r="Y697" i="31"/>
  <c r="AA697" i="31"/>
  <c r="AB697" i="31"/>
  <c r="AC697" i="31"/>
  <c r="AD697" i="31"/>
  <c r="AE697" i="31"/>
  <c r="AF697" i="31"/>
  <c r="AG697" i="31"/>
  <c r="AH697" i="31"/>
  <c r="AI697" i="31"/>
  <c r="AJ697" i="31"/>
  <c r="AK697" i="31"/>
  <c r="AL697" i="31"/>
  <c r="AM697" i="31"/>
  <c r="AN697" i="31"/>
  <c r="AO697" i="31"/>
  <c r="AP697" i="31"/>
  <c r="AQ697" i="31"/>
  <c r="AR697" i="31"/>
  <c r="AS697" i="31"/>
  <c r="AT697" i="31"/>
  <c r="AU697" i="31"/>
  <c r="AV697" i="31"/>
  <c r="AW697" i="31"/>
  <c r="AX697" i="31"/>
  <c r="AY697" i="31"/>
  <c r="AZ697" i="31"/>
  <c r="BA697" i="31"/>
  <c r="BB697" i="31"/>
  <c r="BC697" i="31"/>
  <c r="BD697" i="31"/>
  <c r="BE697" i="31"/>
  <c r="BF697" i="31"/>
  <c r="BG697" i="31"/>
  <c r="BH697" i="31"/>
  <c r="BI697" i="31"/>
  <c r="BJ697" i="31"/>
  <c r="BL697" i="31"/>
  <c r="BM697" i="31"/>
  <c r="BN697" i="31"/>
  <c r="BO697" i="31"/>
  <c r="BP697" i="31"/>
  <c r="BQ697" i="31"/>
  <c r="BR697" i="31"/>
  <c r="BS697" i="31"/>
  <c r="BT697" i="31"/>
  <c r="BU697" i="31"/>
  <c r="BV697" i="31"/>
  <c r="BW697" i="31"/>
  <c r="BX697" i="31"/>
  <c r="BY697" i="31"/>
  <c r="BZ697" i="31"/>
  <c r="CA697" i="31"/>
  <c r="CB697" i="31"/>
  <c r="CC697" i="31"/>
  <c r="CE697" i="31"/>
  <c r="CF697" i="31"/>
  <c r="CG697" i="31"/>
  <c r="CH697" i="31"/>
  <c r="CI697" i="31"/>
  <c r="CJ697" i="31"/>
  <c r="CK697" i="31"/>
  <c r="CL697" i="31"/>
  <c r="CM697" i="31"/>
  <c r="CN697" i="31"/>
  <c r="CO697" i="31"/>
  <c r="CP697" i="31"/>
  <c r="CQ697" i="31"/>
  <c r="CR697" i="31"/>
  <c r="CS697" i="31"/>
  <c r="CT697" i="31"/>
  <c r="CU697" i="31"/>
  <c r="CV697" i="31"/>
  <c r="CW697" i="31"/>
  <c r="CX697" i="31"/>
  <c r="CY697" i="31"/>
  <c r="CZ697" i="31"/>
  <c r="DA697" i="31"/>
  <c r="DB697" i="31"/>
  <c r="DC697" i="31"/>
  <c r="DD697" i="31"/>
  <c r="DE697" i="31"/>
  <c r="DF697" i="31"/>
  <c r="DG697" i="31"/>
  <c r="DH697" i="31"/>
  <c r="DI697" i="31"/>
  <c r="DJ697" i="31"/>
  <c r="DK697" i="31"/>
  <c r="DL697" i="31"/>
  <c r="DM697" i="31"/>
  <c r="DN697" i="31"/>
  <c r="DO697" i="31"/>
  <c r="DP697" i="31"/>
  <c r="DQ697" i="31"/>
  <c r="DR697" i="31"/>
  <c r="DS697" i="31"/>
  <c r="DT697" i="31"/>
  <c r="DU697" i="31"/>
  <c r="DV697" i="31"/>
  <c r="DW697" i="31"/>
  <c r="DX697" i="31"/>
  <c r="DY697" i="31"/>
  <c r="DZ697" i="31"/>
  <c r="EA697" i="31"/>
  <c r="EB697" i="31"/>
  <c r="EC697" i="31"/>
  <c r="ED697" i="31"/>
  <c r="EE697" i="31"/>
  <c r="EF697" i="31"/>
  <c r="EG697" i="31"/>
  <c r="EH697" i="31"/>
  <c r="EI697" i="31"/>
  <c r="EJ697" i="31"/>
  <c r="EK697" i="31"/>
  <c r="EL697" i="31"/>
  <c r="EM697" i="31"/>
  <c r="EN697" i="31"/>
  <c r="EO697" i="31"/>
  <c r="EP697" i="31"/>
  <c r="EQ697" i="31"/>
  <c r="ER697" i="31"/>
  <c r="ES697" i="31"/>
  <c r="ET697" i="31"/>
  <c r="EU697" i="31"/>
  <c r="EV697" i="31"/>
  <c r="EW697" i="31"/>
  <c r="EX697" i="31"/>
  <c r="EY697" i="31"/>
  <c r="EZ697" i="31"/>
  <c r="FA697" i="31"/>
  <c r="FB697" i="31"/>
  <c r="FC697" i="31"/>
  <c r="FD697" i="31"/>
  <c r="FE697" i="31"/>
  <c r="FF697" i="31"/>
  <c r="FG697" i="31"/>
  <c r="FH697" i="31"/>
  <c r="FI697" i="31"/>
  <c r="FJ697" i="31"/>
  <c r="FK697" i="31"/>
  <c r="FL697" i="31"/>
  <c r="FM697" i="31"/>
  <c r="FN697" i="31"/>
  <c r="FO697" i="31"/>
  <c r="FP697" i="31"/>
  <c r="FQ697" i="31"/>
  <c r="FR697" i="31"/>
  <c r="FS697" i="31"/>
  <c r="FT697" i="31"/>
  <c r="FU697" i="31"/>
  <c r="FV697" i="31"/>
  <c r="FW697" i="31"/>
  <c r="FX697" i="31"/>
  <c r="FY697" i="31"/>
  <c r="FZ697" i="31"/>
  <c r="GA697" i="31"/>
  <c r="GB697" i="31"/>
  <c r="GC697" i="31"/>
  <c r="GD697" i="31"/>
  <c r="GE697" i="31"/>
  <c r="GF697" i="31"/>
  <c r="GG697" i="31"/>
  <c r="GH697" i="31"/>
  <c r="GI697" i="31"/>
  <c r="GJ697" i="31"/>
  <c r="GK697" i="31"/>
  <c r="GL697" i="31"/>
  <c r="GM697" i="31"/>
  <c r="GN697" i="31"/>
  <c r="GO697" i="31"/>
  <c r="GP697" i="31"/>
  <c r="GQ697" i="31"/>
  <c r="GR697" i="31"/>
  <c r="GS697" i="31"/>
  <c r="GT697" i="31"/>
  <c r="GU697" i="31"/>
  <c r="GV697" i="31"/>
  <c r="GW697" i="31"/>
  <c r="GX697" i="31"/>
  <c r="GY697" i="31"/>
  <c r="GZ697" i="31"/>
  <c r="HA697" i="31"/>
  <c r="HB697" i="31"/>
  <c r="HC697" i="31"/>
  <c r="HD697" i="31"/>
  <c r="HE697" i="31"/>
  <c r="HF697" i="31"/>
  <c r="HG697" i="31"/>
  <c r="HH697" i="31"/>
  <c r="HI697" i="31"/>
  <c r="HJ697" i="31"/>
  <c r="HK697" i="31"/>
  <c r="HL697" i="31"/>
  <c r="HT697" i="31"/>
  <c r="E698" i="31"/>
  <c r="H698" i="31"/>
  <c r="I698" i="31"/>
  <c r="J698" i="31"/>
  <c r="K698" i="31"/>
  <c r="N698" i="31"/>
  <c r="O698" i="31"/>
  <c r="P698" i="31"/>
  <c r="Q698" i="31"/>
  <c r="R698" i="31"/>
  <c r="S698" i="31"/>
  <c r="T698" i="31"/>
  <c r="U698" i="31"/>
  <c r="V698" i="31"/>
  <c r="W698" i="31"/>
  <c r="X698" i="31"/>
  <c r="Y698" i="31"/>
  <c r="AA698" i="31"/>
  <c r="AB698" i="31"/>
  <c r="AC698" i="31"/>
  <c r="AD698" i="31"/>
  <c r="AE698" i="31"/>
  <c r="AF698" i="31"/>
  <c r="AG698" i="31"/>
  <c r="AH698" i="31"/>
  <c r="AI698" i="31"/>
  <c r="AJ698" i="31"/>
  <c r="AK698" i="31"/>
  <c r="AL698" i="31"/>
  <c r="AM698" i="31"/>
  <c r="AN698" i="31"/>
  <c r="AO698" i="31"/>
  <c r="AP698" i="31"/>
  <c r="AQ698" i="31"/>
  <c r="AR698" i="31"/>
  <c r="AS698" i="31"/>
  <c r="AT698" i="31"/>
  <c r="AU698" i="31"/>
  <c r="AV698" i="31"/>
  <c r="AW698" i="31"/>
  <c r="AX698" i="31"/>
  <c r="AY698" i="31"/>
  <c r="AZ698" i="31"/>
  <c r="BA698" i="31"/>
  <c r="BB698" i="31"/>
  <c r="BC698" i="31"/>
  <c r="BD698" i="31"/>
  <c r="BE698" i="31"/>
  <c r="BF698" i="31"/>
  <c r="BG698" i="31"/>
  <c r="BH698" i="31"/>
  <c r="BI698" i="31"/>
  <c r="BJ698" i="31"/>
  <c r="BL698" i="31"/>
  <c r="BM698" i="31"/>
  <c r="BN698" i="31"/>
  <c r="BO698" i="31"/>
  <c r="BP698" i="31"/>
  <c r="BQ698" i="31"/>
  <c r="BR698" i="31"/>
  <c r="BS698" i="31"/>
  <c r="BT698" i="31"/>
  <c r="BU698" i="31"/>
  <c r="BV698" i="31"/>
  <c r="BW698" i="31"/>
  <c r="BX698" i="31"/>
  <c r="BY698" i="31"/>
  <c r="BZ698" i="31"/>
  <c r="CA698" i="31"/>
  <c r="CB698" i="31"/>
  <c r="CC698" i="31"/>
  <c r="CE698" i="31"/>
  <c r="CF698" i="31"/>
  <c r="CG698" i="31"/>
  <c r="CH698" i="31"/>
  <c r="CI698" i="31"/>
  <c r="CJ698" i="31"/>
  <c r="CK698" i="31"/>
  <c r="CL698" i="31"/>
  <c r="CM698" i="31"/>
  <c r="CN698" i="31"/>
  <c r="CO698" i="31"/>
  <c r="CP698" i="31"/>
  <c r="CQ698" i="31"/>
  <c r="CR698" i="31"/>
  <c r="CS698" i="31"/>
  <c r="CT698" i="31"/>
  <c r="CU698" i="31"/>
  <c r="CV698" i="31"/>
  <c r="CW698" i="31"/>
  <c r="CX698" i="31"/>
  <c r="CY698" i="31"/>
  <c r="CZ698" i="31"/>
  <c r="DA698" i="31"/>
  <c r="DB698" i="31"/>
  <c r="DC698" i="31"/>
  <c r="DD698" i="31"/>
  <c r="DE698" i="31"/>
  <c r="DF698" i="31"/>
  <c r="DG698" i="31"/>
  <c r="DH698" i="31"/>
  <c r="DI698" i="31"/>
  <c r="DJ698" i="31"/>
  <c r="DK698" i="31"/>
  <c r="DL698" i="31"/>
  <c r="DM698" i="31"/>
  <c r="DN698" i="31"/>
  <c r="DO698" i="31"/>
  <c r="DP698" i="31"/>
  <c r="DQ698" i="31"/>
  <c r="DR698" i="31"/>
  <c r="DS698" i="31"/>
  <c r="DT698" i="31"/>
  <c r="DU698" i="31"/>
  <c r="DV698" i="31"/>
  <c r="DW698" i="31"/>
  <c r="DX698" i="31"/>
  <c r="DY698" i="31"/>
  <c r="DZ698" i="31"/>
  <c r="EA698" i="31"/>
  <c r="EB698" i="31"/>
  <c r="EC698" i="31"/>
  <c r="ED698" i="31"/>
  <c r="EE698" i="31"/>
  <c r="EF698" i="31"/>
  <c r="EG698" i="31"/>
  <c r="EH698" i="31"/>
  <c r="EI698" i="31"/>
  <c r="EJ698" i="31"/>
  <c r="EK698" i="31"/>
  <c r="EL698" i="31"/>
  <c r="EM698" i="31"/>
  <c r="EN698" i="31"/>
  <c r="EO698" i="31"/>
  <c r="EP698" i="31"/>
  <c r="EQ698" i="31"/>
  <c r="ER698" i="31"/>
  <c r="ES698" i="31"/>
  <c r="ET698" i="31"/>
  <c r="EU698" i="31"/>
  <c r="EV698" i="31"/>
  <c r="EW698" i="31"/>
  <c r="EX698" i="31"/>
  <c r="EY698" i="31"/>
  <c r="EZ698" i="31"/>
  <c r="FA698" i="31"/>
  <c r="FB698" i="31"/>
  <c r="FC698" i="31"/>
  <c r="FD698" i="31"/>
  <c r="FE698" i="31"/>
  <c r="FF698" i="31"/>
  <c r="FG698" i="31"/>
  <c r="FH698" i="31"/>
  <c r="FI698" i="31"/>
  <c r="FJ698" i="31"/>
  <c r="FK698" i="31"/>
  <c r="FL698" i="31"/>
  <c r="FM698" i="31"/>
  <c r="FN698" i="31"/>
  <c r="FO698" i="31"/>
  <c r="FP698" i="31"/>
  <c r="FQ698" i="31"/>
  <c r="FR698" i="31"/>
  <c r="FS698" i="31"/>
  <c r="FT698" i="31"/>
  <c r="FU698" i="31"/>
  <c r="FV698" i="31"/>
  <c r="FW698" i="31"/>
  <c r="FX698" i="31"/>
  <c r="FY698" i="31"/>
  <c r="FZ698" i="31"/>
  <c r="GA698" i="31"/>
  <c r="GB698" i="31"/>
  <c r="GC698" i="31"/>
  <c r="GD698" i="31"/>
  <c r="GE698" i="31"/>
  <c r="GF698" i="31"/>
  <c r="GG698" i="31"/>
  <c r="GH698" i="31"/>
  <c r="GI698" i="31"/>
  <c r="GJ698" i="31"/>
  <c r="GK698" i="31"/>
  <c r="GL698" i="31"/>
  <c r="GM698" i="31"/>
  <c r="GN698" i="31"/>
  <c r="GO698" i="31"/>
  <c r="GP698" i="31"/>
  <c r="GQ698" i="31"/>
  <c r="GR698" i="31"/>
  <c r="GS698" i="31"/>
  <c r="GT698" i="31"/>
  <c r="GU698" i="31"/>
  <c r="GV698" i="31"/>
  <c r="GW698" i="31"/>
  <c r="GX698" i="31"/>
  <c r="GY698" i="31"/>
  <c r="GZ698" i="31"/>
  <c r="HA698" i="31"/>
  <c r="HB698" i="31"/>
  <c r="HC698" i="31"/>
  <c r="HD698" i="31"/>
  <c r="HE698" i="31"/>
  <c r="HF698" i="31"/>
  <c r="HG698" i="31"/>
  <c r="HH698" i="31"/>
  <c r="HI698" i="31"/>
  <c r="HJ698" i="31"/>
  <c r="HK698" i="31"/>
  <c r="HL698" i="31"/>
  <c r="HT698" i="31"/>
  <c r="E699" i="31"/>
  <c r="H699" i="31"/>
  <c r="I699" i="31"/>
  <c r="J699" i="31"/>
  <c r="K699" i="31"/>
  <c r="N699" i="31"/>
  <c r="O699" i="31"/>
  <c r="P699" i="31"/>
  <c r="Q699" i="31"/>
  <c r="R699" i="31"/>
  <c r="S699" i="31"/>
  <c r="T699" i="31"/>
  <c r="U699" i="31"/>
  <c r="V699" i="31"/>
  <c r="W699" i="31"/>
  <c r="X699" i="31"/>
  <c r="Y699" i="31"/>
  <c r="AA699" i="31"/>
  <c r="AB699" i="31"/>
  <c r="AC699" i="31"/>
  <c r="AD699" i="31"/>
  <c r="AE699" i="31"/>
  <c r="AF699" i="31"/>
  <c r="AG699" i="31"/>
  <c r="AH699" i="31"/>
  <c r="AI699" i="31"/>
  <c r="AJ699" i="31"/>
  <c r="AK699" i="31"/>
  <c r="AL699" i="31"/>
  <c r="AM699" i="31"/>
  <c r="AN699" i="31"/>
  <c r="AO699" i="31"/>
  <c r="AP699" i="31"/>
  <c r="AQ699" i="31"/>
  <c r="AR699" i="31"/>
  <c r="AS699" i="31"/>
  <c r="AT699" i="31"/>
  <c r="AU699" i="31"/>
  <c r="AV699" i="31"/>
  <c r="AW699" i="31"/>
  <c r="AX699" i="31"/>
  <c r="AY699" i="31"/>
  <c r="AZ699" i="31"/>
  <c r="BA699" i="31"/>
  <c r="BB699" i="31"/>
  <c r="BC699" i="31"/>
  <c r="BD699" i="31"/>
  <c r="BE699" i="31"/>
  <c r="BF699" i="31"/>
  <c r="BG699" i="31"/>
  <c r="BH699" i="31"/>
  <c r="BI699" i="31"/>
  <c r="BJ699" i="31"/>
  <c r="BL699" i="31"/>
  <c r="BM699" i="31"/>
  <c r="BN699" i="31"/>
  <c r="BO699" i="31"/>
  <c r="BP699" i="31"/>
  <c r="BQ699" i="31"/>
  <c r="BR699" i="31"/>
  <c r="BS699" i="31"/>
  <c r="BT699" i="31"/>
  <c r="BU699" i="31"/>
  <c r="BV699" i="31"/>
  <c r="BW699" i="31"/>
  <c r="BX699" i="31"/>
  <c r="BY699" i="31"/>
  <c r="BZ699" i="31"/>
  <c r="CA699" i="31"/>
  <c r="CB699" i="31"/>
  <c r="CC699" i="31"/>
  <c r="CE699" i="31"/>
  <c r="CF699" i="31"/>
  <c r="CG699" i="31"/>
  <c r="CH699" i="31"/>
  <c r="CI699" i="31"/>
  <c r="CJ699" i="31"/>
  <c r="CK699" i="31"/>
  <c r="CL699" i="31"/>
  <c r="CM699" i="31"/>
  <c r="CN699" i="31"/>
  <c r="CO699" i="31"/>
  <c r="CP699" i="31"/>
  <c r="CQ699" i="31"/>
  <c r="CR699" i="31"/>
  <c r="CS699" i="31"/>
  <c r="CT699" i="31"/>
  <c r="CU699" i="31"/>
  <c r="CV699" i="31"/>
  <c r="CW699" i="31"/>
  <c r="CX699" i="31"/>
  <c r="CY699" i="31"/>
  <c r="CZ699" i="31"/>
  <c r="DA699" i="31"/>
  <c r="DB699" i="31"/>
  <c r="DC699" i="31"/>
  <c r="DD699" i="31"/>
  <c r="DE699" i="31"/>
  <c r="DF699" i="31"/>
  <c r="DG699" i="31"/>
  <c r="DH699" i="31"/>
  <c r="DI699" i="31"/>
  <c r="DJ699" i="31"/>
  <c r="DK699" i="31"/>
  <c r="DL699" i="31"/>
  <c r="DM699" i="31"/>
  <c r="DN699" i="31"/>
  <c r="DO699" i="31"/>
  <c r="DP699" i="31"/>
  <c r="DQ699" i="31"/>
  <c r="DR699" i="31"/>
  <c r="DS699" i="31"/>
  <c r="DT699" i="31"/>
  <c r="DU699" i="31"/>
  <c r="DV699" i="31"/>
  <c r="DW699" i="31"/>
  <c r="DX699" i="31"/>
  <c r="DY699" i="31"/>
  <c r="DZ699" i="31"/>
  <c r="EA699" i="31"/>
  <c r="EB699" i="31"/>
  <c r="EC699" i="31"/>
  <c r="ED699" i="31"/>
  <c r="EE699" i="31"/>
  <c r="EF699" i="31"/>
  <c r="EG699" i="31"/>
  <c r="EH699" i="31"/>
  <c r="EI699" i="31"/>
  <c r="EJ699" i="31"/>
  <c r="EK699" i="31"/>
  <c r="EL699" i="31"/>
  <c r="EM699" i="31"/>
  <c r="EN699" i="31"/>
  <c r="EO699" i="31"/>
  <c r="EP699" i="31"/>
  <c r="EQ699" i="31"/>
  <c r="ER699" i="31"/>
  <c r="ES699" i="31"/>
  <c r="ET699" i="31"/>
  <c r="EU699" i="31"/>
  <c r="EV699" i="31"/>
  <c r="EW699" i="31"/>
  <c r="EX699" i="31"/>
  <c r="EY699" i="31"/>
  <c r="EZ699" i="31"/>
  <c r="FA699" i="31"/>
  <c r="FB699" i="31"/>
  <c r="FC699" i="31"/>
  <c r="FD699" i="31"/>
  <c r="FE699" i="31"/>
  <c r="FF699" i="31"/>
  <c r="FG699" i="31"/>
  <c r="FH699" i="31"/>
  <c r="FI699" i="31"/>
  <c r="FJ699" i="31"/>
  <c r="FK699" i="31"/>
  <c r="FL699" i="31"/>
  <c r="FM699" i="31"/>
  <c r="FN699" i="31"/>
  <c r="FO699" i="31"/>
  <c r="FP699" i="31"/>
  <c r="FQ699" i="31"/>
  <c r="FR699" i="31"/>
  <c r="FS699" i="31"/>
  <c r="FT699" i="31"/>
  <c r="FU699" i="31"/>
  <c r="FV699" i="31"/>
  <c r="FW699" i="31"/>
  <c r="FX699" i="31"/>
  <c r="FY699" i="31"/>
  <c r="FZ699" i="31"/>
  <c r="GA699" i="31"/>
  <c r="GB699" i="31"/>
  <c r="GC699" i="31"/>
  <c r="GD699" i="31"/>
  <c r="GE699" i="31"/>
  <c r="GF699" i="31"/>
  <c r="GG699" i="31"/>
  <c r="GH699" i="31"/>
  <c r="GI699" i="31"/>
  <c r="GJ699" i="31"/>
  <c r="GK699" i="31"/>
  <c r="GL699" i="31"/>
  <c r="GM699" i="31"/>
  <c r="GN699" i="31"/>
  <c r="GO699" i="31"/>
  <c r="GP699" i="31"/>
  <c r="GQ699" i="31"/>
  <c r="GR699" i="31"/>
  <c r="GS699" i="31"/>
  <c r="GT699" i="31"/>
  <c r="GU699" i="31"/>
  <c r="GV699" i="31"/>
  <c r="GW699" i="31"/>
  <c r="GX699" i="31"/>
  <c r="GY699" i="31"/>
  <c r="GZ699" i="31"/>
  <c r="HA699" i="31"/>
  <c r="HB699" i="31"/>
  <c r="HC699" i="31"/>
  <c r="HD699" i="31"/>
  <c r="HE699" i="31"/>
  <c r="HF699" i="31"/>
  <c r="HG699" i="31"/>
  <c r="HH699" i="31"/>
  <c r="HI699" i="31"/>
  <c r="HJ699" i="31"/>
  <c r="HK699" i="31"/>
  <c r="HL699" i="31"/>
  <c r="HT699" i="31"/>
  <c r="D700" i="31"/>
  <c r="HV700" i="31" s="1"/>
  <c r="E700" i="31"/>
  <c r="H700" i="31"/>
  <c r="I700" i="31"/>
  <c r="J700" i="31"/>
  <c r="K700" i="31"/>
  <c r="N700" i="31"/>
  <c r="O700" i="31"/>
  <c r="P700" i="31"/>
  <c r="Q700" i="31"/>
  <c r="R700" i="31"/>
  <c r="S700" i="31"/>
  <c r="T700" i="31"/>
  <c r="U700" i="31"/>
  <c r="V700" i="31"/>
  <c r="W700" i="31"/>
  <c r="X700" i="31"/>
  <c r="Y700" i="31"/>
  <c r="AA700" i="31"/>
  <c r="AB700" i="31"/>
  <c r="AC700" i="31"/>
  <c r="AD700" i="31"/>
  <c r="AE700" i="31"/>
  <c r="AF700" i="31"/>
  <c r="AG700" i="31"/>
  <c r="AH700" i="31"/>
  <c r="AI700" i="31"/>
  <c r="AJ700" i="31"/>
  <c r="AK700" i="31"/>
  <c r="AL700" i="31"/>
  <c r="AM700" i="31"/>
  <c r="AN700" i="31"/>
  <c r="AO700" i="31"/>
  <c r="AP700" i="31"/>
  <c r="AQ700" i="31"/>
  <c r="AR700" i="31"/>
  <c r="AS700" i="31"/>
  <c r="AT700" i="31"/>
  <c r="AU700" i="31"/>
  <c r="AV700" i="31"/>
  <c r="AW700" i="31"/>
  <c r="AX700" i="31"/>
  <c r="AY700" i="31"/>
  <c r="AZ700" i="31"/>
  <c r="BA700" i="31"/>
  <c r="BB700" i="31"/>
  <c r="BC700" i="31"/>
  <c r="BD700" i="31"/>
  <c r="BE700" i="31"/>
  <c r="BF700" i="31"/>
  <c r="BG700" i="31"/>
  <c r="BH700" i="31"/>
  <c r="BI700" i="31"/>
  <c r="BJ700" i="31"/>
  <c r="BL700" i="31"/>
  <c r="BM700" i="31"/>
  <c r="BN700" i="31"/>
  <c r="BO700" i="31"/>
  <c r="BP700" i="31"/>
  <c r="BQ700" i="31"/>
  <c r="BR700" i="31"/>
  <c r="BS700" i="31"/>
  <c r="BT700" i="31"/>
  <c r="BU700" i="31"/>
  <c r="BV700" i="31"/>
  <c r="BW700" i="31"/>
  <c r="BX700" i="31"/>
  <c r="BY700" i="31"/>
  <c r="BZ700" i="31"/>
  <c r="CA700" i="31"/>
  <c r="CB700" i="31"/>
  <c r="CC700" i="31"/>
  <c r="CE700" i="31"/>
  <c r="CF700" i="31"/>
  <c r="CG700" i="31"/>
  <c r="CH700" i="31"/>
  <c r="CI700" i="31"/>
  <c r="CJ700" i="31"/>
  <c r="CK700" i="31"/>
  <c r="CL700" i="31"/>
  <c r="CM700" i="31"/>
  <c r="CN700" i="31"/>
  <c r="CO700" i="31"/>
  <c r="CP700" i="31"/>
  <c r="CQ700" i="31"/>
  <c r="CR700" i="31"/>
  <c r="CS700" i="31"/>
  <c r="CT700" i="31"/>
  <c r="CU700" i="31"/>
  <c r="CV700" i="31"/>
  <c r="CW700" i="31"/>
  <c r="CX700" i="31"/>
  <c r="CY700" i="31"/>
  <c r="CZ700" i="31"/>
  <c r="DA700" i="31"/>
  <c r="DB700" i="31"/>
  <c r="DC700" i="31"/>
  <c r="DD700" i="31"/>
  <c r="DE700" i="31"/>
  <c r="DF700" i="31"/>
  <c r="DG700" i="31"/>
  <c r="DH700" i="31"/>
  <c r="DI700" i="31"/>
  <c r="DJ700" i="31"/>
  <c r="DK700" i="31"/>
  <c r="DL700" i="31"/>
  <c r="DM700" i="31"/>
  <c r="DN700" i="31"/>
  <c r="DO700" i="31"/>
  <c r="DP700" i="31"/>
  <c r="DQ700" i="31"/>
  <c r="DR700" i="31"/>
  <c r="DS700" i="31"/>
  <c r="DT700" i="31"/>
  <c r="DU700" i="31"/>
  <c r="DV700" i="31"/>
  <c r="DW700" i="31"/>
  <c r="DX700" i="31"/>
  <c r="DY700" i="31"/>
  <c r="DZ700" i="31"/>
  <c r="EA700" i="31"/>
  <c r="EB700" i="31"/>
  <c r="EC700" i="31"/>
  <c r="ED700" i="31"/>
  <c r="EE700" i="31"/>
  <c r="EF700" i="31"/>
  <c r="EG700" i="31"/>
  <c r="EH700" i="31"/>
  <c r="EI700" i="31"/>
  <c r="EJ700" i="31"/>
  <c r="EK700" i="31"/>
  <c r="EL700" i="31"/>
  <c r="EM700" i="31"/>
  <c r="EN700" i="31"/>
  <c r="EO700" i="31"/>
  <c r="EP700" i="31"/>
  <c r="EQ700" i="31"/>
  <c r="ER700" i="31"/>
  <c r="ES700" i="31"/>
  <c r="ET700" i="31"/>
  <c r="EU700" i="31"/>
  <c r="EV700" i="31"/>
  <c r="EW700" i="31"/>
  <c r="EX700" i="31"/>
  <c r="EY700" i="31"/>
  <c r="EZ700" i="31"/>
  <c r="FA700" i="31"/>
  <c r="FB700" i="31"/>
  <c r="FC700" i="31"/>
  <c r="FD700" i="31"/>
  <c r="FE700" i="31"/>
  <c r="FF700" i="31"/>
  <c r="FG700" i="31"/>
  <c r="FH700" i="31"/>
  <c r="FI700" i="31"/>
  <c r="FJ700" i="31"/>
  <c r="FK700" i="31"/>
  <c r="FL700" i="31"/>
  <c r="FM700" i="31"/>
  <c r="FN700" i="31"/>
  <c r="FO700" i="31"/>
  <c r="FP700" i="31"/>
  <c r="FQ700" i="31"/>
  <c r="FR700" i="31"/>
  <c r="FS700" i="31"/>
  <c r="FT700" i="31"/>
  <c r="FU700" i="31"/>
  <c r="FV700" i="31"/>
  <c r="FW700" i="31"/>
  <c r="FX700" i="31"/>
  <c r="FY700" i="31"/>
  <c r="FZ700" i="31"/>
  <c r="GA700" i="31"/>
  <c r="GB700" i="31"/>
  <c r="GC700" i="31"/>
  <c r="GD700" i="31"/>
  <c r="GE700" i="31"/>
  <c r="GF700" i="31"/>
  <c r="GG700" i="31"/>
  <c r="GH700" i="31"/>
  <c r="GI700" i="31"/>
  <c r="GJ700" i="31"/>
  <c r="GK700" i="31"/>
  <c r="GL700" i="31"/>
  <c r="GM700" i="31"/>
  <c r="GN700" i="31"/>
  <c r="GO700" i="31"/>
  <c r="GP700" i="31"/>
  <c r="GQ700" i="31"/>
  <c r="GR700" i="31"/>
  <c r="GS700" i="31"/>
  <c r="GT700" i="31"/>
  <c r="GU700" i="31"/>
  <c r="GV700" i="31"/>
  <c r="GW700" i="31"/>
  <c r="GX700" i="31"/>
  <c r="GY700" i="31"/>
  <c r="GZ700" i="31"/>
  <c r="HA700" i="31"/>
  <c r="HB700" i="31"/>
  <c r="HC700" i="31"/>
  <c r="HD700" i="31"/>
  <c r="HE700" i="31"/>
  <c r="HF700" i="31"/>
  <c r="HG700" i="31"/>
  <c r="HH700" i="31"/>
  <c r="HI700" i="31"/>
  <c r="HJ700" i="31"/>
  <c r="HK700" i="31"/>
  <c r="HL700" i="31"/>
  <c r="HT700" i="31"/>
  <c r="HM701" i="31"/>
  <c r="HN701" i="31"/>
  <c r="HO701" i="31"/>
  <c r="HP701" i="31"/>
  <c r="HQ701" i="31"/>
  <c r="HR701" i="31"/>
  <c r="HS701" i="31"/>
  <c r="HT701" i="31"/>
  <c r="HM702" i="31"/>
  <c r="HN702" i="31"/>
  <c r="HO702" i="31"/>
  <c r="HP702" i="31"/>
  <c r="HQ702" i="31"/>
  <c r="HR702" i="31"/>
  <c r="HS702" i="31"/>
  <c r="HT702" i="31"/>
  <c r="HM703" i="31"/>
  <c r="HN703" i="31"/>
  <c r="HO703" i="31"/>
  <c r="HP703" i="31"/>
  <c r="HQ703" i="31"/>
  <c r="HR703" i="31"/>
  <c r="HS703" i="31"/>
  <c r="HT703" i="31"/>
  <c r="HM704" i="31"/>
  <c r="HN704" i="31"/>
  <c r="HO704" i="31"/>
  <c r="HP704" i="31"/>
  <c r="HQ704" i="31"/>
  <c r="HR704" i="31"/>
  <c r="HS704" i="31"/>
  <c r="HT704" i="31"/>
  <c r="HM705" i="31"/>
  <c r="HN705" i="31"/>
  <c r="HO705" i="31"/>
  <c r="HP705" i="31"/>
  <c r="HQ705" i="31"/>
  <c r="HR705" i="31"/>
  <c r="HS705" i="31"/>
  <c r="HT705" i="31"/>
  <c r="HM706" i="31"/>
  <c r="HN706" i="31"/>
  <c r="HO706" i="31"/>
  <c r="HP706" i="31"/>
  <c r="HQ706" i="31"/>
  <c r="HR706" i="31"/>
  <c r="HS706" i="31"/>
  <c r="HT706" i="31"/>
  <c r="HM707" i="31"/>
  <c r="HN707" i="31"/>
  <c r="HO707" i="31"/>
  <c r="HP707" i="31"/>
  <c r="HQ707" i="31"/>
  <c r="HR707" i="31"/>
  <c r="HS707" i="31"/>
  <c r="HT707" i="31"/>
  <c r="HM708" i="31"/>
  <c r="HN708" i="31"/>
  <c r="HO708" i="31"/>
  <c r="HP708" i="31"/>
  <c r="HQ708" i="31"/>
  <c r="HR708" i="31"/>
  <c r="HS708" i="31"/>
  <c r="HT708" i="31"/>
  <c r="HM709" i="31"/>
  <c r="HN709" i="31"/>
  <c r="HO709" i="31"/>
  <c r="HP709" i="31"/>
  <c r="HQ709" i="31"/>
  <c r="HR709" i="31"/>
  <c r="HS709" i="31"/>
  <c r="HT709" i="31"/>
  <c r="HM710" i="31"/>
  <c r="HN710" i="31"/>
  <c r="HO710" i="31"/>
  <c r="HP710" i="31"/>
  <c r="HQ710" i="31"/>
  <c r="HR710" i="31"/>
  <c r="HS710" i="31"/>
  <c r="HT710" i="31"/>
  <c r="HM711" i="31"/>
  <c r="HN711" i="31"/>
  <c r="HO711" i="31"/>
  <c r="HP711" i="31"/>
  <c r="HQ711" i="31"/>
  <c r="HR711" i="31"/>
  <c r="HS711" i="31"/>
  <c r="HT711" i="31"/>
  <c r="HM712" i="31"/>
  <c r="HN712" i="31"/>
  <c r="HO712" i="31"/>
  <c r="HP712" i="31"/>
  <c r="HQ712" i="31"/>
  <c r="HR712" i="31"/>
  <c r="HS712" i="31"/>
  <c r="HT712" i="31"/>
  <c r="HM713" i="31"/>
  <c r="HN713" i="31"/>
  <c r="HO713" i="31"/>
  <c r="HP713" i="31"/>
  <c r="HQ713" i="31"/>
  <c r="HR713" i="31"/>
  <c r="HS713" i="31"/>
  <c r="HT713" i="31"/>
  <c r="HM714" i="31"/>
  <c r="HN714" i="31"/>
  <c r="HO714" i="31"/>
  <c r="HP714" i="31"/>
  <c r="HQ714" i="31"/>
  <c r="HR714" i="31"/>
  <c r="HS714" i="31"/>
  <c r="HT714" i="31"/>
  <c r="HM715" i="31"/>
  <c r="HN715" i="31"/>
  <c r="HO715" i="31"/>
  <c r="HP715" i="31"/>
  <c r="HQ715" i="31"/>
  <c r="HR715" i="31"/>
  <c r="HS715" i="31"/>
  <c r="HT715" i="31"/>
  <c r="HM716" i="31"/>
  <c r="HN716" i="31"/>
  <c r="HO716" i="31"/>
  <c r="HP716" i="31"/>
  <c r="HQ716" i="31"/>
  <c r="HR716" i="31"/>
  <c r="HS716" i="31"/>
  <c r="HT716" i="31"/>
  <c r="HM717" i="31"/>
  <c r="HN717" i="31"/>
  <c r="HO717" i="31"/>
  <c r="HP717" i="31"/>
  <c r="HQ717" i="31"/>
  <c r="HR717" i="31"/>
  <c r="HS717" i="31"/>
  <c r="HT717" i="31"/>
  <c r="HM718" i="31"/>
  <c r="HN718" i="31"/>
  <c r="HO718" i="31"/>
  <c r="HP718" i="31"/>
  <c r="HQ718" i="31"/>
  <c r="HR718" i="31"/>
  <c r="HS718" i="31"/>
  <c r="HT718" i="31"/>
  <c r="D13" i="25"/>
  <c r="D26" i="24"/>
  <c r="D31" i="24" s="1"/>
  <c r="D27" i="24"/>
  <c r="D17" i="26"/>
  <c r="H266" i="19"/>
  <c r="D36" i="26"/>
  <c r="K42" i="1" s="1"/>
  <c r="D143" i="24"/>
  <c r="C120" i="30"/>
  <c r="C68" i="29"/>
  <c r="C68" i="37"/>
  <c r="C69" i="29"/>
  <c r="C69" i="37"/>
  <c r="C71" i="29"/>
  <c r="C71" i="37"/>
  <c r="C70" i="29"/>
  <c r="C70" i="37"/>
  <c r="E129" i="1"/>
  <c r="D12" i="26"/>
  <c r="F5" i="36"/>
  <c r="F100" i="36" s="1"/>
  <c r="B15" i="10"/>
  <c r="C15" i="10"/>
  <c r="B16" i="10"/>
  <c r="C16" i="10" s="1"/>
  <c r="B17" i="10"/>
  <c r="C17" i="10"/>
  <c r="D124" i="24"/>
  <c r="D144" i="24"/>
  <c r="D21" i="24"/>
  <c r="D22" i="24"/>
  <c r="D49" i="24"/>
  <c r="D135" i="24" s="1"/>
  <c r="H121" i="1"/>
  <c r="I121" i="1"/>
  <c r="M121" i="1" s="1"/>
  <c r="J121" i="1"/>
  <c r="K121" i="1"/>
  <c r="H122" i="1"/>
  <c r="H123" i="1"/>
  <c r="I122" i="1"/>
  <c r="J122" i="1"/>
  <c r="K122" i="1"/>
  <c r="L133" i="1"/>
  <c r="E131" i="1"/>
  <c r="E130" i="1"/>
  <c r="B154" i="19"/>
  <c r="G48" i="19"/>
  <c r="AF12" i="21"/>
  <c r="AF9" i="21"/>
  <c r="AF8" i="21"/>
  <c r="AF6" i="21"/>
  <c r="D106" i="24"/>
  <c r="C69" i="36"/>
  <c r="C86" i="36"/>
  <c r="C5" i="36"/>
  <c r="C81" i="36" s="1"/>
  <c r="D107" i="24"/>
  <c r="D123" i="24"/>
  <c r="I193" i="19"/>
  <c r="I196" i="19"/>
  <c r="I264" i="19"/>
  <c r="B264" i="19" s="1"/>
  <c r="I267" i="19"/>
  <c r="I288" i="19"/>
  <c r="I229" i="19"/>
  <c r="E6" i="19"/>
  <c r="B8" i="19"/>
  <c r="B16" i="41"/>
  <c r="B83" i="41" s="1"/>
  <c r="B100" i="41"/>
  <c r="B133" i="41"/>
  <c r="B30" i="41"/>
  <c r="B132" i="41" s="1"/>
  <c r="C9" i="41"/>
  <c r="C73" i="41" s="1"/>
  <c r="C92" i="41" s="1"/>
  <c r="B124" i="41"/>
  <c r="B25" i="41"/>
  <c r="B125" i="41" s="1"/>
  <c r="B23" i="41"/>
  <c r="B123" i="41" s="1"/>
  <c r="B116" i="41"/>
  <c r="B17" i="41"/>
  <c r="B84" i="41" s="1"/>
  <c r="B18" i="41"/>
  <c r="B118" i="41" s="1"/>
  <c r="B119" i="41"/>
  <c r="B120" i="41"/>
  <c r="B121" i="41"/>
  <c r="B15" i="41"/>
  <c r="B115" i="41" s="1"/>
  <c r="B11" i="41"/>
  <c r="B108" i="41" s="1"/>
  <c r="B12" i="41"/>
  <c r="B109" i="41" s="1"/>
  <c r="B10" i="41"/>
  <c r="B107" i="41" s="1"/>
  <c r="E8" i="41"/>
  <c r="E105" i="41" s="1"/>
  <c r="F8" i="41"/>
  <c r="F105" i="41" s="1"/>
  <c r="G105" i="41"/>
  <c r="H8" i="41"/>
  <c r="H105" i="41" s="1"/>
  <c r="I8" i="41"/>
  <c r="I105" i="41" s="1"/>
  <c r="J8" i="41"/>
  <c r="J105" i="41" s="1"/>
  <c r="D8" i="41"/>
  <c r="D105" i="41" s="1"/>
  <c r="D7" i="41"/>
  <c r="D104" i="41" s="1"/>
  <c r="B103" i="41"/>
  <c r="B89" i="41"/>
  <c r="D6" i="24"/>
  <c r="C26" i="41" s="1"/>
  <c r="C127" i="41" s="1"/>
  <c r="D9" i="24"/>
  <c r="B127" i="41"/>
  <c r="B128" i="41"/>
  <c r="B97" i="41"/>
  <c r="B96" i="41"/>
  <c r="B94" i="41"/>
  <c r="B93" i="41"/>
  <c r="B86" i="41"/>
  <c r="B87" i="41"/>
  <c r="B88" i="41"/>
  <c r="B82" i="41"/>
  <c r="B78" i="41"/>
  <c r="B75" i="41"/>
  <c r="B42" i="41"/>
  <c r="G72" i="41"/>
  <c r="H72" i="41"/>
  <c r="D72" i="41"/>
  <c r="B64" i="41"/>
  <c r="B61" i="41"/>
  <c r="B60" i="41"/>
  <c r="B59" i="41"/>
  <c r="B58" i="41"/>
  <c r="B55" i="41"/>
  <c r="B54" i="41"/>
  <c r="B53" i="41"/>
  <c r="B45" i="41"/>
  <c r="B44" i="41"/>
  <c r="B35" i="41"/>
  <c r="B38" i="41"/>
  <c r="B29" i="41"/>
  <c r="B28" i="41"/>
  <c r="B27" i="41"/>
  <c r="B26" i="41"/>
  <c r="G40" i="41"/>
  <c r="H40" i="41"/>
  <c r="D40" i="41"/>
  <c r="B32" i="41"/>
  <c r="B9" i="41"/>
  <c r="B3" i="41"/>
  <c r="B6" i="41"/>
  <c r="D37" i="1"/>
  <c r="D6" i="1"/>
  <c r="E160" i="1"/>
  <c r="E157" i="1"/>
  <c r="D150" i="1"/>
  <c r="E135" i="1"/>
  <c r="E138" i="1"/>
  <c r="E137" i="1"/>
  <c r="E139" i="1" s="1"/>
  <c r="E127" i="1"/>
  <c r="E126" i="1"/>
  <c r="E125" i="1"/>
  <c r="E124" i="1"/>
  <c r="E123" i="1"/>
  <c r="F122" i="1"/>
  <c r="F121" i="1"/>
  <c r="E121" i="1"/>
  <c r="E122" i="1"/>
  <c r="E120" i="1"/>
  <c r="E119" i="1"/>
  <c r="E117" i="1"/>
  <c r="E118" i="1"/>
  <c r="D116" i="1"/>
  <c r="E35" i="1"/>
  <c r="E32" i="1"/>
  <c r="E34" i="1"/>
  <c r="E33" i="1"/>
  <c r="D134" i="1"/>
  <c r="D112" i="1"/>
  <c r="D114" i="1"/>
  <c r="F103" i="1"/>
  <c r="F102" i="1"/>
  <c r="F101" i="1"/>
  <c r="F100" i="1"/>
  <c r="F99" i="1"/>
  <c r="E95" i="1"/>
  <c r="F106" i="1"/>
  <c r="E103" i="1"/>
  <c r="D99" i="1"/>
  <c r="D98" i="1"/>
  <c r="D95" i="1"/>
  <c r="F97" i="1"/>
  <c r="F96" i="1"/>
  <c r="F95" i="1"/>
  <c r="E97" i="1"/>
  <c r="E96" i="1"/>
  <c r="D94" i="1"/>
  <c r="D66" i="1"/>
  <c r="D86" i="1"/>
  <c r="D88" i="1"/>
  <c r="D89" i="1"/>
  <c r="E92" i="1"/>
  <c r="E91" i="1"/>
  <c r="F89" i="1"/>
  <c r="E89" i="1"/>
  <c r="M88" i="1"/>
  <c r="D80" i="1"/>
  <c r="D59" i="1"/>
  <c r="D2" i="1"/>
  <c r="D4" i="1"/>
  <c r="F83" i="1"/>
  <c r="F72" i="1"/>
  <c r="F78" i="1"/>
  <c r="F76" i="1"/>
  <c r="F74" i="1"/>
  <c r="F71" i="1"/>
  <c r="F77" i="1"/>
  <c r="F75" i="1"/>
  <c r="F73" i="1"/>
  <c r="E68" i="1"/>
  <c r="E67" i="1"/>
  <c r="E64" i="1"/>
  <c r="E63" i="1"/>
  <c r="E62" i="1"/>
  <c r="D71" i="1"/>
  <c r="D70" i="1"/>
  <c r="D69" i="1"/>
  <c r="D45" i="1"/>
  <c r="D67" i="1"/>
  <c r="D50" i="1"/>
  <c r="D47" i="1"/>
  <c r="D62" i="1"/>
  <c r="E61" i="1"/>
  <c r="M60" i="1"/>
  <c r="I60" i="1"/>
  <c r="D38" i="1"/>
  <c r="H60" i="1" s="1"/>
  <c r="D60" i="1"/>
  <c r="F46" i="1"/>
  <c r="F45" i="1"/>
  <c r="E45" i="1"/>
  <c r="F53" i="1"/>
  <c r="F52" i="1"/>
  <c r="F51" i="1"/>
  <c r="F50" i="1"/>
  <c r="D49" i="1"/>
  <c r="D48" i="1"/>
  <c r="D44" i="1"/>
  <c r="D39" i="1"/>
  <c r="M38" i="1"/>
  <c r="B98" i="19"/>
  <c r="I8" i="1" s="1"/>
  <c r="J8" i="1"/>
  <c r="J38" i="1" s="1"/>
  <c r="B225" i="19"/>
  <c r="K8" i="1" s="1"/>
  <c r="B43" i="19"/>
  <c r="H8" i="1" s="1"/>
  <c r="F42" i="1"/>
  <c r="F41" i="1"/>
  <c r="E43" i="1"/>
  <c r="E40" i="1"/>
  <c r="E39" i="1"/>
  <c r="F35" i="1"/>
  <c r="F34" i="1"/>
  <c r="F33" i="1"/>
  <c r="F32" i="1"/>
  <c r="F31" i="1"/>
  <c r="F30" i="1"/>
  <c r="F29" i="1"/>
  <c r="F27" i="1"/>
  <c r="F26" i="1"/>
  <c r="F22" i="1"/>
  <c r="F24" i="1"/>
  <c r="F25" i="1"/>
  <c r="F21" i="1"/>
  <c r="E16" i="1"/>
  <c r="D31" i="1"/>
  <c r="D26" i="1"/>
  <c r="D21" i="1"/>
  <c r="D20" i="1"/>
  <c r="D19" i="1"/>
  <c r="D18" i="1"/>
  <c r="F17" i="1"/>
  <c r="F16" i="1"/>
  <c r="E11" i="1"/>
  <c r="D11" i="1"/>
  <c r="D16" i="1"/>
  <c r="D15" i="1"/>
  <c r="N9" i="1"/>
  <c r="N8" i="1"/>
  <c r="M9" i="1"/>
  <c r="M8" i="1"/>
  <c r="F13" i="1"/>
  <c r="E14" i="1"/>
  <c r="E12" i="1"/>
  <c r="G9" i="1"/>
  <c r="D10" i="1"/>
  <c r="D8" i="1"/>
  <c r="O6" i="40"/>
  <c r="N6" i="40"/>
  <c r="M6" i="40"/>
  <c r="L6" i="40"/>
  <c r="K6" i="40"/>
  <c r="J6" i="40"/>
  <c r="I6" i="40"/>
  <c r="H6" i="40"/>
  <c r="F6" i="40"/>
  <c r="E6" i="40"/>
  <c r="D6" i="40"/>
  <c r="C6" i="40"/>
  <c r="B6" i="40"/>
  <c r="B5" i="40"/>
  <c r="B14" i="40"/>
  <c r="B2" i="40"/>
  <c r="W16" i="40"/>
  <c r="V16" i="40"/>
  <c r="U16" i="40"/>
  <c r="T16" i="40"/>
  <c r="S16" i="40"/>
  <c r="R16" i="40"/>
  <c r="Q16" i="40"/>
  <c r="P16" i="40"/>
  <c r="O16" i="40"/>
  <c r="N16" i="40"/>
  <c r="L16" i="40"/>
  <c r="G2" i="59" s="1"/>
  <c r="K16" i="40"/>
  <c r="F2" i="59" s="1"/>
  <c r="J16" i="40"/>
  <c r="E2" i="59" s="1"/>
  <c r="I16" i="40"/>
  <c r="H16" i="40"/>
  <c r="D2" i="59" s="1"/>
  <c r="G16" i="40"/>
  <c r="F16" i="40"/>
  <c r="E16" i="40"/>
  <c r="D16" i="40"/>
  <c r="C16" i="40"/>
  <c r="C2" i="59" s="1"/>
  <c r="B16" i="40"/>
  <c r="B393" i="19"/>
  <c r="Z17" i="21"/>
  <c r="AA17" i="21"/>
  <c r="E17" i="40"/>
  <c r="E18" i="40"/>
  <c r="E19" i="40"/>
  <c r="E20" i="40"/>
  <c r="E21" i="40"/>
  <c r="E22" i="40"/>
  <c r="E23" i="40"/>
  <c r="E24" i="40"/>
  <c r="E25" i="40"/>
  <c r="E26" i="40"/>
  <c r="E27" i="40"/>
  <c r="E28" i="40"/>
  <c r="E29" i="40"/>
  <c r="E30" i="40"/>
  <c r="E31" i="40"/>
  <c r="Z23" i="21"/>
  <c r="AA23" i="21"/>
  <c r="E32" i="40"/>
  <c r="E33" i="40"/>
  <c r="E34" i="40"/>
  <c r="E35" i="40"/>
  <c r="E36" i="40"/>
  <c r="E38" i="40"/>
  <c r="E39" i="40"/>
  <c r="E40" i="40"/>
  <c r="E41" i="40"/>
  <c r="E42" i="40"/>
  <c r="E43" i="40"/>
  <c r="E44" i="40"/>
  <c r="E45" i="40"/>
  <c r="E46" i="40"/>
  <c r="E47" i="40"/>
  <c r="E48" i="40"/>
  <c r="E49" i="40"/>
  <c r="E50" i="40"/>
  <c r="E51" i="40"/>
  <c r="E52" i="40"/>
  <c r="E53" i="40"/>
  <c r="E54" i="40"/>
  <c r="E55" i="40"/>
  <c r="E56" i="40"/>
  <c r="E57" i="40"/>
  <c r="E58" i="40"/>
  <c r="E59" i="40"/>
  <c r="E60" i="40"/>
  <c r="E61" i="40"/>
  <c r="E62" i="40"/>
  <c r="E63" i="40"/>
  <c r="E64" i="40"/>
  <c r="E65" i="40"/>
  <c r="E66" i="40"/>
  <c r="E67" i="40"/>
  <c r="E68" i="40"/>
  <c r="E69" i="40"/>
  <c r="E70" i="40"/>
  <c r="E71" i="40"/>
  <c r="E72" i="40"/>
  <c r="E73" i="40"/>
  <c r="E74" i="40"/>
  <c r="E75" i="40"/>
  <c r="E76" i="40"/>
  <c r="E77" i="40"/>
  <c r="E78" i="40"/>
  <c r="E79" i="40"/>
  <c r="E80" i="40"/>
  <c r="E81" i="40"/>
  <c r="E82" i="40"/>
  <c r="E83" i="40"/>
  <c r="E84" i="40"/>
  <c r="E85" i="40"/>
  <c r="E86" i="40"/>
  <c r="E87" i="40"/>
  <c r="E89" i="40"/>
  <c r="E90" i="40"/>
  <c r="E91" i="40"/>
  <c r="E92" i="40"/>
  <c r="E93" i="40"/>
  <c r="E94" i="40"/>
  <c r="E95" i="40"/>
  <c r="E96" i="40"/>
  <c r="E97" i="40"/>
  <c r="E98" i="40"/>
  <c r="E99" i="40"/>
  <c r="E100" i="40"/>
  <c r="E101" i="40"/>
  <c r="E102" i="40"/>
  <c r="E103" i="40"/>
  <c r="E104" i="40"/>
  <c r="E105" i="40"/>
  <c r="Z22" i="21"/>
  <c r="AA22" i="21"/>
  <c r="E106" i="40"/>
  <c r="E107" i="40"/>
  <c r="E108" i="40"/>
  <c r="E109" i="40"/>
  <c r="E110" i="40"/>
  <c r="E111" i="40"/>
  <c r="E112" i="40"/>
  <c r="E113" i="40"/>
  <c r="E114" i="40"/>
  <c r="E115" i="40"/>
  <c r="E116" i="40"/>
  <c r="E117" i="40"/>
  <c r="E118" i="40"/>
  <c r="E119" i="40"/>
  <c r="E120" i="40"/>
  <c r="E121" i="40"/>
  <c r="E122" i="40"/>
  <c r="E123" i="40"/>
  <c r="E124" i="40"/>
  <c r="E125" i="40"/>
  <c r="E126" i="40"/>
  <c r="E127" i="40"/>
  <c r="E128" i="40"/>
  <c r="E129" i="40"/>
  <c r="E130" i="40"/>
  <c r="E131" i="40"/>
  <c r="E132" i="40"/>
  <c r="E133" i="40"/>
  <c r="E134" i="40"/>
  <c r="E135" i="40"/>
  <c r="E136" i="40"/>
  <c r="E137" i="40"/>
  <c r="E138" i="40"/>
  <c r="E140" i="40"/>
  <c r="E141" i="40"/>
  <c r="E142" i="40"/>
  <c r="E143" i="40"/>
  <c r="E144" i="40"/>
  <c r="E145" i="40"/>
  <c r="E146" i="40"/>
  <c r="E147" i="40"/>
  <c r="E148" i="40"/>
  <c r="E149" i="40"/>
  <c r="E150" i="40"/>
  <c r="E151" i="40"/>
  <c r="E152" i="40"/>
  <c r="E153" i="40"/>
  <c r="E154" i="40"/>
  <c r="E155" i="40"/>
  <c r="E156" i="40"/>
  <c r="E157" i="40"/>
  <c r="E158" i="40"/>
  <c r="E159" i="40"/>
  <c r="E160" i="40"/>
  <c r="E161" i="40"/>
  <c r="E162" i="40"/>
  <c r="E163" i="40"/>
  <c r="E164" i="40"/>
  <c r="E165" i="40"/>
  <c r="E166" i="40"/>
  <c r="E167" i="40"/>
  <c r="E168" i="40"/>
  <c r="E169" i="40"/>
  <c r="E170" i="40"/>
  <c r="E171" i="40"/>
  <c r="E172" i="40"/>
  <c r="E173" i="40"/>
  <c r="E174" i="40"/>
  <c r="E175" i="40"/>
  <c r="E176" i="40"/>
  <c r="E177" i="40"/>
  <c r="E178" i="40"/>
  <c r="E179" i="40"/>
  <c r="E180" i="40"/>
  <c r="E181" i="40"/>
  <c r="E182" i="40"/>
  <c r="E183" i="40"/>
  <c r="E184" i="40"/>
  <c r="E185" i="40"/>
  <c r="E186" i="40"/>
  <c r="E187" i="40"/>
  <c r="E188" i="40"/>
  <c r="E189" i="40"/>
  <c r="I294" i="19"/>
  <c r="H138" i="1"/>
  <c r="C78" i="41"/>
  <c r="D78" i="41" s="1"/>
  <c r="E122" i="41"/>
  <c r="E120" i="41"/>
  <c r="E121" i="41"/>
  <c r="E119" i="41"/>
  <c r="E114" i="41"/>
  <c r="F122" i="41"/>
  <c r="F120" i="41"/>
  <c r="F121" i="41"/>
  <c r="F119" i="41"/>
  <c r="F114" i="41"/>
  <c r="AE17" i="21"/>
  <c r="AC17" i="21"/>
  <c r="AB17" i="21"/>
  <c r="AE19" i="21"/>
  <c r="AC19" i="21"/>
  <c r="AB19" i="21"/>
  <c r="Z19" i="21"/>
  <c r="AA19" i="21"/>
  <c r="AC23" i="21"/>
  <c r="AB23" i="21"/>
  <c r="AC22" i="21"/>
  <c r="AB22" i="21"/>
  <c r="L59" i="20"/>
  <c r="E120" i="30"/>
  <c r="F120" i="30" s="1"/>
  <c r="G119" i="41"/>
  <c r="H120" i="41"/>
  <c r="H121" i="41"/>
  <c r="H119" i="41"/>
  <c r="N59" i="20"/>
  <c r="I119" i="41"/>
  <c r="J122" i="41"/>
  <c r="J120" i="41"/>
  <c r="J121" i="41"/>
  <c r="J119" i="41"/>
  <c r="H137" i="1"/>
  <c r="I137" i="1"/>
  <c r="F20" i="22"/>
  <c r="J137" i="1" s="1"/>
  <c r="G20" i="22"/>
  <c r="K137" i="1"/>
  <c r="D120" i="41"/>
  <c r="D121" i="41"/>
  <c r="J23" i="41"/>
  <c r="J57" i="41"/>
  <c r="J90" i="41"/>
  <c r="F23" i="41"/>
  <c r="F57" i="41"/>
  <c r="F90" i="41"/>
  <c r="E23" i="41"/>
  <c r="E57" i="41"/>
  <c r="E90" i="41"/>
  <c r="E23" i="37"/>
  <c r="E147" i="36"/>
  <c r="D147" i="36"/>
  <c r="M165" i="1"/>
  <c r="M160" i="1"/>
  <c r="F155" i="1"/>
  <c r="F154" i="1"/>
  <c r="F153" i="1"/>
  <c r="L150" i="1"/>
  <c r="L148" i="1"/>
  <c r="M134" i="1"/>
  <c r="M148" i="1" s="1"/>
  <c r="M122" i="1"/>
  <c r="E136" i="1"/>
  <c r="F136" i="1"/>
  <c r="F137" i="1"/>
  <c r="F139" i="1"/>
  <c r="F140" i="1"/>
  <c r="F135" i="1"/>
  <c r="D8" i="33"/>
  <c r="D13" i="33"/>
  <c r="F13" i="33"/>
  <c r="D19" i="33"/>
  <c r="F19" i="33"/>
  <c r="C74" i="24"/>
  <c r="C73" i="24"/>
  <c r="C72" i="24"/>
  <c r="C5" i="24"/>
  <c r="B3" i="24"/>
  <c r="I248" i="19"/>
  <c r="G6" i="21"/>
  <c r="G11" i="21" s="1"/>
  <c r="F6" i="21"/>
  <c r="F11" i="21" s="1"/>
  <c r="G79" i="19"/>
  <c r="B79" i="19"/>
  <c r="E79" i="19"/>
  <c r="B48" i="24"/>
  <c r="D122" i="24"/>
  <c r="D121" i="24"/>
  <c r="D105" i="24"/>
  <c r="C120" i="24"/>
  <c r="C103" i="24"/>
  <c r="C114" i="24"/>
  <c r="C124" i="24"/>
  <c r="C123" i="24"/>
  <c r="C122" i="24"/>
  <c r="C121" i="24"/>
  <c r="C126" i="24"/>
  <c r="C127" i="24"/>
  <c r="C128" i="24"/>
  <c r="C129" i="24"/>
  <c r="C118" i="24"/>
  <c r="C117" i="24"/>
  <c r="C116" i="24"/>
  <c r="C115" i="24"/>
  <c r="C98" i="24"/>
  <c r="C97" i="24"/>
  <c r="B96" i="24"/>
  <c r="B73" i="26"/>
  <c r="B73" i="25"/>
  <c r="C107" i="24"/>
  <c r="C106" i="24"/>
  <c r="C105" i="24"/>
  <c r="C104" i="24"/>
  <c r="B95" i="25"/>
  <c r="C108" i="25"/>
  <c r="C107" i="25"/>
  <c r="C106" i="25"/>
  <c r="C105" i="25"/>
  <c r="C103" i="25"/>
  <c r="C102" i="25"/>
  <c r="C101" i="25"/>
  <c r="C100" i="25"/>
  <c r="C98" i="25"/>
  <c r="C97" i="25"/>
  <c r="C96" i="25"/>
  <c r="C94" i="25"/>
  <c r="C93" i="25"/>
  <c r="C92" i="25"/>
  <c r="C91" i="25"/>
  <c r="C89" i="25"/>
  <c r="C88" i="25"/>
  <c r="C87" i="25"/>
  <c r="C86" i="25"/>
  <c r="C84" i="25"/>
  <c r="C83" i="25"/>
  <c r="C82" i="25"/>
  <c r="C81" i="25"/>
  <c r="C80" i="25"/>
  <c r="C78" i="25"/>
  <c r="C77" i="25"/>
  <c r="C76" i="25"/>
  <c r="C75" i="25"/>
  <c r="C74" i="25"/>
  <c r="C93" i="26"/>
  <c r="C92" i="26"/>
  <c r="C91" i="26"/>
  <c r="C88" i="26"/>
  <c r="C87" i="26"/>
  <c r="C86" i="26"/>
  <c r="C71" i="26"/>
  <c r="F16" i="21"/>
  <c r="F21" i="21" s="1"/>
  <c r="C90" i="26"/>
  <c r="C85" i="26"/>
  <c r="C83" i="26"/>
  <c r="C82" i="26"/>
  <c r="C81" i="26"/>
  <c r="C80" i="26"/>
  <c r="C79" i="26"/>
  <c r="C107" i="26"/>
  <c r="C39" i="25"/>
  <c r="C34" i="25"/>
  <c r="C33" i="26"/>
  <c r="B30" i="25"/>
  <c r="F503" i="19"/>
  <c r="F504" i="19"/>
  <c r="F505" i="19"/>
  <c r="F506" i="19"/>
  <c r="F507" i="19"/>
  <c r="F508" i="19"/>
  <c r="M96" i="1"/>
  <c r="F502" i="19"/>
  <c r="C36" i="26"/>
  <c r="D190" i="40"/>
  <c r="B285" i="19"/>
  <c r="C186" i="40" s="1"/>
  <c r="C37" i="26"/>
  <c r="D186" i="40"/>
  <c r="C187" i="40"/>
  <c r="D187" i="40"/>
  <c r="D188" i="40"/>
  <c r="C189" i="40"/>
  <c r="D189" i="40"/>
  <c r="D185" i="40"/>
  <c r="C185" i="40"/>
  <c r="B171" i="40"/>
  <c r="B226" i="19"/>
  <c r="C171" i="40"/>
  <c r="B266" i="19"/>
  <c r="D171" i="40" s="1"/>
  <c r="B172" i="40"/>
  <c r="C172" i="40"/>
  <c r="D172" i="40"/>
  <c r="B173" i="40"/>
  <c r="C173" i="40"/>
  <c r="B174" i="40"/>
  <c r="C174" i="40"/>
  <c r="B175" i="40"/>
  <c r="C175" i="40"/>
  <c r="B176" i="40"/>
  <c r="C176" i="40"/>
  <c r="D176" i="40"/>
  <c r="B177" i="40"/>
  <c r="C177" i="40"/>
  <c r="B178" i="40"/>
  <c r="C178" i="40"/>
  <c r="B179" i="40"/>
  <c r="C179" i="40"/>
  <c r="B180" i="40"/>
  <c r="C180" i="40"/>
  <c r="D180" i="40"/>
  <c r="B181" i="40"/>
  <c r="C181" i="40"/>
  <c r="B182" i="40"/>
  <c r="C182" i="40"/>
  <c r="B183" i="40"/>
  <c r="C183" i="40"/>
  <c r="B184" i="40"/>
  <c r="C184" i="40"/>
  <c r="D184" i="40"/>
  <c r="B185" i="40"/>
  <c r="B186" i="40"/>
  <c r="B187" i="40"/>
  <c r="B188" i="40"/>
  <c r="B189" i="40"/>
  <c r="B190" i="40"/>
  <c r="B156" i="40"/>
  <c r="C156" i="40"/>
  <c r="B247" i="19"/>
  <c r="D158" i="40" s="1"/>
  <c r="D156" i="40"/>
  <c r="B157" i="40"/>
  <c r="C157" i="40"/>
  <c r="D157" i="40"/>
  <c r="B158" i="40"/>
  <c r="C158" i="40"/>
  <c r="B159" i="40"/>
  <c r="C159" i="40"/>
  <c r="D159" i="40"/>
  <c r="B160" i="40"/>
  <c r="C160" i="40"/>
  <c r="D160" i="40"/>
  <c r="B161" i="40"/>
  <c r="C161" i="40"/>
  <c r="D161" i="40"/>
  <c r="B162" i="40"/>
  <c r="C162" i="40"/>
  <c r="D162" i="40"/>
  <c r="B163" i="40"/>
  <c r="C163" i="40"/>
  <c r="D163" i="40"/>
  <c r="B164" i="40"/>
  <c r="C164" i="40"/>
  <c r="D164" i="40"/>
  <c r="B165" i="40"/>
  <c r="C165" i="40"/>
  <c r="D165" i="40"/>
  <c r="B166" i="40"/>
  <c r="C166" i="40"/>
  <c r="D166" i="40"/>
  <c r="B167" i="40"/>
  <c r="C167" i="40"/>
  <c r="D167" i="40"/>
  <c r="B168" i="40"/>
  <c r="C168" i="40"/>
  <c r="D168" i="40"/>
  <c r="B169" i="40"/>
  <c r="C169" i="40"/>
  <c r="D169" i="40"/>
  <c r="B170" i="40"/>
  <c r="C170" i="40"/>
  <c r="D155" i="40"/>
  <c r="C141" i="40"/>
  <c r="C142" i="40"/>
  <c r="C143" i="40"/>
  <c r="C144" i="40"/>
  <c r="C145" i="40"/>
  <c r="C146" i="40"/>
  <c r="C147" i="40"/>
  <c r="C148" i="40"/>
  <c r="C149" i="40"/>
  <c r="C150" i="40"/>
  <c r="C151" i="40"/>
  <c r="C152" i="40"/>
  <c r="C153" i="40"/>
  <c r="C154" i="40"/>
  <c r="C155" i="40"/>
  <c r="C140" i="40"/>
  <c r="B141" i="40"/>
  <c r="B228" i="19"/>
  <c r="D142" i="40" s="1"/>
  <c r="D141" i="40"/>
  <c r="B142" i="40"/>
  <c r="B143" i="40"/>
  <c r="D143" i="40"/>
  <c r="B144" i="40"/>
  <c r="B145" i="40"/>
  <c r="D145" i="40"/>
  <c r="B146" i="40"/>
  <c r="B147" i="40"/>
  <c r="D147" i="40"/>
  <c r="B148" i="40"/>
  <c r="B149" i="40"/>
  <c r="D149" i="40"/>
  <c r="B150" i="40"/>
  <c r="B151" i="40"/>
  <c r="D151" i="40"/>
  <c r="B152" i="40"/>
  <c r="B153" i="40"/>
  <c r="D153" i="40"/>
  <c r="B154" i="40"/>
  <c r="B155" i="40"/>
  <c r="D140" i="40"/>
  <c r="B140" i="40"/>
  <c r="G2" i="60" s="1"/>
  <c r="C37" i="25"/>
  <c r="D139" i="40"/>
  <c r="C38" i="25"/>
  <c r="D135" i="40" s="1"/>
  <c r="D138" i="40"/>
  <c r="I217" i="19"/>
  <c r="B214" i="19"/>
  <c r="C136" i="40" s="1"/>
  <c r="C135" i="40"/>
  <c r="C138" i="40"/>
  <c r="C139" i="40"/>
  <c r="B134" i="40"/>
  <c r="B135" i="40"/>
  <c r="B136" i="40"/>
  <c r="B137" i="40"/>
  <c r="B138" i="40"/>
  <c r="B139" i="40"/>
  <c r="B195" i="19"/>
  <c r="D120" i="40" s="1"/>
  <c r="D123" i="40"/>
  <c r="D127" i="40"/>
  <c r="D131" i="40"/>
  <c r="B119" i="40"/>
  <c r="B155" i="19"/>
  <c r="C119" i="40" s="1"/>
  <c r="B120" i="40"/>
  <c r="C120" i="40"/>
  <c r="B121" i="40"/>
  <c r="B122" i="40"/>
  <c r="C122" i="40"/>
  <c r="B123" i="40"/>
  <c r="B124" i="40"/>
  <c r="C124" i="40"/>
  <c r="B125" i="40"/>
  <c r="C125" i="40"/>
  <c r="B126" i="40"/>
  <c r="C126" i="40"/>
  <c r="B127" i="40"/>
  <c r="C127" i="40"/>
  <c r="B128" i="40"/>
  <c r="C128" i="40"/>
  <c r="B129" i="40"/>
  <c r="C129" i="40"/>
  <c r="B130" i="40"/>
  <c r="C130" i="40"/>
  <c r="B131" i="40"/>
  <c r="C131" i="40"/>
  <c r="B132" i="40"/>
  <c r="C132" i="40"/>
  <c r="B133" i="40"/>
  <c r="C133" i="40"/>
  <c r="I177" i="19"/>
  <c r="B114" i="40"/>
  <c r="C114" i="40"/>
  <c r="B176" i="19"/>
  <c r="D114" i="40"/>
  <c r="B115" i="40"/>
  <c r="C115" i="40"/>
  <c r="D115" i="40"/>
  <c r="B116" i="40"/>
  <c r="C116" i="40"/>
  <c r="D116" i="40"/>
  <c r="B117" i="40"/>
  <c r="C117" i="40"/>
  <c r="D117" i="40"/>
  <c r="B118" i="40"/>
  <c r="C118" i="40"/>
  <c r="D118" i="40"/>
  <c r="B109" i="40"/>
  <c r="C109" i="40"/>
  <c r="D109" i="40"/>
  <c r="B110" i="40"/>
  <c r="C110" i="40"/>
  <c r="D110" i="40"/>
  <c r="B111" i="40"/>
  <c r="C111" i="40"/>
  <c r="D111" i="40"/>
  <c r="B112" i="40"/>
  <c r="C112" i="40"/>
  <c r="D112" i="40"/>
  <c r="B113" i="40"/>
  <c r="C113" i="40"/>
  <c r="D113" i="40"/>
  <c r="D105" i="40"/>
  <c r="D106" i="40"/>
  <c r="D107" i="40"/>
  <c r="D108" i="40"/>
  <c r="D104" i="40"/>
  <c r="B90" i="40"/>
  <c r="C90" i="40"/>
  <c r="B157" i="19"/>
  <c r="D90" i="40"/>
  <c r="B91" i="40"/>
  <c r="C91" i="40"/>
  <c r="D91" i="40"/>
  <c r="B92" i="40"/>
  <c r="C92" i="40"/>
  <c r="D92" i="40"/>
  <c r="B93" i="40"/>
  <c r="C93" i="40"/>
  <c r="D93" i="40"/>
  <c r="B94" i="40"/>
  <c r="C94" i="40"/>
  <c r="D94" i="40"/>
  <c r="B95" i="40"/>
  <c r="C95" i="40"/>
  <c r="D95" i="40"/>
  <c r="B96" i="40"/>
  <c r="C96" i="40"/>
  <c r="D96" i="40"/>
  <c r="B97" i="40"/>
  <c r="C97" i="40"/>
  <c r="D97" i="40"/>
  <c r="B98" i="40"/>
  <c r="C98" i="40"/>
  <c r="D98" i="40"/>
  <c r="B99" i="40"/>
  <c r="C99" i="40"/>
  <c r="D99" i="40"/>
  <c r="B100" i="40"/>
  <c r="C100" i="40"/>
  <c r="D100" i="40"/>
  <c r="B101" i="40"/>
  <c r="C101" i="40"/>
  <c r="D101" i="40"/>
  <c r="B102" i="40"/>
  <c r="C102" i="40"/>
  <c r="D102" i="40"/>
  <c r="B103" i="40"/>
  <c r="C103" i="40"/>
  <c r="D103" i="40"/>
  <c r="B104" i="40"/>
  <c r="C104" i="40"/>
  <c r="B105" i="40"/>
  <c r="C105" i="40"/>
  <c r="B106" i="40"/>
  <c r="C106" i="40"/>
  <c r="B107" i="40"/>
  <c r="C107" i="40"/>
  <c r="B108" i="40"/>
  <c r="C108" i="40"/>
  <c r="D89" i="40"/>
  <c r="C89" i="40"/>
  <c r="B89" i="40"/>
  <c r="F2" i="60" s="1"/>
  <c r="I158" i="19"/>
  <c r="I146" i="19"/>
  <c r="I124" i="19"/>
  <c r="I103" i="19"/>
  <c r="I80" i="19"/>
  <c r="I69" i="19"/>
  <c r="I49" i="19"/>
  <c r="E49" i="19"/>
  <c r="C44" i="24"/>
  <c r="D88" i="40" s="1"/>
  <c r="B88" i="40"/>
  <c r="B143" i="19"/>
  <c r="C86" i="40" s="1"/>
  <c r="C88" i="40"/>
  <c r="C45" i="24"/>
  <c r="D84" i="40" s="1"/>
  <c r="D85" i="40"/>
  <c r="D86" i="40"/>
  <c r="D87" i="40"/>
  <c r="D83" i="40"/>
  <c r="C84" i="40"/>
  <c r="C85" i="40"/>
  <c r="C83" i="40"/>
  <c r="B121" i="19"/>
  <c r="D69" i="40" s="1"/>
  <c r="D72" i="40"/>
  <c r="D76" i="40"/>
  <c r="D80" i="40"/>
  <c r="B54" i="40"/>
  <c r="B99" i="19"/>
  <c r="C54" i="40" s="1"/>
  <c r="B100" i="19"/>
  <c r="D57" i="40" s="1"/>
  <c r="D54" i="40"/>
  <c r="B55" i="40"/>
  <c r="D55" i="40"/>
  <c r="B56" i="40"/>
  <c r="C56" i="40"/>
  <c r="B57" i="40"/>
  <c r="C57" i="40"/>
  <c r="B58" i="40"/>
  <c r="C58" i="40"/>
  <c r="D58" i="40"/>
  <c r="B59" i="40"/>
  <c r="C59" i="40"/>
  <c r="D59" i="40"/>
  <c r="B60" i="40"/>
  <c r="C60" i="40"/>
  <c r="B61" i="40"/>
  <c r="C61" i="40"/>
  <c r="B62" i="40"/>
  <c r="C62" i="40"/>
  <c r="D62" i="40"/>
  <c r="B63" i="40"/>
  <c r="C63" i="40"/>
  <c r="D63" i="40"/>
  <c r="B64" i="40"/>
  <c r="C64" i="40"/>
  <c r="B65" i="40"/>
  <c r="C65" i="40"/>
  <c r="B66" i="40"/>
  <c r="C66" i="40"/>
  <c r="D66" i="40"/>
  <c r="B67" i="40"/>
  <c r="C67" i="40"/>
  <c r="D67" i="40"/>
  <c r="B68" i="40"/>
  <c r="C68" i="40"/>
  <c r="B69" i="40"/>
  <c r="C69" i="40"/>
  <c r="B70" i="40"/>
  <c r="C70" i="40"/>
  <c r="B71" i="40"/>
  <c r="C71" i="40"/>
  <c r="B72" i="40"/>
  <c r="C72" i="40"/>
  <c r="B73" i="40"/>
  <c r="C73" i="40"/>
  <c r="B74" i="40"/>
  <c r="C74" i="40"/>
  <c r="B75" i="40"/>
  <c r="C75" i="40"/>
  <c r="B76" i="40"/>
  <c r="C76" i="40"/>
  <c r="B77" i="40"/>
  <c r="C77" i="40"/>
  <c r="B78" i="40"/>
  <c r="C78" i="40"/>
  <c r="B79" i="40"/>
  <c r="C79" i="40"/>
  <c r="B80" i="40"/>
  <c r="C80" i="40"/>
  <c r="B81" i="40"/>
  <c r="C81" i="40"/>
  <c r="B82" i="40"/>
  <c r="C82" i="40"/>
  <c r="B83" i="40"/>
  <c r="B84" i="40"/>
  <c r="B85" i="40"/>
  <c r="B86" i="40"/>
  <c r="B87" i="40"/>
  <c r="D53" i="40"/>
  <c r="C53" i="40"/>
  <c r="B53" i="40"/>
  <c r="E2" i="60" s="1"/>
  <c r="B77" i="19"/>
  <c r="B39" i="40"/>
  <c r="B78" i="19"/>
  <c r="C39" i="40" s="1"/>
  <c r="B40" i="40"/>
  <c r="B41" i="40"/>
  <c r="B42" i="40"/>
  <c r="B43" i="40"/>
  <c r="B44" i="40"/>
  <c r="B45" i="40"/>
  <c r="B46" i="40"/>
  <c r="B47" i="40"/>
  <c r="B48" i="40"/>
  <c r="B49" i="40"/>
  <c r="B50" i="40"/>
  <c r="B51" i="40"/>
  <c r="B52" i="40"/>
  <c r="C38" i="40"/>
  <c r="B38" i="40"/>
  <c r="D2" i="60" s="1"/>
  <c r="C40" i="24"/>
  <c r="D37" i="40"/>
  <c r="C41" i="24"/>
  <c r="D33" i="40" s="1"/>
  <c r="D36" i="40"/>
  <c r="B66" i="19"/>
  <c r="C35" i="40" s="1"/>
  <c r="C33" i="40"/>
  <c r="C34" i="40"/>
  <c r="C36" i="40"/>
  <c r="C37" i="40"/>
  <c r="C32" i="40"/>
  <c r="B33" i="40"/>
  <c r="B34" i="40"/>
  <c r="B35" i="40"/>
  <c r="B36" i="40"/>
  <c r="B37" i="40"/>
  <c r="B18" i="40"/>
  <c r="B44" i="19"/>
  <c r="C22" i="40" s="1"/>
  <c r="C18" i="40"/>
  <c r="B45" i="19"/>
  <c r="D18" i="40"/>
  <c r="B19" i="40"/>
  <c r="C19" i="40"/>
  <c r="D19" i="40"/>
  <c r="B20" i="40"/>
  <c r="C20" i="40"/>
  <c r="D20" i="40"/>
  <c r="B21" i="40"/>
  <c r="D21" i="40"/>
  <c r="B22" i="40"/>
  <c r="D22" i="40"/>
  <c r="B23" i="40"/>
  <c r="C23" i="40"/>
  <c r="D23" i="40"/>
  <c r="B24" i="40"/>
  <c r="C24" i="40"/>
  <c r="D24" i="40"/>
  <c r="B25" i="40"/>
  <c r="D25" i="40"/>
  <c r="B26" i="40"/>
  <c r="D26" i="40"/>
  <c r="B27" i="40"/>
  <c r="C27" i="40"/>
  <c r="D27" i="40"/>
  <c r="B28" i="40"/>
  <c r="C28" i="40"/>
  <c r="D28" i="40"/>
  <c r="B29" i="40"/>
  <c r="D29" i="40"/>
  <c r="B30" i="40"/>
  <c r="D30" i="40"/>
  <c r="B31" i="40"/>
  <c r="C31" i="40"/>
  <c r="D31" i="40"/>
  <c r="B32" i="40"/>
  <c r="D17" i="40"/>
  <c r="C17" i="40"/>
  <c r="B17" i="40"/>
  <c r="C2" i="60" s="1"/>
  <c r="AG23" i="21"/>
  <c r="AG22" i="21"/>
  <c r="AG19" i="21"/>
  <c r="AG17" i="21"/>
  <c r="IJ688" i="31"/>
  <c r="IJ638" i="31"/>
  <c r="IJ639" i="31"/>
  <c r="IJ640" i="31" s="1"/>
  <c r="IJ641" i="31" s="1"/>
  <c r="IJ642" i="31" s="1"/>
  <c r="IJ643" i="31" s="1"/>
  <c r="IJ644" i="31" s="1"/>
  <c r="IJ645" i="31" s="1"/>
  <c r="IJ646" i="31" s="1"/>
  <c r="IJ647" i="31" s="1"/>
  <c r="IJ559" i="31"/>
  <c r="IJ560" i="31"/>
  <c r="IJ561" i="31"/>
  <c r="IJ562" i="31"/>
  <c r="IJ563" i="31" s="1"/>
  <c r="IJ564" i="31" s="1"/>
  <c r="IJ565" i="31" s="1"/>
  <c r="IJ566" i="31" s="1"/>
  <c r="IJ567" i="31" s="1"/>
  <c r="IJ568" i="31" s="1"/>
  <c r="IJ569" i="31" s="1"/>
  <c r="IJ459" i="31"/>
  <c r="IJ460" i="31" s="1"/>
  <c r="IJ461" i="31" s="1"/>
  <c r="IJ462" i="31" s="1"/>
  <c r="IJ463" i="31" s="1"/>
  <c r="IJ464" i="31" s="1"/>
  <c r="IJ465" i="31" s="1"/>
  <c r="IJ466" i="31" s="1"/>
  <c r="IJ467" i="31" s="1"/>
  <c r="IJ468" i="31" s="1"/>
  <c r="IJ469" i="31" s="1"/>
  <c r="IJ470" i="31" s="1"/>
  <c r="IJ471" i="31" s="1"/>
  <c r="IJ472" i="31" s="1"/>
  <c r="IJ473" i="31" s="1"/>
  <c r="IJ443" i="31"/>
  <c r="IJ444" i="31"/>
  <c r="IJ445" i="31" s="1"/>
  <c r="IJ446" i="31" s="1"/>
  <c r="IJ447" i="31" s="1"/>
  <c r="IJ448" i="31" s="1"/>
  <c r="IJ449" i="31" s="1"/>
  <c r="IJ438" i="31"/>
  <c r="IJ439" i="31"/>
  <c r="II375" i="31"/>
  <c r="II376" i="31"/>
  <c r="II377" i="31"/>
  <c r="II378" i="31"/>
  <c r="II379" i="31"/>
  <c r="II380" i="31"/>
  <c r="II381" i="31"/>
  <c r="II382" i="31"/>
  <c r="II383" i="31"/>
  <c r="II384" i="31"/>
  <c r="II385" i="31"/>
  <c r="II386" i="31"/>
  <c r="II387" i="31"/>
  <c r="II388" i="31"/>
  <c r="II389" i="31"/>
  <c r="II390" i="31"/>
  <c r="II391" i="31"/>
  <c r="II392" i="31"/>
  <c r="II393" i="31"/>
  <c r="II394" i="31"/>
  <c r="II395" i="31"/>
  <c r="II396" i="31"/>
  <c r="II397" i="31"/>
  <c r="II398" i="31"/>
  <c r="II399" i="31"/>
  <c r="II400" i="31"/>
  <c r="II401" i="31"/>
  <c r="II402" i="31"/>
  <c r="II403" i="31"/>
  <c r="II404" i="31"/>
  <c r="II405" i="31"/>
  <c r="II406" i="31"/>
  <c r="II407" i="31"/>
  <c r="II408" i="31"/>
  <c r="II409" i="31"/>
  <c r="II410" i="31"/>
  <c r="II411" i="31"/>
  <c r="II412" i="31"/>
  <c r="II413" i="31"/>
  <c r="II414" i="31"/>
  <c r="II415" i="31"/>
  <c r="II416" i="31"/>
  <c r="II417" i="31"/>
  <c r="II418" i="31"/>
  <c r="II419" i="31"/>
  <c r="II420" i="31"/>
  <c r="II421" i="31"/>
  <c r="II422" i="31"/>
  <c r="II423" i="31"/>
  <c r="II424" i="31"/>
  <c r="II425" i="31"/>
  <c r="II426" i="31"/>
  <c r="II427" i="31"/>
  <c r="II428" i="31"/>
  <c r="II429" i="31"/>
  <c r="II430" i="31"/>
  <c r="II431" i="31"/>
  <c r="II432" i="31"/>
  <c r="II433" i="31"/>
  <c r="II434" i="31"/>
  <c r="II435" i="31"/>
  <c r="II436" i="31"/>
  <c r="II437" i="31"/>
  <c r="II438" i="31"/>
  <c r="II439" i="31"/>
  <c r="II440" i="31"/>
  <c r="II441" i="31"/>
  <c r="II442" i="31"/>
  <c r="II443" i="31"/>
  <c r="II444" i="31"/>
  <c r="II445" i="31"/>
  <c r="II446" i="31"/>
  <c r="II447" i="31"/>
  <c r="II448" i="31"/>
  <c r="II449" i="31"/>
  <c r="II450" i="31"/>
  <c r="II451" i="31"/>
  <c r="II452" i="31"/>
  <c r="II453" i="31"/>
  <c r="II454" i="31"/>
  <c r="II455" i="31"/>
  <c r="II456" i="31"/>
  <c r="II457" i="31"/>
  <c r="II458" i="31"/>
  <c r="II459" i="31"/>
  <c r="II460" i="31"/>
  <c r="II461" i="31"/>
  <c r="II462" i="31"/>
  <c r="II463" i="31"/>
  <c r="II464" i="31"/>
  <c r="II465" i="31"/>
  <c r="II466" i="31"/>
  <c r="II467" i="31"/>
  <c r="II468" i="31"/>
  <c r="II469" i="31"/>
  <c r="II470" i="31"/>
  <c r="II471" i="31"/>
  <c r="II472" i="31"/>
  <c r="II473" i="31"/>
  <c r="II474" i="31"/>
  <c r="II475" i="31"/>
  <c r="II476" i="31"/>
  <c r="II477" i="31"/>
  <c r="II478" i="31"/>
  <c r="II479" i="31"/>
  <c r="II480" i="31"/>
  <c r="II481" i="31"/>
  <c r="II482" i="31"/>
  <c r="II483" i="31"/>
  <c r="II484" i="31"/>
  <c r="II485" i="31"/>
  <c r="II486" i="31"/>
  <c r="II487" i="31"/>
  <c r="II488" i="31"/>
  <c r="II489" i="31"/>
  <c r="II490" i="31"/>
  <c r="II491" i="31"/>
  <c r="II492" i="31"/>
  <c r="II493" i="31"/>
  <c r="II494" i="31"/>
  <c r="II495" i="31"/>
  <c r="II496" i="31"/>
  <c r="II497" i="31"/>
  <c r="II498" i="31"/>
  <c r="II499" i="31"/>
  <c r="II500" i="31"/>
  <c r="II501" i="31"/>
  <c r="II502" i="31"/>
  <c r="II503" i="31"/>
  <c r="II504" i="31"/>
  <c r="II505" i="31"/>
  <c r="II506" i="31"/>
  <c r="II507" i="31"/>
  <c r="II508" i="31"/>
  <c r="II509" i="31"/>
  <c r="II510" i="31"/>
  <c r="II511" i="31"/>
  <c r="II512" i="31"/>
  <c r="II513" i="31"/>
  <c r="II514" i="31"/>
  <c r="II515" i="31"/>
  <c r="II516" i="31"/>
  <c r="II517" i="31"/>
  <c r="II518" i="31"/>
  <c r="II519" i="31"/>
  <c r="II520" i="31"/>
  <c r="II521" i="31"/>
  <c r="II522" i="31"/>
  <c r="II523" i="31"/>
  <c r="II524" i="31"/>
  <c r="II525" i="31"/>
  <c r="II526" i="31"/>
  <c r="II527" i="31"/>
  <c r="II528" i="31"/>
  <c r="II529" i="31"/>
  <c r="II530" i="31"/>
  <c r="II531" i="31"/>
  <c r="II532" i="31"/>
  <c r="II533" i="31"/>
  <c r="II534" i="31"/>
  <c r="II535" i="31"/>
  <c r="II536" i="31"/>
  <c r="II537" i="31"/>
  <c r="II538" i="31"/>
  <c r="II539" i="31"/>
  <c r="II540" i="31"/>
  <c r="II541" i="31"/>
  <c r="II542" i="31"/>
  <c r="II543" i="31"/>
  <c r="II544" i="31"/>
  <c r="II545" i="31"/>
  <c r="II546" i="31"/>
  <c r="II547" i="31"/>
  <c r="II548" i="31"/>
  <c r="II549" i="31"/>
  <c r="II550" i="31"/>
  <c r="II551" i="31"/>
  <c r="II552" i="31"/>
  <c r="II553" i="31"/>
  <c r="II554" i="31"/>
  <c r="II555" i="31"/>
  <c r="II556" i="31"/>
  <c r="II557" i="31"/>
  <c r="II558" i="31"/>
  <c r="II559" i="31"/>
  <c r="II560" i="31"/>
  <c r="II561" i="31"/>
  <c r="II562" i="31"/>
  <c r="II563" i="31"/>
  <c r="II564" i="31"/>
  <c r="II565" i="31"/>
  <c r="II566" i="31"/>
  <c r="II567" i="31"/>
  <c r="II568" i="31"/>
  <c r="II569" i="31"/>
  <c r="II570" i="31"/>
  <c r="II571" i="31"/>
  <c r="II572" i="31"/>
  <c r="II573" i="31"/>
  <c r="II574" i="31"/>
  <c r="II575" i="31"/>
  <c r="II576" i="31"/>
  <c r="II577" i="31"/>
  <c r="II578" i="31"/>
  <c r="II579" i="31"/>
  <c r="II580" i="31"/>
  <c r="II581" i="31"/>
  <c r="II582" i="31"/>
  <c r="II583" i="31"/>
  <c r="II584" i="31"/>
  <c r="II585" i="31"/>
  <c r="II586" i="31"/>
  <c r="II587" i="31"/>
  <c r="II588" i="31"/>
  <c r="II589" i="31"/>
  <c r="II590" i="31"/>
  <c r="II591" i="31"/>
  <c r="II592" i="31"/>
  <c r="II593" i="31"/>
  <c r="II594" i="31"/>
  <c r="II595" i="31"/>
  <c r="II596" i="31"/>
  <c r="II597" i="31"/>
  <c r="II598" i="31"/>
  <c r="II599" i="31"/>
  <c r="II600" i="31"/>
  <c r="II601" i="31"/>
  <c r="II602" i="31"/>
  <c r="II603" i="31"/>
  <c r="II604" i="31"/>
  <c r="II605" i="31"/>
  <c r="II606" i="31"/>
  <c r="II607" i="31"/>
  <c r="II608" i="31"/>
  <c r="II609" i="31"/>
  <c r="II610" i="31"/>
  <c r="II611" i="31"/>
  <c r="II612" i="31"/>
  <c r="II613" i="31"/>
  <c r="II614" i="31"/>
  <c r="II615" i="31"/>
  <c r="II616" i="31"/>
  <c r="II617" i="31"/>
  <c r="II618" i="31"/>
  <c r="II619" i="31"/>
  <c r="II620" i="31"/>
  <c r="II621" i="31"/>
  <c r="II622" i="31"/>
  <c r="II623" i="31"/>
  <c r="II624" i="31"/>
  <c r="II625" i="31"/>
  <c r="II626" i="31"/>
  <c r="II627" i="31"/>
  <c r="II628" i="31"/>
  <c r="II629" i="31"/>
  <c r="II630" i="31"/>
  <c r="II631" i="31"/>
  <c r="II632" i="31"/>
  <c r="II633" i="31"/>
  <c r="II634" i="31"/>
  <c r="II635" i="31"/>
  <c r="II636" i="31"/>
  <c r="II637" i="31"/>
  <c r="II638" i="31"/>
  <c r="II639" i="31"/>
  <c r="II640" i="31"/>
  <c r="II641" i="31"/>
  <c r="II642" i="31"/>
  <c r="II643" i="31"/>
  <c r="II644" i="31"/>
  <c r="II645" i="31"/>
  <c r="II646" i="31"/>
  <c r="II647" i="31"/>
  <c r="II648" i="31"/>
  <c r="II649" i="31"/>
  <c r="II650" i="31"/>
  <c r="II651" i="31"/>
  <c r="II652" i="31"/>
  <c r="II653" i="31"/>
  <c r="II654" i="31"/>
  <c r="II655" i="31"/>
  <c r="II656" i="31"/>
  <c r="II657" i="31"/>
  <c r="II658" i="31"/>
  <c r="II659" i="31"/>
  <c r="II660" i="31"/>
  <c r="II661" i="31"/>
  <c r="II662" i="31"/>
  <c r="II663" i="31"/>
  <c r="II664" i="31"/>
  <c r="II665" i="31"/>
  <c r="II666" i="31"/>
  <c r="II667" i="31"/>
  <c r="II668" i="31"/>
  <c r="II669" i="31"/>
  <c r="II670" i="31"/>
  <c r="II671" i="31"/>
  <c r="II672" i="31"/>
  <c r="II673" i="31"/>
  <c r="II674" i="31"/>
  <c r="II675" i="31"/>
  <c r="II676" i="31"/>
  <c r="II677" i="31"/>
  <c r="II678" i="31"/>
  <c r="II679" i="31"/>
  <c r="II680" i="31"/>
  <c r="II681" i="31"/>
  <c r="II682" i="31"/>
  <c r="II683" i="31"/>
  <c r="II684" i="31"/>
  <c r="II685" i="31"/>
  <c r="II686" i="31"/>
  <c r="II687" i="31"/>
  <c r="II688" i="31"/>
  <c r="II689" i="31"/>
  <c r="II690" i="31"/>
  <c r="II691" i="31"/>
  <c r="II692" i="31"/>
  <c r="II693" i="31"/>
  <c r="II694" i="31"/>
  <c r="II695" i="31"/>
  <c r="II696" i="31"/>
  <c r="II697" i="31"/>
  <c r="II698" i="31"/>
  <c r="II699" i="31"/>
  <c r="II700" i="31"/>
  <c r="II701" i="31"/>
  <c r="II702" i="31"/>
  <c r="II703" i="31"/>
  <c r="II704" i="31"/>
  <c r="II705" i="31"/>
  <c r="II706" i="31"/>
  <c r="II707" i="31"/>
  <c r="II708" i="31"/>
  <c r="II709" i="31"/>
  <c r="II710" i="31"/>
  <c r="II711" i="31"/>
  <c r="II712" i="31"/>
  <c r="II713" i="31"/>
  <c r="II714" i="31"/>
  <c r="II715" i="31"/>
  <c r="II716" i="31"/>
  <c r="II717" i="31"/>
  <c r="II718" i="31"/>
  <c r="II374" i="31"/>
  <c r="IH318" i="31"/>
  <c r="IG318" i="31"/>
  <c r="IF318" i="31"/>
  <c r="IE318" i="31"/>
  <c r="ID318" i="31"/>
  <c r="IC318" i="31"/>
  <c r="IB318" i="31"/>
  <c r="IB306" i="31"/>
  <c r="IC306" i="31"/>
  <c r="ID306" i="31"/>
  <c r="IE306" i="31"/>
  <c r="IH306" i="31"/>
  <c r="IB307" i="31"/>
  <c r="IC307" i="31"/>
  <c r="ID307" i="31"/>
  <c r="IE307" i="31"/>
  <c r="IH307" i="31"/>
  <c r="IB308" i="31"/>
  <c r="IC308" i="31"/>
  <c r="ID308" i="31"/>
  <c r="IE308" i="31"/>
  <c r="IH308" i="31"/>
  <c r="IB309" i="31"/>
  <c r="IC309" i="31"/>
  <c r="ID309" i="31"/>
  <c r="IE309" i="31"/>
  <c r="IH309" i="31"/>
  <c r="IH305" i="31"/>
  <c r="IE305" i="31"/>
  <c r="ID305" i="31"/>
  <c r="IC305" i="31"/>
  <c r="IB305" i="31"/>
  <c r="IH304" i="31"/>
  <c r="IE304" i="31"/>
  <c r="ID304" i="31"/>
  <c r="IC304" i="31"/>
  <c r="IB304" i="31"/>
  <c r="IB284" i="31"/>
  <c r="IC284" i="31"/>
  <c r="ID284" i="31"/>
  <c r="IE284" i="31"/>
  <c r="IF284" i="31"/>
  <c r="IG284" i="31"/>
  <c r="IH284" i="31"/>
  <c r="IH262" i="31"/>
  <c r="IG262" i="31"/>
  <c r="IF262" i="31"/>
  <c r="IE262" i="31"/>
  <c r="ID262" i="31"/>
  <c r="IC262" i="31"/>
  <c r="IE233" i="31"/>
  <c r="ID233" i="31"/>
  <c r="IC233" i="31"/>
  <c r="IC230" i="31"/>
  <c r="ID230" i="31"/>
  <c r="IE230" i="31"/>
  <c r="IC231" i="31"/>
  <c r="ID231" i="31"/>
  <c r="IE231" i="31"/>
  <c r="IC232" i="31"/>
  <c r="ID232" i="31"/>
  <c r="IE232" i="31"/>
  <c r="IE229" i="31"/>
  <c r="ID229" i="31"/>
  <c r="IC229" i="31"/>
  <c r="IE228" i="31"/>
  <c r="ID228" i="31"/>
  <c r="IC228" i="31"/>
  <c r="IB212" i="31"/>
  <c r="IC212" i="31"/>
  <c r="ID212" i="31"/>
  <c r="IE212" i="31"/>
  <c r="IF212" i="31"/>
  <c r="IG212" i="31"/>
  <c r="IH212" i="31"/>
  <c r="IB213" i="31"/>
  <c r="IC213" i="31"/>
  <c r="ID213" i="31"/>
  <c r="IE213" i="31"/>
  <c r="IF213" i="31"/>
  <c r="IG213" i="31"/>
  <c r="IH213" i="31"/>
  <c r="IB214" i="31"/>
  <c r="IC214" i="31"/>
  <c r="ID214" i="31"/>
  <c r="IE214" i="31"/>
  <c r="IF214" i="31"/>
  <c r="IG214" i="31"/>
  <c r="IH214" i="31"/>
  <c r="IB215" i="31"/>
  <c r="IC215" i="31"/>
  <c r="ID215" i="31"/>
  <c r="IE215" i="31"/>
  <c r="IF215" i="31"/>
  <c r="IG215" i="31"/>
  <c r="IH215" i="31"/>
  <c r="IB216" i="31"/>
  <c r="IC216" i="31"/>
  <c r="ID216" i="31"/>
  <c r="IE216" i="31"/>
  <c r="IF216" i="31"/>
  <c r="IG216" i="31"/>
  <c r="IH216" i="31"/>
  <c r="IB217" i="31"/>
  <c r="IC217" i="31"/>
  <c r="ID217" i="31"/>
  <c r="IE217" i="31"/>
  <c r="IF217" i="31"/>
  <c r="IG217" i="31"/>
  <c r="IH217" i="31"/>
  <c r="IB218" i="31"/>
  <c r="IC218" i="31"/>
  <c r="ID218" i="31"/>
  <c r="IE218" i="31"/>
  <c r="IF218" i="31"/>
  <c r="IG218" i="31"/>
  <c r="IH218" i="31"/>
  <c r="IB219" i="31"/>
  <c r="IC219" i="31"/>
  <c r="ID219" i="31"/>
  <c r="IE219" i="31"/>
  <c r="IF219" i="31"/>
  <c r="IG219" i="31"/>
  <c r="IH219" i="31"/>
  <c r="IB220" i="31"/>
  <c r="IC220" i="31"/>
  <c r="ID220" i="31"/>
  <c r="IE220" i="31"/>
  <c r="IF220" i="31"/>
  <c r="IG220" i="31"/>
  <c r="IH220" i="31"/>
  <c r="IB221" i="31"/>
  <c r="IC221" i="31"/>
  <c r="ID221" i="31"/>
  <c r="IE221" i="31"/>
  <c r="IF221" i="31"/>
  <c r="IG221" i="31"/>
  <c r="IH221" i="31"/>
  <c r="IB222" i="31"/>
  <c r="IC222" i="31"/>
  <c r="ID222" i="31"/>
  <c r="IE222" i="31"/>
  <c r="IF222" i="31"/>
  <c r="IG222" i="31"/>
  <c r="IH222" i="31"/>
  <c r="IB223" i="31"/>
  <c r="IC223" i="31"/>
  <c r="ID223" i="31"/>
  <c r="IE223" i="31"/>
  <c r="IF223" i="31"/>
  <c r="IG223" i="31"/>
  <c r="IH223" i="31"/>
  <c r="IB224" i="31"/>
  <c r="IC224" i="31"/>
  <c r="ID224" i="31"/>
  <c r="IE224" i="31"/>
  <c r="IF224" i="31"/>
  <c r="IG224" i="31"/>
  <c r="IH224" i="31"/>
  <c r="IB225" i="31"/>
  <c r="IC225" i="31"/>
  <c r="ID225" i="31"/>
  <c r="IE225" i="31"/>
  <c r="IF225" i="31"/>
  <c r="IG225" i="31"/>
  <c r="IH225" i="31"/>
  <c r="IB226" i="31"/>
  <c r="IC226" i="31"/>
  <c r="ID226" i="31"/>
  <c r="IE226" i="31"/>
  <c r="IF226" i="31"/>
  <c r="IG226" i="31"/>
  <c r="IH226" i="31"/>
  <c r="IB227" i="31"/>
  <c r="IC227" i="31"/>
  <c r="ID227" i="31"/>
  <c r="IE227" i="31"/>
  <c r="IF227" i="31"/>
  <c r="IG227" i="31"/>
  <c r="IH227" i="31"/>
  <c r="IH211" i="31"/>
  <c r="IG211" i="31"/>
  <c r="IF211" i="31"/>
  <c r="IE211" i="31"/>
  <c r="ID211" i="31"/>
  <c r="IC211" i="31"/>
  <c r="IB211" i="31"/>
  <c r="IH210" i="31"/>
  <c r="IG210" i="31"/>
  <c r="IF210" i="31"/>
  <c r="IE210" i="31"/>
  <c r="ID210" i="31"/>
  <c r="IC210" i="31"/>
  <c r="IB210" i="31"/>
  <c r="IB184" i="31"/>
  <c r="IC184" i="31"/>
  <c r="ID184" i="31"/>
  <c r="IE184" i="31"/>
  <c r="IF184" i="31"/>
  <c r="IG184" i="31"/>
  <c r="IH184" i="31"/>
  <c r="IB185" i="31"/>
  <c r="IC185" i="31"/>
  <c r="ID185" i="31"/>
  <c r="IE185" i="31"/>
  <c r="IF185" i="31"/>
  <c r="IG185" i="31"/>
  <c r="IH185" i="31"/>
  <c r="IB186" i="31"/>
  <c r="IC186" i="31"/>
  <c r="ID186" i="31"/>
  <c r="IE186" i="31"/>
  <c r="IF186" i="31"/>
  <c r="IG186" i="31"/>
  <c r="IH186" i="31"/>
  <c r="IB187" i="31"/>
  <c r="IC187" i="31"/>
  <c r="ID187" i="31"/>
  <c r="IE187" i="31"/>
  <c r="IF187" i="31"/>
  <c r="IG187" i="31"/>
  <c r="IH187" i="31"/>
  <c r="IH183" i="31"/>
  <c r="IG183" i="31"/>
  <c r="IF183" i="31"/>
  <c r="IE183" i="31"/>
  <c r="ID183" i="31"/>
  <c r="IC183" i="31"/>
  <c r="IB183" i="31"/>
  <c r="IH179" i="31"/>
  <c r="IG179" i="31"/>
  <c r="IF179" i="31"/>
  <c r="IE179" i="31"/>
  <c r="ID179" i="31"/>
  <c r="IC179" i="31"/>
  <c r="IB179" i="31"/>
  <c r="IB151" i="31"/>
  <c r="IC151" i="31"/>
  <c r="ID151" i="31"/>
  <c r="IE151" i="31"/>
  <c r="IF151" i="31"/>
  <c r="IG151" i="31"/>
  <c r="IH151" i="31"/>
  <c r="IB152" i="31"/>
  <c r="IC152" i="31"/>
  <c r="ID152" i="31"/>
  <c r="IE152" i="31"/>
  <c r="IF152" i="31"/>
  <c r="IG152" i="31"/>
  <c r="IH152" i="31"/>
  <c r="IB153" i="31"/>
  <c r="IC153" i="31"/>
  <c r="ID153" i="31"/>
  <c r="IE153" i="31"/>
  <c r="IF153" i="31"/>
  <c r="IG153" i="31"/>
  <c r="IH153" i="31"/>
  <c r="IB154" i="31"/>
  <c r="IC154" i="31"/>
  <c r="ID154" i="31"/>
  <c r="IE154" i="31"/>
  <c r="IF154" i="31"/>
  <c r="IG154" i="31"/>
  <c r="IH154" i="31"/>
  <c r="IB155" i="31"/>
  <c r="IC155" i="31"/>
  <c r="ID155" i="31"/>
  <c r="IE155" i="31"/>
  <c r="IF155" i="31"/>
  <c r="IG155" i="31"/>
  <c r="IH155" i="31"/>
  <c r="IB148" i="31"/>
  <c r="IC148" i="31"/>
  <c r="ID148" i="31"/>
  <c r="IE148" i="31"/>
  <c r="IF148" i="31"/>
  <c r="IG148" i="31"/>
  <c r="IH148" i="31"/>
  <c r="IB149" i="31"/>
  <c r="IC149" i="31"/>
  <c r="ID149" i="31"/>
  <c r="IE149" i="31"/>
  <c r="IF149" i="31"/>
  <c r="IG149" i="31"/>
  <c r="IH149" i="31"/>
  <c r="IB150" i="31"/>
  <c r="IC150" i="31"/>
  <c r="ID150" i="31"/>
  <c r="IE150" i="31"/>
  <c r="IF150" i="31"/>
  <c r="IG150" i="31"/>
  <c r="IH150" i="31"/>
  <c r="IH147" i="31"/>
  <c r="IG147" i="31"/>
  <c r="IF147" i="31"/>
  <c r="IE147" i="31"/>
  <c r="ID147" i="31"/>
  <c r="IC147" i="31"/>
  <c r="IB147" i="31"/>
  <c r="IB133" i="31"/>
  <c r="IC133" i="31"/>
  <c r="ID133" i="31"/>
  <c r="IE133" i="31"/>
  <c r="IF133" i="31"/>
  <c r="IG133" i="31"/>
  <c r="IH133" i="31"/>
  <c r="IH132" i="31"/>
  <c r="IG132" i="31"/>
  <c r="IF132" i="31"/>
  <c r="IE132" i="31"/>
  <c r="ID132" i="31"/>
  <c r="IC132" i="31"/>
  <c r="IB132" i="31"/>
  <c r="IH131" i="31"/>
  <c r="IG131" i="31"/>
  <c r="IF131" i="31"/>
  <c r="IE131" i="31"/>
  <c r="ID131" i="31"/>
  <c r="IC131" i="31"/>
  <c r="IB131" i="31"/>
  <c r="IB124" i="31"/>
  <c r="IC124" i="31"/>
  <c r="ID124" i="31"/>
  <c r="IE124" i="31"/>
  <c r="IF124" i="31"/>
  <c r="IG124" i="31"/>
  <c r="IH124" i="31"/>
  <c r="IB125" i="31"/>
  <c r="IC125" i="31"/>
  <c r="ID125" i="31"/>
  <c r="IE125" i="31"/>
  <c r="IF125" i="31"/>
  <c r="IG125" i="31"/>
  <c r="IH125" i="31"/>
  <c r="IB126" i="31"/>
  <c r="IC126" i="31"/>
  <c r="ID126" i="31"/>
  <c r="IE126" i="31"/>
  <c r="IF126" i="31"/>
  <c r="IG126" i="31"/>
  <c r="IH126" i="31"/>
  <c r="IB127" i="31"/>
  <c r="IC127" i="31"/>
  <c r="ID127" i="31"/>
  <c r="IE127" i="31"/>
  <c r="IF127" i="31"/>
  <c r="IG127" i="31"/>
  <c r="IH127" i="31"/>
  <c r="IH123" i="31"/>
  <c r="IG123" i="31"/>
  <c r="IF123" i="31"/>
  <c r="IE123" i="31"/>
  <c r="ID123" i="31"/>
  <c r="IC123" i="31"/>
  <c r="IB123" i="31"/>
  <c r="IH10" i="31"/>
  <c r="IH380" i="31" s="1"/>
  <c r="IG10" i="31"/>
  <c r="IF10" i="31"/>
  <c r="IE10" i="31"/>
  <c r="ID10" i="31"/>
  <c r="ID380" i="31" s="1"/>
  <c r="IC10" i="31"/>
  <c r="IB10" i="31"/>
  <c r="IH9" i="31"/>
  <c r="IG9" i="31"/>
  <c r="IG379" i="31" s="1"/>
  <c r="IF9" i="31"/>
  <c r="IE9" i="31"/>
  <c r="ID9" i="31"/>
  <c r="IC9" i="31"/>
  <c r="IC379" i="31" s="1"/>
  <c r="IB9" i="31"/>
  <c r="IH8" i="31"/>
  <c r="IG8" i="31"/>
  <c r="IF8" i="31"/>
  <c r="IF378" i="31" s="1"/>
  <c r="IE8" i="31"/>
  <c r="ID8" i="31"/>
  <c r="IC8" i="31"/>
  <c r="IB8" i="31"/>
  <c r="IB378" i="31" s="1"/>
  <c r="IH7" i="31"/>
  <c r="IG7" i="31"/>
  <c r="IF7" i="31"/>
  <c r="IE7" i="31"/>
  <c r="IE377" i="31" s="1"/>
  <c r="ID7" i="31"/>
  <c r="IC7" i="31"/>
  <c r="IB7" i="31"/>
  <c r="IH6" i="31"/>
  <c r="IH376" i="31" s="1"/>
  <c r="IG6" i="31"/>
  <c r="IF6" i="31"/>
  <c r="IE6" i="31"/>
  <c r="ID6" i="31"/>
  <c r="ID376" i="31" s="1"/>
  <c r="IC6" i="31"/>
  <c r="IB6" i="31"/>
  <c r="IH5" i="31"/>
  <c r="IG5" i="31"/>
  <c r="IG375" i="31" s="1"/>
  <c r="IF5" i="31"/>
  <c r="IE5" i="31"/>
  <c r="ID5" i="31"/>
  <c r="IC5" i="31"/>
  <c r="IC375" i="31" s="1"/>
  <c r="IB5" i="31"/>
  <c r="IH4" i="31"/>
  <c r="IG4" i="31"/>
  <c r="IF4" i="31"/>
  <c r="IE4" i="31"/>
  <c r="ID4" i="31"/>
  <c r="IC4" i="31"/>
  <c r="IB4" i="31"/>
  <c r="IH122" i="31"/>
  <c r="IG122" i="31"/>
  <c r="IF122" i="31"/>
  <c r="IE122" i="31"/>
  <c r="ID122" i="31"/>
  <c r="IC122" i="31"/>
  <c r="IB122" i="31"/>
  <c r="IH121" i="31"/>
  <c r="IG121" i="31"/>
  <c r="IF121" i="31"/>
  <c r="IE121" i="31"/>
  <c r="ID121" i="31"/>
  <c r="IC121" i="31"/>
  <c r="IB121" i="31"/>
  <c r="IH119" i="31"/>
  <c r="IG119" i="31"/>
  <c r="IF119" i="31"/>
  <c r="IE119" i="31"/>
  <c r="ID119" i="31"/>
  <c r="IC119" i="31"/>
  <c r="IB119" i="31"/>
  <c r="IH118" i="31"/>
  <c r="IG118" i="31"/>
  <c r="IF118" i="31"/>
  <c r="IE118" i="31"/>
  <c r="ID118" i="31"/>
  <c r="IC118" i="31"/>
  <c r="IB118" i="31"/>
  <c r="P20" i="20"/>
  <c r="P19" i="20"/>
  <c r="IB82" i="31"/>
  <c r="IB452" i="31"/>
  <c r="IC82" i="31"/>
  <c r="ID82" i="31"/>
  <c r="IE82" i="31"/>
  <c r="IE452" i="31"/>
  <c r="IF82" i="31"/>
  <c r="IF452" i="31" s="1"/>
  <c r="IG82" i="31"/>
  <c r="IH82" i="31"/>
  <c r="IH452" i="31" s="1"/>
  <c r="IB83" i="31"/>
  <c r="IB453" i="31"/>
  <c r="IC83" i="31"/>
  <c r="ID83" i="31"/>
  <c r="IE83" i="31"/>
  <c r="IF83" i="31"/>
  <c r="IG83" i="31"/>
  <c r="IH83" i="31"/>
  <c r="IH453" i="31" s="1"/>
  <c r="IB84" i="31"/>
  <c r="IC84" i="31"/>
  <c r="IC454" i="31"/>
  <c r="ID84" i="31"/>
  <c r="IE84" i="31"/>
  <c r="IF84" i="31"/>
  <c r="IG84" i="31"/>
  <c r="IH84" i="31"/>
  <c r="IH454" i="31" s="1"/>
  <c r="IB85" i="31"/>
  <c r="IC85" i="31"/>
  <c r="ID85" i="31"/>
  <c r="ID455" i="31" s="1"/>
  <c r="IE85" i="31"/>
  <c r="IF85" i="31"/>
  <c r="IG85" i="31"/>
  <c r="IH85" i="31"/>
  <c r="IH455" i="31" s="1"/>
  <c r="IB86" i="31"/>
  <c r="IB456" i="31"/>
  <c r="IC86" i="31"/>
  <c r="IC456" i="31" s="1"/>
  <c r="ID86" i="31"/>
  <c r="IE86" i="31"/>
  <c r="IE456" i="31"/>
  <c r="IF86" i="31"/>
  <c r="IG86" i="31"/>
  <c r="IH86" i="31"/>
  <c r="IH456" i="31"/>
  <c r="IB87" i="31"/>
  <c r="IB457" i="31" s="1"/>
  <c r="IC87" i="31"/>
  <c r="ID87" i="31"/>
  <c r="IE87" i="31"/>
  <c r="IF87" i="31"/>
  <c r="IG87" i="31"/>
  <c r="IH87" i="31"/>
  <c r="IH81" i="31"/>
  <c r="IH451" i="31" s="1"/>
  <c r="IG81" i="31"/>
  <c r="IF81" i="31"/>
  <c r="IF451" i="31" s="1"/>
  <c r="IE81" i="31"/>
  <c r="ID81" i="31"/>
  <c r="IC81" i="31"/>
  <c r="IC451" i="31" s="1"/>
  <c r="IB81" i="31"/>
  <c r="IB451" i="31"/>
  <c r="IB70" i="31"/>
  <c r="IC70" i="31"/>
  <c r="ID70" i="31"/>
  <c r="IE70" i="31"/>
  <c r="IF70" i="31"/>
  <c r="IF440" i="31" s="1"/>
  <c r="IG70" i="31"/>
  <c r="IH70" i="31"/>
  <c r="IB69" i="31"/>
  <c r="IC69" i="31"/>
  <c r="ID69" i="31"/>
  <c r="IE69" i="31"/>
  <c r="IF69" i="31"/>
  <c r="IG69" i="31"/>
  <c r="IH69" i="31"/>
  <c r="IH68" i="31"/>
  <c r="IG68" i="31"/>
  <c r="IF68" i="31"/>
  <c r="IE68" i="31"/>
  <c r="ID68" i="31"/>
  <c r="IC68" i="31"/>
  <c r="IB68" i="31"/>
  <c r="IB438" i="31" s="1"/>
  <c r="N61" i="20"/>
  <c r="N60" i="20"/>
  <c r="N58" i="20"/>
  <c r="N55" i="20"/>
  <c r="N36" i="20"/>
  <c r="N26" i="20"/>
  <c r="N25" i="20"/>
  <c r="N24" i="20"/>
  <c r="N23" i="20"/>
  <c r="N14" i="20"/>
  <c r="L62" i="20"/>
  <c r="L61" i="20"/>
  <c r="L60" i="20"/>
  <c r="L58" i="20"/>
  <c r="L57" i="20"/>
  <c r="L55" i="20"/>
  <c r="L40" i="20"/>
  <c r="L39" i="20"/>
  <c r="L36" i="20"/>
  <c r="L26" i="20"/>
  <c r="L25" i="20"/>
  <c r="L24" i="20"/>
  <c r="L23" i="20"/>
  <c r="L14" i="20"/>
  <c r="IB55" i="31"/>
  <c r="IC55" i="31"/>
  <c r="ID55" i="31"/>
  <c r="IE55" i="31"/>
  <c r="IE425" i="31" s="1"/>
  <c r="IF55" i="31"/>
  <c r="IG55" i="31"/>
  <c r="IH55" i="31"/>
  <c r="IB56" i="31"/>
  <c r="IB426" i="31" s="1"/>
  <c r="IC56" i="31"/>
  <c r="ID56" i="31"/>
  <c r="IE56" i="31"/>
  <c r="IF56" i="31"/>
  <c r="IF426" i="31" s="1"/>
  <c r="IG56" i="31"/>
  <c r="IH56" i="31"/>
  <c r="IB57" i="31"/>
  <c r="IC57" i="31"/>
  <c r="IC427" i="31" s="1"/>
  <c r="ID57" i="31"/>
  <c r="IE57" i="31"/>
  <c r="IF57" i="31"/>
  <c r="IG57" i="31"/>
  <c r="IG427" i="31" s="1"/>
  <c r="IH57" i="31"/>
  <c r="IB58" i="31"/>
  <c r="IC58" i="31"/>
  <c r="ID58" i="31"/>
  <c r="ID428" i="31" s="1"/>
  <c r="IE58" i="31"/>
  <c r="IF58" i="31"/>
  <c r="IG58" i="31"/>
  <c r="IH58" i="31"/>
  <c r="IH428" i="31" s="1"/>
  <c r="IH54" i="31"/>
  <c r="IG54" i="31"/>
  <c r="IF54" i="31"/>
  <c r="IE54" i="31"/>
  <c r="ID54" i="31"/>
  <c r="IC54" i="31"/>
  <c r="IB54" i="31"/>
  <c r="IB375" i="31"/>
  <c r="ID375" i="31"/>
  <c r="IE375" i="31"/>
  <c r="IF375" i="31"/>
  <c r="IH375" i="31"/>
  <c r="IB376" i="31"/>
  <c r="IC376" i="31"/>
  <c r="IE376" i="31"/>
  <c r="IF376" i="31"/>
  <c r="IG376" i="31"/>
  <c r="IB377" i="31"/>
  <c r="IC377" i="31"/>
  <c r="ID377" i="31"/>
  <c r="IF377" i="31"/>
  <c r="IG377" i="31"/>
  <c r="IH377" i="31"/>
  <c r="IC378" i="31"/>
  <c r="ID378" i="31"/>
  <c r="IE378" i="31"/>
  <c r="IG378" i="31"/>
  <c r="IH378" i="31"/>
  <c r="IB379" i="31"/>
  <c r="ID379" i="31"/>
  <c r="IE379" i="31"/>
  <c r="IF379" i="31"/>
  <c r="IH379" i="31"/>
  <c r="IB380" i="31"/>
  <c r="IC380" i="31"/>
  <c r="IE380" i="31"/>
  <c r="IF380" i="31"/>
  <c r="IG380" i="31"/>
  <c r="IB11" i="31"/>
  <c r="IB381" i="31" s="1"/>
  <c r="IC11" i="31"/>
  <c r="IC381" i="31" s="1"/>
  <c r="ID11" i="31"/>
  <c r="ID381" i="31" s="1"/>
  <c r="IF11" i="31"/>
  <c r="IF381" i="31"/>
  <c r="IH11" i="31"/>
  <c r="IH381" i="31" s="1"/>
  <c r="IB12" i="31"/>
  <c r="IB382" i="31" s="1"/>
  <c r="IC12" i="31"/>
  <c r="IC382" i="31" s="1"/>
  <c r="ID12" i="31"/>
  <c r="ID382" i="31" s="1"/>
  <c r="IF12" i="31"/>
  <c r="IF382" i="31" s="1"/>
  <c r="IH12" i="31"/>
  <c r="IH382" i="31" s="1"/>
  <c r="IB13" i="31"/>
  <c r="IB383" i="31" s="1"/>
  <c r="IC13" i="31"/>
  <c r="IC383" i="31"/>
  <c r="ID13" i="31"/>
  <c r="ID383" i="31" s="1"/>
  <c r="IF13" i="31"/>
  <c r="IF383" i="31" s="1"/>
  <c r="IH13" i="31"/>
  <c r="IH383" i="31" s="1"/>
  <c r="IB14" i="31"/>
  <c r="IB384" i="31" s="1"/>
  <c r="IC14" i="31"/>
  <c r="IC384" i="31" s="1"/>
  <c r="ID14" i="31"/>
  <c r="ID384" i="31" s="1"/>
  <c r="IF14" i="31"/>
  <c r="IF384" i="31" s="1"/>
  <c r="IH14" i="31"/>
  <c r="IH384" i="31"/>
  <c r="IB15" i="31"/>
  <c r="IB385" i="31" s="1"/>
  <c r="IC15" i="31"/>
  <c r="IC385" i="31" s="1"/>
  <c r="ID15" i="31"/>
  <c r="ID385" i="31" s="1"/>
  <c r="IF15" i="31"/>
  <c r="IF385" i="31" s="1"/>
  <c r="IH15" i="31"/>
  <c r="IH385" i="31" s="1"/>
  <c r="IB16" i="31"/>
  <c r="IB386" i="31" s="1"/>
  <c r="IC16" i="31"/>
  <c r="IC386" i="31" s="1"/>
  <c r="ID16" i="31"/>
  <c r="ID386" i="31"/>
  <c r="IF16" i="31"/>
  <c r="IF386" i="31" s="1"/>
  <c r="IH16" i="31"/>
  <c r="IH386" i="31" s="1"/>
  <c r="IB17" i="31"/>
  <c r="IB387" i="31" s="1"/>
  <c r="IC17" i="31"/>
  <c r="IC387" i="31" s="1"/>
  <c r="ID17" i="31"/>
  <c r="ID387" i="31" s="1"/>
  <c r="IF17" i="31"/>
  <c r="IF387" i="31" s="1"/>
  <c r="IH17" i="31"/>
  <c r="IH387" i="31" s="1"/>
  <c r="IB18" i="31"/>
  <c r="IB388" i="31"/>
  <c r="IC18" i="31"/>
  <c r="IC388" i="31" s="1"/>
  <c r="ID18" i="31"/>
  <c r="ID388" i="31" s="1"/>
  <c r="IF18" i="31"/>
  <c r="IF388" i="31" s="1"/>
  <c r="IH18" i="31"/>
  <c r="IH388" i="31" s="1"/>
  <c r="IB19" i="31"/>
  <c r="IB389" i="31" s="1"/>
  <c r="IC19" i="31"/>
  <c r="IC389" i="31" s="1"/>
  <c r="ID19" i="31"/>
  <c r="ID389" i="31" s="1"/>
  <c r="IF19" i="31"/>
  <c r="IF389" i="31"/>
  <c r="IH19" i="31"/>
  <c r="IH389" i="31" s="1"/>
  <c r="IB20" i="31"/>
  <c r="IB390" i="31" s="1"/>
  <c r="IC20" i="31"/>
  <c r="IC390" i="31" s="1"/>
  <c r="ID20" i="31"/>
  <c r="ID390" i="31" s="1"/>
  <c r="IF20" i="31"/>
  <c r="IF390" i="31" s="1"/>
  <c r="IH20" i="31"/>
  <c r="IH390" i="31" s="1"/>
  <c r="IB21" i="31"/>
  <c r="IB391" i="31" s="1"/>
  <c r="IC21" i="31"/>
  <c r="IC391" i="31"/>
  <c r="ID21" i="31"/>
  <c r="ID391" i="31" s="1"/>
  <c r="IF21" i="31"/>
  <c r="IF391" i="31" s="1"/>
  <c r="IH21" i="31"/>
  <c r="IH391" i="31" s="1"/>
  <c r="IB22" i="31"/>
  <c r="IB392" i="31" s="1"/>
  <c r="IC22" i="31"/>
  <c r="IC392" i="31" s="1"/>
  <c r="ID22" i="31"/>
  <c r="ID392" i="31" s="1"/>
  <c r="IF22" i="31"/>
  <c r="IF392" i="31" s="1"/>
  <c r="IH22" i="31"/>
  <c r="IH392" i="31"/>
  <c r="IB23" i="31"/>
  <c r="IB393" i="31" s="1"/>
  <c r="IC23" i="31"/>
  <c r="IC393" i="31" s="1"/>
  <c r="ID23" i="31"/>
  <c r="ID393" i="31" s="1"/>
  <c r="IF23" i="31"/>
  <c r="IF393" i="31" s="1"/>
  <c r="IH23" i="31"/>
  <c r="IH393" i="31" s="1"/>
  <c r="IB24" i="31"/>
  <c r="IB394" i="31" s="1"/>
  <c r="IC24" i="31"/>
  <c r="IC394" i="31" s="1"/>
  <c r="ID24" i="31"/>
  <c r="ID394" i="31"/>
  <c r="IF24" i="31"/>
  <c r="IF394" i="31" s="1"/>
  <c r="IH24" i="31"/>
  <c r="IH394" i="31" s="1"/>
  <c r="IB25" i="31"/>
  <c r="IB395" i="31" s="1"/>
  <c r="IC25" i="31"/>
  <c r="IC395" i="31" s="1"/>
  <c r="ID25" i="31"/>
  <c r="ID395" i="31" s="1"/>
  <c r="IF25" i="31"/>
  <c r="IF395" i="31" s="1"/>
  <c r="IH25" i="31"/>
  <c r="IH395" i="31" s="1"/>
  <c r="IB26" i="31"/>
  <c r="IB396" i="31"/>
  <c r="IC26" i="31"/>
  <c r="IC396" i="31" s="1"/>
  <c r="ID26" i="31"/>
  <c r="ID396" i="31" s="1"/>
  <c r="IF26" i="31"/>
  <c r="IF396" i="31" s="1"/>
  <c r="IH26" i="31"/>
  <c r="IH396" i="31" s="1"/>
  <c r="IB27" i="31"/>
  <c r="IB397" i="31" s="1"/>
  <c r="IC27" i="31"/>
  <c r="IC397" i="31" s="1"/>
  <c r="ID27" i="31"/>
  <c r="ID397" i="31" s="1"/>
  <c r="IF27" i="31"/>
  <c r="IF397" i="31"/>
  <c r="IH27" i="31"/>
  <c r="IH397" i="31" s="1"/>
  <c r="IB28" i="31"/>
  <c r="IB398" i="31" s="1"/>
  <c r="IC28" i="31"/>
  <c r="IC398" i="31" s="1"/>
  <c r="ID28" i="31"/>
  <c r="ID398" i="31" s="1"/>
  <c r="IF28" i="31"/>
  <c r="IF398" i="31" s="1"/>
  <c r="IH28" i="31"/>
  <c r="IH398" i="31" s="1"/>
  <c r="IB29" i="31"/>
  <c r="IB399" i="31" s="1"/>
  <c r="IC29" i="31"/>
  <c r="IC399" i="31"/>
  <c r="ID29" i="31"/>
  <c r="ID399" i="31" s="1"/>
  <c r="IF29" i="31"/>
  <c r="IF399" i="31" s="1"/>
  <c r="IH29" i="31"/>
  <c r="IH399" i="31" s="1"/>
  <c r="IB30" i="31"/>
  <c r="IB400" i="31" s="1"/>
  <c r="IC30" i="31"/>
  <c r="IC400" i="31" s="1"/>
  <c r="ID30" i="31"/>
  <c r="ID400" i="31" s="1"/>
  <c r="IF30" i="31"/>
  <c r="IF400" i="31" s="1"/>
  <c r="IH30" i="31"/>
  <c r="IH400" i="31"/>
  <c r="IB31" i="31"/>
  <c r="IB401" i="31" s="1"/>
  <c r="IC31" i="31"/>
  <c r="IC401" i="31" s="1"/>
  <c r="ID31" i="31"/>
  <c r="ID401" i="31" s="1"/>
  <c r="IF31" i="31"/>
  <c r="IF401" i="31" s="1"/>
  <c r="IH31" i="31"/>
  <c r="IH401" i="31" s="1"/>
  <c r="IB32" i="31"/>
  <c r="IB402" i="31" s="1"/>
  <c r="IC32" i="31"/>
  <c r="IC402" i="31" s="1"/>
  <c r="ID32" i="31"/>
  <c r="ID402" i="31"/>
  <c r="IF32" i="31"/>
  <c r="IF402" i="31" s="1"/>
  <c r="IH32" i="31"/>
  <c r="IH402" i="31" s="1"/>
  <c r="IB33" i="31"/>
  <c r="IB403" i="31" s="1"/>
  <c r="IC33" i="31"/>
  <c r="IC403" i="31" s="1"/>
  <c r="ID33" i="31"/>
  <c r="ID403" i="31" s="1"/>
  <c r="IF33" i="31"/>
  <c r="IF403" i="31" s="1"/>
  <c r="IH33" i="31"/>
  <c r="IH403" i="31" s="1"/>
  <c r="IB34" i="31"/>
  <c r="IB404" i="31"/>
  <c r="IC34" i="31"/>
  <c r="IC404" i="31" s="1"/>
  <c r="ID34" i="31"/>
  <c r="ID404" i="31" s="1"/>
  <c r="IF34" i="31"/>
  <c r="IF404" i="31" s="1"/>
  <c r="IH34" i="31"/>
  <c r="IH404" i="31" s="1"/>
  <c r="IB35" i="31"/>
  <c r="IB405" i="31" s="1"/>
  <c r="IC35" i="31"/>
  <c r="IC405" i="31" s="1"/>
  <c r="ID35" i="31"/>
  <c r="ID405" i="31" s="1"/>
  <c r="IF35" i="31"/>
  <c r="IF405" i="31"/>
  <c r="IH35" i="31"/>
  <c r="IH405" i="31" s="1"/>
  <c r="IB36" i="31"/>
  <c r="IB406" i="31" s="1"/>
  <c r="IC36" i="31"/>
  <c r="IC406" i="31" s="1"/>
  <c r="ID36" i="31"/>
  <c r="ID406" i="31" s="1"/>
  <c r="IF36" i="31"/>
  <c r="IF406" i="31" s="1"/>
  <c r="IH36" i="31"/>
  <c r="IH406" i="31" s="1"/>
  <c r="IB37" i="31"/>
  <c r="IB407" i="31" s="1"/>
  <c r="IC37" i="31"/>
  <c r="IC407" i="31"/>
  <c r="ID37" i="31"/>
  <c r="ID407" i="31" s="1"/>
  <c r="IF37" i="31"/>
  <c r="IF407" i="31" s="1"/>
  <c r="IH37" i="31"/>
  <c r="IH407" i="31" s="1"/>
  <c r="IB38" i="31"/>
  <c r="IB408" i="31" s="1"/>
  <c r="IC38" i="31"/>
  <c r="IC408" i="31" s="1"/>
  <c r="ID38" i="31"/>
  <c r="ID408" i="31" s="1"/>
  <c r="IF38" i="31"/>
  <c r="IF408" i="31" s="1"/>
  <c r="IH38" i="31"/>
  <c r="IH408" i="31"/>
  <c r="IB39" i="31"/>
  <c r="IB409" i="31" s="1"/>
  <c r="IC39" i="31"/>
  <c r="IC409" i="31" s="1"/>
  <c r="ID39" i="31"/>
  <c r="ID409" i="31" s="1"/>
  <c r="IF39" i="31"/>
  <c r="IF409" i="31" s="1"/>
  <c r="IH39" i="31"/>
  <c r="IH409" i="31" s="1"/>
  <c r="IB40" i="31"/>
  <c r="IB410" i="31" s="1"/>
  <c r="IC40" i="31"/>
  <c r="IC410" i="31" s="1"/>
  <c r="ID40" i="31"/>
  <c r="ID410" i="31"/>
  <c r="IF40" i="31"/>
  <c r="IF410" i="31" s="1"/>
  <c r="IH40" i="31"/>
  <c r="IH410" i="31" s="1"/>
  <c r="IB41" i="31"/>
  <c r="IB411" i="31" s="1"/>
  <c r="IC41" i="31"/>
  <c r="IC411" i="31" s="1"/>
  <c r="ID41" i="31"/>
  <c r="ID411" i="31" s="1"/>
  <c r="IF41" i="31"/>
  <c r="IF411" i="31" s="1"/>
  <c r="IH41" i="31"/>
  <c r="IH411" i="31" s="1"/>
  <c r="IB42" i="31"/>
  <c r="IB412" i="31"/>
  <c r="IC42" i="31"/>
  <c r="IC412" i="31" s="1"/>
  <c r="ID42" i="31"/>
  <c r="ID412" i="31" s="1"/>
  <c r="IF42" i="31"/>
  <c r="IF412" i="31" s="1"/>
  <c r="IH42" i="31"/>
  <c r="IH412" i="31" s="1"/>
  <c r="IB43" i="31"/>
  <c r="IB413" i="31" s="1"/>
  <c r="IC43" i="31"/>
  <c r="IC413" i="31" s="1"/>
  <c r="ID43" i="31"/>
  <c r="ID413" i="31" s="1"/>
  <c r="IF43" i="31"/>
  <c r="IF413" i="31"/>
  <c r="IH43" i="31"/>
  <c r="IH413" i="31" s="1"/>
  <c r="IB44" i="31"/>
  <c r="IB414" i="31" s="1"/>
  <c r="IC44" i="31"/>
  <c r="IC414" i="31" s="1"/>
  <c r="ID44" i="31"/>
  <c r="ID414" i="31" s="1"/>
  <c r="IF44" i="31"/>
  <c r="IF414" i="31" s="1"/>
  <c r="IH44" i="31"/>
  <c r="IH414" i="31" s="1"/>
  <c r="IB45" i="31"/>
  <c r="IB415" i="31" s="1"/>
  <c r="IC45" i="31"/>
  <c r="IC415" i="31"/>
  <c r="ID45" i="31"/>
  <c r="ID415" i="31" s="1"/>
  <c r="IF45" i="31"/>
  <c r="IF415" i="31" s="1"/>
  <c r="IH45" i="31"/>
  <c r="IH415" i="31" s="1"/>
  <c r="IB46" i="31"/>
  <c r="IB416" i="31" s="1"/>
  <c r="IC46" i="31"/>
  <c r="IC416" i="31" s="1"/>
  <c r="ID46" i="31"/>
  <c r="ID416" i="31" s="1"/>
  <c r="IF46" i="31"/>
  <c r="IF416" i="31" s="1"/>
  <c r="IH46" i="31"/>
  <c r="IH416" i="31"/>
  <c r="IB47" i="31"/>
  <c r="IB417" i="31" s="1"/>
  <c r="IC47" i="31"/>
  <c r="IC417" i="31" s="1"/>
  <c r="ID47" i="31"/>
  <c r="ID417" i="31" s="1"/>
  <c r="IF47" i="31"/>
  <c r="IF417" i="31" s="1"/>
  <c r="IH47" i="31"/>
  <c r="IH417" i="31" s="1"/>
  <c r="IB48" i="31"/>
  <c r="IB418" i="31" s="1"/>
  <c r="IC48" i="31"/>
  <c r="IC418" i="31" s="1"/>
  <c r="ID48" i="31"/>
  <c r="ID418" i="31"/>
  <c r="IF48" i="31"/>
  <c r="IF418" i="31" s="1"/>
  <c r="IH48" i="31"/>
  <c r="IH418" i="31" s="1"/>
  <c r="IB49" i="31"/>
  <c r="IB419" i="31" s="1"/>
  <c r="IC49" i="31"/>
  <c r="IC419" i="31" s="1"/>
  <c r="ID49" i="31"/>
  <c r="ID419" i="31" s="1"/>
  <c r="IF49" i="31"/>
  <c r="IF419" i="31" s="1"/>
  <c r="IH49" i="31"/>
  <c r="IH419" i="31" s="1"/>
  <c r="IB50" i="31"/>
  <c r="IB420" i="31"/>
  <c r="IC50" i="31"/>
  <c r="IC420" i="31" s="1"/>
  <c r="ID50" i="31"/>
  <c r="ID420" i="31" s="1"/>
  <c r="IF50" i="31"/>
  <c r="IF420" i="31" s="1"/>
  <c r="IH50" i="31"/>
  <c r="IH420" i="31" s="1"/>
  <c r="IB51" i="31"/>
  <c r="IB421" i="31"/>
  <c r="IC51" i="31"/>
  <c r="IC421" i="31" s="1"/>
  <c r="ID51" i="31"/>
  <c r="ID421" i="31"/>
  <c r="IF51" i="31"/>
  <c r="IF421" i="31" s="1"/>
  <c r="IH51" i="31"/>
  <c r="IH421" i="31"/>
  <c r="IB52" i="31"/>
  <c r="IB422" i="31" s="1"/>
  <c r="IC52" i="31"/>
  <c r="IC422" i="31"/>
  <c r="ID52" i="31"/>
  <c r="ID422" i="31" s="1"/>
  <c r="IF52" i="31"/>
  <c r="IF422" i="31"/>
  <c r="IH52" i="31"/>
  <c r="IH422" i="31" s="1"/>
  <c r="IB53" i="31"/>
  <c r="IB423" i="31"/>
  <c r="IC53" i="31"/>
  <c r="IC423" i="31" s="1"/>
  <c r="ID53" i="31"/>
  <c r="ID423" i="31"/>
  <c r="IF53" i="31"/>
  <c r="IF423" i="31" s="1"/>
  <c r="IH53" i="31"/>
  <c r="IH423" i="31"/>
  <c r="IB424" i="31"/>
  <c r="IC424" i="31"/>
  <c r="ID424" i="31"/>
  <c r="IE424" i="31"/>
  <c r="IF424" i="31"/>
  <c r="IG424" i="31"/>
  <c r="IH424" i="31"/>
  <c r="IB425" i="31"/>
  <c r="IC425" i="31"/>
  <c r="ID425" i="31"/>
  <c r="IF425" i="31"/>
  <c r="IG425" i="31"/>
  <c r="IH425" i="31"/>
  <c r="IC426" i="31"/>
  <c r="ID426" i="31"/>
  <c r="IE426" i="31"/>
  <c r="IG426" i="31"/>
  <c r="IH426" i="31"/>
  <c r="IB427" i="31"/>
  <c r="ID427" i="31"/>
  <c r="IE427" i="31"/>
  <c r="IF427" i="31"/>
  <c r="IH427" i="31"/>
  <c r="IB428" i="31"/>
  <c r="IC428" i="31"/>
  <c r="IE428" i="31"/>
  <c r="IF428" i="31"/>
  <c r="IG428" i="31"/>
  <c r="IB59" i="31"/>
  <c r="IB429" i="31" s="1"/>
  <c r="IC59" i="31"/>
  <c r="IC429" i="31" s="1"/>
  <c r="ID59" i="31"/>
  <c r="ID429" i="31" s="1"/>
  <c r="IF59" i="31"/>
  <c r="IF429" i="31" s="1"/>
  <c r="IH59" i="31"/>
  <c r="IH429" i="31" s="1"/>
  <c r="IB60" i="31"/>
  <c r="IB430" i="31" s="1"/>
  <c r="IC60" i="31"/>
  <c r="IC430" i="31" s="1"/>
  <c r="ID60" i="31"/>
  <c r="ID430" i="31" s="1"/>
  <c r="IF60" i="31"/>
  <c r="IF430" i="31" s="1"/>
  <c r="IH60" i="31"/>
  <c r="IH430" i="31" s="1"/>
  <c r="IB61" i="31"/>
  <c r="IB431" i="31" s="1"/>
  <c r="IC61" i="31"/>
  <c r="IC431" i="31" s="1"/>
  <c r="ID61" i="31"/>
  <c r="ID431" i="31" s="1"/>
  <c r="IF61" i="31"/>
  <c r="IF431" i="31" s="1"/>
  <c r="IH61" i="31"/>
  <c r="IH431" i="31" s="1"/>
  <c r="IB62" i="31"/>
  <c r="IB432" i="31" s="1"/>
  <c r="IC62" i="31"/>
  <c r="IC432" i="31" s="1"/>
  <c r="ID62" i="31"/>
  <c r="ID432" i="31" s="1"/>
  <c r="IF62" i="31"/>
  <c r="IF432" i="31" s="1"/>
  <c r="IH62" i="31"/>
  <c r="IH432" i="31" s="1"/>
  <c r="IB63" i="31"/>
  <c r="IB433" i="31" s="1"/>
  <c r="IC63" i="31"/>
  <c r="IC433" i="31" s="1"/>
  <c r="ID63" i="31"/>
  <c r="ID433" i="31" s="1"/>
  <c r="IF63" i="31"/>
  <c r="IF433" i="31" s="1"/>
  <c r="IH63" i="31"/>
  <c r="IH433" i="31" s="1"/>
  <c r="IB64" i="31"/>
  <c r="IB434" i="31" s="1"/>
  <c r="IC64" i="31"/>
  <c r="IC434" i="31" s="1"/>
  <c r="ID64" i="31"/>
  <c r="ID434" i="31" s="1"/>
  <c r="IF64" i="31"/>
  <c r="IF434" i="31" s="1"/>
  <c r="IH64" i="31"/>
  <c r="IH434" i="31" s="1"/>
  <c r="IB65" i="31"/>
  <c r="IB435" i="31" s="1"/>
  <c r="IC65" i="31"/>
  <c r="IC435" i="31" s="1"/>
  <c r="ID65" i="31"/>
  <c r="ID435" i="31" s="1"/>
  <c r="IF65" i="31"/>
  <c r="IF435" i="31" s="1"/>
  <c r="IH65" i="31"/>
  <c r="IH435" i="31" s="1"/>
  <c r="IB66" i="31"/>
  <c r="IB436" i="31" s="1"/>
  <c r="IC66" i="31"/>
  <c r="IC436" i="31" s="1"/>
  <c r="ID66" i="31"/>
  <c r="ID436" i="31" s="1"/>
  <c r="IF66" i="31"/>
  <c r="IF436" i="31" s="1"/>
  <c r="IH66" i="31"/>
  <c r="IH436" i="31" s="1"/>
  <c r="IB67" i="31"/>
  <c r="IB437" i="31" s="1"/>
  <c r="IC67" i="31"/>
  <c r="IC437" i="31" s="1"/>
  <c r="ID67" i="31"/>
  <c r="ID437" i="31" s="1"/>
  <c r="IF67" i="31"/>
  <c r="IF437" i="31" s="1"/>
  <c r="IH67" i="31"/>
  <c r="IH437" i="31" s="1"/>
  <c r="IC438" i="31"/>
  <c r="ID438" i="31"/>
  <c r="IF438" i="31"/>
  <c r="IH438" i="31"/>
  <c r="IB439" i="31"/>
  <c r="IC439" i="31"/>
  <c r="ID439" i="31"/>
  <c r="IF439" i="31"/>
  <c r="IH439" i="31"/>
  <c r="IB440" i="31"/>
  <c r="IC440" i="31"/>
  <c r="ID440" i="31"/>
  <c r="IH440" i="31"/>
  <c r="IB71" i="31"/>
  <c r="IB441" i="31" s="1"/>
  <c r="IC71" i="31"/>
  <c r="IC441" i="31"/>
  <c r="ID71" i="31"/>
  <c r="ID441" i="31" s="1"/>
  <c r="IF71" i="31"/>
  <c r="IF441" i="31"/>
  <c r="IH71" i="31"/>
  <c r="IH441" i="31" s="1"/>
  <c r="IB72" i="31"/>
  <c r="IB442" i="31"/>
  <c r="IC72" i="31"/>
  <c r="IC442" i="31" s="1"/>
  <c r="ID72" i="31"/>
  <c r="ID442" i="31"/>
  <c r="IF72" i="31"/>
  <c r="IF442" i="31" s="1"/>
  <c r="IH72" i="31"/>
  <c r="IH442" i="31"/>
  <c r="IB73" i="31"/>
  <c r="IB443" i="31" s="1"/>
  <c r="IC73" i="31"/>
  <c r="IC443" i="31"/>
  <c r="ID73" i="31"/>
  <c r="ID443" i="31" s="1"/>
  <c r="IF73" i="31"/>
  <c r="IF443" i="31"/>
  <c r="IH73" i="31"/>
  <c r="IH443" i="31" s="1"/>
  <c r="IB74" i="31"/>
  <c r="IB444" i="31"/>
  <c r="IC74" i="31"/>
  <c r="IC444" i="31" s="1"/>
  <c r="ID74" i="31"/>
  <c r="ID444" i="31"/>
  <c r="IF74" i="31"/>
  <c r="IF444" i="31" s="1"/>
  <c r="IH74" i="31"/>
  <c r="IH444" i="31"/>
  <c r="IB75" i="31"/>
  <c r="IB445" i="31" s="1"/>
  <c r="IC75" i="31"/>
  <c r="IC445" i="31"/>
  <c r="ID75" i="31"/>
  <c r="ID445" i="31" s="1"/>
  <c r="IF75" i="31"/>
  <c r="IF445" i="31"/>
  <c r="IH75" i="31"/>
  <c r="IH445" i="31" s="1"/>
  <c r="IB76" i="31"/>
  <c r="IB446" i="31"/>
  <c r="IC76" i="31"/>
  <c r="IC446" i="31" s="1"/>
  <c r="ID76" i="31"/>
  <c r="ID446" i="31"/>
  <c r="IF76" i="31"/>
  <c r="IF446" i="31" s="1"/>
  <c r="IH76" i="31"/>
  <c r="IH446" i="31"/>
  <c r="IB77" i="31"/>
  <c r="IB447" i="31" s="1"/>
  <c r="IC77" i="31"/>
  <c r="IC447" i="31"/>
  <c r="ID77" i="31"/>
  <c r="ID447" i="31" s="1"/>
  <c r="IF77" i="31"/>
  <c r="IF447" i="31"/>
  <c r="IH77" i="31"/>
  <c r="IH447" i="31" s="1"/>
  <c r="IB78" i="31"/>
  <c r="IB448" i="31"/>
  <c r="IC78" i="31"/>
  <c r="IC448" i="31" s="1"/>
  <c r="ID78" i="31"/>
  <c r="ID448" i="31"/>
  <c r="IF78" i="31"/>
  <c r="IF448" i="31" s="1"/>
  <c r="IH78" i="31"/>
  <c r="IH448" i="31"/>
  <c r="IB79" i="31"/>
  <c r="IB449" i="31" s="1"/>
  <c r="IC79" i="31"/>
  <c r="IC449" i="31"/>
  <c r="ID79" i="31"/>
  <c r="ID449" i="31" s="1"/>
  <c r="IF79" i="31"/>
  <c r="IF449" i="31"/>
  <c r="IH79" i="31"/>
  <c r="IH449" i="31" s="1"/>
  <c r="IB80" i="31"/>
  <c r="IB450" i="31"/>
  <c r="IC80" i="31"/>
  <c r="IC450" i="31" s="1"/>
  <c r="ID80" i="31"/>
  <c r="ID450" i="31"/>
  <c r="IF80" i="31"/>
  <c r="IF450" i="31" s="1"/>
  <c r="IH80" i="31"/>
  <c r="IH450" i="31"/>
  <c r="ID451" i="31"/>
  <c r="IC452" i="31"/>
  <c r="ID452" i="31"/>
  <c r="IC453" i="31"/>
  <c r="ID453" i="31"/>
  <c r="IF453" i="31"/>
  <c r="IB454" i="31"/>
  <c r="ID454" i="31"/>
  <c r="IF454" i="31"/>
  <c r="IB455" i="31"/>
  <c r="IC455" i="31"/>
  <c r="IF455" i="31"/>
  <c r="ID456" i="31"/>
  <c r="IF456" i="31"/>
  <c r="IC457" i="31"/>
  <c r="ID457" i="31"/>
  <c r="IF457" i="31"/>
  <c r="IH457" i="31"/>
  <c r="IB88" i="31"/>
  <c r="IB458" i="31" s="1"/>
  <c r="IC88" i="31"/>
  <c r="IC458" i="31" s="1"/>
  <c r="ID88" i="31"/>
  <c r="ID458" i="31" s="1"/>
  <c r="IF88" i="31"/>
  <c r="IF458" i="31" s="1"/>
  <c r="IH88" i="31"/>
  <c r="IH458" i="31" s="1"/>
  <c r="IB89" i="31"/>
  <c r="IB459" i="31" s="1"/>
  <c r="IC89" i="31"/>
  <c r="IC459" i="31" s="1"/>
  <c r="ID89" i="31"/>
  <c r="ID459" i="31" s="1"/>
  <c r="IF89" i="31"/>
  <c r="IF459" i="31" s="1"/>
  <c r="IH89" i="31"/>
  <c r="IH459" i="31" s="1"/>
  <c r="IB90" i="31"/>
  <c r="IB460" i="31" s="1"/>
  <c r="IC90" i="31"/>
  <c r="IC460" i="31" s="1"/>
  <c r="ID90" i="31"/>
  <c r="ID460" i="31" s="1"/>
  <c r="IF90" i="31"/>
  <c r="IF460" i="31" s="1"/>
  <c r="IH90" i="31"/>
  <c r="IH460" i="31" s="1"/>
  <c r="IB91" i="31"/>
  <c r="IB461" i="31" s="1"/>
  <c r="IC91" i="31"/>
  <c r="IC461" i="31" s="1"/>
  <c r="ID91" i="31"/>
  <c r="ID461" i="31" s="1"/>
  <c r="IF91" i="31"/>
  <c r="IF461" i="31" s="1"/>
  <c r="IH91" i="31"/>
  <c r="IH461" i="31" s="1"/>
  <c r="IB92" i="31"/>
  <c r="IB462" i="31" s="1"/>
  <c r="IC92" i="31"/>
  <c r="IC462" i="31" s="1"/>
  <c r="ID92" i="31"/>
  <c r="ID462" i="31" s="1"/>
  <c r="IF92" i="31"/>
  <c r="IF462" i="31" s="1"/>
  <c r="IH92" i="31"/>
  <c r="IH462" i="31" s="1"/>
  <c r="IB93" i="31"/>
  <c r="IB463" i="31" s="1"/>
  <c r="IC93" i="31"/>
  <c r="IC463" i="31" s="1"/>
  <c r="ID93" i="31"/>
  <c r="ID463" i="31" s="1"/>
  <c r="IF93" i="31"/>
  <c r="IF463" i="31" s="1"/>
  <c r="IH93" i="31"/>
  <c r="IH463" i="31" s="1"/>
  <c r="IB94" i="31"/>
  <c r="IB464" i="31" s="1"/>
  <c r="IC94" i="31"/>
  <c r="IC464" i="31" s="1"/>
  <c r="ID94" i="31"/>
  <c r="ID464" i="31" s="1"/>
  <c r="IF94" i="31"/>
  <c r="IF464" i="31" s="1"/>
  <c r="IH94" i="31"/>
  <c r="IH464" i="31" s="1"/>
  <c r="IB95" i="31"/>
  <c r="IB465" i="31" s="1"/>
  <c r="IC95" i="31"/>
  <c r="IC465" i="31" s="1"/>
  <c r="ID95" i="31"/>
  <c r="ID465" i="31" s="1"/>
  <c r="IF95" i="31"/>
  <c r="IF465" i="31" s="1"/>
  <c r="IH95" i="31"/>
  <c r="IH465" i="31" s="1"/>
  <c r="IB96" i="31"/>
  <c r="IB466" i="31" s="1"/>
  <c r="IC96" i="31"/>
  <c r="IC466" i="31" s="1"/>
  <c r="ID96" i="31"/>
  <c r="ID466" i="31" s="1"/>
  <c r="IF96" i="31"/>
  <c r="IF466" i="31" s="1"/>
  <c r="IH96" i="31"/>
  <c r="IH466" i="31" s="1"/>
  <c r="IB97" i="31"/>
  <c r="IB467" i="31" s="1"/>
  <c r="IC97" i="31"/>
  <c r="IC467" i="31" s="1"/>
  <c r="ID97" i="31"/>
  <c r="ID467" i="31" s="1"/>
  <c r="IF97" i="31"/>
  <c r="IF467" i="31" s="1"/>
  <c r="IH97" i="31"/>
  <c r="IH467" i="31" s="1"/>
  <c r="IB98" i="31"/>
  <c r="IB468" i="31" s="1"/>
  <c r="IC98" i="31"/>
  <c r="IC468" i="31" s="1"/>
  <c r="ID98" i="31"/>
  <c r="ID468" i="31" s="1"/>
  <c r="IF98" i="31"/>
  <c r="IF468" i="31" s="1"/>
  <c r="IH98" i="31"/>
  <c r="IH468" i="31" s="1"/>
  <c r="IB99" i="31"/>
  <c r="IB469" i="31" s="1"/>
  <c r="IC99" i="31"/>
  <c r="IC469" i="31" s="1"/>
  <c r="ID99" i="31"/>
  <c r="ID469" i="31" s="1"/>
  <c r="IF99" i="31"/>
  <c r="IF469" i="31" s="1"/>
  <c r="IH99" i="31"/>
  <c r="IH469" i="31" s="1"/>
  <c r="IB100" i="31"/>
  <c r="IB470" i="31" s="1"/>
  <c r="IC100" i="31"/>
  <c r="IC470" i="31" s="1"/>
  <c r="ID100" i="31"/>
  <c r="ID470" i="31" s="1"/>
  <c r="IF100" i="31"/>
  <c r="IF470" i="31" s="1"/>
  <c r="IH100" i="31"/>
  <c r="IH470" i="31" s="1"/>
  <c r="IB101" i="31"/>
  <c r="IB471" i="31" s="1"/>
  <c r="IC101" i="31"/>
  <c r="IC471" i="31" s="1"/>
  <c r="ID101" i="31"/>
  <c r="ID471" i="31" s="1"/>
  <c r="IF101" i="31"/>
  <c r="IF471" i="31" s="1"/>
  <c r="IH101" i="31"/>
  <c r="IH471" i="31" s="1"/>
  <c r="IB102" i="31"/>
  <c r="IB472" i="31" s="1"/>
  <c r="IC102" i="31"/>
  <c r="IC472" i="31" s="1"/>
  <c r="ID102" i="31"/>
  <c r="ID472" i="31" s="1"/>
  <c r="IF102" i="31"/>
  <c r="IF472" i="31" s="1"/>
  <c r="IH102" i="31"/>
  <c r="IH472" i="31" s="1"/>
  <c r="IB103" i="31"/>
  <c r="IB473" i="31" s="1"/>
  <c r="IC103" i="31"/>
  <c r="IC473" i="31" s="1"/>
  <c r="ID103" i="31"/>
  <c r="ID473" i="31" s="1"/>
  <c r="IF103" i="31"/>
  <c r="IF473" i="31" s="1"/>
  <c r="IH103" i="31"/>
  <c r="IH473" i="31" s="1"/>
  <c r="IB104" i="31"/>
  <c r="IB474" i="31" s="1"/>
  <c r="IC104" i="31"/>
  <c r="IC474" i="31" s="1"/>
  <c r="ID104" i="31"/>
  <c r="ID474" i="31" s="1"/>
  <c r="IF104" i="31"/>
  <c r="IF474" i="31" s="1"/>
  <c r="IH104" i="31"/>
  <c r="IH474" i="31" s="1"/>
  <c r="IB105" i="31"/>
  <c r="IB475" i="31" s="1"/>
  <c r="IC105" i="31"/>
  <c r="IC475" i="31" s="1"/>
  <c r="ID105" i="31"/>
  <c r="ID475" i="31" s="1"/>
  <c r="IF105" i="31"/>
  <c r="IF475" i="31" s="1"/>
  <c r="IH105" i="31"/>
  <c r="IH475" i="31" s="1"/>
  <c r="IB106" i="31"/>
  <c r="IB476" i="31" s="1"/>
  <c r="IC106" i="31"/>
  <c r="IC476" i="31" s="1"/>
  <c r="ID106" i="31"/>
  <c r="ID476" i="31" s="1"/>
  <c r="IF106" i="31"/>
  <c r="IF476" i="31" s="1"/>
  <c r="IH106" i="31"/>
  <c r="IH476" i="31" s="1"/>
  <c r="IB107" i="31"/>
  <c r="IB477" i="31" s="1"/>
  <c r="IC107" i="31"/>
  <c r="IC477" i="31" s="1"/>
  <c r="ID107" i="31"/>
  <c r="ID477" i="31" s="1"/>
  <c r="IF107" i="31"/>
  <c r="IF477" i="31" s="1"/>
  <c r="IH107" i="31"/>
  <c r="IH477" i="31"/>
  <c r="IB108" i="31"/>
  <c r="IB478" i="31" s="1"/>
  <c r="IC108" i="31"/>
  <c r="IC478" i="31" s="1"/>
  <c r="ID108" i="31"/>
  <c r="ID478" i="31" s="1"/>
  <c r="IF108" i="31"/>
  <c r="IF478" i="31"/>
  <c r="IH108" i="31"/>
  <c r="IH478" i="31" s="1"/>
  <c r="IB109" i="31"/>
  <c r="IB479" i="31" s="1"/>
  <c r="IC109" i="31"/>
  <c r="IC479" i="31" s="1"/>
  <c r="ID109" i="31"/>
  <c r="ID479" i="31"/>
  <c r="IF109" i="31"/>
  <c r="IF479" i="31" s="1"/>
  <c r="IH109" i="31"/>
  <c r="IH479" i="31" s="1"/>
  <c r="IB110" i="31"/>
  <c r="IB480" i="31" s="1"/>
  <c r="IC110" i="31"/>
  <c r="IC480" i="31"/>
  <c r="ID110" i="31"/>
  <c r="ID480" i="31" s="1"/>
  <c r="IF110" i="31"/>
  <c r="IF480" i="31" s="1"/>
  <c r="IH110" i="31"/>
  <c r="IH480" i="31" s="1"/>
  <c r="IB111" i="31"/>
  <c r="IB481" i="31"/>
  <c r="IC111" i="31"/>
  <c r="IC481" i="31" s="1"/>
  <c r="ID111" i="31"/>
  <c r="ID481" i="31" s="1"/>
  <c r="IF111" i="31"/>
  <c r="IF481" i="31" s="1"/>
  <c r="IH111" i="31"/>
  <c r="IH481" i="31"/>
  <c r="IB112" i="31"/>
  <c r="IB482" i="31" s="1"/>
  <c r="IC112" i="31"/>
  <c r="IC482" i="31" s="1"/>
  <c r="ID112" i="31"/>
  <c r="ID482" i="31" s="1"/>
  <c r="IF112" i="31"/>
  <c r="IF482" i="31"/>
  <c r="IH112" i="31"/>
  <c r="IH482" i="31" s="1"/>
  <c r="IB113" i="31"/>
  <c r="IB483" i="31" s="1"/>
  <c r="IC113" i="31"/>
  <c r="IC483" i="31" s="1"/>
  <c r="ID113" i="31"/>
  <c r="ID483" i="31"/>
  <c r="IF113" i="31"/>
  <c r="IF483" i="31" s="1"/>
  <c r="IH113" i="31"/>
  <c r="IH483" i="31" s="1"/>
  <c r="IB114" i="31"/>
  <c r="IB484" i="31" s="1"/>
  <c r="IC114" i="31"/>
  <c r="IC484" i="31"/>
  <c r="ID114" i="31"/>
  <c r="ID484" i="31" s="1"/>
  <c r="IF114" i="31"/>
  <c r="IF484" i="31" s="1"/>
  <c r="IH114" i="31"/>
  <c r="IH484" i="31" s="1"/>
  <c r="IB115" i="31"/>
  <c r="IB485" i="31"/>
  <c r="IC115" i="31"/>
  <c r="IC485" i="31" s="1"/>
  <c r="ID115" i="31"/>
  <c r="ID485" i="31" s="1"/>
  <c r="IF115" i="31"/>
  <c r="IF485" i="31" s="1"/>
  <c r="IH115" i="31"/>
  <c r="IH485" i="31"/>
  <c r="IB116" i="31"/>
  <c r="IB486" i="31" s="1"/>
  <c r="IC116" i="31"/>
  <c r="IC486" i="31" s="1"/>
  <c r="ID116" i="31"/>
  <c r="ID486" i="31" s="1"/>
  <c r="IF116" i="31"/>
  <c r="IF486" i="31"/>
  <c r="IH116" i="31"/>
  <c r="IH486" i="31" s="1"/>
  <c r="IB117" i="31"/>
  <c r="IB487" i="31" s="1"/>
  <c r="IC117" i="31"/>
  <c r="IC487" i="31" s="1"/>
  <c r="ID117" i="31"/>
  <c r="ID487" i="31"/>
  <c r="IF117" i="31"/>
  <c r="IF487" i="31" s="1"/>
  <c r="IH117" i="31"/>
  <c r="IH487" i="31" s="1"/>
  <c r="IB488" i="31"/>
  <c r="IC488" i="31"/>
  <c r="ID488" i="31"/>
  <c r="IF488" i="31"/>
  <c r="IH488" i="31"/>
  <c r="IB489" i="31"/>
  <c r="IC489" i="31"/>
  <c r="ID489" i="31"/>
  <c r="IF489" i="31"/>
  <c r="IH489" i="31"/>
  <c r="IB120" i="31"/>
  <c r="IB490" i="31" s="1"/>
  <c r="IC120" i="31"/>
  <c r="IC490" i="31" s="1"/>
  <c r="ID120" i="31"/>
  <c r="ID490" i="31"/>
  <c r="IF120" i="31"/>
  <c r="IF490" i="31" s="1"/>
  <c r="IH120" i="31"/>
  <c r="IH490" i="31" s="1"/>
  <c r="IB491" i="31"/>
  <c r="IC491" i="31"/>
  <c r="ID491" i="31"/>
  <c r="IF491" i="31"/>
  <c r="IH491" i="31"/>
  <c r="IB492" i="31"/>
  <c r="IC492" i="31"/>
  <c r="ID492" i="31"/>
  <c r="IF492" i="31"/>
  <c r="IH492" i="31"/>
  <c r="IB493" i="31"/>
  <c r="IC493" i="31"/>
  <c r="ID493" i="31"/>
  <c r="IF493" i="31"/>
  <c r="IH493" i="31"/>
  <c r="IB494" i="31"/>
  <c r="IC494" i="31"/>
  <c r="ID494" i="31"/>
  <c r="IF494" i="31"/>
  <c r="IH494" i="31"/>
  <c r="IB495" i="31"/>
  <c r="IC495" i="31"/>
  <c r="ID495" i="31"/>
  <c r="IF495" i="31"/>
  <c r="IH495" i="31"/>
  <c r="IB496" i="31"/>
  <c r="IC496" i="31"/>
  <c r="ID496" i="31"/>
  <c r="IF496" i="31"/>
  <c r="IH496" i="31"/>
  <c r="IB497" i="31"/>
  <c r="IC497" i="31"/>
  <c r="ID497" i="31"/>
  <c r="IF497" i="31"/>
  <c r="IH497" i="31"/>
  <c r="IB128" i="31"/>
  <c r="IB498" i="31" s="1"/>
  <c r="IC128" i="31"/>
  <c r="IC498" i="31"/>
  <c r="ID128" i="31"/>
  <c r="ID498" i="31" s="1"/>
  <c r="IF128" i="31"/>
  <c r="IF498" i="31"/>
  <c r="IH128" i="31"/>
  <c r="IH498" i="31" s="1"/>
  <c r="IB129" i="31"/>
  <c r="IB499" i="31"/>
  <c r="IC129" i="31"/>
  <c r="IC499" i="31" s="1"/>
  <c r="ID129" i="31"/>
  <c r="ID499" i="31"/>
  <c r="IF129" i="31"/>
  <c r="IF499" i="31" s="1"/>
  <c r="IH129" i="31"/>
  <c r="IH499" i="31"/>
  <c r="IB130" i="31"/>
  <c r="IB500" i="31" s="1"/>
  <c r="IC130" i="31"/>
  <c r="IC500" i="31"/>
  <c r="ID130" i="31"/>
  <c r="ID500" i="31" s="1"/>
  <c r="IF130" i="31"/>
  <c r="IF500" i="31"/>
  <c r="IH130" i="31"/>
  <c r="IH500" i="31" s="1"/>
  <c r="IB501" i="31"/>
  <c r="IC501" i="31"/>
  <c r="ID501" i="31"/>
  <c r="IF501" i="31"/>
  <c r="IH501" i="31"/>
  <c r="IB502" i="31"/>
  <c r="IC502" i="31"/>
  <c r="ID502" i="31"/>
  <c r="IF502" i="31"/>
  <c r="IH502" i="31"/>
  <c r="IB503" i="31"/>
  <c r="IC503" i="31"/>
  <c r="ID503" i="31"/>
  <c r="IF503" i="31"/>
  <c r="IH503" i="31"/>
  <c r="IB134" i="31"/>
  <c r="IB504" i="31" s="1"/>
  <c r="IC134" i="31"/>
  <c r="IC504" i="31"/>
  <c r="ID134" i="31"/>
  <c r="ID504" i="31" s="1"/>
  <c r="IF134" i="31"/>
  <c r="IF504" i="31" s="1"/>
  <c r="IH134" i="31"/>
  <c r="IH504" i="31" s="1"/>
  <c r="IB135" i="31"/>
  <c r="IB505" i="31"/>
  <c r="IC135" i="31"/>
  <c r="IC505" i="31" s="1"/>
  <c r="ID135" i="31"/>
  <c r="ID505" i="31" s="1"/>
  <c r="IF135" i="31"/>
  <c r="IF505" i="31" s="1"/>
  <c r="IH135" i="31"/>
  <c r="IH505" i="31"/>
  <c r="IB136" i="31"/>
  <c r="IB506" i="31" s="1"/>
  <c r="IC136" i="31"/>
  <c r="IC506" i="31" s="1"/>
  <c r="ID136" i="31"/>
  <c r="ID506" i="31" s="1"/>
  <c r="IF136" i="31"/>
  <c r="IF506" i="31"/>
  <c r="IH136" i="31"/>
  <c r="IH506" i="31" s="1"/>
  <c r="IB137" i="31"/>
  <c r="IB507" i="31" s="1"/>
  <c r="IC137" i="31"/>
  <c r="IC507" i="31" s="1"/>
  <c r="ID137" i="31"/>
  <c r="ID507" i="31"/>
  <c r="IF137" i="31"/>
  <c r="IF507" i="31" s="1"/>
  <c r="IH137" i="31"/>
  <c r="IH507" i="31" s="1"/>
  <c r="IB138" i="31"/>
  <c r="IB508" i="31" s="1"/>
  <c r="IC138" i="31"/>
  <c r="IC508" i="31"/>
  <c r="ID138" i="31"/>
  <c r="ID508" i="31" s="1"/>
  <c r="IF138" i="31"/>
  <c r="IF508" i="31" s="1"/>
  <c r="IH138" i="31"/>
  <c r="IH508" i="31" s="1"/>
  <c r="IB139" i="31"/>
  <c r="IB509" i="31"/>
  <c r="IC139" i="31"/>
  <c r="IC509" i="31" s="1"/>
  <c r="ID139" i="31"/>
  <c r="ID509" i="31" s="1"/>
  <c r="IF139" i="31"/>
  <c r="IF509" i="31" s="1"/>
  <c r="IH139" i="31"/>
  <c r="IH509" i="31"/>
  <c r="IB140" i="31"/>
  <c r="IB510" i="31" s="1"/>
  <c r="IC140" i="31"/>
  <c r="IC510" i="31" s="1"/>
  <c r="ID140" i="31"/>
  <c r="ID510" i="31" s="1"/>
  <c r="IF140" i="31"/>
  <c r="IF510" i="31"/>
  <c r="IH140" i="31"/>
  <c r="IH510" i="31" s="1"/>
  <c r="IB141" i="31"/>
  <c r="IB511" i="31" s="1"/>
  <c r="IC141" i="31"/>
  <c r="IC511" i="31" s="1"/>
  <c r="ID141" i="31"/>
  <c r="ID511" i="31"/>
  <c r="IF141" i="31"/>
  <c r="IF511" i="31" s="1"/>
  <c r="IH141" i="31"/>
  <c r="IH511" i="31" s="1"/>
  <c r="IB142" i="31"/>
  <c r="IB512" i="31" s="1"/>
  <c r="IC142" i="31"/>
  <c r="IC512" i="31"/>
  <c r="ID142" i="31"/>
  <c r="ID512" i="31" s="1"/>
  <c r="IF142" i="31"/>
  <c r="IF512" i="31" s="1"/>
  <c r="IH142" i="31"/>
  <c r="IH512" i="31" s="1"/>
  <c r="IB143" i="31"/>
  <c r="IB513" i="31"/>
  <c r="IC143" i="31"/>
  <c r="IC513" i="31" s="1"/>
  <c r="ID143" i="31"/>
  <c r="ID513" i="31" s="1"/>
  <c r="IF143" i="31"/>
  <c r="IF513" i="31" s="1"/>
  <c r="IH143" i="31"/>
  <c r="IH513" i="31"/>
  <c r="IB144" i="31"/>
  <c r="IB514" i="31" s="1"/>
  <c r="IC144" i="31"/>
  <c r="IC514" i="31" s="1"/>
  <c r="ID144" i="31"/>
  <c r="ID514" i="31" s="1"/>
  <c r="IF144" i="31"/>
  <c r="IF514" i="31"/>
  <c r="IH144" i="31"/>
  <c r="IH514" i="31" s="1"/>
  <c r="IB145" i="31"/>
  <c r="IB515" i="31" s="1"/>
  <c r="IC145" i="31"/>
  <c r="IC515" i="31" s="1"/>
  <c r="ID145" i="31"/>
  <c r="ID515" i="31"/>
  <c r="IF145" i="31"/>
  <c r="IF515" i="31" s="1"/>
  <c r="IH145" i="31"/>
  <c r="IH515" i="31" s="1"/>
  <c r="IB146" i="31"/>
  <c r="IB516" i="31" s="1"/>
  <c r="IC146" i="31"/>
  <c r="IC516" i="31"/>
  <c r="ID146" i="31"/>
  <c r="ID516" i="31" s="1"/>
  <c r="IF146" i="31"/>
  <c r="IF516" i="31" s="1"/>
  <c r="IH146" i="31"/>
  <c r="IH516" i="31" s="1"/>
  <c r="IB517" i="31"/>
  <c r="IC517" i="31"/>
  <c r="ID517" i="31"/>
  <c r="IF517" i="31"/>
  <c r="IH517" i="31"/>
  <c r="IB518" i="31"/>
  <c r="IC518" i="31"/>
  <c r="ID518" i="31"/>
  <c r="IF518" i="31"/>
  <c r="IH518" i="31"/>
  <c r="IB519" i="31"/>
  <c r="IC519" i="31"/>
  <c r="ID519" i="31"/>
  <c r="IF519" i="31"/>
  <c r="IH519" i="31"/>
  <c r="IB520" i="31"/>
  <c r="IC520" i="31"/>
  <c r="ID520" i="31"/>
  <c r="IF520" i="31"/>
  <c r="IH520" i="31"/>
  <c r="IB521" i="31"/>
  <c r="IC521" i="31"/>
  <c r="ID521" i="31"/>
  <c r="IF521" i="31"/>
  <c r="IH521" i="31"/>
  <c r="IB522" i="31"/>
  <c r="IC522" i="31"/>
  <c r="ID522" i="31"/>
  <c r="IF522" i="31"/>
  <c r="IH522" i="31"/>
  <c r="IB523" i="31"/>
  <c r="IC523" i="31"/>
  <c r="ID523" i="31"/>
  <c r="IF523" i="31"/>
  <c r="IH523" i="31"/>
  <c r="IB524" i="31"/>
  <c r="IC524" i="31"/>
  <c r="ID524" i="31"/>
  <c r="IF524" i="31"/>
  <c r="IH524" i="31"/>
  <c r="IB525" i="31"/>
  <c r="IC525" i="31"/>
  <c r="ID525" i="31"/>
  <c r="IF525" i="31"/>
  <c r="IH525" i="31"/>
  <c r="IB156" i="31"/>
  <c r="IB526" i="31" s="1"/>
  <c r="IC156" i="31"/>
  <c r="IC526" i="31"/>
  <c r="ID156" i="31"/>
  <c r="ID526" i="31" s="1"/>
  <c r="IF156" i="31"/>
  <c r="IF526" i="31"/>
  <c r="IH156" i="31"/>
  <c r="IH526" i="31" s="1"/>
  <c r="IB157" i="31"/>
  <c r="IB527" i="31"/>
  <c r="IC157" i="31"/>
  <c r="IC527" i="31" s="1"/>
  <c r="ID157" i="31"/>
  <c r="ID527" i="31"/>
  <c r="IF157" i="31"/>
  <c r="IF527" i="31" s="1"/>
  <c r="IH157" i="31"/>
  <c r="IH527" i="31"/>
  <c r="IB158" i="31"/>
  <c r="IB528" i="31" s="1"/>
  <c r="IC158" i="31"/>
  <c r="IC528" i="31"/>
  <c r="ID158" i="31"/>
  <c r="ID528" i="31" s="1"/>
  <c r="IF158" i="31"/>
  <c r="IF528" i="31"/>
  <c r="IH158" i="31"/>
  <c r="IH528" i="31" s="1"/>
  <c r="IB159" i="31"/>
  <c r="IB529" i="31"/>
  <c r="IC159" i="31"/>
  <c r="IC529" i="31" s="1"/>
  <c r="ID159" i="31"/>
  <c r="ID529" i="31"/>
  <c r="IF159" i="31"/>
  <c r="IF529" i="31" s="1"/>
  <c r="IH159" i="31"/>
  <c r="IH529" i="31"/>
  <c r="IB160" i="31"/>
  <c r="IB530" i="31" s="1"/>
  <c r="IC160" i="31"/>
  <c r="IC530" i="31"/>
  <c r="ID160" i="31"/>
  <c r="ID530" i="31" s="1"/>
  <c r="IF160" i="31"/>
  <c r="IF530" i="31"/>
  <c r="IH160" i="31"/>
  <c r="IH530" i="31" s="1"/>
  <c r="IB161" i="31"/>
  <c r="IB531" i="31"/>
  <c r="IC161" i="31"/>
  <c r="IC531" i="31" s="1"/>
  <c r="ID161" i="31"/>
  <c r="ID531" i="31"/>
  <c r="IF161" i="31"/>
  <c r="IF531" i="31" s="1"/>
  <c r="IH161" i="31"/>
  <c r="IH531" i="31"/>
  <c r="IB162" i="31"/>
  <c r="IB532" i="31" s="1"/>
  <c r="IC162" i="31"/>
  <c r="IC532" i="31"/>
  <c r="ID162" i="31"/>
  <c r="ID532" i="31" s="1"/>
  <c r="IF162" i="31"/>
  <c r="IF532" i="31"/>
  <c r="IH162" i="31"/>
  <c r="IH532" i="31" s="1"/>
  <c r="IB163" i="31"/>
  <c r="IB533" i="31"/>
  <c r="IC163" i="31"/>
  <c r="IC533" i="31" s="1"/>
  <c r="ID163" i="31"/>
  <c r="ID533" i="31"/>
  <c r="IF163" i="31"/>
  <c r="IF533" i="31" s="1"/>
  <c r="IH163" i="31"/>
  <c r="IH533" i="31"/>
  <c r="IB164" i="31"/>
  <c r="IB534" i="31" s="1"/>
  <c r="IC164" i="31"/>
  <c r="IC534" i="31"/>
  <c r="ID164" i="31"/>
  <c r="ID534" i="31" s="1"/>
  <c r="IF164" i="31"/>
  <c r="IF534" i="31"/>
  <c r="IH164" i="31"/>
  <c r="IH534" i="31" s="1"/>
  <c r="IB165" i="31"/>
  <c r="IB535" i="31"/>
  <c r="IC165" i="31"/>
  <c r="IC535" i="31" s="1"/>
  <c r="ID165" i="31"/>
  <c r="ID535" i="31"/>
  <c r="IF165" i="31"/>
  <c r="IF535" i="31" s="1"/>
  <c r="IH165" i="31"/>
  <c r="IH535" i="31"/>
  <c r="IB166" i="31"/>
  <c r="IB536" i="31" s="1"/>
  <c r="IC166" i="31"/>
  <c r="IC536" i="31"/>
  <c r="ID166" i="31"/>
  <c r="ID536" i="31" s="1"/>
  <c r="IF166" i="31"/>
  <c r="IF536" i="31"/>
  <c r="IH166" i="31"/>
  <c r="IH536" i="31" s="1"/>
  <c r="IB167" i="31"/>
  <c r="IB537" i="31"/>
  <c r="IC167" i="31"/>
  <c r="IC537" i="31" s="1"/>
  <c r="ID167" i="31"/>
  <c r="ID537" i="31"/>
  <c r="IF167" i="31"/>
  <c r="IF537" i="31" s="1"/>
  <c r="IH167" i="31"/>
  <c r="IH537" i="31"/>
  <c r="IB168" i="31"/>
  <c r="IB538" i="31" s="1"/>
  <c r="IC168" i="31"/>
  <c r="IC538" i="31"/>
  <c r="ID168" i="31"/>
  <c r="ID538" i="31" s="1"/>
  <c r="IF168" i="31"/>
  <c r="IF538" i="31"/>
  <c r="IH168" i="31"/>
  <c r="IH538" i="31" s="1"/>
  <c r="IB169" i="31"/>
  <c r="IB539" i="31"/>
  <c r="IC169" i="31"/>
  <c r="IC539" i="31" s="1"/>
  <c r="ID169" i="31"/>
  <c r="ID539" i="31"/>
  <c r="IF169" i="31"/>
  <c r="IF539" i="31" s="1"/>
  <c r="IH169" i="31"/>
  <c r="IH539" i="31"/>
  <c r="IB170" i="31"/>
  <c r="IB540" i="31" s="1"/>
  <c r="IC170" i="31"/>
  <c r="IC540" i="31"/>
  <c r="ID170" i="31"/>
  <c r="ID540" i="31" s="1"/>
  <c r="IF170" i="31"/>
  <c r="IF540" i="31"/>
  <c r="IH170" i="31"/>
  <c r="IH540" i="31" s="1"/>
  <c r="IB171" i="31"/>
  <c r="IB541" i="31"/>
  <c r="IC171" i="31"/>
  <c r="IC541" i="31" s="1"/>
  <c r="ID171" i="31"/>
  <c r="ID541" i="31"/>
  <c r="IF171" i="31"/>
  <c r="IF541" i="31" s="1"/>
  <c r="IH171" i="31"/>
  <c r="IH541" i="31"/>
  <c r="IB172" i="31"/>
  <c r="IB542" i="31" s="1"/>
  <c r="IC172" i="31"/>
  <c r="IC542" i="31"/>
  <c r="ID172" i="31"/>
  <c r="ID542" i="31" s="1"/>
  <c r="IF172" i="31"/>
  <c r="IF542" i="31"/>
  <c r="IH172" i="31"/>
  <c r="IH542" i="31" s="1"/>
  <c r="IB173" i="31"/>
  <c r="IB543" i="31"/>
  <c r="IC173" i="31"/>
  <c r="IC543" i="31" s="1"/>
  <c r="ID173" i="31"/>
  <c r="ID543" i="31"/>
  <c r="IF173" i="31"/>
  <c r="IF543" i="31" s="1"/>
  <c r="IH173" i="31"/>
  <c r="IH543" i="31"/>
  <c r="IB174" i="31"/>
  <c r="IB544" i="31" s="1"/>
  <c r="IC174" i="31"/>
  <c r="IC544" i="31"/>
  <c r="ID174" i="31"/>
  <c r="ID544" i="31" s="1"/>
  <c r="IF174" i="31"/>
  <c r="IF544" i="31"/>
  <c r="IH174" i="31"/>
  <c r="IH544" i="31" s="1"/>
  <c r="IB175" i="31"/>
  <c r="IB545" i="31"/>
  <c r="IC175" i="31"/>
  <c r="IC545" i="31" s="1"/>
  <c r="ID175" i="31"/>
  <c r="ID545" i="31"/>
  <c r="IF175" i="31"/>
  <c r="IF545" i="31" s="1"/>
  <c r="IH175" i="31"/>
  <c r="IH545" i="31"/>
  <c r="IB176" i="31"/>
  <c r="IB546" i="31" s="1"/>
  <c r="IC176" i="31"/>
  <c r="IC546" i="31"/>
  <c r="ID176" i="31"/>
  <c r="ID546" i="31" s="1"/>
  <c r="IF176" i="31"/>
  <c r="IF546" i="31"/>
  <c r="IH176" i="31"/>
  <c r="IH546" i="31" s="1"/>
  <c r="IB177" i="31"/>
  <c r="IB547" i="31"/>
  <c r="IC177" i="31"/>
  <c r="IC547" i="31" s="1"/>
  <c r="ID177" i="31"/>
  <c r="ID547" i="31"/>
  <c r="IF177" i="31"/>
  <c r="IF547" i="31" s="1"/>
  <c r="IH177" i="31"/>
  <c r="IH547" i="31"/>
  <c r="IB178" i="31"/>
  <c r="IB548" i="31" s="1"/>
  <c r="IC178" i="31"/>
  <c r="IC548" i="31"/>
  <c r="ID178" i="31"/>
  <c r="ID548" i="31" s="1"/>
  <c r="IF178" i="31"/>
  <c r="IF548" i="31"/>
  <c r="IH178" i="31"/>
  <c r="IH548" i="31" s="1"/>
  <c r="IB549" i="31"/>
  <c r="IC549" i="31"/>
  <c r="ID549" i="31"/>
  <c r="IF549" i="31"/>
  <c r="IH549" i="31"/>
  <c r="IB180" i="31"/>
  <c r="IB550" i="31" s="1"/>
  <c r="IC180" i="31"/>
  <c r="IC550" i="31" s="1"/>
  <c r="ID180" i="31"/>
  <c r="ID550" i="31" s="1"/>
  <c r="IF180" i="31"/>
  <c r="IF550" i="31" s="1"/>
  <c r="IH180" i="31"/>
  <c r="IH550" i="31"/>
  <c r="IB181" i="31"/>
  <c r="IB551" i="31" s="1"/>
  <c r="IC181" i="31"/>
  <c r="IC551" i="31" s="1"/>
  <c r="ID181" i="31"/>
  <c r="ID551" i="31" s="1"/>
  <c r="IF181" i="31"/>
  <c r="IF551" i="31" s="1"/>
  <c r="IH181" i="31"/>
  <c r="IH551" i="31" s="1"/>
  <c r="IB182" i="31"/>
  <c r="IB552" i="31" s="1"/>
  <c r="IC182" i="31"/>
  <c r="IC552" i="31" s="1"/>
  <c r="ID182" i="31"/>
  <c r="ID552" i="31"/>
  <c r="IF182" i="31"/>
  <c r="IF552" i="31" s="1"/>
  <c r="IH182" i="31"/>
  <c r="IH552" i="31" s="1"/>
  <c r="IB553" i="31"/>
  <c r="IC553" i="31"/>
  <c r="ID553" i="31"/>
  <c r="IF553" i="31"/>
  <c r="IH553" i="31"/>
  <c r="IB554" i="31"/>
  <c r="IC554" i="31"/>
  <c r="ID554" i="31"/>
  <c r="IF554" i="31"/>
  <c r="IH554" i="31"/>
  <c r="IB555" i="31"/>
  <c r="IC555" i="31"/>
  <c r="ID555" i="31"/>
  <c r="IF555" i="31"/>
  <c r="IH555" i="31"/>
  <c r="IB556" i="31"/>
  <c r="IC556" i="31"/>
  <c r="ID556" i="31"/>
  <c r="IF556" i="31"/>
  <c r="IH556" i="31"/>
  <c r="IB557" i="31"/>
  <c r="IC557" i="31"/>
  <c r="ID557" i="31"/>
  <c r="IF557" i="31"/>
  <c r="IH557" i="31"/>
  <c r="IB188" i="31"/>
  <c r="IB558" i="31"/>
  <c r="IC188" i="31"/>
  <c r="IC558" i="31" s="1"/>
  <c r="ID188" i="31"/>
  <c r="ID558" i="31"/>
  <c r="IF188" i="31"/>
  <c r="IF558" i="31" s="1"/>
  <c r="IH188" i="31"/>
  <c r="IH558" i="31"/>
  <c r="IB189" i="31"/>
  <c r="IB559" i="31" s="1"/>
  <c r="IC189" i="31"/>
  <c r="IC559" i="31"/>
  <c r="ID189" i="31"/>
  <c r="ID559" i="31" s="1"/>
  <c r="IF189" i="31"/>
  <c r="IF559" i="31"/>
  <c r="IH189" i="31"/>
  <c r="IH559" i="31" s="1"/>
  <c r="IB190" i="31"/>
  <c r="IB560" i="31"/>
  <c r="IC190" i="31"/>
  <c r="IC560" i="31" s="1"/>
  <c r="ID190" i="31"/>
  <c r="ID560" i="31"/>
  <c r="IF190" i="31"/>
  <c r="IF560" i="31" s="1"/>
  <c r="IH190" i="31"/>
  <c r="IH560" i="31"/>
  <c r="IB191" i="31"/>
  <c r="IB561" i="31" s="1"/>
  <c r="IC191" i="31"/>
  <c r="IC561" i="31"/>
  <c r="ID191" i="31"/>
  <c r="ID561" i="31" s="1"/>
  <c r="IF191" i="31"/>
  <c r="IF561" i="31"/>
  <c r="IH191" i="31"/>
  <c r="IH561" i="31" s="1"/>
  <c r="IB192" i="31"/>
  <c r="IB562" i="31"/>
  <c r="IC192" i="31"/>
  <c r="IC562" i="31" s="1"/>
  <c r="ID192" i="31"/>
  <c r="ID562" i="31"/>
  <c r="IF192" i="31"/>
  <c r="IF562" i="31" s="1"/>
  <c r="IH192" i="31"/>
  <c r="IH562" i="31"/>
  <c r="IB193" i="31"/>
  <c r="IB563" i="31" s="1"/>
  <c r="IC193" i="31"/>
  <c r="IC563" i="31"/>
  <c r="ID193" i="31"/>
  <c r="ID563" i="31" s="1"/>
  <c r="IF193" i="31"/>
  <c r="IF563" i="31"/>
  <c r="IH193" i="31"/>
  <c r="IH563" i="31" s="1"/>
  <c r="IB194" i="31"/>
  <c r="IB564" i="31"/>
  <c r="IC194" i="31"/>
  <c r="IC564" i="31" s="1"/>
  <c r="ID194" i="31"/>
  <c r="ID564" i="31"/>
  <c r="IF194" i="31"/>
  <c r="IF564" i="31" s="1"/>
  <c r="IH194" i="31"/>
  <c r="IH564" i="31"/>
  <c r="IB195" i="31"/>
  <c r="IB565" i="31" s="1"/>
  <c r="IC195" i="31"/>
  <c r="IC565" i="31"/>
  <c r="ID195" i="31"/>
  <c r="ID565" i="31" s="1"/>
  <c r="IF195" i="31"/>
  <c r="IF565" i="31"/>
  <c r="IH195" i="31"/>
  <c r="IH565" i="31" s="1"/>
  <c r="IB196" i="31"/>
  <c r="IB566" i="31"/>
  <c r="IC196" i="31"/>
  <c r="IC566" i="31" s="1"/>
  <c r="ID196" i="31"/>
  <c r="ID566" i="31"/>
  <c r="IF196" i="31"/>
  <c r="IF566" i="31" s="1"/>
  <c r="IH196" i="31"/>
  <c r="IH566" i="31"/>
  <c r="IB197" i="31"/>
  <c r="IB567" i="31" s="1"/>
  <c r="IC197" i="31"/>
  <c r="IC567" i="31"/>
  <c r="ID197" i="31"/>
  <c r="ID567" i="31" s="1"/>
  <c r="IF197" i="31"/>
  <c r="IF567" i="31"/>
  <c r="IH197" i="31"/>
  <c r="IH567" i="31" s="1"/>
  <c r="IB198" i="31"/>
  <c r="IB568" i="31"/>
  <c r="IC198" i="31"/>
  <c r="IC568" i="31" s="1"/>
  <c r="ID198" i="31"/>
  <c r="ID568" i="31"/>
  <c r="IF198" i="31"/>
  <c r="IF568" i="31" s="1"/>
  <c r="IH198" i="31"/>
  <c r="IH568" i="31"/>
  <c r="IB199" i="31"/>
  <c r="IB569" i="31" s="1"/>
  <c r="IC199" i="31"/>
  <c r="IC569" i="31"/>
  <c r="ID199" i="31"/>
  <c r="ID569" i="31" s="1"/>
  <c r="IF199" i="31"/>
  <c r="IF569" i="31"/>
  <c r="IH199" i="31"/>
  <c r="IH569" i="31" s="1"/>
  <c r="IB200" i="31"/>
  <c r="IB570" i="31"/>
  <c r="IC200" i="31"/>
  <c r="IC570" i="31" s="1"/>
  <c r="ID200" i="31"/>
  <c r="ID570" i="31"/>
  <c r="IF200" i="31"/>
  <c r="IF570" i="31" s="1"/>
  <c r="IH200" i="31"/>
  <c r="IH570" i="31"/>
  <c r="IB201" i="31"/>
  <c r="IB571" i="31" s="1"/>
  <c r="IC201" i="31"/>
  <c r="IC571" i="31"/>
  <c r="ID201" i="31"/>
  <c r="ID571" i="31"/>
  <c r="IF201" i="31"/>
  <c r="IF571" i="31"/>
  <c r="IH201" i="31"/>
  <c r="IH571" i="31"/>
  <c r="IB202" i="31"/>
  <c r="IB572" i="31"/>
  <c r="IC202" i="31"/>
  <c r="IC572" i="31"/>
  <c r="ID202" i="31"/>
  <c r="ID572" i="31"/>
  <c r="IF202" i="31"/>
  <c r="IF572" i="31"/>
  <c r="IH202" i="31"/>
  <c r="IH572" i="31"/>
  <c r="IB203" i="31"/>
  <c r="IB573" i="31"/>
  <c r="IC203" i="31"/>
  <c r="IC573" i="31"/>
  <c r="ID203" i="31"/>
  <c r="ID573" i="31"/>
  <c r="IF203" i="31"/>
  <c r="IF573" i="31"/>
  <c r="IH203" i="31"/>
  <c r="IH573" i="31"/>
  <c r="IB204" i="31"/>
  <c r="IB574" i="31"/>
  <c r="IC204" i="31"/>
  <c r="IC574" i="31"/>
  <c r="ID204" i="31"/>
  <c r="ID574" i="31"/>
  <c r="IF204" i="31"/>
  <c r="IF574" i="31"/>
  <c r="IH204" i="31"/>
  <c r="IH574" i="31"/>
  <c r="IB205" i="31"/>
  <c r="IB575" i="31"/>
  <c r="IC205" i="31"/>
  <c r="IC575" i="31"/>
  <c r="ID205" i="31"/>
  <c r="ID575" i="31"/>
  <c r="IF205" i="31"/>
  <c r="IF575" i="31"/>
  <c r="IH205" i="31"/>
  <c r="IH575" i="31"/>
  <c r="IB206" i="31"/>
  <c r="IB576" i="31"/>
  <c r="IC206" i="31"/>
  <c r="IC576" i="31"/>
  <c r="ID206" i="31"/>
  <c r="ID576" i="31"/>
  <c r="IF206" i="31"/>
  <c r="IF576" i="31"/>
  <c r="IH206" i="31"/>
  <c r="IH576" i="31"/>
  <c r="IB577" i="31"/>
  <c r="IC207" i="31"/>
  <c r="IC577" i="31" s="1"/>
  <c r="ID207" i="31"/>
  <c r="ID577" i="31" s="1"/>
  <c r="IF207" i="31"/>
  <c r="IF577" i="31" s="1"/>
  <c r="IH207" i="31"/>
  <c r="IH577" i="31" s="1"/>
  <c r="IB578" i="31"/>
  <c r="IC208" i="31"/>
  <c r="IC578" i="31"/>
  <c r="ID208" i="31"/>
  <c r="ID578" i="31" s="1"/>
  <c r="IF208" i="31"/>
  <c r="IF578" i="31"/>
  <c r="IH208" i="31"/>
  <c r="IH578" i="31" s="1"/>
  <c r="IB579" i="31"/>
  <c r="IC209" i="31"/>
  <c r="IC579" i="31" s="1"/>
  <c r="ID209" i="31"/>
  <c r="ID579" i="31" s="1"/>
  <c r="IF209" i="31"/>
  <c r="IF579" i="31"/>
  <c r="IH209" i="31"/>
  <c r="IH579" i="31" s="1"/>
  <c r="IB580" i="31"/>
  <c r="IC580" i="31"/>
  <c r="ID580" i="31"/>
  <c r="IF580" i="31"/>
  <c r="IH580" i="31"/>
  <c r="IB581" i="31"/>
  <c r="IC581" i="31"/>
  <c r="ID581" i="31"/>
  <c r="IF581" i="31"/>
  <c r="IH581" i="31"/>
  <c r="IB582" i="31"/>
  <c r="IC582" i="31"/>
  <c r="ID582" i="31"/>
  <c r="IF582" i="31"/>
  <c r="IH582" i="31"/>
  <c r="IB583" i="31"/>
  <c r="IC583" i="31"/>
  <c r="ID583" i="31"/>
  <c r="IF583" i="31"/>
  <c r="IH583" i="31"/>
  <c r="IB584" i="31"/>
  <c r="IC584" i="31"/>
  <c r="ID584" i="31"/>
  <c r="IF584" i="31"/>
  <c r="IH584" i="31"/>
  <c r="IB585" i="31"/>
  <c r="IC585" i="31"/>
  <c r="ID585" i="31"/>
  <c r="IF585" i="31"/>
  <c r="IH585" i="31"/>
  <c r="IB586" i="31"/>
  <c r="IC586" i="31"/>
  <c r="ID586" i="31"/>
  <c r="IF586" i="31"/>
  <c r="IH586" i="31"/>
  <c r="IB587" i="31"/>
  <c r="IC587" i="31"/>
  <c r="ID587" i="31"/>
  <c r="IF587" i="31"/>
  <c r="IH587" i="31"/>
  <c r="IB588" i="31"/>
  <c r="IC588" i="31"/>
  <c r="ID588" i="31"/>
  <c r="IF588" i="31"/>
  <c r="IH588" i="31"/>
  <c r="IB589" i="31"/>
  <c r="IC589" i="31"/>
  <c r="ID589" i="31"/>
  <c r="IF589" i="31"/>
  <c r="IH589" i="31"/>
  <c r="IB590" i="31"/>
  <c r="IC590" i="31"/>
  <c r="ID590" i="31"/>
  <c r="IF590" i="31"/>
  <c r="IH590" i="31"/>
  <c r="IB591" i="31"/>
  <c r="IC591" i="31"/>
  <c r="ID591" i="31"/>
  <c r="IF591" i="31"/>
  <c r="IH591" i="31"/>
  <c r="IB592" i="31"/>
  <c r="IC592" i="31"/>
  <c r="ID592" i="31"/>
  <c r="IF592" i="31"/>
  <c r="IH592" i="31"/>
  <c r="IB593" i="31"/>
  <c r="IC593" i="31"/>
  <c r="ID593" i="31"/>
  <c r="IF593" i="31"/>
  <c r="IH593" i="31"/>
  <c r="IB594" i="31"/>
  <c r="IC594" i="31"/>
  <c r="ID594" i="31"/>
  <c r="IF594" i="31"/>
  <c r="IH594" i="31"/>
  <c r="IB595" i="31"/>
  <c r="IC595" i="31"/>
  <c r="ID595" i="31"/>
  <c r="IF595" i="31"/>
  <c r="IH595" i="31"/>
  <c r="IB596" i="31"/>
  <c r="IC596" i="31"/>
  <c r="ID596" i="31"/>
  <c r="IF596" i="31"/>
  <c r="IH596" i="31"/>
  <c r="IB597" i="31"/>
  <c r="IC597" i="31"/>
  <c r="ID597" i="31"/>
  <c r="IF597" i="31"/>
  <c r="IH597" i="31"/>
  <c r="IB598" i="31"/>
  <c r="IC598" i="31"/>
  <c r="ID598" i="31"/>
  <c r="IF598" i="31"/>
  <c r="IH598" i="31"/>
  <c r="IB599" i="31"/>
  <c r="IC599" i="31"/>
  <c r="ID599" i="31"/>
  <c r="IF599" i="31"/>
  <c r="IH599" i="31"/>
  <c r="IB600" i="31"/>
  <c r="IC600" i="31"/>
  <c r="ID600" i="31"/>
  <c r="IF600" i="31"/>
  <c r="IH600" i="31"/>
  <c r="IB601" i="31"/>
  <c r="IC601" i="31"/>
  <c r="ID601" i="31"/>
  <c r="IF601" i="31"/>
  <c r="IH601" i="31"/>
  <c r="IB602" i="31"/>
  <c r="IC602" i="31"/>
  <c r="ID602" i="31"/>
  <c r="IF602" i="31"/>
  <c r="IH602" i="31"/>
  <c r="IB603" i="31"/>
  <c r="IC603" i="31"/>
  <c r="ID603" i="31"/>
  <c r="IF603" i="31"/>
  <c r="IH603" i="31"/>
  <c r="IB234" i="31"/>
  <c r="IB604" i="31" s="1"/>
  <c r="IC234" i="31"/>
  <c r="IC604" i="31" s="1"/>
  <c r="ID234" i="31"/>
  <c r="ID604" i="31"/>
  <c r="IF234" i="31"/>
  <c r="IF604" i="31" s="1"/>
  <c r="IH234" i="31"/>
  <c r="IH604" i="31" s="1"/>
  <c r="IB235" i="31"/>
  <c r="IB605" i="31" s="1"/>
  <c r="IC235" i="31"/>
  <c r="IC605" i="31"/>
  <c r="ID235" i="31"/>
  <c r="ID605" i="31"/>
  <c r="IF235" i="31"/>
  <c r="IF605" i="31"/>
  <c r="IH235" i="31"/>
  <c r="IH605" i="31"/>
  <c r="IB236" i="31"/>
  <c r="IB606" i="31"/>
  <c r="IC236" i="31"/>
  <c r="IC606" i="31"/>
  <c r="ID236" i="31"/>
  <c r="ID606" i="31"/>
  <c r="IF236" i="31"/>
  <c r="IF606" i="31"/>
  <c r="IH236" i="31"/>
  <c r="IH606" i="31"/>
  <c r="IB237" i="31"/>
  <c r="IB607" i="31"/>
  <c r="IC237" i="31"/>
  <c r="IC607" i="31"/>
  <c r="ID237" i="31"/>
  <c r="ID607" i="31"/>
  <c r="IF237" i="31"/>
  <c r="IF607" i="31"/>
  <c r="IH237" i="31"/>
  <c r="IH607" i="31"/>
  <c r="IB238" i="31"/>
  <c r="IB608" i="31"/>
  <c r="IC238" i="31"/>
  <c r="IC608" i="31"/>
  <c r="ID238" i="31"/>
  <c r="ID608" i="31"/>
  <c r="IF238" i="31"/>
  <c r="IF608" i="31"/>
  <c r="IH238" i="31"/>
  <c r="IH608" i="31"/>
  <c r="IB239" i="31"/>
  <c r="IB609" i="31"/>
  <c r="IC239" i="31"/>
  <c r="IC609" i="31"/>
  <c r="ID239" i="31"/>
  <c r="ID609" i="31"/>
  <c r="IF239" i="31"/>
  <c r="IF609" i="31"/>
  <c r="IH239" i="31"/>
  <c r="IH609" i="31"/>
  <c r="IB240" i="31"/>
  <c r="IB610" i="31"/>
  <c r="IC240" i="31"/>
  <c r="IC610" i="31"/>
  <c r="ID240" i="31"/>
  <c r="ID610" i="31"/>
  <c r="IF240" i="31"/>
  <c r="IF610" i="31"/>
  <c r="IH240" i="31"/>
  <c r="IH610" i="31"/>
  <c r="IB241" i="31"/>
  <c r="IB611" i="31"/>
  <c r="IC241" i="31"/>
  <c r="IC611" i="31"/>
  <c r="ID241" i="31"/>
  <c r="ID611" i="31"/>
  <c r="IF241" i="31"/>
  <c r="IF611" i="31"/>
  <c r="IH241" i="31"/>
  <c r="IH611" i="31"/>
  <c r="IB242" i="31"/>
  <c r="IB612" i="31"/>
  <c r="IC242" i="31"/>
  <c r="IC612" i="31"/>
  <c r="ID242" i="31"/>
  <c r="ID612" i="31"/>
  <c r="IF242" i="31"/>
  <c r="IF612" i="31"/>
  <c r="IH242" i="31"/>
  <c r="IH612" i="31"/>
  <c r="IB243" i="31"/>
  <c r="IB613" i="31"/>
  <c r="IC243" i="31"/>
  <c r="IC613" i="31"/>
  <c r="ID243" i="31"/>
  <c r="ID613" i="31"/>
  <c r="IF243" i="31"/>
  <c r="IF613" i="31"/>
  <c r="IH243" i="31"/>
  <c r="IH613" i="31"/>
  <c r="IB244" i="31"/>
  <c r="IB614" i="31"/>
  <c r="IC244" i="31"/>
  <c r="IC614" i="31"/>
  <c r="ID244" i="31"/>
  <c r="ID614" i="31"/>
  <c r="IF244" i="31"/>
  <c r="IF614" i="31"/>
  <c r="IH244" i="31"/>
  <c r="IH614" i="31"/>
  <c r="IB245" i="31"/>
  <c r="IB615" i="31"/>
  <c r="IC245" i="31"/>
  <c r="IC615" i="31"/>
  <c r="ID245" i="31"/>
  <c r="ID615" i="31"/>
  <c r="IF245" i="31"/>
  <c r="IF615" i="31"/>
  <c r="IH245" i="31"/>
  <c r="IH615" i="31"/>
  <c r="IB246" i="31"/>
  <c r="IB616" i="31"/>
  <c r="IC246" i="31"/>
  <c r="IC616" i="31"/>
  <c r="ID246" i="31"/>
  <c r="ID616" i="31"/>
  <c r="IF246" i="31"/>
  <c r="IF616" i="31"/>
  <c r="IH246" i="31"/>
  <c r="IH616" i="31"/>
  <c r="IB247" i="31"/>
  <c r="IB617" i="31"/>
  <c r="IC247" i="31"/>
  <c r="IC617" i="31"/>
  <c r="ID247" i="31"/>
  <c r="ID617" i="31"/>
  <c r="IF247" i="31"/>
  <c r="IF617" i="31"/>
  <c r="IH247" i="31"/>
  <c r="IH617" i="31"/>
  <c r="IB248" i="31"/>
  <c r="IB618" i="31"/>
  <c r="IC248" i="31"/>
  <c r="IC618" i="31"/>
  <c r="ID248" i="31"/>
  <c r="ID618" i="31"/>
  <c r="IF248" i="31"/>
  <c r="IF618" i="31"/>
  <c r="IH248" i="31"/>
  <c r="IH618" i="31"/>
  <c r="IB249" i="31"/>
  <c r="IB619" i="31"/>
  <c r="IC249" i="31"/>
  <c r="IC619" i="31"/>
  <c r="ID249" i="31"/>
  <c r="ID619" i="31"/>
  <c r="IF249" i="31"/>
  <c r="IF619" i="31"/>
  <c r="IH249" i="31"/>
  <c r="IH619" i="31"/>
  <c r="IB250" i="31"/>
  <c r="IB620" i="31"/>
  <c r="IC250" i="31"/>
  <c r="IC620" i="31"/>
  <c r="ID250" i="31"/>
  <c r="ID620" i="31"/>
  <c r="IF250" i="31"/>
  <c r="IF620" i="31"/>
  <c r="IH250" i="31"/>
  <c r="IH620" i="31"/>
  <c r="IB251" i="31"/>
  <c r="IB621" i="31"/>
  <c r="IC251" i="31"/>
  <c r="IC621" i="31"/>
  <c r="ID251" i="31"/>
  <c r="ID621" i="31"/>
  <c r="IF251" i="31"/>
  <c r="IF621" i="31"/>
  <c r="IH251" i="31"/>
  <c r="IH621" i="31"/>
  <c r="IB252" i="31"/>
  <c r="IB622" i="31"/>
  <c r="IC252" i="31"/>
  <c r="IC622" i="31"/>
  <c r="ID252" i="31"/>
  <c r="ID622" i="31"/>
  <c r="IF252" i="31"/>
  <c r="IF622" i="31"/>
  <c r="IH252" i="31"/>
  <c r="IH622" i="31"/>
  <c r="IB253" i="31"/>
  <c r="IB623" i="31"/>
  <c r="IC253" i="31"/>
  <c r="IC623" i="31"/>
  <c r="ID253" i="31"/>
  <c r="ID623" i="31"/>
  <c r="IF253" i="31"/>
  <c r="IF623" i="31"/>
  <c r="IH253" i="31"/>
  <c r="IH623" i="31"/>
  <c r="IB254" i="31"/>
  <c r="IB624" i="31"/>
  <c r="IC254" i="31"/>
  <c r="IC624" i="31"/>
  <c r="ID254" i="31"/>
  <c r="ID624" i="31"/>
  <c r="IF254" i="31"/>
  <c r="IF624" i="31"/>
  <c r="IH254" i="31"/>
  <c r="IH624" i="31"/>
  <c r="IB255" i="31"/>
  <c r="IB625" i="31"/>
  <c r="IC255" i="31"/>
  <c r="IC625" i="31"/>
  <c r="ID255" i="31"/>
  <c r="ID625" i="31"/>
  <c r="IF255" i="31"/>
  <c r="IF625" i="31"/>
  <c r="IH255" i="31"/>
  <c r="IH625" i="31"/>
  <c r="IB256" i="31"/>
  <c r="IB626" i="31"/>
  <c r="IC256" i="31"/>
  <c r="IC626" i="31"/>
  <c r="ID256" i="31"/>
  <c r="ID626" i="31"/>
  <c r="IF256" i="31"/>
  <c r="IF626" i="31"/>
  <c r="IH256" i="31"/>
  <c r="IH626" i="31"/>
  <c r="IB257" i="31"/>
  <c r="IB627" i="31"/>
  <c r="IC257" i="31"/>
  <c r="IC627" i="31"/>
  <c r="ID257" i="31"/>
  <c r="ID627" i="31"/>
  <c r="IF257" i="31"/>
  <c r="IF627" i="31"/>
  <c r="IH257" i="31"/>
  <c r="IH627" i="31"/>
  <c r="IB258" i="31"/>
  <c r="IB628" i="31"/>
  <c r="IC258" i="31"/>
  <c r="IC628" i="31"/>
  <c r="ID258" i="31"/>
  <c r="ID628" i="31"/>
  <c r="IF258" i="31"/>
  <c r="IF628" i="31"/>
  <c r="IH258" i="31"/>
  <c r="IH628" i="31"/>
  <c r="IB259" i="31"/>
  <c r="IB629" i="31"/>
  <c r="IC259" i="31"/>
  <c r="IC629" i="31"/>
  <c r="ID259" i="31"/>
  <c r="ID629" i="31"/>
  <c r="IF259" i="31"/>
  <c r="IF629" i="31"/>
  <c r="IH259" i="31"/>
  <c r="IH629" i="31"/>
  <c r="IB260" i="31"/>
  <c r="IB630" i="31"/>
  <c r="IC260" i="31"/>
  <c r="IC630" i="31"/>
  <c r="ID260" i="31"/>
  <c r="ID630" i="31"/>
  <c r="IF260" i="31"/>
  <c r="IF630" i="31"/>
  <c r="IH260" i="31"/>
  <c r="IH630" i="31"/>
  <c r="IB631" i="31"/>
  <c r="IC631" i="31"/>
  <c r="ID631" i="31"/>
  <c r="IF631" i="31"/>
  <c r="IH631" i="31"/>
  <c r="IB632" i="31"/>
  <c r="IC632" i="31"/>
  <c r="ID632" i="31"/>
  <c r="IF632" i="31"/>
  <c r="IH632" i="31"/>
  <c r="IB263" i="31"/>
  <c r="IB633" i="31"/>
  <c r="IC263" i="31"/>
  <c r="IC633" i="31"/>
  <c r="ID263" i="31"/>
  <c r="ID633" i="31"/>
  <c r="IF263" i="31"/>
  <c r="IF633" i="31"/>
  <c r="IH263" i="31"/>
  <c r="IH633" i="31"/>
  <c r="IB264" i="31"/>
  <c r="IB634" i="31"/>
  <c r="IC264" i="31"/>
  <c r="IC634" i="31"/>
  <c r="ID264" i="31"/>
  <c r="ID634" i="31"/>
  <c r="IF264" i="31"/>
  <c r="IF634" i="31"/>
  <c r="IH264" i="31"/>
  <c r="IH634" i="31"/>
  <c r="IB265" i="31"/>
  <c r="IB635" i="31"/>
  <c r="IC265" i="31"/>
  <c r="IC635" i="31"/>
  <c r="ID265" i="31"/>
  <c r="ID635" i="31"/>
  <c r="IF265" i="31"/>
  <c r="IF635" i="31"/>
  <c r="IH265" i="31"/>
  <c r="IH635" i="31"/>
  <c r="IB266" i="31"/>
  <c r="IB636" i="31"/>
  <c r="IC266" i="31"/>
  <c r="IC636" i="31"/>
  <c r="ID266" i="31"/>
  <c r="ID636" i="31"/>
  <c r="IF266" i="31"/>
  <c r="IF636" i="31"/>
  <c r="IH266" i="31"/>
  <c r="IH636" i="31"/>
  <c r="IB267" i="31"/>
  <c r="IB637" i="31"/>
  <c r="IC267" i="31"/>
  <c r="IC637" i="31"/>
  <c r="ID267" i="31"/>
  <c r="ID637" i="31"/>
  <c r="IF267" i="31"/>
  <c r="IF637" i="31"/>
  <c r="IH267" i="31"/>
  <c r="IH637" i="31"/>
  <c r="IB268" i="31"/>
  <c r="IB638" i="31"/>
  <c r="IC268" i="31"/>
  <c r="IC638" i="31"/>
  <c r="ID268" i="31"/>
  <c r="ID638" i="31"/>
  <c r="IF268" i="31"/>
  <c r="IF638" i="31"/>
  <c r="IH268" i="31"/>
  <c r="IH638" i="31"/>
  <c r="IB269" i="31"/>
  <c r="IB639" i="31"/>
  <c r="IC269" i="31"/>
  <c r="IC639" i="31"/>
  <c r="ID269" i="31"/>
  <c r="ID639" i="31"/>
  <c r="IF269" i="31"/>
  <c r="IF639" i="31"/>
  <c r="IH269" i="31"/>
  <c r="IH639" i="31"/>
  <c r="IB270" i="31"/>
  <c r="IB640" i="31"/>
  <c r="IC270" i="31"/>
  <c r="IC640" i="31"/>
  <c r="ID270" i="31"/>
  <c r="ID640" i="31"/>
  <c r="IF270" i="31"/>
  <c r="IF640" i="31"/>
  <c r="IH270" i="31"/>
  <c r="IH640" i="31"/>
  <c r="IB271" i="31"/>
  <c r="IB641" i="31"/>
  <c r="IC271" i="31"/>
  <c r="IC641" i="31"/>
  <c r="ID271" i="31"/>
  <c r="ID641" i="31"/>
  <c r="IF271" i="31"/>
  <c r="IF641" i="31"/>
  <c r="IH271" i="31"/>
  <c r="IH641" i="31"/>
  <c r="IB272" i="31"/>
  <c r="IB642" i="31"/>
  <c r="IC272" i="31"/>
  <c r="IC642" i="31"/>
  <c r="ID272" i="31"/>
  <c r="ID642" i="31"/>
  <c r="IF272" i="31"/>
  <c r="IF642" i="31"/>
  <c r="IH272" i="31"/>
  <c r="IH642" i="31"/>
  <c r="IB273" i="31"/>
  <c r="IB643" i="31"/>
  <c r="IC273" i="31"/>
  <c r="IC643" i="31"/>
  <c r="ID273" i="31"/>
  <c r="ID643" i="31"/>
  <c r="IF273" i="31"/>
  <c r="IF643" i="31"/>
  <c r="IH273" i="31"/>
  <c r="IH643" i="31"/>
  <c r="IB274" i="31"/>
  <c r="IB644" i="31"/>
  <c r="IC274" i="31"/>
  <c r="IC644" i="31"/>
  <c r="ID274" i="31"/>
  <c r="ID644" i="31"/>
  <c r="IF274" i="31"/>
  <c r="IF644" i="31"/>
  <c r="IH274" i="31"/>
  <c r="IH644" i="31"/>
  <c r="IB275" i="31"/>
  <c r="IB645" i="31"/>
  <c r="IC275" i="31"/>
  <c r="IC645" i="31"/>
  <c r="ID275" i="31"/>
  <c r="ID645" i="31"/>
  <c r="IF275" i="31"/>
  <c r="IF645" i="31"/>
  <c r="IH275" i="31"/>
  <c r="IH645" i="31"/>
  <c r="IB276" i="31"/>
  <c r="IB646" i="31"/>
  <c r="IC276" i="31"/>
  <c r="IC646" i="31"/>
  <c r="ID276" i="31"/>
  <c r="ID646" i="31"/>
  <c r="IF276" i="31"/>
  <c r="IF646" i="31"/>
  <c r="IH276" i="31"/>
  <c r="IH646" i="31"/>
  <c r="IB277" i="31"/>
  <c r="IB647" i="31"/>
  <c r="IC277" i="31"/>
  <c r="IC647" i="31"/>
  <c r="ID277" i="31"/>
  <c r="ID647" i="31"/>
  <c r="IF277" i="31"/>
  <c r="IF647" i="31"/>
  <c r="IH277" i="31"/>
  <c r="IH647" i="31"/>
  <c r="IB278" i="31"/>
  <c r="IB648" i="31"/>
  <c r="IC278" i="31"/>
  <c r="IC648" i="31"/>
  <c r="ID278" i="31"/>
  <c r="ID648" i="31"/>
  <c r="IF278" i="31"/>
  <c r="IF648" i="31"/>
  <c r="IH278" i="31"/>
  <c r="IH648" i="31"/>
  <c r="IB279" i="31"/>
  <c r="IB649" i="31"/>
  <c r="IC279" i="31"/>
  <c r="IC649" i="31"/>
  <c r="ID279" i="31"/>
  <c r="ID649" i="31"/>
  <c r="IF279" i="31"/>
  <c r="IF649" i="31"/>
  <c r="IH279" i="31"/>
  <c r="IH649" i="31"/>
  <c r="IB280" i="31"/>
  <c r="IB650" i="31"/>
  <c r="IC280" i="31"/>
  <c r="IC650" i="31"/>
  <c r="ID280" i="31"/>
  <c r="ID650" i="31"/>
  <c r="IF280" i="31"/>
  <c r="IF650" i="31"/>
  <c r="IH280" i="31"/>
  <c r="IH650" i="31"/>
  <c r="IB281" i="31"/>
  <c r="IB651" i="31"/>
  <c r="IC281" i="31"/>
  <c r="IC651" i="31"/>
  <c r="ID281" i="31"/>
  <c r="ID651" i="31"/>
  <c r="IF281" i="31"/>
  <c r="IF651" i="31"/>
  <c r="IH281" i="31"/>
  <c r="IH651" i="31"/>
  <c r="IB282" i="31"/>
  <c r="IB652" i="31"/>
  <c r="IC282" i="31"/>
  <c r="IC652" i="31"/>
  <c r="ID282" i="31"/>
  <c r="ID652" i="31"/>
  <c r="IF282" i="31"/>
  <c r="IF652" i="31"/>
  <c r="IH282" i="31"/>
  <c r="IH652" i="31"/>
  <c r="IB283" i="31"/>
  <c r="IB653" i="31"/>
  <c r="IC283" i="31"/>
  <c r="IC653" i="31"/>
  <c r="ID283" i="31"/>
  <c r="ID653" i="31"/>
  <c r="IF283" i="31"/>
  <c r="IF653" i="31"/>
  <c r="IH283" i="31"/>
  <c r="IH653" i="31"/>
  <c r="IB654" i="31"/>
  <c r="IC654" i="31"/>
  <c r="ID654" i="31"/>
  <c r="IF654" i="31"/>
  <c r="IH654" i="31"/>
  <c r="IB285" i="31"/>
  <c r="IB655" i="31" s="1"/>
  <c r="IC285" i="31"/>
  <c r="IC655" i="31" s="1"/>
  <c r="ID285" i="31"/>
  <c r="ID655" i="31" s="1"/>
  <c r="IF285" i="31"/>
  <c r="IF655" i="31" s="1"/>
  <c r="IH285" i="31"/>
  <c r="IH655" i="31" s="1"/>
  <c r="IB286" i="31"/>
  <c r="IB656" i="31" s="1"/>
  <c r="IC286" i="31"/>
  <c r="IC656" i="31" s="1"/>
  <c r="ID286" i="31"/>
  <c r="ID656" i="31" s="1"/>
  <c r="IF286" i="31"/>
  <c r="IF656" i="31" s="1"/>
  <c r="IH286" i="31"/>
  <c r="IH656" i="31" s="1"/>
  <c r="IB287" i="31"/>
  <c r="IB657" i="31" s="1"/>
  <c r="IC287" i="31"/>
  <c r="IC657" i="31" s="1"/>
  <c r="ID287" i="31"/>
  <c r="ID657" i="31" s="1"/>
  <c r="IF287" i="31"/>
  <c r="IF657" i="31" s="1"/>
  <c r="IH287" i="31"/>
  <c r="IH657" i="31" s="1"/>
  <c r="IB288" i="31"/>
  <c r="IB658" i="31" s="1"/>
  <c r="IC288" i="31"/>
  <c r="IC658" i="31" s="1"/>
  <c r="ID288" i="31"/>
  <c r="ID658" i="31" s="1"/>
  <c r="IF288" i="31"/>
  <c r="IF658" i="31" s="1"/>
  <c r="IH288" i="31"/>
  <c r="IH658" i="31" s="1"/>
  <c r="IB289" i="31"/>
  <c r="IB659" i="31" s="1"/>
  <c r="IC289" i="31"/>
  <c r="IC659" i="31" s="1"/>
  <c r="ID289" i="31"/>
  <c r="ID659" i="31" s="1"/>
  <c r="IF289" i="31"/>
  <c r="IF659" i="31" s="1"/>
  <c r="IH289" i="31"/>
  <c r="IH659" i="31" s="1"/>
  <c r="IB290" i="31"/>
  <c r="IB660" i="31" s="1"/>
  <c r="IC290" i="31"/>
  <c r="IC660" i="31" s="1"/>
  <c r="ID290" i="31"/>
  <c r="ID660" i="31" s="1"/>
  <c r="IF290" i="31"/>
  <c r="IF660" i="31" s="1"/>
  <c r="IH290" i="31"/>
  <c r="IH660" i="31" s="1"/>
  <c r="IB291" i="31"/>
  <c r="IB661" i="31" s="1"/>
  <c r="IC291" i="31"/>
  <c r="IC661" i="31" s="1"/>
  <c r="ID291" i="31"/>
  <c r="ID661" i="31" s="1"/>
  <c r="IF291" i="31"/>
  <c r="IF661" i="31" s="1"/>
  <c r="IH291" i="31"/>
  <c r="IH661" i="31" s="1"/>
  <c r="IB292" i="31"/>
  <c r="IB662" i="31" s="1"/>
  <c r="IC292" i="31"/>
  <c r="IC662" i="31" s="1"/>
  <c r="ID292" i="31"/>
  <c r="ID662" i="31" s="1"/>
  <c r="IF292" i="31"/>
  <c r="IF662" i="31" s="1"/>
  <c r="IH292" i="31"/>
  <c r="IH662" i="31" s="1"/>
  <c r="IB293" i="31"/>
  <c r="IB663" i="31" s="1"/>
  <c r="IC293" i="31"/>
  <c r="IC663" i="31" s="1"/>
  <c r="ID293" i="31"/>
  <c r="ID663" i="31" s="1"/>
  <c r="IF293" i="31"/>
  <c r="IF663" i="31" s="1"/>
  <c r="IH293" i="31"/>
  <c r="IH663" i="31" s="1"/>
  <c r="IB294" i="31"/>
  <c r="IB664" i="31" s="1"/>
  <c r="IC294" i="31"/>
  <c r="IC664" i="31" s="1"/>
  <c r="ID294" i="31"/>
  <c r="ID664" i="31" s="1"/>
  <c r="IF294" i="31"/>
  <c r="IF664" i="31" s="1"/>
  <c r="IH294" i="31"/>
  <c r="IH664" i="31" s="1"/>
  <c r="IB295" i="31"/>
  <c r="IB665" i="31" s="1"/>
  <c r="IC295" i="31"/>
  <c r="IC665" i="31" s="1"/>
  <c r="ID295" i="31"/>
  <c r="ID665" i="31" s="1"/>
  <c r="IF295" i="31"/>
  <c r="IF665" i="31" s="1"/>
  <c r="IH295" i="31"/>
  <c r="IH665" i="31" s="1"/>
  <c r="IB296" i="31"/>
  <c r="IB666" i="31" s="1"/>
  <c r="IC296" i="31"/>
  <c r="IC666" i="31" s="1"/>
  <c r="ID296" i="31"/>
  <c r="ID666" i="31" s="1"/>
  <c r="IF296" i="31"/>
  <c r="IF666" i="31" s="1"/>
  <c r="IH296" i="31"/>
  <c r="IH666" i="31" s="1"/>
  <c r="IB297" i="31"/>
  <c r="IB667" i="31" s="1"/>
  <c r="IC297" i="31"/>
  <c r="IC667" i="31" s="1"/>
  <c r="ID297" i="31"/>
  <c r="ID667" i="31" s="1"/>
  <c r="IF297" i="31"/>
  <c r="IF667" i="31" s="1"/>
  <c r="IH297" i="31"/>
  <c r="IH667" i="31" s="1"/>
  <c r="IB298" i="31"/>
  <c r="IB668" i="31" s="1"/>
  <c r="IC298" i="31"/>
  <c r="IC668" i="31" s="1"/>
  <c r="ID298" i="31"/>
  <c r="ID668" i="31" s="1"/>
  <c r="IF298" i="31"/>
  <c r="IF668" i="31" s="1"/>
  <c r="IH298" i="31"/>
  <c r="IH668" i="31" s="1"/>
  <c r="IB299" i="31"/>
  <c r="IB669" i="31" s="1"/>
  <c r="IC299" i="31"/>
  <c r="IC669" i="31" s="1"/>
  <c r="ID299" i="31"/>
  <c r="ID669" i="31" s="1"/>
  <c r="IF299" i="31"/>
  <c r="IF669" i="31" s="1"/>
  <c r="IH299" i="31"/>
  <c r="IH669" i="31" s="1"/>
  <c r="IB300" i="31"/>
  <c r="IB670" i="31" s="1"/>
  <c r="IC300" i="31"/>
  <c r="IC670" i="31" s="1"/>
  <c r="ID300" i="31"/>
  <c r="ID670" i="31" s="1"/>
  <c r="IF300" i="31"/>
  <c r="IF670" i="31" s="1"/>
  <c r="IH300" i="31"/>
  <c r="IH670" i="31" s="1"/>
  <c r="IB301" i="31"/>
  <c r="IB671" i="31" s="1"/>
  <c r="IC301" i="31"/>
  <c r="IC671" i="31" s="1"/>
  <c r="ID301" i="31"/>
  <c r="ID671" i="31" s="1"/>
  <c r="IF301" i="31"/>
  <c r="IF671" i="31" s="1"/>
  <c r="IH301" i="31"/>
  <c r="IH671" i="31" s="1"/>
  <c r="IB302" i="31"/>
  <c r="IB672" i="31" s="1"/>
  <c r="IC302" i="31"/>
  <c r="IC672" i="31" s="1"/>
  <c r="ID302" i="31"/>
  <c r="ID672" i="31" s="1"/>
  <c r="IF302" i="31"/>
  <c r="IF672" i="31" s="1"/>
  <c r="IH302" i="31"/>
  <c r="IH672" i="31" s="1"/>
  <c r="IB673" i="31"/>
  <c r="IC673" i="31"/>
  <c r="ID673" i="31"/>
  <c r="IF673" i="31"/>
  <c r="IH673" i="31"/>
  <c r="IB674" i="31"/>
  <c r="IC674" i="31"/>
  <c r="ID674" i="31"/>
  <c r="IF674" i="31"/>
  <c r="IH674" i="31"/>
  <c r="IB675" i="31"/>
  <c r="IC675" i="31"/>
  <c r="ID675" i="31"/>
  <c r="IF675" i="31"/>
  <c r="IH675" i="31"/>
  <c r="IB676" i="31"/>
  <c r="IC676" i="31"/>
  <c r="ID676" i="31"/>
  <c r="IF676" i="31"/>
  <c r="IH676" i="31"/>
  <c r="IB677" i="31"/>
  <c r="IC677" i="31"/>
  <c r="ID677" i="31"/>
  <c r="IF677" i="31"/>
  <c r="IH677" i="31"/>
  <c r="IB678" i="31"/>
  <c r="IC678" i="31"/>
  <c r="ID678" i="31"/>
  <c r="IF678" i="31"/>
  <c r="IH678" i="31"/>
  <c r="IB679" i="31"/>
  <c r="IC679" i="31"/>
  <c r="ID679" i="31"/>
  <c r="IF679" i="31"/>
  <c r="IH679" i="31"/>
  <c r="IB310" i="31"/>
  <c r="IB680" i="31"/>
  <c r="IC310" i="31"/>
  <c r="IC680" i="31"/>
  <c r="ID310" i="31"/>
  <c r="ID680" i="31"/>
  <c r="IF310" i="31"/>
  <c r="IF680" i="31"/>
  <c r="IH310" i="31"/>
  <c r="IH680" i="31"/>
  <c r="IB311" i="31"/>
  <c r="IB681" i="31"/>
  <c r="IC311" i="31"/>
  <c r="IC681" i="31"/>
  <c r="ID311" i="31"/>
  <c r="ID681" i="31"/>
  <c r="IF311" i="31"/>
  <c r="IF681" i="31"/>
  <c r="IH311" i="31"/>
  <c r="IH681" i="31"/>
  <c r="IB312" i="31"/>
  <c r="IB682" i="31"/>
  <c r="IC312" i="31"/>
  <c r="IC682" i="31"/>
  <c r="ID312" i="31"/>
  <c r="ID682" i="31"/>
  <c r="IF312" i="31"/>
  <c r="IF682" i="31"/>
  <c r="IH312" i="31"/>
  <c r="IH682" i="31"/>
  <c r="IB313" i="31"/>
  <c r="IB683" i="31"/>
  <c r="IC313" i="31"/>
  <c r="IC683" i="31"/>
  <c r="ID313" i="31"/>
  <c r="ID683" i="31"/>
  <c r="IF313" i="31"/>
  <c r="IF683" i="31"/>
  <c r="IH313" i="31"/>
  <c r="IH683" i="31"/>
  <c r="IB314" i="31"/>
  <c r="IB684" i="31"/>
  <c r="IC314" i="31"/>
  <c r="IC684" i="31"/>
  <c r="ID314" i="31"/>
  <c r="ID684" i="31"/>
  <c r="IF314" i="31"/>
  <c r="IF684" i="31"/>
  <c r="IH314" i="31"/>
  <c r="IH684" i="31"/>
  <c r="IB315" i="31"/>
  <c r="IB685" i="31"/>
  <c r="IC315" i="31"/>
  <c r="IC685" i="31"/>
  <c r="ID315" i="31"/>
  <c r="ID685" i="31"/>
  <c r="IF315" i="31"/>
  <c r="IF685" i="31"/>
  <c r="IH315" i="31"/>
  <c r="IH685" i="31"/>
  <c r="IB316" i="31"/>
  <c r="IB686" i="31"/>
  <c r="IC316" i="31"/>
  <c r="IC686" i="31"/>
  <c r="ID316" i="31"/>
  <c r="ID686" i="31"/>
  <c r="IF316" i="31"/>
  <c r="IF686" i="31"/>
  <c r="IH316" i="31"/>
  <c r="IH686" i="31"/>
  <c r="IB317" i="31"/>
  <c r="IB687" i="31"/>
  <c r="IC317" i="31"/>
  <c r="IC687" i="31"/>
  <c r="ID317" i="31"/>
  <c r="ID687" i="31"/>
  <c r="IF317" i="31"/>
  <c r="IF687" i="31"/>
  <c r="IH317" i="31"/>
  <c r="IH687" i="31"/>
  <c r="IB688" i="31"/>
  <c r="IC688" i="31"/>
  <c r="ID688" i="31"/>
  <c r="IF688" i="31"/>
  <c r="IH688" i="31"/>
  <c r="IB689" i="31"/>
  <c r="IC689" i="31"/>
  <c r="ID689" i="31"/>
  <c r="IF689" i="31"/>
  <c r="IH689" i="31"/>
  <c r="IB690" i="31"/>
  <c r="IC690" i="31"/>
  <c r="ID690" i="31"/>
  <c r="IF690" i="31"/>
  <c r="IH690" i="31"/>
  <c r="IB691" i="31"/>
  <c r="IC691" i="31"/>
  <c r="ID691" i="31"/>
  <c r="IF691" i="31"/>
  <c r="IH691" i="31"/>
  <c r="IB692" i="31"/>
  <c r="IC692" i="31"/>
  <c r="ID692" i="31"/>
  <c r="IF692" i="31"/>
  <c r="IH692" i="31"/>
  <c r="IB693" i="31"/>
  <c r="IC693" i="31"/>
  <c r="ID693" i="31"/>
  <c r="IF693" i="31"/>
  <c r="IH693" i="31"/>
  <c r="IB694" i="31"/>
  <c r="IC694" i="31"/>
  <c r="ID694" i="31"/>
  <c r="IF694" i="31"/>
  <c r="IH694" i="31"/>
  <c r="IB695" i="31"/>
  <c r="IC695" i="31"/>
  <c r="ID695" i="31"/>
  <c r="IF695" i="31"/>
  <c r="IH695" i="31"/>
  <c r="IB696" i="31"/>
  <c r="IC696" i="31"/>
  <c r="ID696" i="31"/>
  <c r="IF696" i="31"/>
  <c r="IH696" i="31"/>
  <c r="IB697" i="31"/>
  <c r="IC697" i="31"/>
  <c r="ID697" i="31"/>
  <c r="IF697" i="31"/>
  <c r="IH697" i="31"/>
  <c r="IB698" i="31"/>
  <c r="IC698" i="31"/>
  <c r="ID698" i="31"/>
  <c r="IF698" i="31"/>
  <c r="IH698" i="31"/>
  <c r="IB699" i="31"/>
  <c r="IC699" i="31"/>
  <c r="ID699" i="31"/>
  <c r="IF699" i="31"/>
  <c r="IH699" i="31"/>
  <c r="IB700" i="31"/>
  <c r="IC700" i="31"/>
  <c r="ID700" i="31"/>
  <c r="IF700" i="31"/>
  <c r="IH700" i="31"/>
  <c r="IB701" i="31"/>
  <c r="IC701" i="31"/>
  <c r="ID701" i="31"/>
  <c r="IF701" i="31"/>
  <c r="IH701" i="31"/>
  <c r="IB702" i="31"/>
  <c r="IC702" i="31"/>
  <c r="ID702" i="31"/>
  <c r="IF702" i="31"/>
  <c r="IH702" i="31"/>
  <c r="IB703" i="31"/>
  <c r="IC703" i="31"/>
  <c r="ID703" i="31"/>
  <c r="IF703" i="31"/>
  <c r="IH703" i="31"/>
  <c r="IB704" i="31"/>
  <c r="IC704" i="31"/>
  <c r="ID704" i="31"/>
  <c r="IF704" i="31"/>
  <c r="IH704" i="31"/>
  <c r="IB705" i="31"/>
  <c r="IC705" i="31"/>
  <c r="ID705" i="31"/>
  <c r="IF705" i="31"/>
  <c r="IH705" i="31"/>
  <c r="IB706" i="31"/>
  <c r="IC706" i="31"/>
  <c r="ID706" i="31"/>
  <c r="IF706" i="31"/>
  <c r="IH706" i="31"/>
  <c r="IB707" i="31"/>
  <c r="IC707" i="31"/>
  <c r="ID707" i="31"/>
  <c r="IF707" i="31"/>
  <c r="IH707" i="31"/>
  <c r="IB708" i="31"/>
  <c r="IC708" i="31"/>
  <c r="ID708" i="31"/>
  <c r="IF708" i="31"/>
  <c r="IH708" i="31"/>
  <c r="IB709" i="31"/>
  <c r="IC709" i="31"/>
  <c r="ID709" i="31"/>
  <c r="IF709" i="31"/>
  <c r="IH709" i="31"/>
  <c r="IB710" i="31"/>
  <c r="IC710" i="31"/>
  <c r="ID710" i="31"/>
  <c r="IF710" i="31"/>
  <c r="IH710" i="31"/>
  <c r="IB711" i="31"/>
  <c r="IC711" i="31"/>
  <c r="ID711" i="31"/>
  <c r="IF711" i="31"/>
  <c r="IH711" i="31"/>
  <c r="IB712" i="31"/>
  <c r="IC712" i="31"/>
  <c r="ID712" i="31"/>
  <c r="IF712" i="31"/>
  <c r="IH712" i="31"/>
  <c r="IB713" i="31"/>
  <c r="IC713" i="31"/>
  <c r="ID713" i="31"/>
  <c r="IF713" i="31"/>
  <c r="IH713" i="31"/>
  <c r="IB714" i="31"/>
  <c r="IC714" i="31"/>
  <c r="ID714" i="31"/>
  <c r="IF714" i="31"/>
  <c r="IH714" i="31"/>
  <c r="IB715" i="31"/>
  <c r="IC715" i="31"/>
  <c r="ID715" i="31"/>
  <c r="IF715" i="31"/>
  <c r="IH715" i="31"/>
  <c r="IB716" i="31"/>
  <c r="IC716" i="31"/>
  <c r="ID716" i="31"/>
  <c r="IF716" i="31"/>
  <c r="IH716" i="31"/>
  <c r="IB717" i="31"/>
  <c r="IC717" i="31"/>
  <c r="ID717" i="31"/>
  <c r="IF717" i="31"/>
  <c r="IH717" i="31"/>
  <c r="IB718" i="31"/>
  <c r="IC718" i="31"/>
  <c r="ID718" i="31"/>
  <c r="IF718" i="31"/>
  <c r="IH718" i="31"/>
  <c r="IC374" i="31"/>
  <c r="ID374" i="31"/>
  <c r="IE374" i="31"/>
  <c r="IF374" i="31"/>
  <c r="IG374" i="31"/>
  <c r="IH374" i="31"/>
  <c r="IB374" i="31"/>
  <c r="IE12" i="31"/>
  <c r="IE382" i="31"/>
  <c r="IG12" i="31"/>
  <c r="IG382" i="31"/>
  <c r="IE13" i="31"/>
  <c r="IE383" i="31"/>
  <c r="IG13" i="31"/>
  <c r="IG383" i="31"/>
  <c r="IE14" i="31"/>
  <c r="IE384" i="31"/>
  <c r="IG14" i="31"/>
  <c r="IG384" i="31"/>
  <c r="IE15" i="31"/>
  <c r="IE385" i="31"/>
  <c r="IG15" i="31"/>
  <c r="IG385" i="31"/>
  <c r="IE16" i="31"/>
  <c r="IE386" i="31"/>
  <c r="IG16" i="31"/>
  <c r="IG386" i="31"/>
  <c r="IE17" i="31"/>
  <c r="IE387" i="31"/>
  <c r="IG17" i="31"/>
  <c r="IG387" i="31"/>
  <c r="IE18" i="31"/>
  <c r="IE388" i="31"/>
  <c r="IG18" i="31"/>
  <c r="IG388" i="31"/>
  <c r="IE19" i="31"/>
  <c r="IE389" i="31"/>
  <c r="IG19" i="31"/>
  <c r="IG389" i="31"/>
  <c r="IE20" i="31"/>
  <c r="IE390" i="31"/>
  <c r="IG20" i="31"/>
  <c r="IG390" i="31"/>
  <c r="IE21" i="31"/>
  <c r="IE391" i="31"/>
  <c r="IG21" i="31"/>
  <c r="IG391" i="31"/>
  <c r="IE22" i="31"/>
  <c r="IE392" i="31"/>
  <c r="IG22" i="31"/>
  <c r="IG392" i="31"/>
  <c r="IE23" i="31"/>
  <c r="IE393" i="31"/>
  <c r="IG23" i="31"/>
  <c r="IG393" i="31"/>
  <c r="IE24" i="31"/>
  <c r="IE394" i="31"/>
  <c r="IG24" i="31"/>
  <c r="IG394" i="31"/>
  <c r="IE25" i="31"/>
  <c r="IE395" i="31"/>
  <c r="IG25" i="31"/>
  <c r="IG395" i="31"/>
  <c r="IE26" i="31"/>
  <c r="IE396" i="31"/>
  <c r="IG26" i="31"/>
  <c r="IG396" i="31"/>
  <c r="IE27" i="31"/>
  <c r="IE397" i="31"/>
  <c r="IG27" i="31"/>
  <c r="IG397" i="31"/>
  <c r="IE28" i="31"/>
  <c r="IE398" i="31"/>
  <c r="IG28" i="31"/>
  <c r="IG398" i="31"/>
  <c r="IE29" i="31"/>
  <c r="IE399" i="31"/>
  <c r="IG29" i="31"/>
  <c r="IG399" i="31"/>
  <c r="IE30" i="31"/>
  <c r="IE400" i="31"/>
  <c r="IG30" i="31"/>
  <c r="IG400" i="31"/>
  <c r="IE31" i="31"/>
  <c r="IE401" i="31"/>
  <c r="IG31" i="31"/>
  <c r="IG401" i="31"/>
  <c r="IE32" i="31"/>
  <c r="IE402" i="31"/>
  <c r="IG32" i="31"/>
  <c r="IG402" i="31"/>
  <c r="IE33" i="31"/>
  <c r="IE403" i="31"/>
  <c r="IG33" i="31"/>
  <c r="IG403" i="31"/>
  <c r="IE34" i="31"/>
  <c r="IE404" i="31"/>
  <c r="IG34" i="31"/>
  <c r="IG404" i="31"/>
  <c r="IE35" i="31"/>
  <c r="IE405" i="31"/>
  <c r="IG35" i="31"/>
  <c r="IG405" i="31"/>
  <c r="IE36" i="31"/>
  <c r="IE406" i="31"/>
  <c r="IG36" i="31"/>
  <c r="IG406" i="31"/>
  <c r="IE37" i="31"/>
  <c r="IE407" i="31"/>
  <c r="IG37" i="31"/>
  <c r="IG407" i="31"/>
  <c r="IE38" i="31"/>
  <c r="IE408" i="31"/>
  <c r="IG38" i="31"/>
  <c r="IG408" i="31"/>
  <c r="IE39" i="31"/>
  <c r="IE409" i="31"/>
  <c r="IG39" i="31"/>
  <c r="IG409" i="31"/>
  <c r="IE40" i="31"/>
  <c r="IE410" i="31"/>
  <c r="IG40" i="31"/>
  <c r="IG410" i="31"/>
  <c r="IE41" i="31"/>
  <c r="IE411" i="31"/>
  <c r="IG41" i="31"/>
  <c r="IG411" i="31"/>
  <c r="IE42" i="31"/>
  <c r="IE412" i="31"/>
  <c r="IG42" i="31"/>
  <c r="IG412" i="31"/>
  <c r="IE43" i="31"/>
  <c r="IE413" i="31"/>
  <c r="IG43" i="31"/>
  <c r="IG413" i="31"/>
  <c r="IE44" i="31"/>
  <c r="IE414" i="31"/>
  <c r="IG44" i="31"/>
  <c r="IG414" i="31"/>
  <c r="IE45" i="31"/>
  <c r="IE415" i="31"/>
  <c r="IG45" i="31"/>
  <c r="IG415" i="31"/>
  <c r="IE46" i="31"/>
  <c r="IE416" i="31"/>
  <c r="IG46" i="31"/>
  <c r="IG416" i="31"/>
  <c r="IE47" i="31"/>
  <c r="IE417" i="31"/>
  <c r="IG47" i="31"/>
  <c r="IG417" i="31"/>
  <c r="IE48" i="31"/>
  <c r="IE418" i="31"/>
  <c r="IG48" i="31"/>
  <c r="IG418" i="31"/>
  <c r="IE49" i="31"/>
  <c r="IE419" i="31"/>
  <c r="IG49" i="31"/>
  <c r="IG419" i="31"/>
  <c r="IE50" i="31"/>
  <c r="IE420" i="31"/>
  <c r="IG50" i="31"/>
  <c r="IG420" i="31"/>
  <c r="IE51" i="31"/>
  <c r="IE421" i="31"/>
  <c r="IG51" i="31"/>
  <c r="IG421" i="31"/>
  <c r="IE52" i="31"/>
  <c r="IE422" i="31"/>
  <c r="IG52" i="31"/>
  <c r="IG422" i="31"/>
  <c r="IE53" i="31"/>
  <c r="IE423" i="31"/>
  <c r="IG53" i="31"/>
  <c r="IG423" i="31"/>
  <c r="IE59" i="31"/>
  <c r="IE429" i="31"/>
  <c r="IG59" i="31"/>
  <c r="IG429" i="31"/>
  <c r="IE60" i="31"/>
  <c r="IE430" i="31"/>
  <c r="IG60" i="31"/>
  <c r="IG430" i="31"/>
  <c r="IE61" i="31"/>
  <c r="IE431" i="31"/>
  <c r="IG61" i="31"/>
  <c r="IG431" i="31"/>
  <c r="IE62" i="31"/>
  <c r="IE432" i="31"/>
  <c r="IG62" i="31"/>
  <c r="IG432" i="31"/>
  <c r="IE63" i="31"/>
  <c r="IE433" i="31"/>
  <c r="IG63" i="31"/>
  <c r="IG433" i="31"/>
  <c r="IE64" i="31"/>
  <c r="IE434" i="31"/>
  <c r="IG64" i="31"/>
  <c r="IG434" i="31"/>
  <c r="IE65" i="31"/>
  <c r="IE435" i="31"/>
  <c r="IG65" i="31"/>
  <c r="IG435" i="31"/>
  <c r="IE66" i="31"/>
  <c r="IE436" i="31"/>
  <c r="IG66" i="31"/>
  <c r="IG436" i="31"/>
  <c r="IE67" i="31"/>
  <c r="IE437" i="31"/>
  <c r="IG67" i="31"/>
  <c r="IG437" i="31"/>
  <c r="IE438" i="31"/>
  <c r="IG438" i="31"/>
  <c r="IE439" i="31"/>
  <c r="IG439" i="31"/>
  <c r="IE440" i="31"/>
  <c r="IG440" i="31"/>
  <c r="IE71" i="31"/>
  <c r="IE441" i="31"/>
  <c r="IG71" i="31"/>
  <c r="IG441" i="31"/>
  <c r="IE72" i="31"/>
  <c r="IE442" i="31"/>
  <c r="IG72" i="31"/>
  <c r="IG442" i="31"/>
  <c r="IE73" i="31"/>
  <c r="IE443" i="31"/>
  <c r="IG73" i="31"/>
  <c r="IG443" i="31"/>
  <c r="IE74" i="31"/>
  <c r="IE444" i="31"/>
  <c r="IG74" i="31"/>
  <c r="IG444" i="31"/>
  <c r="IE75" i="31"/>
  <c r="IE445" i="31"/>
  <c r="IG75" i="31"/>
  <c r="IG445" i="31"/>
  <c r="IE76" i="31"/>
  <c r="IE446" i="31"/>
  <c r="IG76" i="31"/>
  <c r="IG446" i="31"/>
  <c r="IE77" i="31"/>
  <c r="IE447" i="31"/>
  <c r="IG77" i="31"/>
  <c r="IG447" i="31"/>
  <c r="IE78" i="31"/>
  <c r="IE448" i="31"/>
  <c r="IG78" i="31"/>
  <c r="IG448" i="31"/>
  <c r="IE79" i="31"/>
  <c r="IE449" i="31"/>
  <c r="IG79" i="31"/>
  <c r="IG449" i="31"/>
  <c r="IE80" i="31"/>
  <c r="IE450" i="31"/>
  <c r="IG80" i="31"/>
  <c r="IG450" i="31"/>
  <c r="IE451" i="31"/>
  <c r="IG451" i="31"/>
  <c r="IG452" i="31"/>
  <c r="IE453" i="31"/>
  <c r="IG453" i="31"/>
  <c r="IE454" i="31"/>
  <c r="IG454" i="31"/>
  <c r="IE455" i="31"/>
  <c r="IG455" i="31"/>
  <c r="IG456" i="31"/>
  <c r="IE457" i="31"/>
  <c r="IG457" i="31"/>
  <c r="IE88" i="31"/>
  <c r="IE458" i="31"/>
  <c r="IG88" i="31"/>
  <c r="IG458" i="31"/>
  <c r="IE89" i="31"/>
  <c r="IE459" i="31"/>
  <c r="IG89" i="31"/>
  <c r="IG459" i="31"/>
  <c r="IE90" i="31"/>
  <c r="IE460" i="31"/>
  <c r="IG90" i="31"/>
  <c r="IG460" i="31"/>
  <c r="IE91" i="31"/>
  <c r="IE461" i="31"/>
  <c r="IG91" i="31"/>
  <c r="IG461" i="31"/>
  <c r="IE92" i="31"/>
  <c r="IE462" i="31"/>
  <c r="IG92" i="31"/>
  <c r="IG462" i="31"/>
  <c r="IE93" i="31"/>
  <c r="IE463" i="31"/>
  <c r="IG93" i="31"/>
  <c r="IG463" i="31"/>
  <c r="IE94" i="31"/>
  <c r="IE464" i="31"/>
  <c r="IG94" i="31"/>
  <c r="IG464" i="31"/>
  <c r="IE95" i="31"/>
  <c r="IE465" i="31"/>
  <c r="IG95" i="31"/>
  <c r="IG465" i="31"/>
  <c r="IE96" i="31"/>
  <c r="IE466" i="31"/>
  <c r="IG96" i="31"/>
  <c r="IG466" i="31"/>
  <c r="IE97" i="31"/>
  <c r="IE467" i="31"/>
  <c r="IG97" i="31"/>
  <c r="IG467" i="31"/>
  <c r="IE98" i="31"/>
  <c r="IE468" i="31"/>
  <c r="IG98" i="31"/>
  <c r="IG468" i="31"/>
  <c r="IE99" i="31"/>
  <c r="IE469" i="31"/>
  <c r="IG99" i="31"/>
  <c r="IG469" i="31"/>
  <c r="IE100" i="31"/>
  <c r="IE470" i="31"/>
  <c r="IG100" i="31"/>
  <c r="IG470" i="31"/>
  <c r="IE101" i="31"/>
  <c r="IE471" i="31"/>
  <c r="IG101" i="31"/>
  <c r="IG471" i="31"/>
  <c r="IE102" i="31"/>
  <c r="IE472" i="31"/>
  <c r="IG102" i="31"/>
  <c r="IG472" i="31"/>
  <c r="IE103" i="31"/>
  <c r="IE473" i="31"/>
  <c r="IG103" i="31"/>
  <c r="IG473" i="31"/>
  <c r="IE104" i="31"/>
  <c r="IE474" i="31"/>
  <c r="IG104" i="31"/>
  <c r="IG474" i="31"/>
  <c r="IE105" i="31"/>
  <c r="IE475" i="31"/>
  <c r="IG105" i="31"/>
  <c r="IG475" i="31"/>
  <c r="IE106" i="31"/>
  <c r="IE476" i="31"/>
  <c r="IG106" i="31"/>
  <c r="IG476" i="31"/>
  <c r="IE107" i="31"/>
  <c r="IE477" i="31"/>
  <c r="IG107" i="31"/>
  <c r="IG477" i="31"/>
  <c r="IE108" i="31"/>
  <c r="IE478" i="31"/>
  <c r="IG108" i="31"/>
  <c r="IG478" i="31"/>
  <c r="IE109" i="31"/>
  <c r="IE479" i="31"/>
  <c r="IG109" i="31"/>
  <c r="IG479" i="31"/>
  <c r="IE110" i="31"/>
  <c r="IE480" i="31"/>
  <c r="IG110" i="31"/>
  <c r="IG480" i="31"/>
  <c r="IE111" i="31"/>
  <c r="IE481" i="31"/>
  <c r="IG111" i="31"/>
  <c r="IG481" i="31"/>
  <c r="IE112" i="31"/>
  <c r="IE482" i="31"/>
  <c r="IG112" i="31"/>
  <c r="IG482" i="31"/>
  <c r="IE113" i="31"/>
  <c r="IE483" i="31"/>
  <c r="IG113" i="31"/>
  <c r="IG483" i="31"/>
  <c r="IE114" i="31"/>
  <c r="IE484" i="31"/>
  <c r="IG114" i="31"/>
  <c r="IG484" i="31"/>
  <c r="IE115" i="31"/>
  <c r="IE485" i="31"/>
  <c r="IG115" i="31"/>
  <c r="IG485" i="31"/>
  <c r="IE116" i="31"/>
  <c r="IE486" i="31"/>
  <c r="IG116" i="31"/>
  <c r="IG486" i="31"/>
  <c r="IE117" i="31"/>
  <c r="IE487" i="31"/>
  <c r="IG117" i="31"/>
  <c r="IG487" i="31"/>
  <c r="IE488" i="31"/>
  <c r="IG488" i="31"/>
  <c r="IE489" i="31"/>
  <c r="IG489" i="31"/>
  <c r="IE120" i="31"/>
  <c r="IE490" i="31"/>
  <c r="IG120" i="31"/>
  <c r="IG490" i="31"/>
  <c r="IE491" i="31"/>
  <c r="IG491" i="31"/>
  <c r="IE492" i="31"/>
  <c r="IG492" i="31"/>
  <c r="IE493" i="31"/>
  <c r="IG493" i="31"/>
  <c r="IE494" i="31"/>
  <c r="IG494" i="31"/>
  <c r="IE495" i="31"/>
  <c r="IG495" i="31"/>
  <c r="IE496" i="31"/>
  <c r="IG496" i="31"/>
  <c r="IE497" i="31"/>
  <c r="IG497" i="31"/>
  <c r="IE128" i="31"/>
  <c r="IE498" i="31"/>
  <c r="IG128" i="31"/>
  <c r="IG498" i="31"/>
  <c r="IE129" i="31"/>
  <c r="IE499" i="31"/>
  <c r="IG129" i="31"/>
  <c r="IG499" i="31"/>
  <c r="IE130" i="31"/>
  <c r="IE500" i="31"/>
  <c r="IG130" i="31"/>
  <c r="IG500" i="31"/>
  <c r="IE501" i="31"/>
  <c r="IG501" i="31"/>
  <c r="IE502" i="31"/>
  <c r="IG502" i="31"/>
  <c r="IE503" i="31"/>
  <c r="IG503" i="31"/>
  <c r="IE134" i="31"/>
  <c r="IE504" i="31"/>
  <c r="IG134" i="31"/>
  <c r="IG504" i="31"/>
  <c r="IE135" i="31"/>
  <c r="IE505" i="31"/>
  <c r="IG135" i="31"/>
  <c r="IG505" i="31"/>
  <c r="IE136" i="31"/>
  <c r="IE506" i="31"/>
  <c r="IG136" i="31"/>
  <c r="IG506" i="31"/>
  <c r="IE137" i="31"/>
  <c r="IE507" i="31"/>
  <c r="IG137" i="31"/>
  <c r="IG507" i="31"/>
  <c r="IE138" i="31"/>
  <c r="IE508" i="31"/>
  <c r="IG138" i="31"/>
  <c r="IG508" i="31"/>
  <c r="IE139" i="31"/>
  <c r="IE509" i="31"/>
  <c r="IG139" i="31"/>
  <c r="IG509" i="31"/>
  <c r="IE140" i="31"/>
  <c r="IE510" i="31"/>
  <c r="IG140" i="31"/>
  <c r="IG510" i="31"/>
  <c r="IE141" i="31"/>
  <c r="IE511" i="31"/>
  <c r="IG141" i="31"/>
  <c r="IG511" i="31"/>
  <c r="IE142" i="31"/>
  <c r="IE512" i="31"/>
  <c r="IG142" i="31"/>
  <c r="IG512" i="31"/>
  <c r="IE143" i="31"/>
  <c r="IE513" i="31"/>
  <c r="IG143" i="31"/>
  <c r="IG513" i="31"/>
  <c r="IE144" i="31"/>
  <c r="IE514" i="31"/>
  <c r="IG144" i="31"/>
  <c r="IG514" i="31"/>
  <c r="IE145" i="31"/>
  <c r="IE515" i="31"/>
  <c r="IG145" i="31"/>
  <c r="IG515" i="31"/>
  <c r="IE146" i="31"/>
  <c r="IE516" i="31"/>
  <c r="IG146" i="31"/>
  <c r="IG516" i="31"/>
  <c r="IE517" i="31"/>
  <c r="IG517" i="31"/>
  <c r="IE518" i="31"/>
  <c r="IG518" i="31"/>
  <c r="IE519" i="31"/>
  <c r="IG519" i="31"/>
  <c r="IE520" i="31"/>
  <c r="IG520" i="31"/>
  <c r="IE521" i="31"/>
  <c r="IG521" i="31"/>
  <c r="IE522" i="31"/>
  <c r="IG522" i="31"/>
  <c r="IE523" i="31"/>
  <c r="IG523" i="31"/>
  <c r="IE524" i="31"/>
  <c r="IG524" i="31"/>
  <c r="IE525" i="31"/>
  <c r="IG525" i="31"/>
  <c r="IE156" i="31"/>
  <c r="IE526" i="31"/>
  <c r="IG156" i="31"/>
  <c r="IG526" i="31"/>
  <c r="IE157" i="31"/>
  <c r="IE527" i="31"/>
  <c r="IG157" i="31"/>
  <c r="IG527" i="31"/>
  <c r="IE158" i="31"/>
  <c r="IE528" i="31"/>
  <c r="IG158" i="31"/>
  <c r="IG528" i="31"/>
  <c r="IE159" i="31"/>
  <c r="IE529" i="31"/>
  <c r="IG159" i="31"/>
  <c r="IG529" i="31"/>
  <c r="IE160" i="31"/>
  <c r="IE530" i="31"/>
  <c r="IG160" i="31"/>
  <c r="IG530" i="31"/>
  <c r="IE161" i="31"/>
  <c r="IE531" i="31"/>
  <c r="IG161" i="31"/>
  <c r="IG531" i="31"/>
  <c r="IE162" i="31"/>
  <c r="IE532" i="31"/>
  <c r="IG162" i="31"/>
  <c r="IG532" i="31"/>
  <c r="IE163" i="31"/>
  <c r="IE533" i="31"/>
  <c r="IG163" i="31"/>
  <c r="IG533" i="31"/>
  <c r="IE164" i="31"/>
  <c r="IE534" i="31"/>
  <c r="IG164" i="31"/>
  <c r="IG534" i="31"/>
  <c r="IE165" i="31"/>
  <c r="IE535" i="31"/>
  <c r="IG165" i="31"/>
  <c r="IG535" i="31"/>
  <c r="IE166" i="31"/>
  <c r="IE536" i="31"/>
  <c r="IG166" i="31"/>
  <c r="IG536" i="31"/>
  <c r="IE167" i="31"/>
  <c r="IE537" i="31"/>
  <c r="IG167" i="31"/>
  <c r="IG537" i="31"/>
  <c r="IE168" i="31"/>
  <c r="IE538" i="31"/>
  <c r="IG168" i="31"/>
  <c r="IG538" i="31"/>
  <c r="IE169" i="31"/>
  <c r="IE539" i="31"/>
  <c r="IG169" i="31"/>
  <c r="IG539" i="31"/>
  <c r="IE170" i="31"/>
  <c r="IE540" i="31"/>
  <c r="IG170" i="31"/>
  <c r="IG540" i="31"/>
  <c r="IE171" i="31"/>
  <c r="IE541" i="31"/>
  <c r="IG171" i="31"/>
  <c r="IG541" i="31"/>
  <c r="IE172" i="31"/>
  <c r="IE542" i="31"/>
  <c r="IG172" i="31"/>
  <c r="IG542" i="31"/>
  <c r="IE173" i="31"/>
  <c r="IE543" i="31"/>
  <c r="IG173" i="31"/>
  <c r="IG543" i="31"/>
  <c r="IE174" i="31"/>
  <c r="IE544" i="31"/>
  <c r="IG174" i="31"/>
  <c r="IG544" i="31"/>
  <c r="IE175" i="31"/>
  <c r="IE545" i="31"/>
  <c r="IG175" i="31"/>
  <c r="IG545" i="31"/>
  <c r="IE176" i="31"/>
  <c r="IE546" i="31"/>
  <c r="IG176" i="31"/>
  <c r="IG546" i="31"/>
  <c r="IE177" i="31"/>
  <c r="IE547" i="31"/>
  <c r="IG177" i="31"/>
  <c r="IG547" i="31"/>
  <c r="IE178" i="31"/>
  <c r="IE548" i="31"/>
  <c r="IG178" i="31"/>
  <c r="IG548" i="31"/>
  <c r="IE549" i="31"/>
  <c r="IG549" i="31"/>
  <c r="IE180" i="31"/>
  <c r="IE550" i="31"/>
  <c r="IG180" i="31"/>
  <c r="IG550" i="31"/>
  <c r="IE181" i="31"/>
  <c r="IE551" i="31"/>
  <c r="IG181" i="31"/>
  <c r="IG551" i="31"/>
  <c r="IE182" i="31"/>
  <c r="IE552" i="31"/>
  <c r="IG182" i="31"/>
  <c r="IG552" i="31"/>
  <c r="IE553" i="31"/>
  <c r="IG553" i="31"/>
  <c r="IE554" i="31"/>
  <c r="IG554" i="31"/>
  <c r="IE555" i="31"/>
  <c r="IG555" i="31"/>
  <c r="IE556" i="31"/>
  <c r="IG556" i="31"/>
  <c r="IE557" i="31"/>
  <c r="IG557" i="31"/>
  <c r="IE188" i="31"/>
  <c r="IE558" i="31"/>
  <c r="IG188" i="31"/>
  <c r="IG558" i="31"/>
  <c r="IE189" i="31"/>
  <c r="IE559" i="31"/>
  <c r="IG189" i="31"/>
  <c r="IG559" i="31"/>
  <c r="IE190" i="31"/>
  <c r="IE560" i="31"/>
  <c r="IG190" i="31"/>
  <c r="IG560" i="31"/>
  <c r="IE191" i="31"/>
  <c r="IE561" i="31"/>
  <c r="IG191" i="31"/>
  <c r="IG561" i="31"/>
  <c r="IE192" i="31"/>
  <c r="IE562" i="31"/>
  <c r="IG192" i="31"/>
  <c r="IG562" i="31"/>
  <c r="IE193" i="31"/>
  <c r="IE563" i="31"/>
  <c r="IG193" i="31"/>
  <c r="IG563" i="31"/>
  <c r="IE194" i="31"/>
  <c r="IE564" i="31"/>
  <c r="IG194" i="31"/>
  <c r="IG564" i="31"/>
  <c r="IE195" i="31"/>
  <c r="IE565" i="31"/>
  <c r="IG195" i="31"/>
  <c r="IG565" i="31"/>
  <c r="IE196" i="31"/>
  <c r="IE566" i="31"/>
  <c r="IG196" i="31"/>
  <c r="IG566" i="31"/>
  <c r="IE197" i="31"/>
  <c r="IE567" i="31"/>
  <c r="IG197" i="31"/>
  <c r="IG567" i="31"/>
  <c r="IE198" i="31"/>
  <c r="IE568" i="31"/>
  <c r="IG198" i="31"/>
  <c r="IG568" i="31"/>
  <c r="IE199" i="31"/>
  <c r="IE569" i="31"/>
  <c r="IG199" i="31"/>
  <c r="IG569" i="31"/>
  <c r="IE200" i="31"/>
  <c r="IE570" i="31"/>
  <c r="IG200" i="31"/>
  <c r="IG570" i="31"/>
  <c r="IE201" i="31"/>
  <c r="IE571" i="31"/>
  <c r="IG201" i="31"/>
  <c r="IG571" i="31"/>
  <c r="IE202" i="31"/>
  <c r="IE572" i="31"/>
  <c r="IG202" i="31"/>
  <c r="IG572" i="31"/>
  <c r="IE203" i="31"/>
  <c r="IE573" i="31"/>
  <c r="IG203" i="31"/>
  <c r="IG573" i="31"/>
  <c r="IE204" i="31"/>
  <c r="IE574" i="31"/>
  <c r="IG204" i="31"/>
  <c r="IG574" i="31"/>
  <c r="IE205" i="31"/>
  <c r="IE575" i="31"/>
  <c r="IG205" i="31"/>
  <c r="IG575" i="31"/>
  <c r="IE206" i="31"/>
  <c r="IE576" i="31"/>
  <c r="IG206" i="31"/>
  <c r="IG576" i="31"/>
  <c r="IE207" i="31"/>
  <c r="IE577" i="31"/>
  <c r="IG207" i="31"/>
  <c r="IG577" i="31"/>
  <c r="IE208" i="31"/>
  <c r="IE578" i="31"/>
  <c r="IG208" i="31"/>
  <c r="IG578" i="31"/>
  <c r="IE209" i="31"/>
  <c r="IE579" i="31"/>
  <c r="IG209" i="31"/>
  <c r="IG579" i="31"/>
  <c r="IE580" i="31"/>
  <c r="IG580" i="31"/>
  <c r="IE581" i="31"/>
  <c r="IG581" i="31"/>
  <c r="IE582" i="31"/>
  <c r="IG582" i="31"/>
  <c r="IE583" i="31"/>
  <c r="IG583" i="31"/>
  <c r="IE584" i="31"/>
  <c r="IG584" i="31"/>
  <c r="IE585" i="31"/>
  <c r="IG585" i="31"/>
  <c r="IE586" i="31"/>
  <c r="IG586" i="31"/>
  <c r="IE587" i="31"/>
  <c r="IG587" i="31"/>
  <c r="IE588" i="31"/>
  <c r="IG588" i="31"/>
  <c r="IE589" i="31"/>
  <c r="IG589" i="31"/>
  <c r="IE590" i="31"/>
  <c r="IG590" i="31"/>
  <c r="IE591" i="31"/>
  <c r="IG591" i="31"/>
  <c r="IE592" i="31"/>
  <c r="IG592" i="31"/>
  <c r="IE593" i="31"/>
  <c r="IG593" i="31"/>
  <c r="IE594" i="31"/>
  <c r="IG594" i="31"/>
  <c r="IE595" i="31"/>
  <c r="IG595" i="31"/>
  <c r="IE596" i="31"/>
  <c r="IG596" i="31"/>
  <c r="IE597" i="31"/>
  <c r="IG597" i="31"/>
  <c r="IE598" i="31"/>
  <c r="IG598" i="31"/>
  <c r="IE599" i="31"/>
  <c r="IG599" i="31"/>
  <c r="IE600" i="31"/>
  <c r="IG600" i="31"/>
  <c r="IE601" i="31"/>
  <c r="IG601" i="31"/>
  <c r="IE602" i="31"/>
  <c r="IG602" i="31"/>
  <c r="IE603" i="31"/>
  <c r="IG603" i="31"/>
  <c r="IE234" i="31"/>
  <c r="IE604" i="31"/>
  <c r="IG234" i="31"/>
  <c r="IG604" i="31"/>
  <c r="IE235" i="31"/>
  <c r="IE605" i="31"/>
  <c r="IG235" i="31"/>
  <c r="IG605" i="31"/>
  <c r="IE236" i="31"/>
  <c r="IE606" i="31"/>
  <c r="IG236" i="31"/>
  <c r="IG606" i="31"/>
  <c r="IE237" i="31"/>
  <c r="IE607" i="31"/>
  <c r="IG237" i="31"/>
  <c r="IG607" i="31"/>
  <c r="IE238" i="31"/>
  <c r="IE608" i="31"/>
  <c r="IG238" i="31"/>
  <c r="IG608" i="31"/>
  <c r="IE239" i="31"/>
  <c r="IE609" i="31"/>
  <c r="IG239" i="31"/>
  <c r="IG609" i="31"/>
  <c r="IE240" i="31"/>
  <c r="IE610" i="31"/>
  <c r="IG240" i="31"/>
  <c r="IG610" i="31"/>
  <c r="IE241" i="31"/>
  <c r="IE611" i="31"/>
  <c r="IG241" i="31"/>
  <c r="IG611" i="31"/>
  <c r="IE242" i="31"/>
  <c r="IE612" i="31"/>
  <c r="IG242" i="31"/>
  <c r="IG612" i="31"/>
  <c r="IE243" i="31"/>
  <c r="IE613" i="31"/>
  <c r="IG243" i="31"/>
  <c r="IG613" i="31"/>
  <c r="IE244" i="31"/>
  <c r="IE614" i="31"/>
  <c r="IG244" i="31"/>
  <c r="IG614" i="31"/>
  <c r="IE245" i="31"/>
  <c r="IE615" i="31"/>
  <c r="IG245" i="31"/>
  <c r="IG615" i="31"/>
  <c r="IE246" i="31"/>
  <c r="IE616" i="31"/>
  <c r="IG246" i="31"/>
  <c r="IG616" i="31"/>
  <c r="IE247" i="31"/>
  <c r="IE617" i="31"/>
  <c r="IG247" i="31"/>
  <c r="IG617" i="31"/>
  <c r="IE248" i="31"/>
  <c r="IE618" i="31"/>
  <c r="IG248" i="31"/>
  <c r="IG618" i="31"/>
  <c r="IE249" i="31"/>
  <c r="IE619" i="31"/>
  <c r="IG249" i="31"/>
  <c r="IG619" i="31"/>
  <c r="IE250" i="31"/>
  <c r="IE620" i="31"/>
  <c r="IG250" i="31"/>
  <c r="IG620" i="31"/>
  <c r="IE251" i="31"/>
  <c r="IE621" i="31"/>
  <c r="IG251" i="31"/>
  <c r="IG621" i="31"/>
  <c r="IE252" i="31"/>
  <c r="IE622" i="31"/>
  <c r="IG252" i="31"/>
  <c r="IG622" i="31"/>
  <c r="IE253" i="31"/>
  <c r="IE623" i="31"/>
  <c r="IG253" i="31"/>
  <c r="IG623" i="31"/>
  <c r="IE254" i="31"/>
  <c r="IE624" i="31"/>
  <c r="IG254" i="31"/>
  <c r="IG624" i="31"/>
  <c r="IE255" i="31"/>
  <c r="IE625" i="31"/>
  <c r="IG255" i="31"/>
  <c r="IG625" i="31"/>
  <c r="IE256" i="31"/>
  <c r="IE626" i="31"/>
  <c r="IG256" i="31"/>
  <c r="IG626" i="31"/>
  <c r="IE257" i="31"/>
  <c r="IE627" i="31"/>
  <c r="IG257" i="31"/>
  <c r="IG627" i="31"/>
  <c r="IE258" i="31"/>
  <c r="IE628" i="31"/>
  <c r="IG258" i="31"/>
  <c r="IG628" i="31"/>
  <c r="IE259" i="31"/>
  <c r="IE629" i="31"/>
  <c r="IG259" i="31"/>
  <c r="IG629" i="31"/>
  <c r="IE260" i="31"/>
  <c r="IE630" i="31"/>
  <c r="IG260" i="31"/>
  <c r="IG630" i="31"/>
  <c r="IE631" i="31"/>
  <c r="IG631" i="31"/>
  <c r="IE632" i="31"/>
  <c r="IG632" i="31"/>
  <c r="IE263" i="31"/>
  <c r="IE633" i="31"/>
  <c r="IG263" i="31"/>
  <c r="IG633" i="31"/>
  <c r="IE264" i="31"/>
  <c r="IE634" i="31"/>
  <c r="IG264" i="31"/>
  <c r="IG634" i="31"/>
  <c r="IE265" i="31"/>
  <c r="IE635" i="31"/>
  <c r="IG265" i="31"/>
  <c r="IG635" i="31"/>
  <c r="IE266" i="31"/>
  <c r="IE636" i="31"/>
  <c r="IG266" i="31"/>
  <c r="IG636" i="31"/>
  <c r="IE267" i="31"/>
  <c r="IE637" i="31"/>
  <c r="IG267" i="31"/>
  <c r="IG637" i="31"/>
  <c r="IE268" i="31"/>
  <c r="IE638" i="31"/>
  <c r="IG268" i="31"/>
  <c r="IG638" i="31"/>
  <c r="IE269" i="31"/>
  <c r="IE639" i="31"/>
  <c r="IG269" i="31"/>
  <c r="IG639" i="31"/>
  <c r="IE270" i="31"/>
  <c r="IE640" i="31"/>
  <c r="IG270" i="31"/>
  <c r="IG640" i="31"/>
  <c r="IE271" i="31"/>
  <c r="IE641" i="31"/>
  <c r="IG271" i="31"/>
  <c r="IG641" i="31"/>
  <c r="IE272" i="31"/>
  <c r="IE642" i="31"/>
  <c r="IG272" i="31"/>
  <c r="IG642" i="31"/>
  <c r="IE273" i="31"/>
  <c r="IE643" i="31"/>
  <c r="IG273" i="31"/>
  <c r="IG643" i="31"/>
  <c r="IE274" i="31"/>
  <c r="IE644" i="31"/>
  <c r="IG274" i="31"/>
  <c r="IG644" i="31"/>
  <c r="IE275" i="31"/>
  <c r="IE645" i="31"/>
  <c r="IG275" i="31"/>
  <c r="IG645" i="31"/>
  <c r="IE276" i="31"/>
  <c r="IE646" i="31"/>
  <c r="IG276" i="31"/>
  <c r="IG646" i="31"/>
  <c r="IE277" i="31"/>
  <c r="IE647" i="31"/>
  <c r="IG277" i="31"/>
  <c r="IG647" i="31"/>
  <c r="IE278" i="31"/>
  <c r="IE648" i="31"/>
  <c r="IG278" i="31"/>
  <c r="IG648" i="31"/>
  <c r="IE279" i="31"/>
  <c r="IE649" i="31"/>
  <c r="IG279" i="31"/>
  <c r="IG649" i="31"/>
  <c r="IE280" i="31"/>
  <c r="IE650" i="31"/>
  <c r="IG280" i="31"/>
  <c r="IG650" i="31"/>
  <c r="IE281" i="31"/>
  <c r="IE651" i="31"/>
  <c r="IG281" i="31"/>
  <c r="IG651" i="31"/>
  <c r="IE282" i="31"/>
  <c r="IE652" i="31"/>
  <c r="IG282" i="31"/>
  <c r="IG652" i="31"/>
  <c r="IE283" i="31"/>
  <c r="IE653" i="31"/>
  <c r="IG283" i="31"/>
  <c r="IG653" i="31"/>
  <c r="IE654" i="31"/>
  <c r="IG654" i="31"/>
  <c r="IE285" i="31"/>
  <c r="IE655" i="31"/>
  <c r="IG285" i="31"/>
  <c r="IG655" i="31"/>
  <c r="IE286" i="31"/>
  <c r="IE656" i="31"/>
  <c r="IG286" i="31"/>
  <c r="IG656" i="31"/>
  <c r="IE287" i="31"/>
  <c r="IE657" i="31"/>
  <c r="IG287" i="31"/>
  <c r="IG657" i="31"/>
  <c r="IE288" i="31"/>
  <c r="IE658" i="31"/>
  <c r="IG288" i="31"/>
  <c r="IG658" i="31"/>
  <c r="IE289" i="31"/>
  <c r="IE659" i="31"/>
  <c r="IG289" i="31"/>
  <c r="IG659" i="31"/>
  <c r="IE290" i="31"/>
  <c r="IE660" i="31"/>
  <c r="IG290" i="31"/>
  <c r="IG660" i="31"/>
  <c r="IE291" i="31"/>
  <c r="IE661" i="31"/>
  <c r="IG291" i="31"/>
  <c r="IG661" i="31"/>
  <c r="IE292" i="31"/>
  <c r="IE662" i="31"/>
  <c r="IG292" i="31"/>
  <c r="IG662" i="31"/>
  <c r="IE293" i="31"/>
  <c r="IE663" i="31"/>
  <c r="IG293" i="31"/>
  <c r="IG663" i="31"/>
  <c r="IE294" i="31"/>
  <c r="IE664" i="31"/>
  <c r="IG294" i="31"/>
  <c r="IG664" i="31"/>
  <c r="IE295" i="31"/>
  <c r="IE665" i="31"/>
  <c r="IG295" i="31"/>
  <c r="IG665" i="31"/>
  <c r="IE296" i="31"/>
  <c r="IE666" i="31"/>
  <c r="IG296" i="31"/>
  <c r="IG666" i="31"/>
  <c r="IE297" i="31"/>
  <c r="IE667" i="31"/>
  <c r="IG297" i="31"/>
  <c r="IG667" i="31"/>
  <c r="IE298" i="31"/>
  <c r="IE668" i="31"/>
  <c r="IG298" i="31"/>
  <c r="IG668" i="31"/>
  <c r="IE299" i="31"/>
  <c r="IE669" i="31"/>
  <c r="IG299" i="31"/>
  <c r="IG669" i="31"/>
  <c r="IE300" i="31"/>
  <c r="IE670" i="31"/>
  <c r="IG300" i="31"/>
  <c r="IG670" i="31"/>
  <c r="IE301" i="31"/>
  <c r="IE671" i="31"/>
  <c r="IG301" i="31"/>
  <c r="IG671" i="31"/>
  <c r="IE302" i="31"/>
  <c r="IE672" i="31"/>
  <c r="IG302" i="31"/>
  <c r="IG672" i="31"/>
  <c r="IE673" i="31"/>
  <c r="IG673" i="31"/>
  <c r="IE674" i="31"/>
  <c r="IG674" i="31"/>
  <c r="IE675" i="31"/>
  <c r="IG675" i="31"/>
  <c r="IE676" i="31"/>
  <c r="IG676" i="31"/>
  <c r="IE677" i="31"/>
  <c r="IG677" i="31"/>
  <c r="IE678" i="31"/>
  <c r="IG678" i="31"/>
  <c r="IE679" i="31"/>
  <c r="IG679" i="31"/>
  <c r="IE310" i="31"/>
  <c r="IE680" i="31"/>
  <c r="IG310" i="31"/>
  <c r="IG680" i="31"/>
  <c r="IE311" i="31"/>
  <c r="IE681" i="31"/>
  <c r="IG311" i="31"/>
  <c r="IG681" i="31"/>
  <c r="IE312" i="31"/>
  <c r="IE682" i="31"/>
  <c r="IG312" i="31"/>
  <c r="IG682" i="31"/>
  <c r="IE313" i="31"/>
  <c r="IE683" i="31"/>
  <c r="IG313" i="31"/>
  <c r="IG683" i="31"/>
  <c r="IE314" i="31"/>
  <c r="IE684" i="31"/>
  <c r="IG314" i="31"/>
  <c r="IG684" i="31"/>
  <c r="IE315" i="31"/>
  <c r="IE685" i="31"/>
  <c r="IG315" i="31"/>
  <c r="IG685" i="31"/>
  <c r="IE316" i="31"/>
  <c r="IE686" i="31"/>
  <c r="IG316" i="31"/>
  <c r="IG686" i="31"/>
  <c r="IE317" i="31"/>
  <c r="IE687" i="31"/>
  <c r="IG317" i="31"/>
  <c r="IG687" i="31"/>
  <c r="IE688" i="31"/>
  <c r="IG688" i="31"/>
  <c r="IE689" i="31"/>
  <c r="IG689" i="31"/>
  <c r="IE690" i="31"/>
  <c r="IG690" i="31"/>
  <c r="IE691" i="31"/>
  <c r="IG691" i="31"/>
  <c r="IE692" i="31"/>
  <c r="IG692" i="31"/>
  <c r="IE693" i="31"/>
  <c r="IG693" i="31"/>
  <c r="IE694" i="31"/>
  <c r="IG694" i="31"/>
  <c r="IE695" i="31"/>
  <c r="IG695" i="31"/>
  <c r="IE696" i="31"/>
  <c r="IG696" i="31"/>
  <c r="IE697" i="31"/>
  <c r="IG697" i="31"/>
  <c r="IE698" i="31"/>
  <c r="IG698" i="31"/>
  <c r="IE699" i="31"/>
  <c r="IG699" i="31"/>
  <c r="IE700" i="31"/>
  <c r="IG700" i="31"/>
  <c r="IE701" i="31"/>
  <c r="IG701" i="31"/>
  <c r="IE702" i="31"/>
  <c r="IG702" i="31"/>
  <c r="IE703" i="31"/>
  <c r="IG703" i="31"/>
  <c r="IE704" i="31"/>
  <c r="IG704" i="31"/>
  <c r="IE705" i="31"/>
  <c r="IG705" i="31"/>
  <c r="IE706" i="31"/>
  <c r="IG706" i="31"/>
  <c r="IE707" i="31"/>
  <c r="IG707" i="31"/>
  <c r="IE708" i="31"/>
  <c r="IG708" i="31"/>
  <c r="IE709" i="31"/>
  <c r="IG709" i="31"/>
  <c r="IE710" i="31"/>
  <c r="IG710" i="31"/>
  <c r="IE711" i="31"/>
  <c r="IG711" i="31"/>
  <c r="IE712" i="31"/>
  <c r="IG712" i="31"/>
  <c r="IE713" i="31"/>
  <c r="IG713" i="31"/>
  <c r="IE714" i="31"/>
  <c r="IG714" i="31"/>
  <c r="IE715" i="31"/>
  <c r="IG715" i="31"/>
  <c r="IE716" i="31"/>
  <c r="IG716" i="31"/>
  <c r="IE717" i="31"/>
  <c r="IG717" i="31"/>
  <c r="IE718" i="31"/>
  <c r="IG718" i="31"/>
  <c r="IG11" i="31"/>
  <c r="IG381" i="31"/>
  <c r="IE11" i="31"/>
  <c r="IE381" i="31"/>
  <c r="B423" i="19"/>
  <c r="B418" i="19"/>
  <c r="B413" i="19"/>
  <c r="B408" i="19"/>
  <c r="M62" i="36"/>
  <c r="M40" i="36"/>
  <c r="M29" i="36"/>
  <c r="G25" i="32"/>
  <c r="G56" i="10"/>
  <c r="G50" i="10"/>
  <c r="G52" i="10"/>
  <c r="G53" i="10"/>
  <c r="G55" i="10"/>
  <c r="G49" i="10"/>
  <c r="D44" i="10"/>
  <c r="D43" i="10"/>
  <c r="D41" i="10"/>
  <c r="D40" i="10"/>
  <c r="D38" i="10"/>
  <c r="D37" i="10"/>
  <c r="E77" i="39"/>
  <c r="F76" i="39"/>
  <c r="D76" i="39"/>
  <c r="J75" i="39"/>
  <c r="F75" i="39"/>
  <c r="D75" i="39"/>
  <c r="K75" i="39"/>
  <c r="M75" i="39" s="1"/>
  <c r="H72" i="39"/>
  <c r="H76" i="39" s="1"/>
  <c r="J76" i="39" s="1"/>
  <c r="L76" i="39" s="1"/>
  <c r="D72" i="39"/>
  <c r="K72" i="39" s="1"/>
  <c r="J71" i="39"/>
  <c r="D71" i="39"/>
  <c r="K71" i="39"/>
  <c r="J70" i="39"/>
  <c r="L70" i="39" s="1"/>
  <c r="D70" i="39"/>
  <c r="K70" i="39"/>
  <c r="M65" i="39"/>
  <c r="D65" i="39"/>
  <c r="M64" i="39"/>
  <c r="D64" i="39"/>
  <c r="E24" i="39"/>
  <c r="F23" i="39"/>
  <c r="D23" i="39"/>
  <c r="J22" i="39"/>
  <c r="F22" i="39"/>
  <c r="K22" i="39" s="1"/>
  <c r="D22" i="39"/>
  <c r="H19" i="39"/>
  <c r="H23" i="39" s="1"/>
  <c r="J23" i="39" s="1"/>
  <c r="L23" i="39" s="1"/>
  <c r="D19" i="39"/>
  <c r="K19" i="39"/>
  <c r="J18" i="39"/>
  <c r="D18" i="39"/>
  <c r="K18" i="39"/>
  <c r="D17" i="39"/>
  <c r="K17" i="39" s="1"/>
  <c r="J17" i="39"/>
  <c r="M12" i="39"/>
  <c r="D12" i="39"/>
  <c r="M11" i="39"/>
  <c r="D11" i="39"/>
  <c r="D50" i="39"/>
  <c r="D49" i="39"/>
  <c r="K49" i="39" s="1"/>
  <c r="D48" i="39"/>
  <c r="L18" i="39"/>
  <c r="K48" i="39"/>
  <c r="L71" i="39"/>
  <c r="M71" i="39" s="1"/>
  <c r="L75" i="39"/>
  <c r="K76" i="39"/>
  <c r="D77" i="39"/>
  <c r="J72" i="39"/>
  <c r="L72" i="39" s="1"/>
  <c r="L22" i="39"/>
  <c r="K23" i="39"/>
  <c r="D24" i="39"/>
  <c r="K50" i="39"/>
  <c r="D54" i="39"/>
  <c r="K54" i="39" s="1"/>
  <c r="D53" i="39"/>
  <c r="M34" i="39"/>
  <c r="M33" i="39"/>
  <c r="D34" i="39"/>
  <c r="D33" i="39"/>
  <c r="E55" i="39"/>
  <c r="D55" i="39"/>
  <c r="F54" i="39"/>
  <c r="J53" i="39"/>
  <c r="F53" i="39"/>
  <c r="H50" i="39"/>
  <c r="J50" i="39" s="1"/>
  <c r="L50" i="39" s="1"/>
  <c r="H54" i="39"/>
  <c r="J54" i="39" s="1"/>
  <c r="J49" i="39"/>
  <c r="L49" i="39"/>
  <c r="J48" i="39"/>
  <c r="L48" i="39"/>
  <c r="M48" i="39" s="1"/>
  <c r="N48" i="39"/>
  <c r="O48" i="39" s="1"/>
  <c r="K53" i="39"/>
  <c r="M53" i="39" s="1"/>
  <c r="L53" i="39"/>
  <c r="F15" i="21"/>
  <c r="F20" i="21" s="1"/>
  <c r="D13" i="24"/>
  <c r="D12" i="24"/>
  <c r="D33" i="24"/>
  <c r="E502" i="19"/>
  <c r="B498" i="19"/>
  <c r="U10" i="21"/>
  <c r="E422" i="19"/>
  <c r="E417" i="19"/>
  <c r="E412" i="19"/>
  <c r="E407" i="19"/>
  <c r="B422" i="19"/>
  <c r="B417" i="19"/>
  <c r="B412" i="19"/>
  <c r="B407" i="19"/>
  <c r="B491" i="19"/>
  <c r="AG18" i="21"/>
  <c r="AG20" i="21"/>
  <c r="AG21" i="21"/>
  <c r="AG24" i="21"/>
  <c r="L135" i="36"/>
  <c r="AF18" i="21"/>
  <c r="AF20" i="21"/>
  <c r="AF21" i="21"/>
  <c r="AF24" i="21"/>
  <c r="AE18" i="21"/>
  <c r="AE20" i="21"/>
  <c r="AE21" i="21"/>
  <c r="AD18" i="21"/>
  <c r="AD20" i="21"/>
  <c r="AD21" i="21"/>
  <c r="AD24" i="21"/>
  <c r="AB18" i="21"/>
  <c r="AC18" i="21"/>
  <c r="AB20" i="21"/>
  <c r="AC20" i="21"/>
  <c r="AB21" i="21"/>
  <c r="AC21" i="21"/>
  <c r="AB24" i="21"/>
  <c r="AC24" i="21"/>
  <c r="D71" i="32"/>
  <c r="D70" i="32"/>
  <c r="D69" i="32"/>
  <c r="B13" i="36"/>
  <c r="B10" i="36"/>
  <c r="B100" i="36"/>
  <c r="B58" i="36"/>
  <c r="B51" i="36"/>
  <c r="B45" i="36"/>
  <c r="B57" i="36"/>
  <c r="B48" i="36"/>
  <c r="B40" i="36"/>
  <c r="B55" i="36"/>
  <c r="B47" i="36"/>
  <c r="B54" i="36"/>
  <c r="B46" i="36"/>
  <c r="B386" i="19"/>
  <c r="C16" i="26"/>
  <c r="C102" i="26"/>
  <c r="C72" i="26"/>
  <c r="C66" i="26"/>
  <c r="B30" i="19"/>
  <c r="C38" i="26"/>
  <c r="C69" i="26"/>
  <c r="C25" i="26"/>
  <c r="C18" i="26"/>
  <c r="C22" i="26"/>
  <c r="C106" i="26"/>
  <c r="C101" i="26"/>
  <c r="C65" i="26"/>
  <c r="B38" i="19"/>
  <c r="C64" i="26"/>
  <c r="C24" i="26"/>
  <c r="C17" i="26"/>
  <c r="C20" i="26"/>
  <c r="C105" i="26"/>
  <c r="C100" i="26"/>
  <c r="C70" i="26"/>
  <c r="B31" i="19"/>
  <c r="C43" i="26"/>
  <c r="C23" i="26"/>
  <c r="C30" i="26"/>
  <c r="C104" i="26"/>
  <c r="C99" i="26"/>
  <c r="C67" i="26"/>
  <c r="B37" i="19"/>
  <c r="B29" i="26"/>
  <c r="C42" i="26"/>
  <c r="C19" i="26"/>
  <c r="C26" i="26"/>
  <c r="C21" i="25"/>
  <c r="C27" i="25"/>
  <c r="C23" i="25"/>
  <c r="C17" i="25"/>
  <c r="E177" i="19"/>
  <c r="C69" i="25"/>
  <c r="C43" i="25"/>
  <c r="C44" i="25"/>
  <c r="B360" i="19"/>
  <c r="B353" i="19"/>
  <c r="C21" i="24"/>
  <c r="B331" i="19"/>
  <c r="B328" i="19"/>
  <c r="B316" i="19"/>
  <c r="B338" i="19"/>
  <c r="B309" i="19"/>
  <c r="B320" i="19"/>
  <c r="C66" i="24"/>
  <c r="C69" i="24"/>
  <c r="C71" i="24"/>
  <c r="C68" i="24"/>
  <c r="B65" i="24"/>
  <c r="C67" i="24"/>
  <c r="B342" i="19"/>
  <c r="B385" i="19"/>
  <c r="B341" i="19"/>
  <c r="B364" i="19"/>
  <c r="B363" i="19"/>
  <c r="B319" i="19"/>
  <c r="B47" i="19"/>
  <c r="B46" i="19"/>
  <c r="E351" i="19"/>
  <c r="E307" i="19"/>
  <c r="E373" i="19"/>
  <c r="E329" i="19"/>
  <c r="B171" i="36"/>
  <c r="B215" i="36"/>
  <c r="B216" i="36"/>
  <c r="B183" i="36"/>
  <c r="B178" i="36"/>
  <c r="B174" i="36"/>
  <c r="B199" i="36"/>
  <c r="B195" i="36"/>
  <c r="B190" i="36"/>
  <c r="B162" i="36"/>
  <c r="B161" i="36"/>
  <c r="B157" i="36"/>
  <c r="B153" i="36"/>
  <c r="B145" i="36"/>
  <c r="B118" i="36"/>
  <c r="B179" i="36"/>
  <c r="B207" i="36"/>
  <c r="B164" i="36"/>
  <c r="B154" i="36"/>
  <c r="B177" i="36"/>
  <c r="B173" i="36"/>
  <c r="B198" i="36"/>
  <c r="B194" i="36"/>
  <c r="B189" i="36"/>
  <c r="B152" i="36"/>
  <c r="B160" i="36"/>
  <c r="B156" i="36"/>
  <c r="B151" i="36"/>
  <c r="B134" i="36"/>
  <c r="B120" i="36"/>
  <c r="B141" i="36" s="1"/>
  <c r="B175" i="36"/>
  <c r="B191" i="36"/>
  <c r="B158" i="36"/>
  <c r="B139" i="36"/>
  <c r="B180" i="36"/>
  <c r="B182" i="36"/>
  <c r="B176" i="36"/>
  <c r="B205" i="36"/>
  <c r="B193" i="36"/>
  <c r="B192" i="36"/>
  <c r="B165" i="36"/>
  <c r="B133" i="36"/>
  <c r="B159" i="36"/>
  <c r="B155" i="36"/>
  <c r="B124" i="36"/>
  <c r="B142" i="36"/>
  <c r="B119" i="36"/>
  <c r="B140" i="36" s="1"/>
  <c r="B172" i="36"/>
  <c r="B196" i="36"/>
  <c r="B125" i="36"/>
  <c r="B137" i="36"/>
  <c r="B135" i="36"/>
  <c r="B129" i="36"/>
  <c r="B130" i="36"/>
  <c r="B132" i="36"/>
  <c r="B128" i="36"/>
  <c r="B131" i="36"/>
  <c r="B127" i="36"/>
  <c r="B102" i="36"/>
  <c r="B126" i="36"/>
  <c r="B101" i="36"/>
  <c r="B114" i="36"/>
  <c r="B108" i="36"/>
  <c r="B99" i="36"/>
  <c r="B68" i="36"/>
  <c r="B92" i="36"/>
  <c r="B87" i="36"/>
  <c r="B83" i="36"/>
  <c r="B78" i="36"/>
  <c r="B74" i="36"/>
  <c r="B69" i="36"/>
  <c r="B64" i="36"/>
  <c r="B14" i="36"/>
  <c r="B90" i="36"/>
  <c r="B113" i="36"/>
  <c r="B110" i="36"/>
  <c r="B98" i="36"/>
  <c r="B95" i="36"/>
  <c r="B91" i="36"/>
  <c r="B86" i="36"/>
  <c r="B104" i="36"/>
  <c r="B52" i="36"/>
  <c r="B76" i="36"/>
  <c r="B63" i="36"/>
  <c r="B111" i="36"/>
  <c r="B112" i="36"/>
  <c r="B107" i="36"/>
  <c r="B97" i="36"/>
  <c r="B94" i="36"/>
  <c r="B89" i="36"/>
  <c r="B85" i="36"/>
  <c r="B81" i="36"/>
  <c r="B77" i="36"/>
  <c r="B72" i="36"/>
  <c r="B66" i="36"/>
  <c r="B62" i="36"/>
  <c r="B12" i="36"/>
  <c r="B115" i="36"/>
  <c r="B109" i="36"/>
  <c r="B106" i="36"/>
  <c r="B96" i="36"/>
  <c r="B93" i="36"/>
  <c r="B88" i="36"/>
  <c r="B84" i="36"/>
  <c r="B79" i="36"/>
  <c r="B75" i="36"/>
  <c r="B71" i="36"/>
  <c r="B65" i="36"/>
  <c r="B31" i="36"/>
  <c r="B60" i="36"/>
  <c r="B59" i="36"/>
  <c r="B11" i="36"/>
  <c r="B25" i="36"/>
  <c r="B27" i="36"/>
  <c r="B15" i="36"/>
  <c r="B20" i="36"/>
  <c r="B24" i="36"/>
  <c r="B30" i="36"/>
  <c r="B21" i="36"/>
  <c r="B23" i="36"/>
  <c r="B49" i="36"/>
  <c r="B36" i="36"/>
  <c r="B16" i="36"/>
  <c r="B50" i="36"/>
  <c r="B33" i="36"/>
  <c r="B56" i="36"/>
  <c r="B35" i="36"/>
  <c r="B41" i="36"/>
  <c r="B34" i="36"/>
  <c r="B37" i="36"/>
  <c r="B26" i="36"/>
  <c r="B32" i="36"/>
  <c r="Z18" i="21"/>
  <c r="AA18" i="21"/>
  <c r="Z20" i="21"/>
  <c r="AA20" i="21"/>
  <c r="Z21" i="21"/>
  <c r="AA21" i="21"/>
  <c r="Z24" i="21"/>
  <c r="AA24" i="21"/>
  <c r="Y18" i="21"/>
  <c r="Y20" i="21"/>
  <c r="Y21" i="21"/>
  <c r="Y24" i="21"/>
  <c r="X18" i="21"/>
  <c r="X19" i="21"/>
  <c r="X20" i="21"/>
  <c r="X21" i="21"/>
  <c r="X22" i="21"/>
  <c r="X23" i="21"/>
  <c r="X24" i="21"/>
  <c r="X17" i="21"/>
  <c r="W12" i="21"/>
  <c r="W24" i="21" s="1"/>
  <c r="W9" i="21"/>
  <c r="F328" i="31" s="1"/>
  <c r="F698" i="31" s="1"/>
  <c r="W8" i="21"/>
  <c r="W20" i="21"/>
  <c r="W6" i="21"/>
  <c r="W18" i="21" s="1"/>
  <c r="V9" i="21"/>
  <c r="L328" i="31" s="1"/>
  <c r="L698" i="31" s="1"/>
  <c r="V21" i="21"/>
  <c r="V8" i="21"/>
  <c r="V20" i="21" s="1"/>
  <c r="V6" i="21"/>
  <c r="V18" i="21" s="1"/>
  <c r="S18" i="21"/>
  <c r="T18" i="21"/>
  <c r="U18" i="21"/>
  <c r="U19" i="21"/>
  <c r="S20" i="21"/>
  <c r="T20" i="21"/>
  <c r="U20" i="21"/>
  <c r="S21" i="21"/>
  <c r="T21" i="21"/>
  <c r="U21" i="21"/>
  <c r="U22" i="21"/>
  <c r="U23" i="21"/>
  <c r="S24" i="21"/>
  <c r="T24" i="21"/>
  <c r="U24" i="21"/>
  <c r="U17" i="21"/>
  <c r="B481" i="19"/>
  <c r="B471" i="19"/>
  <c r="B461" i="19"/>
  <c r="B451" i="19"/>
  <c r="B441" i="19"/>
  <c r="B431" i="19"/>
  <c r="B484" i="19"/>
  <c r="B474" i="19"/>
  <c r="B464" i="19"/>
  <c r="B454" i="19"/>
  <c r="B444" i="19"/>
  <c r="B434" i="19"/>
  <c r="V12" i="21"/>
  <c r="V24" i="21" s="1"/>
  <c r="B409" i="19"/>
  <c r="E28" i="34"/>
  <c r="E27" i="34"/>
  <c r="C27" i="34"/>
  <c r="B27" i="34"/>
  <c r="B26" i="34"/>
  <c r="B6" i="34"/>
  <c r="L71" i="33"/>
  <c r="D71" i="33"/>
  <c r="L70" i="33"/>
  <c r="F70" i="33"/>
  <c r="D70" i="33"/>
  <c r="F69" i="33"/>
  <c r="D69" i="33"/>
  <c r="L65" i="33"/>
  <c r="L61" i="33"/>
  <c r="L60" i="33"/>
  <c r="F60" i="33"/>
  <c r="F59" i="33"/>
  <c r="L56" i="33"/>
  <c r="F56" i="33"/>
  <c r="D56" i="33"/>
  <c r="L55" i="33"/>
  <c r="D55" i="33"/>
  <c r="F54" i="33"/>
  <c r="D54" i="33"/>
  <c r="F50" i="33"/>
  <c r="F71" i="33" s="1"/>
  <c r="D50" i="33"/>
  <c r="D61" i="33" s="1"/>
  <c r="C61" i="33" s="1"/>
  <c r="L49" i="33"/>
  <c r="L50" i="33"/>
  <c r="L63" i="33" s="1"/>
  <c r="D49" i="33"/>
  <c r="D60" i="33" s="1"/>
  <c r="C60" i="33" s="1"/>
  <c r="D48" i="33"/>
  <c r="D59" i="33"/>
  <c r="C59" i="33" s="1"/>
  <c r="L25" i="33"/>
  <c r="L31" i="33"/>
  <c r="L30" i="33"/>
  <c r="L20" i="33"/>
  <c r="L19" i="33"/>
  <c r="L15" i="33"/>
  <c r="L14" i="33"/>
  <c r="L8" i="33"/>
  <c r="L9" i="33"/>
  <c r="L23" i="33" s="1"/>
  <c r="F30" i="33"/>
  <c r="F29" i="33"/>
  <c r="F15" i="33"/>
  <c r="F9" i="33"/>
  <c r="F20" i="33"/>
  <c r="D30" i="33"/>
  <c r="D29" i="33"/>
  <c r="C19" i="33"/>
  <c r="D9" i="33"/>
  <c r="D20" i="33" s="1"/>
  <c r="C20" i="33" s="1"/>
  <c r="D14" i="33"/>
  <c r="D15" i="33"/>
  <c r="D31" i="33"/>
  <c r="C18" i="33"/>
  <c r="B7" i="34"/>
  <c r="F61" i="33"/>
  <c r="F31" i="33"/>
  <c r="G15" i="32"/>
  <c r="H11" i="21"/>
  <c r="H9" i="21"/>
  <c r="G10" i="21"/>
  <c r="G9" i="21"/>
  <c r="F10" i="21"/>
  <c r="F9" i="21"/>
  <c r="B1" i="25"/>
  <c r="H21" i="21"/>
  <c r="H20" i="21"/>
  <c r="F19" i="21"/>
  <c r="B4" i="24"/>
  <c r="B1" i="24"/>
  <c r="L4" i="36"/>
  <c r="H4" i="36"/>
  <c r="K4" i="36"/>
  <c r="G4" i="36"/>
  <c r="C4" i="36"/>
  <c r="B5" i="36"/>
  <c r="J4" i="36"/>
  <c r="B6" i="36"/>
  <c r="I4" i="36"/>
  <c r="E4" i="36"/>
  <c r="C97" i="26"/>
  <c r="C74" i="26"/>
  <c r="C59" i="26"/>
  <c r="C55" i="26"/>
  <c r="C51" i="26"/>
  <c r="C49" i="25"/>
  <c r="B46" i="26"/>
  <c r="C11" i="26"/>
  <c r="C5" i="26"/>
  <c r="B3" i="26"/>
  <c r="C76" i="26"/>
  <c r="C61" i="26"/>
  <c r="C53" i="26"/>
  <c r="C48" i="26"/>
  <c r="B35" i="26"/>
  <c r="C32" i="26"/>
  <c r="B14" i="26"/>
  <c r="B4" i="26"/>
  <c r="B94" i="26"/>
  <c r="C56" i="26"/>
  <c r="C54" i="25"/>
  <c r="B40" i="26"/>
  <c r="C12" i="26"/>
  <c r="C96" i="26"/>
  <c r="C77" i="26"/>
  <c r="C62" i="26"/>
  <c r="C58" i="26"/>
  <c r="C54" i="26"/>
  <c r="C50" i="26"/>
  <c r="C49" i="26"/>
  <c r="B15" i="26"/>
  <c r="C10" i="26"/>
  <c r="C6" i="26"/>
  <c r="C95" i="26"/>
  <c r="C57" i="26"/>
  <c r="C59" i="25"/>
  <c r="C41" i="26"/>
  <c r="C28" i="26"/>
  <c r="C8" i="26"/>
  <c r="C75" i="26"/>
  <c r="C60" i="26"/>
  <c r="C52" i="26"/>
  <c r="B47" i="26"/>
  <c r="C31" i="26"/>
  <c r="C7" i="26"/>
  <c r="B1" i="26"/>
  <c r="C141" i="24"/>
  <c r="C7" i="25"/>
  <c r="C5" i="25"/>
  <c r="C6" i="25"/>
  <c r="B3" i="25"/>
  <c r="C145" i="24"/>
  <c r="C70" i="25"/>
  <c r="C65" i="25"/>
  <c r="C60" i="25"/>
  <c r="C57" i="25"/>
  <c r="C52" i="25"/>
  <c r="C48" i="25"/>
  <c r="C42" i="25"/>
  <c r="B36" i="25"/>
  <c r="C31" i="25"/>
  <c r="C12" i="25"/>
  <c r="C61" i="25"/>
  <c r="C32" i="25"/>
  <c r="C13" i="25"/>
  <c r="C64" i="25"/>
  <c r="C56" i="25"/>
  <c r="C51" i="25"/>
  <c r="B47" i="25"/>
  <c r="B41" i="25"/>
  <c r="B16" i="25"/>
  <c r="C20" i="24"/>
  <c r="C66" i="25"/>
  <c r="C53" i="25"/>
  <c r="C72" i="25"/>
  <c r="C67" i="25"/>
  <c r="C62" i="25"/>
  <c r="C58" i="25"/>
  <c r="C55" i="25"/>
  <c r="C50" i="25"/>
  <c r="B46" i="25"/>
  <c r="C33" i="25"/>
  <c r="C29" i="25"/>
  <c r="B15" i="25"/>
  <c r="C11" i="25"/>
  <c r="C71" i="25"/>
  <c r="C9" i="25"/>
  <c r="B4" i="25"/>
  <c r="C8" i="25"/>
  <c r="C55" i="24"/>
  <c r="C60" i="24"/>
  <c r="B76" i="24"/>
  <c r="C78" i="24"/>
  <c r="C82" i="24"/>
  <c r="C88" i="24"/>
  <c r="C93" i="24"/>
  <c r="C132" i="24"/>
  <c r="C135" i="24"/>
  <c r="C139" i="24"/>
  <c r="C146" i="24"/>
  <c r="C56" i="24"/>
  <c r="C61" i="24"/>
  <c r="B54" i="24"/>
  <c r="C79" i="24"/>
  <c r="C85" i="24"/>
  <c r="C89" i="24"/>
  <c r="C94" i="24"/>
  <c r="C99" i="24"/>
  <c r="C110" i="24"/>
  <c r="C136" i="24"/>
  <c r="C142" i="24"/>
  <c r="C147" i="24"/>
  <c r="C57" i="24"/>
  <c r="C62" i="24"/>
  <c r="C77" i="24"/>
  <c r="C80" i="24"/>
  <c r="C86" i="24"/>
  <c r="C91" i="24"/>
  <c r="C100" i="24"/>
  <c r="C111" i="24"/>
  <c r="C133" i="24"/>
  <c r="C137" i="24"/>
  <c r="C143" i="24"/>
  <c r="C148" i="24"/>
  <c r="C58" i="24"/>
  <c r="C63" i="24"/>
  <c r="C84" i="24"/>
  <c r="C81" i="24"/>
  <c r="C87" i="24"/>
  <c r="C92" i="24"/>
  <c r="C101" i="24"/>
  <c r="C112" i="24"/>
  <c r="C109" i="24"/>
  <c r="B131" i="24"/>
  <c r="C134" i="24"/>
  <c r="C138" i="24"/>
  <c r="C144" i="24"/>
  <c r="B53" i="24"/>
  <c r="B479" i="19"/>
  <c r="B487" i="19"/>
  <c r="B486" i="19"/>
  <c r="B485" i="19"/>
  <c r="B483" i="19"/>
  <c r="B482" i="19"/>
  <c r="B480" i="19"/>
  <c r="B469" i="19"/>
  <c r="B477" i="19"/>
  <c r="B476" i="19"/>
  <c r="B475" i="19"/>
  <c r="B473" i="19"/>
  <c r="B472" i="19"/>
  <c r="B470" i="19"/>
  <c r="B459" i="19"/>
  <c r="B467" i="19"/>
  <c r="B466" i="19"/>
  <c r="B465" i="19"/>
  <c r="B463" i="19"/>
  <c r="B462" i="19"/>
  <c r="B460" i="19"/>
  <c r="B449" i="19"/>
  <c r="B457" i="19"/>
  <c r="B456" i="19"/>
  <c r="B455" i="19"/>
  <c r="B453" i="19"/>
  <c r="B452" i="19"/>
  <c r="B450" i="19"/>
  <c r="B439" i="19"/>
  <c r="B447" i="19"/>
  <c r="B446" i="19"/>
  <c r="B445" i="19"/>
  <c r="B443" i="19"/>
  <c r="B442" i="19"/>
  <c r="B440" i="19"/>
  <c r="B437" i="19"/>
  <c r="B436" i="19"/>
  <c r="B435" i="19"/>
  <c r="B433" i="19"/>
  <c r="B432" i="19"/>
  <c r="B430" i="19"/>
  <c r="B429" i="19"/>
  <c r="B414" i="19"/>
  <c r="B493" i="19"/>
  <c r="B492" i="19"/>
  <c r="B497" i="19"/>
  <c r="B427" i="19"/>
  <c r="B391" i="19"/>
  <c r="B398" i="19"/>
  <c r="B397" i="19"/>
  <c r="E396" i="19"/>
  <c r="N3" i="21"/>
  <c r="C50" i="24"/>
  <c r="C47" i="24"/>
  <c r="C39" i="24"/>
  <c r="C36" i="24"/>
  <c r="C43" i="24"/>
  <c r="B38" i="24"/>
  <c r="C49" i="24"/>
  <c r="C35" i="24"/>
  <c r="C32" i="24"/>
  <c r="C26" i="24"/>
  <c r="C31" i="24"/>
  <c r="C27" i="24"/>
  <c r="C34" i="24"/>
  <c r="B30" i="24"/>
  <c r="B25" i="24"/>
  <c r="C33" i="24"/>
  <c r="C28" i="24"/>
  <c r="B24" i="24"/>
  <c r="C22" i="24"/>
  <c r="C19" i="24"/>
  <c r="C16" i="24"/>
  <c r="C17" i="24"/>
  <c r="B15" i="24"/>
  <c r="C18" i="24"/>
  <c r="C13" i="24"/>
  <c r="C8" i="24"/>
  <c r="C6" i="24"/>
  <c r="C9" i="24"/>
  <c r="C12" i="24"/>
  <c r="C7" i="24"/>
  <c r="C11" i="24"/>
  <c r="B384" i="19"/>
  <c r="B362" i="19"/>
  <c r="B340" i="19"/>
  <c r="B318" i="19"/>
  <c r="B349" i="19"/>
  <c r="B327" i="19"/>
  <c r="B305" i="19"/>
  <c r="B395" i="19"/>
  <c r="B379" i="19"/>
  <c r="B383" i="19"/>
  <c r="E378" i="19"/>
  <c r="B380" i="19"/>
  <c r="B378" i="19"/>
  <c r="B376" i="19"/>
  <c r="E369" i="19"/>
  <c r="B370" i="19"/>
  <c r="B368" i="19"/>
  <c r="E347" i="19"/>
  <c r="E356" i="19"/>
  <c r="B358" i="19"/>
  <c r="B356" i="19"/>
  <c r="B361" i="19"/>
  <c r="B357" i="19"/>
  <c r="E334" i="19"/>
  <c r="B350" i="19"/>
  <c r="B354" i="19"/>
  <c r="E325" i="19"/>
  <c r="B339" i="19"/>
  <c r="B335" i="19"/>
  <c r="B348" i="19"/>
  <c r="B334" i="19"/>
  <c r="B346" i="19"/>
  <c r="B332" i="19"/>
  <c r="B336" i="19"/>
  <c r="B324" i="19"/>
  <c r="B326" i="19"/>
  <c r="B317" i="19"/>
  <c r="B314" i="19"/>
  <c r="B313" i="19"/>
  <c r="B306" i="19"/>
  <c r="E312" i="19"/>
  <c r="B312" i="19"/>
  <c r="B310" i="19"/>
  <c r="B304" i="19"/>
  <c r="E303" i="19"/>
  <c r="B302" i="19"/>
  <c r="B389" i="19"/>
  <c r="B401" i="19"/>
  <c r="B344" i="19"/>
  <c r="B366" i="19"/>
  <c r="B298" i="19"/>
  <c r="B300" i="19"/>
  <c r="B322" i="19"/>
  <c r="B287" i="19"/>
  <c r="E288" i="19"/>
  <c r="B293" i="19"/>
  <c r="B289" i="19"/>
  <c r="B288" i="19"/>
  <c r="B292" i="19"/>
  <c r="B291" i="19"/>
  <c r="B290" i="19"/>
  <c r="B286" i="19"/>
  <c r="B279" i="19"/>
  <c r="B275" i="19"/>
  <c r="B271" i="19"/>
  <c r="B267" i="19"/>
  <c r="B282" i="19"/>
  <c r="B278" i="19"/>
  <c r="B274" i="19"/>
  <c r="B270" i="19"/>
  <c r="E267" i="19"/>
  <c r="G266" i="19"/>
  <c r="B281" i="19"/>
  <c r="B277" i="19"/>
  <c r="B273" i="19"/>
  <c r="B269" i="19"/>
  <c r="B280" i="19"/>
  <c r="B276" i="19"/>
  <c r="B272" i="19"/>
  <c r="B268" i="19"/>
  <c r="E266" i="19"/>
  <c r="E248" i="19"/>
  <c r="B260" i="19"/>
  <c r="B256" i="19"/>
  <c r="B252" i="19"/>
  <c r="B248" i="19"/>
  <c r="B243" i="19"/>
  <c r="B239" i="19"/>
  <c r="B235" i="19"/>
  <c r="B231" i="19"/>
  <c r="G228" i="19"/>
  <c r="B261" i="19"/>
  <c r="B249" i="19"/>
  <c r="B236" i="19"/>
  <c r="B263" i="19"/>
  <c r="B259" i="19"/>
  <c r="B255" i="19"/>
  <c r="B251" i="19"/>
  <c r="B242" i="19"/>
  <c r="B238" i="19"/>
  <c r="B234" i="19"/>
  <c r="B230" i="19"/>
  <c r="E228" i="19"/>
  <c r="E196" i="19"/>
  <c r="B253" i="19"/>
  <c r="B240" i="19"/>
  <c r="B232" i="19"/>
  <c r="G247" i="19"/>
  <c r="B262" i="19"/>
  <c r="B258" i="19"/>
  <c r="B254" i="19"/>
  <c r="B250" i="19"/>
  <c r="E229" i="19"/>
  <c r="B241" i="19"/>
  <c r="B237" i="19"/>
  <c r="B233" i="19"/>
  <c r="B229" i="19"/>
  <c r="E247" i="19"/>
  <c r="B257" i="19"/>
  <c r="B244" i="19"/>
  <c r="B227" i="19"/>
  <c r="B156" i="19"/>
  <c r="B222" i="19"/>
  <c r="B218" i="19"/>
  <c r="B221" i="19"/>
  <c r="B217" i="19"/>
  <c r="E217" i="19"/>
  <c r="B220" i="19"/>
  <c r="B219" i="19"/>
  <c r="B199" i="19"/>
  <c r="B204" i="19"/>
  <c r="B209" i="19"/>
  <c r="B200" i="19"/>
  <c r="B205" i="19"/>
  <c r="B211" i="19"/>
  <c r="B196" i="19"/>
  <c r="B201" i="19"/>
  <c r="B207" i="19"/>
  <c r="B197" i="19"/>
  <c r="B203" i="19"/>
  <c r="B208" i="19"/>
  <c r="E195" i="19"/>
  <c r="B216" i="19"/>
  <c r="B215" i="19"/>
  <c r="B198" i="19"/>
  <c r="B202" i="19"/>
  <c r="B206" i="19"/>
  <c r="B210" i="19"/>
  <c r="G195" i="19"/>
  <c r="B161" i="19"/>
  <c r="B165" i="19"/>
  <c r="B169" i="19"/>
  <c r="B173" i="19"/>
  <c r="B177" i="19"/>
  <c r="B181" i="19"/>
  <c r="B185" i="19"/>
  <c r="B189" i="19"/>
  <c r="B159" i="19"/>
  <c r="B163" i="19"/>
  <c r="B167" i="19"/>
  <c r="B171" i="19"/>
  <c r="G157" i="19"/>
  <c r="B179" i="19"/>
  <c r="B183" i="19"/>
  <c r="B187" i="19"/>
  <c r="B191" i="19"/>
  <c r="G176" i="19"/>
  <c r="B158" i="19"/>
  <c r="B162" i="19"/>
  <c r="B166" i="19"/>
  <c r="B170" i="19"/>
  <c r="E157" i="19"/>
  <c r="B178" i="19"/>
  <c r="B182" i="19"/>
  <c r="B186" i="19"/>
  <c r="B190" i="19"/>
  <c r="E176" i="19"/>
  <c r="B160" i="19"/>
  <c r="B164" i="19"/>
  <c r="B168" i="19"/>
  <c r="B172" i="19"/>
  <c r="E158" i="19"/>
  <c r="B180" i="19"/>
  <c r="B184" i="19"/>
  <c r="B188" i="19"/>
  <c r="B192" i="19"/>
  <c r="B101" i="19"/>
  <c r="B122" i="19"/>
  <c r="B151" i="19"/>
  <c r="B148" i="19"/>
  <c r="B147" i="19"/>
  <c r="B149" i="19"/>
  <c r="E146" i="19"/>
  <c r="B146" i="19"/>
  <c r="B150" i="19"/>
  <c r="E69" i="19"/>
  <c r="B144" i="19"/>
  <c r="B145" i="19"/>
  <c r="G123" i="19"/>
  <c r="E123" i="19"/>
  <c r="E103" i="19"/>
  <c r="B126" i="19"/>
  <c r="B130" i="19"/>
  <c r="B134" i="19"/>
  <c r="B138" i="19"/>
  <c r="B125" i="19"/>
  <c r="B129" i="19"/>
  <c r="B133" i="19"/>
  <c r="B137" i="19"/>
  <c r="B123" i="19"/>
  <c r="B127" i="19"/>
  <c r="B131" i="19"/>
  <c r="B135" i="19"/>
  <c r="B139" i="19"/>
  <c r="B124" i="19"/>
  <c r="B128" i="19"/>
  <c r="B132" i="19"/>
  <c r="B136" i="19"/>
  <c r="B116" i="19"/>
  <c r="B104" i="19"/>
  <c r="B108" i="19"/>
  <c r="E102" i="19"/>
  <c r="B112" i="19"/>
  <c r="G102" i="19"/>
  <c r="B105" i="19"/>
  <c r="B109" i="19"/>
  <c r="B113" i="19"/>
  <c r="B117" i="19"/>
  <c r="B106" i="19"/>
  <c r="B110" i="19"/>
  <c r="B114" i="19"/>
  <c r="B118" i="19"/>
  <c r="B103" i="19"/>
  <c r="B107" i="19"/>
  <c r="B111" i="19"/>
  <c r="B115" i="19"/>
  <c r="B102" i="19"/>
  <c r="B80" i="19"/>
  <c r="B83" i="19"/>
  <c r="B87" i="19"/>
  <c r="B91" i="19"/>
  <c r="B95" i="19"/>
  <c r="B81" i="19"/>
  <c r="B85" i="19"/>
  <c r="B89" i="19"/>
  <c r="B93" i="19"/>
  <c r="B82" i="19"/>
  <c r="B86" i="19"/>
  <c r="B90" i="19"/>
  <c r="B94" i="19"/>
  <c r="E80" i="19"/>
  <c r="B84" i="19"/>
  <c r="B88" i="19"/>
  <c r="B92" i="19"/>
  <c r="B69" i="19"/>
  <c r="B73" i="19"/>
  <c r="B70" i="19"/>
  <c r="B74" i="19"/>
  <c r="B71" i="19"/>
  <c r="B72" i="19"/>
  <c r="B68" i="19"/>
  <c r="B67" i="19"/>
  <c r="E48" i="19"/>
  <c r="B49" i="19"/>
  <c r="B54" i="19"/>
  <c r="B62" i="19"/>
  <c r="B51" i="19"/>
  <c r="B55" i="19"/>
  <c r="B59" i="19"/>
  <c r="B63" i="19"/>
  <c r="B53" i="19"/>
  <c r="B61" i="19"/>
  <c r="B50" i="19"/>
  <c r="B58" i="19"/>
  <c r="B52" i="19"/>
  <c r="B56" i="19"/>
  <c r="B60" i="19"/>
  <c r="B64" i="19"/>
  <c r="B48" i="19"/>
  <c r="B41" i="19"/>
  <c r="B13" i="19"/>
  <c r="B11" i="19"/>
  <c r="B36" i="19"/>
  <c r="B35" i="19"/>
  <c r="B33" i="19"/>
  <c r="B34" i="19"/>
  <c r="B32" i="19"/>
  <c r="B29" i="19"/>
  <c r="B27" i="19"/>
  <c r="B25" i="19"/>
  <c r="B26" i="19"/>
  <c r="B23" i="19"/>
  <c r="B24" i="19"/>
  <c r="B22" i="19"/>
  <c r="B20" i="19"/>
  <c r="B21" i="19"/>
  <c r="B19" i="19"/>
  <c r="B16" i="19"/>
  <c r="B14" i="19"/>
  <c r="B15" i="19"/>
  <c r="F123" i="19"/>
  <c r="I152" i="19"/>
  <c r="B152" i="19" s="1"/>
  <c r="I140" i="19"/>
  <c r="B140" i="19" s="1"/>
  <c r="I119" i="19"/>
  <c r="B119" i="19" s="1"/>
  <c r="I96" i="19"/>
  <c r="B96" i="19" s="1"/>
  <c r="B294" i="19"/>
  <c r="I283" i="19"/>
  <c r="B283" i="19" s="1"/>
  <c r="I245" i="19"/>
  <c r="B245" i="19" s="1"/>
  <c r="I212" i="19"/>
  <c r="B212" i="19" s="1"/>
  <c r="B193" i="19"/>
  <c r="I223" i="19"/>
  <c r="B223" i="19" s="1"/>
  <c r="I174" i="19"/>
  <c r="B174" i="19" s="1"/>
  <c r="I75" i="19"/>
  <c r="B75" i="19" s="1"/>
  <c r="I65" i="19"/>
  <c r="B65" i="19" s="1"/>
  <c r="E498" i="19"/>
  <c r="D16" i="24"/>
  <c r="D7" i="24"/>
  <c r="D22" i="22"/>
  <c r="K52" i="20"/>
  <c r="K51" i="20"/>
  <c r="K48" i="20"/>
  <c r="K49" i="20"/>
  <c r="K46" i="20"/>
  <c r="K45" i="20"/>
  <c r="K44" i="20"/>
  <c r="K43" i="20"/>
  <c r="N28" i="20"/>
  <c r="L28" i="20"/>
  <c r="P18" i="20"/>
  <c r="P17" i="20"/>
  <c r="P16" i="20"/>
  <c r="P15" i="20"/>
  <c r="I15" i="20"/>
  <c r="K15" i="20"/>
  <c r="P14" i="20"/>
  <c r="D14" i="20"/>
  <c r="G14" i="20"/>
  <c r="H14" i="20"/>
  <c r="I14" i="20"/>
  <c r="K14" i="20" s="1"/>
  <c r="J14" i="20"/>
  <c r="P13" i="20"/>
  <c r="I13" i="20"/>
  <c r="K13" i="20" s="1"/>
  <c r="P12" i="20"/>
  <c r="P11" i="20"/>
  <c r="I11" i="20"/>
  <c r="K11" i="20" s="1"/>
  <c r="P10" i="20"/>
  <c r="I10" i="20"/>
  <c r="K10" i="20" s="1"/>
  <c r="I16" i="20"/>
  <c r="K16" i="20"/>
  <c r="I12" i="20"/>
  <c r="K12" i="20" s="1"/>
  <c r="I17" i="20"/>
  <c r="K17" i="20"/>
  <c r="I18" i="20"/>
  <c r="K18" i="20" s="1"/>
  <c r="F28" i="26"/>
  <c r="D142" i="24"/>
  <c r="F58" i="36"/>
  <c r="F60" i="36" s="1"/>
  <c r="E128" i="30"/>
  <c r="F40" i="41" l="1"/>
  <c r="I40" i="41"/>
  <c r="E40" i="41"/>
  <c r="E72" i="41"/>
  <c r="B77" i="41"/>
  <c r="I72" i="41"/>
  <c r="B51" i="41"/>
  <c r="B62" i="41"/>
  <c r="C106" i="41"/>
  <c r="C125" i="41" s="1"/>
  <c r="C25" i="41"/>
  <c r="J40" i="41"/>
  <c r="B90" i="41"/>
  <c r="C41" i="41"/>
  <c r="C59" i="41" s="1"/>
  <c r="D39" i="41"/>
  <c r="B49" i="41"/>
  <c r="D71" i="41"/>
  <c r="B57" i="41"/>
  <c r="B95" i="41"/>
  <c r="J86" i="36"/>
  <c r="G69" i="36"/>
  <c r="G86" i="36"/>
  <c r="C209" i="36"/>
  <c r="F195" i="36"/>
  <c r="F154" i="36"/>
  <c r="F205" i="36"/>
  <c r="F191" i="36"/>
  <c r="F30" i="36"/>
  <c r="F68" i="36"/>
  <c r="F77" i="36" s="1"/>
  <c r="F95" i="36" s="1"/>
  <c r="F247" i="19"/>
  <c r="F266" i="19" s="1"/>
  <c r="F190" i="40"/>
  <c r="G190" i="40" s="1"/>
  <c r="L329" i="31"/>
  <c r="L699" i="31" s="1"/>
  <c r="L325" i="31"/>
  <c r="L695" i="31" s="1"/>
  <c r="D695" i="31"/>
  <c r="HV695" i="31" s="1"/>
  <c r="HV325" i="31"/>
  <c r="G329" i="31"/>
  <c r="G699" i="31" s="1"/>
  <c r="D699" i="31"/>
  <c r="HV699" i="31" s="1"/>
  <c r="Z329" i="31"/>
  <c r="F329" i="31"/>
  <c r="F699" i="31" s="1"/>
  <c r="BK329" i="31"/>
  <c r="BK699" i="31" s="1"/>
  <c r="D697" i="31"/>
  <c r="HV697" i="31" s="1"/>
  <c r="HV327" i="31"/>
  <c r="B424" i="19"/>
  <c r="E218" i="36"/>
  <c r="HR355" i="31" s="1"/>
  <c r="E156" i="36"/>
  <c r="D5" i="36"/>
  <c r="D100" i="36" s="1"/>
  <c r="D86" i="36"/>
  <c r="D176" i="36"/>
  <c r="D213" i="36"/>
  <c r="D218" i="36" s="1"/>
  <c r="HR354" i="31" s="1"/>
  <c r="X190" i="40"/>
  <c r="X88" i="40"/>
  <c r="C26" i="36"/>
  <c r="C127" i="36" s="1"/>
  <c r="N53" i="39"/>
  <c r="O53" i="39" s="1"/>
  <c r="N75" i="39"/>
  <c r="O75" i="39" s="1"/>
  <c r="N71" i="39"/>
  <c r="O71" i="39" s="1"/>
  <c r="N18" i="39"/>
  <c r="O18" i="39" s="1"/>
  <c r="D14" i="57"/>
  <c r="D13" i="57"/>
  <c r="D7" i="57"/>
  <c r="D12" i="57"/>
  <c r="CD322" i="31"/>
  <c r="CD692" i="31" s="1"/>
  <c r="CD691" i="31"/>
  <c r="Z322" i="31"/>
  <c r="Z692" i="31" s="1"/>
  <c r="Z691" i="31"/>
  <c r="Z690" i="31"/>
  <c r="C14" i="57"/>
  <c r="C7" i="57"/>
  <c r="C12" i="57"/>
  <c r="C13" i="57"/>
  <c r="M137" i="1"/>
  <c r="B144" i="36"/>
  <c r="B147" i="36" s="1"/>
  <c r="B167" i="36"/>
  <c r="K24" i="39"/>
  <c r="M22" i="39"/>
  <c r="N22" i="39"/>
  <c r="O22" i="39" s="1"/>
  <c r="M76" i="39"/>
  <c r="N76" i="39"/>
  <c r="O76" i="39" s="1"/>
  <c r="N49" i="39"/>
  <c r="M49" i="39"/>
  <c r="K55" i="39"/>
  <c r="M23" i="39"/>
  <c r="N23" i="39"/>
  <c r="O23" i="39" s="1"/>
  <c r="B143" i="36"/>
  <c r="B146" i="36" s="1"/>
  <c r="B166" i="36"/>
  <c r="N50" i="39"/>
  <c r="O50" i="39" s="1"/>
  <c r="L55" i="39"/>
  <c r="M50" i="39"/>
  <c r="N70" i="39"/>
  <c r="L77" i="39"/>
  <c r="M70" i="39"/>
  <c r="K77" i="39"/>
  <c r="M72" i="39"/>
  <c r="N72" i="39"/>
  <c r="O72" i="39" s="1"/>
  <c r="L54" i="39"/>
  <c r="M54" i="39" s="1"/>
  <c r="J19" i="39"/>
  <c r="L19" i="39" s="1"/>
  <c r="L17" i="39"/>
  <c r="M17" i="39" s="1"/>
  <c r="W21" i="21"/>
  <c r="M18" i="39"/>
  <c r="H38" i="1"/>
  <c r="H116" i="1"/>
  <c r="H134" i="1" s="1"/>
  <c r="H148" i="1" s="1"/>
  <c r="K38" i="1"/>
  <c r="K116" i="1"/>
  <c r="K134" i="1" s="1"/>
  <c r="K148" i="1" s="1"/>
  <c r="I116" i="1"/>
  <c r="I134" i="1" s="1"/>
  <c r="I148" i="1" s="1"/>
  <c r="I38" i="1"/>
  <c r="HM374" i="31"/>
  <c r="HM378" i="31"/>
  <c r="HM12" i="31"/>
  <c r="HM382" i="31" s="1"/>
  <c r="HM16" i="31"/>
  <c r="HM386" i="31" s="1"/>
  <c r="HM20" i="31"/>
  <c r="HM390" i="31" s="1"/>
  <c r="HM24" i="31"/>
  <c r="HM394" i="31" s="1"/>
  <c r="HM28" i="31"/>
  <c r="HM398" i="31" s="1"/>
  <c r="HM32" i="31"/>
  <c r="HM402" i="31" s="1"/>
  <c r="HM36" i="31"/>
  <c r="HM406" i="31" s="1"/>
  <c r="HM410" i="31"/>
  <c r="HM414" i="31"/>
  <c r="HM418" i="31"/>
  <c r="HM422" i="31"/>
  <c r="HM430" i="31"/>
  <c r="HM434" i="31"/>
  <c r="HM74" i="31"/>
  <c r="HM444" i="31" s="1"/>
  <c r="HM78" i="31"/>
  <c r="HM448" i="31" s="1"/>
  <c r="HM458" i="31"/>
  <c r="HM92" i="31"/>
  <c r="HM462" i="31" s="1"/>
  <c r="HM96" i="31"/>
  <c r="HM466" i="31" s="1"/>
  <c r="HM100" i="31"/>
  <c r="HM470" i="31" s="1"/>
  <c r="HM104" i="31"/>
  <c r="HM474" i="31" s="1"/>
  <c r="HM108" i="31"/>
  <c r="HM478" i="31" s="1"/>
  <c r="HM482" i="31"/>
  <c r="HM486" i="31"/>
  <c r="HM498" i="31"/>
  <c r="HM506" i="31"/>
  <c r="HM510" i="31"/>
  <c r="HM377" i="31"/>
  <c r="HM11" i="31"/>
  <c r="HM381" i="31" s="1"/>
  <c r="HM15" i="31"/>
  <c r="HM385" i="31" s="1"/>
  <c r="HM19" i="31"/>
  <c r="HM389" i="31" s="1"/>
  <c r="HM23" i="31"/>
  <c r="HM393" i="31" s="1"/>
  <c r="HM27" i="31"/>
  <c r="HM397" i="31" s="1"/>
  <c r="HM31" i="31"/>
  <c r="HM401" i="31" s="1"/>
  <c r="HM35" i="31"/>
  <c r="HM405" i="31" s="1"/>
  <c r="HM409" i="31"/>
  <c r="HM413" i="31"/>
  <c r="HM417" i="31"/>
  <c r="HM421" i="31"/>
  <c r="HM429" i="31"/>
  <c r="HM433" i="31"/>
  <c r="HM437" i="31"/>
  <c r="HM73" i="31"/>
  <c r="HM443" i="31" s="1"/>
  <c r="HM77" i="31"/>
  <c r="HM447" i="31" s="1"/>
  <c r="HM91" i="31"/>
  <c r="HM461" i="31" s="1"/>
  <c r="HM95" i="31"/>
  <c r="HM465" i="31" s="1"/>
  <c r="HM99" i="31"/>
  <c r="HM469" i="31" s="1"/>
  <c r="HM103" i="31"/>
  <c r="HM473" i="31" s="1"/>
  <c r="HM107" i="31"/>
  <c r="HM477" i="31" s="1"/>
  <c r="HM481" i="31"/>
  <c r="HM485" i="31"/>
  <c r="HM505" i="31"/>
  <c r="HM509" i="31"/>
  <c r="HM513" i="31"/>
  <c r="HM376" i="31"/>
  <c r="HM380" i="31"/>
  <c r="HM14" i="31"/>
  <c r="HM384" i="31" s="1"/>
  <c r="HM18" i="31"/>
  <c r="HM388" i="31" s="1"/>
  <c r="HM22" i="31"/>
  <c r="HM392" i="31" s="1"/>
  <c r="HM26" i="31"/>
  <c r="HM396" i="31" s="1"/>
  <c r="HM30" i="31"/>
  <c r="HM400" i="31" s="1"/>
  <c r="HM34" i="31"/>
  <c r="HM404" i="31" s="1"/>
  <c r="HM408" i="31"/>
  <c r="HM412" i="31"/>
  <c r="HM416" i="31"/>
  <c r="HM420" i="31"/>
  <c r="HM432" i="31"/>
  <c r="HM436" i="31"/>
  <c r="HM442" i="31"/>
  <c r="HM76" i="31"/>
  <c r="HM446" i="31" s="1"/>
  <c r="HM80" i="31"/>
  <c r="HM450" i="31" s="1"/>
  <c r="HM90" i="31"/>
  <c r="HM460" i="31" s="1"/>
  <c r="HM94" i="31"/>
  <c r="HM464" i="31" s="1"/>
  <c r="HM98" i="31"/>
  <c r="HM468" i="31" s="1"/>
  <c r="HM431" i="31"/>
  <c r="HM441" i="31"/>
  <c r="HM79" i="31"/>
  <c r="HM449" i="31" s="1"/>
  <c r="HM101" i="31"/>
  <c r="HM471" i="31" s="1"/>
  <c r="HM105" i="31"/>
  <c r="HM475" i="31" s="1"/>
  <c r="HM479" i="31"/>
  <c r="HM483" i="31"/>
  <c r="HM487" i="31"/>
  <c r="HM120" i="31"/>
  <c r="HM490" i="31" s="1"/>
  <c r="HM500" i="31"/>
  <c r="HM529" i="31"/>
  <c r="HM533" i="31"/>
  <c r="HM537" i="31"/>
  <c r="HM541" i="31"/>
  <c r="HM545" i="31"/>
  <c r="HM191" i="31"/>
  <c r="HM561" i="31" s="1"/>
  <c r="HM195" i="31"/>
  <c r="HM565" i="31" s="1"/>
  <c r="HM199" i="31"/>
  <c r="HM569" i="31" s="1"/>
  <c r="HM573" i="31"/>
  <c r="HM235" i="31"/>
  <c r="HM605" i="31" s="1"/>
  <c r="HM239" i="31"/>
  <c r="HM609" i="31" s="1"/>
  <c r="HM243" i="31"/>
  <c r="HM613" i="31" s="1"/>
  <c r="HM247" i="31"/>
  <c r="HM617" i="31" s="1"/>
  <c r="HM251" i="31"/>
  <c r="HM621" i="31" s="1"/>
  <c r="HM255" i="31"/>
  <c r="HM625" i="31" s="1"/>
  <c r="HM259" i="31"/>
  <c r="HM629" i="31" s="1"/>
  <c r="HM633" i="31"/>
  <c r="HM637" i="31"/>
  <c r="HM271" i="31"/>
  <c r="HM641" i="31" s="1"/>
  <c r="HM275" i="31"/>
  <c r="HM645" i="31" s="1"/>
  <c r="HM649" i="31"/>
  <c r="HM653" i="31"/>
  <c r="HM657" i="31"/>
  <c r="HM661" i="31"/>
  <c r="HM665" i="31"/>
  <c r="HM669" i="31"/>
  <c r="HM682" i="31"/>
  <c r="HM686" i="31"/>
  <c r="HM379" i="31"/>
  <c r="HM17" i="31"/>
  <c r="HM387" i="31" s="1"/>
  <c r="HM25" i="31"/>
  <c r="HM395" i="31" s="1"/>
  <c r="HM33" i="31"/>
  <c r="HM403" i="31" s="1"/>
  <c r="HM411" i="31"/>
  <c r="HM419" i="31"/>
  <c r="HM89" i="31"/>
  <c r="HM459" i="31" s="1"/>
  <c r="HM97" i="31"/>
  <c r="HM467" i="31" s="1"/>
  <c r="HM507" i="31"/>
  <c r="HM511" i="31"/>
  <c r="HM516" i="31"/>
  <c r="HM528" i="31"/>
  <c r="HM162" i="31"/>
  <c r="HM532" i="31" s="1"/>
  <c r="HM536" i="31"/>
  <c r="HM540" i="31"/>
  <c r="HM544" i="31"/>
  <c r="HM548" i="31"/>
  <c r="HM552" i="31"/>
  <c r="HM190" i="31"/>
  <c r="HM560" i="31" s="1"/>
  <c r="HM194" i="31"/>
  <c r="HM564" i="31" s="1"/>
  <c r="HM198" i="31"/>
  <c r="HM568" i="31" s="1"/>
  <c r="HM572" i="31"/>
  <c r="HM576" i="31"/>
  <c r="HM604" i="31"/>
  <c r="HM238" i="31"/>
  <c r="HM608" i="31" s="1"/>
  <c r="HM242" i="31"/>
  <c r="HM612" i="31" s="1"/>
  <c r="HM246" i="31"/>
  <c r="HM616" i="31" s="1"/>
  <c r="HM250" i="31"/>
  <c r="HM620" i="31" s="1"/>
  <c r="HM254" i="31"/>
  <c r="HM624" i="31" s="1"/>
  <c r="HM258" i="31"/>
  <c r="HM628" i="31" s="1"/>
  <c r="HM636" i="31"/>
  <c r="HM270" i="31"/>
  <c r="HM640" i="31" s="1"/>
  <c r="HM274" i="31"/>
  <c r="HM644" i="31" s="1"/>
  <c r="HM648" i="31"/>
  <c r="HM652" i="31"/>
  <c r="HM656" i="31"/>
  <c r="HM660" i="31"/>
  <c r="HM664" i="31"/>
  <c r="HM668" i="31"/>
  <c r="HM672" i="31"/>
  <c r="HM681" i="31"/>
  <c r="HM685" i="31"/>
  <c r="HM435" i="31"/>
  <c r="HM75" i="31"/>
  <c r="HM445" i="31" s="1"/>
  <c r="HM102" i="31"/>
  <c r="HM472" i="31" s="1"/>
  <c r="HM106" i="31"/>
  <c r="HM476" i="31" s="1"/>
  <c r="HM480" i="31"/>
  <c r="HM484" i="31"/>
  <c r="HM499" i="31"/>
  <c r="HM515" i="31"/>
  <c r="HM527" i="31"/>
  <c r="HM161" i="31"/>
  <c r="HM531" i="31" s="1"/>
  <c r="HM535" i="31"/>
  <c r="HM539" i="31"/>
  <c r="HM543" i="31"/>
  <c r="HM547" i="31"/>
  <c r="HM551" i="31"/>
  <c r="HM189" i="31"/>
  <c r="HM559" i="31" s="1"/>
  <c r="HM193" i="31"/>
  <c r="HM563" i="31" s="1"/>
  <c r="HM197" i="31"/>
  <c r="HM567" i="31" s="1"/>
  <c r="HM571" i="31"/>
  <c r="HM575" i="31"/>
  <c r="HM237" i="31"/>
  <c r="HM607" i="31" s="1"/>
  <c r="HM241" i="31"/>
  <c r="HM611" i="31" s="1"/>
  <c r="HM245" i="31"/>
  <c r="HM615" i="31" s="1"/>
  <c r="HM249" i="31"/>
  <c r="HM619" i="31" s="1"/>
  <c r="HM253" i="31"/>
  <c r="HM623" i="31" s="1"/>
  <c r="HM257" i="31"/>
  <c r="HM627" i="31" s="1"/>
  <c r="HM635" i="31"/>
  <c r="HM269" i="31"/>
  <c r="HM639" i="31" s="1"/>
  <c r="HM273" i="31"/>
  <c r="HM643" i="31" s="1"/>
  <c r="HM277" i="31"/>
  <c r="HM647" i="31" s="1"/>
  <c r="HM651" i="31"/>
  <c r="HM655" i="31"/>
  <c r="HM659" i="31"/>
  <c r="HM663" i="31"/>
  <c r="HM667" i="31"/>
  <c r="HM671" i="31"/>
  <c r="HM680" i="31"/>
  <c r="HM684" i="31"/>
  <c r="HM21" i="31"/>
  <c r="HM391" i="31" s="1"/>
  <c r="HM423" i="31"/>
  <c r="HM508" i="31"/>
  <c r="HM538" i="31"/>
  <c r="HM550" i="31"/>
  <c r="HM558" i="31"/>
  <c r="HM574" i="31"/>
  <c r="HM248" i="31"/>
  <c r="HM618" i="31" s="1"/>
  <c r="HM272" i="31"/>
  <c r="HM642" i="31" s="1"/>
  <c r="HM658" i="31"/>
  <c r="HM13" i="31"/>
  <c r="HM383" i="31" s="1"/>
  <c r="HM415" i="31"/>
  <c r="HM504" i="31"/>
  <c r="HM526" i="31"/>
  <c r="HM542" i="31"/>
  <c r="HM192" i="31"/>
  <c r="HM562" i="31" s="1"/>
  <c r="HM236" i="31"/>
  <c r="HM606" i="31" s="1"/>
  <c r="HM252" i="31"/>
  <c r="HM622" i="31" s="1"/>
  <c r="HM276" i="31"/>
  <c r="HM646" i="31" s="1"/>
  <c r="HM662" i="31"/>
  <c r="HM37" i="31"/>
  <c r="HM407" i="31" s="1"/>
  <c r="HM93" i="31"/>
  <c r="HM463" i="31" s="1"/>
  <c r="HM530" i="31"/>
  <c r="HM546" i="31"/>
  <c r="HM196" i="31"/>
  <c r="HM566" i="31" s="1"/>
  <c r="HM240" i="31"/>
  <c r="HM610" i="31" s="1"/>
  <c r="HM256" i="31"/>
  <c r="HM626" i="31" s="1"/>
  <c r="HM634" i="31"/>
  <c r="HM650" i="31"/>
  <c r="HM666" i="31"/>
  <c r="HM683" i="31"/>
  <c r="HM260" i="31"/>
  <c r="HM630" i="31" s="1"/>
  <c r="HM654" i="31"/>
  <c r="HM687" i="31"/>
  <c r="HM29" i="31"/>
  <c r="HM399" i="31" s="1"/>
  <c r="HM534" i="31"/>
  <c r="HM670" i="31"/>
  <c r="HM570" i="31"/>
  <c r="D35" i="40"/>
  <c r="C52" i="40"/>
  <c r="C50" i="40"/>
  <c r="C48" i="40"/>
  <c r="C46" i="40"/>
  <c r="C44" i="40"/>
  <c r="C42" i="40"/>
  <c r="C40" i="40"/>
  <c r="D68" i="40"/>
  <c r="D79" i="40"/>
  <c r="D75" i="40"/>
  <c r="D71" i="40"/>
  <c r="D119" i="40"/>
  <c r="D130" i="40"/>
  <c r="D126" i="40"/>
  <c r="D122" i="40"/>
  <c r="D137" i="40"/>
  <c r="D170" i="40"/>
  <c r="D181" i="40"/>
  <c r="D177" i="40"/>
  <c r="D173" i="40"/>
  <c r="B43" i="41"/>
  <c r="B50" i="41"/>
  <c r="J72" i="41"/>
  <c r="F72" i="41"/>
  <c r="B76" i="41"/>
  <c r="HM514" i="31"/>
  <c r="HM512" i="31"/>
  <c r="C29" i="40"/>
  <c r="C25" i="40"/>
  <c r="C21" i="40"/>
  <c r="D34" i="40"/>
  <c r="D64" i="40"/>
  <c r="D60" i="40"/>
  <c r="D56" i="40"/>
  <c r="C55" i="40"/>
  <c r="D82" i="40"/>
  <c r="D78" i="40"/>
  <c r="D74" i="40"/>
  <c r="D70" i="40"/>
  <c r="C87" i="40"/>
  <c r="C123" i="40"/>
  <c r="C121" i="40"/>
  <c r="D133" i="40"/>
  <c r="D129" i="40"/>
  <c r="D125" i="40"/>
  <c r="D121" i="40"/>
  <c r="C137" i="40"/>
  <c r="D136" i="40"/>
  <c r="D154" i="40"/>
  <c r="D152" i="40"/>
  <c r="D150" i="40"/>
  <c r="D148" i="40"/>
  <c r="D146" i="40"/>
  <c r="D144" i="40"/>
  <c r="D182" i="40"/>
  <c r="D178" i="40"/>
  <c r="D174" i="40"/>
  <c r="C190" i="40"/>
  <c r="C188" i="40"/>
  <c r="C30" i="40"/>
  <c r="C26" i="40"/>
  <c r="D32" i="40"/>
  <c r="C51" i="40"/>
  <c r="C49" i="40"/>
  <c r="C47" i="40"/>
  <c r="C45" i="40"/>
  <c r="C43" i="40"/>
  <c r="C41" i="40"/>
  <c r="D65" i="40"/>
  <c r="D61" i="40"/>
  <c r="D81" i="40"/>
  <c r="D77" i="40"/>
  <c r="D73" i="40"/>
  <c r="D132" i="40"/>
  <c r="D128" i="40"/>
  <c r="D124" i="40"/>
  <c r="C134" i="40"/>
  <c r="D134" i="40"/>
  <c r="D183" i="40"/>
  <c r="D179" i="40"/>
  <c r="D175" i="40"/>
  <c r="HM244" i="31"/>
  <c r="HM614" i="31" s="1"/>
  <c r="W23" i="21"/>
  <c r="G330" i="31"/>
  <c r="G700" i="31" s="1"/>
  <c r="F3" i="30"/>
  <c r="F3" i="29"/>
  <c r="C3" i="29"/>
  <c r="D111" i="30"/>
  <c r="B7" i="30"/>
  <c r="C111" i="30"/>
  <c r="D3" i="30"/>
  <c r="F111" i="30"/>
  <c r="E3" i="29"/>
  <c r="E3" i="30"/>
  <c r="D3" i="29"/>
  <c r="C3" i="30"/>
  <c r="E111" i="30"/>
  <c r="B375" i="19"/>
  <c r="B382" i="19"/>
  <c r="B406" i="19"/>
  <c r="E319" i="31" s="1"/>
  <c r="E689" i="31" s="1"/>
  <c r="B416" i="19"/>
  <c r="E321" i="31" s="1"/>
  <c r="E691" i="31" s="1"/>
  <c r="E322" i="31"/>
  <c r="E692" i="31" s="1"/>
  <c r="B411" i="19"/>
  <c r="E320" i="31" s="1"/>
  <c r="E690" i="31" s="1"/>
  <c r="F177" i="36"/>
  <c r="HN356" i="31" s="1"/>
  <c r="F192" i="36"/>
  <c r="F155" i="36"/>
  <c r="F57" i="36"/>
  <c r="F59" i="36" s="1"/>
  <c r="F134" i="36" s="1"/>
  <c r="F32" i="36"/>
  <c r="F43" i="36"/>
  <c r="F20" i="36"/>
  <c r="F126" i="36" s="1"/>
  <c r="HM183" i="31"/>
  <c r="HM553" i="31" s="1"/>
  <c r="HM187" i="31"/>
  <c r="HM557" i="31" s="1"/>
  <c r="HM186" i="31"/>
  <c r="HM556" i="31" s="1"/>
  <c r="HM185" i="31"/>
  <c r="HM555" i="31" s="1"/>
  <c r="L24" i="36"/>
  <c r="L129" i="36" s="1"/>
  <c r="HM122" i="31"/>
  <c r="HM492" i="31" s="1"/>
  <c r="HM121" i="31"/>
  <c r="HM491" i="31" s="1"/>
  <c r="I153" i="36"/>
  <c r="HO183" i="31"/>
  <c r="HO553" i="31" s="1"/>
  <c r="HO185" i="31"/>
  <c r="HO555" i="31" s="1"/>
  <c r="HO184" i="31"/>
  <c r="HO554" i="31" s="1"/>
  <c r="HO187" i="31"/>
  <c r="HO557" i="31" s="1"/>
  <c r="HM124" i="31"/>
  <c r="HM494" i="31" s="1"/>
  <c r="HM123" i="31"/>
  <c r="HM493" i="31" s="1"/>
  <c r="HM127" i="31"/>
  <c r="HM497" i="31" s="1"/>
  <c r="HM126" i="31"/>
  <c r="HM496" i="31" s="1"/>
  <c r="HP54" i="31"/>
  <c r="HP424" i="31" s="1"/>
  <c r="HP55" i="31"/>
  <c r="HP425" i="31" s="1"/>
  <c r="HP58" i="31"/>
  <c r="HP428" i="31" s="1"/>
  <c r="HP118" i="31"/>
  <c r="HP488" i="31" s="1"/>
  <c r="HP57" i="31"/>
  <c r="HP427" i="31" s="1"/>
  <c r="HP214" i="31"/>
  <c r="HP584" i="31" s="1"/>
  <c r="HP218" i="31"/>
  <c r="HP588" i="31" s="1"/>
  <c r="HP222" i="31"/>
  <c r="HP592" i="31" s="1"/>
  <c r="HP226" i="31"/>
  <c r="HP596" i="31" s="1"/>
  <c r="HP56" i="31"/>
  <c r="HP426" i="31" s="1"/>
  <c r="HP213" i="31"/>
  <c r="HP583" i="31" s="1"/>
  <c r="HP217" i="31"/>
  <c r="HP587" i="31" s="1"/>
  <c r="HP221" i="31"/>
  <c r="HP591" i="31" s="1"/>
  <c r="HP225" i="31"/>
  <c r="HP595" i="31" s="1"/>
  <c r="HP212" i="31"/>
  <c r="HP582" i="31" s="1"/>
  <c r="HP216" i="31"/>
  <c r="HP586" i="31" s="1"/>
  <c r="HP220" i="31"/>
  <c r="HP590" i="31" s="1"/>
  <c r="HP224" i="31"/>
  <c r="HP594" i="31" s="1"/>
  <c r="Z326" i="31"/>
  <c r="HN186" i="31"/>
  <c r="HN556" i="31" s="1"/>
  <c r="HP184" i="31"/>
  <c r="HP554" i="31" s="1"/>
  <c r="HP183" i="31"/>
  <c r="HP553" i="31" s="1"/>
  <c r="HN183" i="31"/>
  <c r="HN553" i="31" s="1"/>
  <c r="HN121" i="31"/>
  <c r="HN491" i="31" s="1"/>
  <c r="HN68" i="31"/>
  <c r="HN438" i="31" s="1"/>
  <c r="HN70" i="31"/>
  <c r="HN440" i="31" s="1"/>
  <c r="HN69" i="31"/>
  <c r="HN439" i="31" s="1"/>
  <c r="HO81" i="31"/>
  <c r="HO451" i="31" s="1"/>
  <c r="HO82" i="31"/>
  <c r="HO452" i="31" s="1"/>
  <c r="HO86" i="31"/>
  <c r="HO456" i="31" s="1"/>
  <c r="HO85" i="31"/>
  <c r="HO455" i="31" s="1"/>
  <c r="HO133" i="31"/>
  <c r="HO503" i="31" s="1"/>
  <c r="HO84" i="31"/>
  <c r="HO454" i="31" s="1"/>
  <c r="HP68" i="31"/>
  <c r="HP438" i="31" s="1"/>
  <c r="HP69" i="31"/>
  <c r="HP439" i="31" s="1"/>
  <c r="HP131" i="31"/>
  <c r="HP501" i="31" s="1"/>
  <c r="HM56" i="31"/>
  <c r="HM426" i="31" s="1"/>
  <c r="HM55" i="31"/>
  <c r="HM425" i="31" s="1"/>
  <c r="HM54" i="31"/>
  <c r="HM424" i="31" s="1"/>
  <c r="HM58" i="31"/>
  <c r="HM428" i="31" s="1"/>
  <c r="HO374" i="31"/>
  <c r="HO376" i="31"/>
  <c r="HO380" i="31"/>
  <c r="HO14" i="31"/>
  <c r="HO384" i="31" s="1"/>
  <c r="HO18" i="31"/>
  <c r="HO388" i="31" s="1"/>
  <c r="HO22" i="31"/>
  <c r="HO392" i="31" s="1"/>
  <c r="HO26" i="31"/>
  <c r="HO396" i="31" s="1"/>
  <c r="HO30" i="31"/>
  <c r="HO400" i="31" s="1"/>
  <c r="HO34" i="31"/>
  <c r="HO404" i="31" s="1"/>
  <c r="HO408" i="31"/>
  <c r="HO412" i="31"/>
  <c r="HO416" i="31"/>
  <c r="HO420" i="31"/>
  <c r="HO432" i="31"/>
  <c r="HO436" i="31"/>
  <c r="HO442" i="31"/>
  <c r="HO76" i="31"/>
  <c r="HO446" i="31" s="1"/>
  <c r="HO80" i="31"/>
  <c r="HO450" i="31" s="1"/>
  <c r="HO90" i="31"/>
  <c r="HO460" i="31" s="1"/>
  <c r="HO94" i="31"/>
  <c r="HO464" i="31" s="1"/>
  <c r="HO98" i="31"/>
  <c r="HO468" i="31" s="1"/>
  <c r="HO102" i="31"/>
  <c r="HO472" i="31" s="1"/>
  <c r="HO106" i="31"/>
  <c r="HO476" i="31" s="1"/>
  <c r="HO480" i="31"/>
  <c r="HO484" i="31"/>
  <c r="HO120" i="31"/>
  <c r="HO490" i="31" s="1"/>
  <c r="HO500" i="31"/>
  <c r="HO504" i="31"/>
  <c r="HO508" i="31"/>
  <c r="HO512" i="31"/>
  <c r="HO375" i="31"/>
  <c r="HO379" i="31"/>
  <c r="HO13" i="31"/>
  <c r="HO383" i="31" s="1"/>
  <c r="HO17" i="31"/>
  <c r="HO387" i="31" s="1"/>
  <c r="HO21" i="31"/>
  <c r="HO391" i="31" s="1"/>
  <c r="HO25" i="31"/>
  <c r="HO395" i="31" s="1"/>
  <c r="HO29" i="31"/>
  <c r="HO399" i="31" s="1"/>
  <c r="HO33" i="31"/>
  <c r="HO403" i="31" s="1"/>
  <c r="HO37" i="31"/>
  <c r="HO407" i="31" s="1"/>
  <c r="HO411" i="31"/>
  <c r="HO415" i="31"/>
  <c r="HO419" i="31"/>
  <c r="HO423" i="31"/>
  <c r="HO431" i="31"/>
  <c r="HO435" i="31"/>
  <c r="HO441" i="31"/>
  <c r="HO75" i="31"/>
  <c r="HO445" i="31" s="1"/>
  <c r="HO79" i="31"/>
  <c r="HO449" i="31" s="1"/>
  <c r="HO89" i="31"/>
  <c r="HO459" i="31" s="1"/>
  <c r="HO93" i="31"/>
  <c r="HO463" i="31" s="1"/>
  <c r="HO97" i="31"/>
  <c r="HO467" i="31" s="1"/>
  <c r="HO101" i="31"/>
  <c r="HO471" i="31" s="1"/>
  <c r="HO105" i="31"/>
  <c r="HO475" i="31" s="1"/>
  <c r="HO479" i="31"/>
  <c r="HO483" i="31"/>
  <c r="HO487" i="31"/>
  <c r="HO499" i="31"/>
  <c r="HO507" i="31"/>
  <c r="HO511" i="31"/>
  <c r="HO378" i="31"/>
  <c r="HO12" i="31"/>
  <c r="HO382" i="31" s="1"/>
  <c r="HO16" i="31"/>
  <c r="HO386" i="31" s="1"/>
  <c r="HO20" i="31"/>
  <c r="HO390" i="31" s="1"/>
  <c r="HO24" i="31"/>
  <c r="HO394" i="31" s="1"/>
  <c r="HO28" i="31"/>
  <c r="HO398" i="31" s="1"/>
  <c r="HO32" i="31"/>
  <c r="HO402" i="31" s="1"/>
  <c r="HO36" i="31"/>
  <c r="HO406" i="31" s="1"/>
  <c r="HO410" i="31"/>
  <c r="HO414" i="31"/>
  <c r="HO418" i="31"/>
  <c r="HO422" i="31"/>
  <c r="HO430" i="31"/>
  <c r="HO434" i="31"/>
  <c r="HO74" i="31"/>
  <c r="HO444" i="31" s="1"/>
  <c r="HO78" i="31"/>
  <c r="HO448" i="31" s="1"/>
  <c r="HO458" i="31"/>
  <c r="HO92" i="31"/>
  <c r="HO462" i="31" s="1"/>
  <c r="HO96" i="31"/>
  <c r="HO466" i="31" s="1"/>
  <c r="HP127" i="31"/>
  <c r="HP497" i="31" s="1"/>
  <c r="HP126" i="31"/>
  <c r="HP496" i="31" s="1"/>
  <c r="HN125" i="31"/>
  <c r="HN495" i="31" s="1"/>
  <c r="HN124" i="31"/>
  <c r="HN494" i="31" s="1"/>
  <c r="HO87" i="31"/>
  <c r="HO457" i="31" s="1"/>
  <c r="HR81" i="31"/>
  <c r="HR451" i="31" s="1"/>
  <c r="HR85" i="31"/>
  <c r="HR455" i="31" s="1"/>
  <c r="HR133" i="31"/>
  <c r="HR503" i="31" s="1"/>
  <c r="HR84" i="31"/>
  <c r="HR454" i="31" s="1"/>
  <c r="HR132" i="31"/>
  <c r="HR502" i="31" s="1"/>
  <c r="HR83" i="31"/>
  <c r="HR453" i="31" s="1"/>
  <c r="HR87" i="31"/>
  <c r="HR457" i="31" s="1"/>
  <c r="HM57" i="31"/>
  <c r="HM427" i="31" s="1"/>
  <c r="HN54" i="31"/>
  <c r="HN424" i="31" s="1"/>
  <c r="HN57" i="31"/>
  <c r="HN427" i="31" s="1"/>
  <c r="HN56" i="31"/>
  <c r="HN426" i="31" s="1"/>
  <c r="HN55" i="31"/>
  <c r="HN425" i="31" s="1"/>
  <c r="HO377" i="31"/>
  <c r="HN11" i="31"/>
  <c r="HN381" i="31" s="1"/>
  <c r="HP379" i="31"/>
  <c r="HN377" i="31"/>
  <c r="HP375" i="31"/>
  <c r="HP374" i="31"/>
  <c r="HN374" i="31"/>
  <c r="HR56" i="31"/>
  <c r="HR426" i="31" s="1"/>
  <c r="HP11" i="31"/>
  <c r="HP381" i="31" s="1"/>
  <c r="HN379" i="31"/>
  <c r="B85" i="41"/>
  <c r="B122" i="41"/>
  <c r="B117" i="41"/>
  <c r="B52" i="41"/>
  <c r="B56" i="41"/>
  <c r="F118" i="36"/>
  <c r="F40" i="36"/>
  <c r="F188" i="36"/>
  <c r="F212" i="36"/>
  <c r="F104" i="36"/>
  <c r="F170" i="36"/>
  <c r="L177" i="36"/>
  <c r="L173" i="36"/>
  <c r="C12" i="40"/>
  <c r="I86" i="36"/>
  <c r="K24" i="36"/>
  <c r="K129" i="36" s="1"/>
  <c r="K79" i="36"/>
  <c r="K131" i="36" s="1"/>
  <c r="G326" i="31"/>
  <c r="G696" i="31" s="1"/>
  <c r="F325" i="31"/>
  <c r="F695" i="31" s="1"/>
  <c r="D696" i="31"/>
  <c r="HV696" i="31" s="1"/>
  <c r="BK325" i="31"/>
  <c r="CD330" i="31"/>
  <c r="CD700" i="31" s="1"/>
  <c r="L326" i="31"/>
  <c r="L696" i="31" s="1"/>
  <c r="G325" i="31"/>
  <c r="G695" i="31" s="1"/>
  <c r="E193" i="36"/>
  <c r="D177" i="36"/>
  <c r="HN354" i="31" s="1"/>
  <c r="D192" i="36"/>
  <c r="D154" i="36"/>
  <c r="C192" i="36"/>
  <c r="C32" i="36"/>
  <c r="C31" i="36" s="1"/>
  <c r="C20" i="36"/>
  <c r="C218" i="36"/>
  <c r="HR353" i="31" s="1"/>
  <c r="C154" i="36"/>
  <c r="C130" i="41"/>
  <c r="D18" i="24"/>
  <c r="C19" i="30" s="1"/>
  <c r="H45" i="1" s="1"/>
  <c r="C6" i="30"/>
  <c r="D173" i="30"/>
  <c r="D70" i="30"/>
  <c r="E6" i="30"/>
  <c r="F6" i="30" s="1"/>
  <c r="I151" i="1"/>
  <c r="I154" i="1" s="1"/>
  <c r="I158" i="1" s="1"/>
  <c r="F128" i="30"/>
  <c r="I14" i="1"/>
  <c r="D120" i="30"/>
  <c r="D136" i="30"/>
  <c r="D132" i="30"/>
  <c r="C170" i="36"/>
  <c r="C195" i="36"/>
  <c r="C156" i="36"/>
  <c r="D42" i="36"/>
  <c r="D195" i="36"/>
  <c r="F179" i="36"/>
  <c r="F175" i="36"/>
  <c r="F194" i="36"/>
  <c r="F161" i="36"/>
  <c r="F157" i="36"/>
  <c r="F153" i="36"/>
  <c r="F16" i="36"/>
  <c r="F17" i="36" s="1"/>
  <c r="F31" i="36"/>
  <c r="F89" i="36" s="1"/>
  <c r="F91" i="36" s="1"/>
  <c r="F29" i="36"/>
  <c r="F81" i="36"/>
  <c r="F150" i="36"/>
  <c r="F62" i="36"/>
  <c r="F123" i="36"/>
  <c r="F204" i="36"/>
  <c r="F18" i="36"/>
  <c r="F106" i="36" s="1"/>
  <c r="F178" i="36"/>
  <c r="F174" i="36"/>
  <c r="HM356" i="31" s="1"/>
  <c r="F193" i="36"/>
  <c r="F160" i="36"/>
  <c r="F156" i="36"/>
  <c r="F86" i="36"/>
  <c r="F69" i="36"/>
  <c r="F33" i="36"/>
  <c r="F123" i="41"/>
  <c r="H78" i="41"/>
  <c r="H109" i="41" s="1"/>
  <c r="J78" i="41"/>
  <c r="J109" i="41" s="1"/>
  <c r="I78" i="41"/>
  <c r="I109" i="41" s="1"/>
  <c r="E78" i="41"/>
  <c r="E109" i="41" s="1"/>
  <c r="D109" i="41"/>
  <c r="F78" i="41"/>
  <c r="F109" i="41" s="1"/>
  <c r="G78" i="41"/>
  <c r="G109" i="41" s="1"/>
  <c r="C109" i="41"/>
  <c r="J69" i="36"/>
  <c r="K12" i="40"/>
  <c r="HO330" i="31" s="1"/>
  <c r="HO700" i="31" s="1"/>
  <c r="M21" i="36"/>
  <c r="L69" i="36"/>
  <c r="M330" i="31"/>
  <c r="M700" i="31" s="1"/>
  <c r="L30" i="36"/>
  <c r="L25" i="36" s="1"/>
  <c r="L212" i="36"/>
  <c r="L188" i="36"/>
  <c r="L62" i="36"/>
  <c r="L53" i="36"/>
  <c r="L123" i="36"/>
  <c r="L29" i="36"/>
  <c r="L52" i="36"/>
  <c r="L84" i="36"/>
  <c r="L213" i="36"/>
  <c r="L118" i="36"/>
  <c r="L204" i="36"/>
  <c r="L81" i="36"/>
  <c r="L44" i="36"/>
  <c r="L42" i="36"/>
  <c r="L170" i="36"/>
  <c r="L150" i="36"/>
  <c r="L104" i="36"/>
  <c r="L40" i="36"/>
  <c r="L33" i="36"/>
  <c r="L194" i="36"/>
  <c r="L157" i="36"/>
  <c r="L153" i="36"/>
  <c r="L86" i="36"/>
  <c r="L130" i="36"/>
  <c r="J130" i="36"/>
  <c r="J26" i="36"/>
  <c r="J127" i="36" s="1"/>
  <c r="I24" i="36"/>
  <c r="I129" i="36" s="1"/>
  <c r="G173" i="36"/>
  <c r="L156" i="36"/>
  <c r="L26" i="36"/>
  <c r="L192" i="36" s="1"/>
  <c r="I79" i="36"/>
  <c r="I131" i="36" s="1"/>
  <c r="L205" i="36"/>
  <c r="L176" i="36"/>
  <c r="L195" i="36"/>
  <c r="L191" i="36"/>
  <c r="G177" i="36"/>
  <c r="J195" i="36"/>
  <c r="J24" i="36"/>
  <c r="J129" i="36" s="1"/>
  <c r="J157" i="36"/>
  <c r="C10" i="40"/>
  <c r="C9" i="40"/>
  <c r="H157" i="36"/>
  <c r="H173" i="36"/>
  <c r="H153" i="36"/>
  <c r="H69" i="36"/>
  <c r="H86" i="36"/>
  <c r="H205" i="36"/>
  <c r="H195" i="36"/>
  <c r="H191" i="36"/>
  <c r="G24" i="36"/>
  <c r="G156" i="36" s="1"/>
  <c r="L43" i="36"/>
  <c r="Z699" i="31"/>
  <c r="K191" i="36"/>
  <c r="K156" i="36"/>
  <c r="K195" i="36"/>
  <c r="K27" i="36"/>
  <c r="K127" i="36"/>
  <c r="M109" i="36"/>
  <c r="I61" i="1"/>
  <c r="K194" i="36"/>
  <c r="M6" i="36"/>
  <c r="K174" i="36"/>
  <c r="K69" i="36"/>
  <c r="K5" i="36"/>
  <c r="I81" i="1"/>
  <c r="K177" i="36"/>
  <c r="K173" i="36"/>
  <c r="K154" i="36"/>
  <c r="C11" i="40"/>
  <c r="K192" i="36"/>
  <c r="K205" i="36"/>
  <c r="K176" i="36"/>
  <c r="K157" i="36"/>
  <c r="K153" i="36"/>
  <c r="K86" i="36"/>
  <c r="J177" i="36"/>
  <c r="J176" i="36"/>
  <c r="J194" i="36"/>
  <c r="J156" i="36"/>
  <c r="J5" i="36"/>
  <c r="J205" i="36"/>
  <c r="J173" i="36"/>
  <c r="J191" i="36"/>
  <c r="G327" i="31"/>
  <c r="G697" i="31" s="1"/>
  <c r="L327" i="31"/>
  <c r="Z327" i="31"/>
  <c r="F327" i="31"/>
  <c r="F697" i="31" s="1"/>
  <c r="I177" i="36"/>
  <c r="I195" i="36"/>
  <c r="I157" i="36"/>
  <c r="I26" i="36"/>
  <c r="I5" i="36"/>
  <c r="I205" i="36"/>
  <c r="I173" i="36"/>
  <c r="I191" i="36"/>
  <c r="H24" i="36"/>
  <c r="H194" i="36" s="1"/>
  <c r="H5" i="36"/>
  <c r="H81" i="36" s="1"/>
  <c r="G195" i="36"/>
  <c r="G205" i="36"/>
  <c r="G191" i="36"/>
  <c r="Z696" i="31"/>
  <c r="F326" i="31"/>
  <c r="F696" i="31" s="1"/>
  <c r="BK326" i="31"/>
  <c r="H176" i="36"/>
  <c r="H156" i="36"/>
  <c r="H154" i="36"/>
  <c r="H192" i="36"/>
  <c r="H174" i="36"/>
  <c r="H127" i="36"/>
  <c r="H27" i="36"/>
  <c r="H79" i="36"/>
  <c r="H131" i="36" s="1"/>
  <c r="H177" i="36"/>
  <c r="G157" i="36"/>
  <c r="G79" i="36"/>
  <c r="G131" i="36" s="1"/>
  <c r="G26" i="36"/>
  <c r="G154" i="36" s="1"/>
  <c r="G43" i="36"/>
  <c r="G42" i="36"/>
  <c r="G53" i="36"/>
  <c r="G204" i="36"/>
  <c r="G188" i="36"/>
  <c r="G33" i="36"/>
  <c r="G29" i="36"/>
  <c r="G85" i="36"/>
  <c r="G150" i="36"/>
  <c r="G81" i="36"/>
  <c r="G30" i="36"/>
  <c r="G25" i="36" s="1"/>
  <c r="G52" i="36"/>
  <c r="G84" i="36"/>
  <c r="G118" i="36"/>
  <c r="G123" i="36"/>
  <c r="G40" i="36"/>
  <c r="G213" i="36"/>
  <c r="G170" i="36"/>
  <c r="G44" i="36"/>
  <c r="G212" i="36"/>
  <c r="G62" i="36"/>
  <c r="G104" i="36"/>
  <c r="G153" i="36"/>
  <c r="C8" i="40"/>
  <c r="J8" i="40"/>
  <c r="HN326" i="31" s="1"/>
  <c r="HN696" i="31" s="1"/>
  <c r="C7" i="40"/>
  <c r="G328" i="31"/>
  <c r="G698" i="31" s="1"/>
  <c r="D698" i="31"/>
  <c r="HV698" i="31" s="1"/>
  <c r="BK328" i="31"/>
  <c r="Z328" i="31"/>
  <c r="Z325" i="31"/>
  <c r="C188" i="36"/>
  <c r="C118" i="36"/>
  <c r="C40" i="36"/>
  <c r="D155" i="36"/>
  <c r="C177" i="36"/>
  <c r="HN353" i="31" s="1"/>
  <c r="C174" i="36"/>
  <c r="HM353" i="31" s="1"/>
  <c r="C194" i="36"/>
  <c r="C191" i="36"/>
  <c r="C157" i="36"/>
  <c r="C155" i="36"/>
  <c r="C153" i="36"/>
  <c r="C42" i="36"/>
  <c r="C33" i="36"/>
  <c r="F218" i="36"/>
  <c r="HR356" i="31" s="1"/>
  <c r="C176" i="36"/>
  <c r="C193" i="36"/>
  <c r="C43" i="36"/>
  <c r="F147" i="36"/>
  <c r="F209" i="36"/>
  <c r="D691" i="31"/>
  <c r="E139" i="40" s="1"/>
  <c r="X139" i="40" s="1"/>
  <c r="M190" i="40"/>
  <c r="E126" i="36"/>
  <c r="H68" i="1"/>
  <c r="H61" i="1"/>
  <c r="E155" i="36"/>
  <c r="E5" i="36"/>
  <c r="E42" i="36"/>
  <c r="E26" i="36"/>
  <c r="E127" i="36" s="1"/>
  <c r="E32" i="36"/>
  <c r="E31" i="36" s="1"/>
  <c r="E30" i="36" s="1"/>
  <c r="E69" i="36"/>
  <c r="M22" i="36"/>
  <c r="B419" i="19"/>
  <c r="E177" i="36"/>
  <c r="HN355" i="31" s="1"/>
  <c r="E173" i="36"/>
  <c r="E195" i="36"/>
  <c r="E191" i="36"/>
  <c r="E43" i="36"/>
  <c r="E33" i="36"/>
  <c r="M23" i="36"/>
  <c r="M14" i="36"/>
  <c r="E205" i="36"/>
  <c r="E176" i="36"/>
  <c r="E194" i="36"/>
  <c r="E157" i="36"/>
  <c r="E153" i="36"/>
  <c r="E119" i="36"/>
  <c r="E86" i="36"/>
  <c r="C39" i="37"/>
  <c r="K52" i="1" s="1"/>
  <c r="D62" i="36"/>
  <c r="D104" i="36"/>
  <c r="D204" i="36"/>
  <c r="D194" i="36"/>
  <c r="D157" i="36"/>
  <c r="D150" i="36"/>
  <c r="D170" i="36"/>
  <c r="D69" i="36"/>
  <c r="D205" i="36"/>
  <c r="D174" i="36"/>
  <c r="HM354" i="31" s="1"/>
  <c r="D193" i="36"/>
  <c r="D156" i="36"/>
  <c r="D119" i="36"/>
  <c r="D33" i="36"/>
  <c r="K49" i="1"/>
  <c r="K135" i="1" s="1"/>
  <c r="K136" i="1" s="1"/>
  <c r="D40" i="36"/>
  <c r="D188" i="36"/>
  <c r="D29" i="36"/>
  <c r="D212" i="36"/>
  <c r="C100" i="36"/>
  <c r="C123" i="36"/>
  <c r="C104" i="36"/>
  <c r="C204" i="36"/>
  <c r="C29" i="36"/>
  <c r="I20" i="1"/>
  <c r="M88" i="40"/>
  <c r="D689" i="31"/>
  <c r="E37" i="40"/>
  <c r="M30" i="40"/>
  <c r="D127" i="36"/>
  <c r="D81" i="36"/>
  <c r="D123" i="36"/>
  <c r="D118" i="36"/>
  <c r="D43" i="36"/>
  <c r="D20" i="36"/>
  <c r="D191" i="36" s="1"/>
  <c r="D32" i="36"/>
  <c r="D31" i="36" s="1"/>
  <c r="D30" i="36" s="1"/>
  <c r="K50" i="1"/>
  <c r="C62" i="36"/>
  <c r="C150" i="36"/>
  <c r="C212" i="36"/>
  <c r="J116" i="1"/>
  <c r="J134" i="1" s="1"/>
  <c r="J148" i="1" s="1"/>
  <c r="D40" i="24"/>
  <c r="D18" i="25"/>
  <c r="D25" i="26"/>
  <c r="D18" i="26"/>
  <c r="F176" i="19"/>
  <c r="C20" i="30"/>
  <c r="D19" i="26"/>
  <c r="C38" i="37"/>
  <c r="C150" i="30"/>
  <c r="C27" i="41"/>
  <c r="C129" i="41" s="1"/>
  <c r="D41" i="24"/>
  <c r="F33" i="40" s="1"/>
  <c r="C147" i="30"/>
  <c r="D147" i="30" s="1"/>
  <c r="C153" i="30"/>
  <c r="D153" i="30" s="1"/>
  <c r="C154" i="30"/>
  <c r="D154" i="30" s="1"/>
  <c r="D8" i="24"/>
  <c r="D11" i="24" s="1"/>
  <c r="D11" i="26" s="1"/>
  <c r="C124" i="30"/>
  <c r="E20" i="30"/>
  <c r="F20" i="30" s="1"/>
  <c r="E124" i="30"/>
  <c r="F124" i="30" s="1"/>
  <c r="D28" i="24"/>
  <c r="D82" i="24" s="1"/>
  <c r="C148" i="30"/>
  <c r="D148" i="30" s="1"/>
  <c r="C37" i="37"/>
  <c r="J123" i="41"/>
  <c r="E123" i="41"/>
  <c r="F96" i="36"/>
  <c r="C149" i="30"/>
  <c r="D149" i="30" s="1"/>
  <c r="E19" i="30" l="1"/>
  <c r="F19" i="30" s="1"/>
  <c r="D24" i="26"/>
  <c r="I190" i="40"/>
  <c r="CD329" i="31"/>
  <c r="CD699" i="31" s="1"/>
  <c r="M329" i="31"/>
  <c r="M699" i="31" s="1"/>
  <c r="M81" i="40"/>
  <c r="M325" i="31"/>
  <c r="M695" i="31" s="1"/>
  <c r="M21" i="40"/>
  <c r="M186" i="40"/>
  <c r="H72" i="1"/>
  <c r="M178" i="40"/>
  <c r="M89" i="40"/>
  <c r="M146" i="40"/>
  <c r="M24" i="36"/>
  <c r="I65" i="1"/>
  <c r="H129" i="36"/>
  <c r="M70" i="40"/>
  <c r="M137" i="40"/>
  <c r="M49" i="40"/>
  <c r="M183" i="40"/>
  <c r="F110" i="36"/>
  <c r="F112" i="36" s="1"/>
  <c r="D57" i="26"/>
  <c r="M105" i="40"/>
  <c r="M41" i="40"/>
  <c r="M54" i="40"/>
  <c r="F45" i="36"/>
  <c r="F196" i="36"/>
  <c r="F201" i="36" s="1"/>
  <c r="F34" i="36"/>
  <c r="H65" i="1"/>
  <c r="F84" i="36"/>
  <c r="F208" i="36"/>
  <c r="HS322" i="31" s="1"/>
  <c r="HS692" i="31" s="1"/>
  <c r="F217" i="36"/>
  <c r="F143" i="36"/>
  <c r="HN322" i="31" s="1"/>
  <c r="HN692" i="31" s="1"/>
  <c r="M62" i="40"/>
  <c r="M189" i="40"/>
  <c r="M121" i="40"/>
  <c r="M57" i="40"/>
  <c r="H9" i="57"/>
  <c r="G13" i="59" s="1"/>
  <c r="X37" i="40"/>
  <c r="C28" i="59" s="1"/>
  <c r="B19" i="60" s="1"/>
  <c r="M18" i="40"/>
  <c r="X26" i="40"/>
  <c r="X41" i="40"/>
  <c r="X57" i="40"/>
  <c r="X73" i="40"/>
  <c r="X90" i="40"/>
  <c r="X108" i="40"/>
  <c r="X124" i="40"/>
  <c r="X141" i="40"/>
  <c r="X157" i="40"/>
  <c r="X173" i="40"/>
  <c r="X189" i="40"/>
  <c r="X31" i="40"/>
  <c r="X46" i="40"/>
  <c r="X62" i="40"/>
  <c r="X78" i="40"/>
  <c r="X95" i="40"/>
  <c r="X113" i="40"/>
  <c r="X129" i="40"/>
  <c r="X146" i="40"/>
  <c r="X162" i="40"/>
  <c r="X178" i="40"/>
  <c r="X24" i="40"/>
  <c r="X43" i="40"/>
  <c r="X59" i="40"/>
  <c r="X75" i="40"/>
  <c r="X92" i="40"/>
  <c r="X106" i="40"/>
  <c r="X122" i="40"/>
  <c r="X138" i="40"/>
  <c r="X155" i="40"/>
  <c r="X171" i="40"/>
  <c r="X187" i="40"/>
  <c r="X29" i="40"/>
  <c r="X48" i="40"/>
  <c r="X64" i="40"/>
  <c r="X80" i="40"/>
  <c r="X97" i="40"/>
  <c r="X111" i="40"/>
  <c r="X127" i="40"/>
  <c r="X144" i="40"/>
  <c r="X160" i="40"/>
  <c r="X176" i="40"/>
  <c r="D49" i="25"/>
  <c r="M145" i="40"/>
  <c r="X30" i="40"/>
  <c r="X45" i="40"/>
  <c r="X61" i="40"/>
  <c r="X77" i="40"/>
  <c r="X94" i="40"/>
  <c r="X112" i="40"/>
  <c r="X128" i="40"/>
  <c r="X145" i="40"/>
  <c r="X161" i="40"/>
  <c r="X177" i="40"/>
  <c r="X19" i="40"/>
  <c r="X33" i="40"/>
  <c r="X50" i="40"/>
  <c r="X66" i="40"/>
  <c r="X82" i="40"/>
  <c r="X99" i="40"/>
  <c r="X117" i="40"/>
  <c r="X133" i="40"/>
  <c r="X150" i="40"/>
  <c r="X166" i="40"/>
  <c r="X182" i="40"/>
  <c r="X28" i="40"/>
  <c r="X47" i="40"/>
  <c r="X63" i="40"/>
  <c r="X79" i="40"/>
  <c r="X96" i="40"/>
  <c r="X110" i="40"/>
  <c r="X126" i="40"/>
  <c r="X143" i="40"/>
  <c r="X159" i="40"/>
  <c r="X175" i="40"/>
  <c r="X17" i="40"/>
  <c r="X35" i="40"/>
  <c r="X52" i="40"/>
  <c r="X68" i="40"/>
  <c r="X84" i="40"/>
  <c r="X101" i="40"/>
  <c r="X115" i="40"/>
  <c r="X131" i="40"/>
  <c r="X148" i="40"/>
  <c r="X164" i="40"/>
  <c r="X180" i="40"/>
  <c r="X18" i="40"/>
  <c r="X32" i="40"/>
  <c r="X49" i="40"/>
  <c r="X65" i="40"/>
  <c r="X81" i="40"/>
  <c r="X98" i="40"/>
  <c r="X116" i="40"/>
  <c r="X132" i="40"/>
  <c r="X149" i="40"/>
  <c r="X165" i="40"/>
  <c r="X181" i="40"/>
  <c r="X23" i="40"/>
  <c r="X38" i="40"/>
  <c r="X54" i="40"/>
  <c r="X70" i="40"/>
  <c r="X86" i="40"/>
  <c r="X103" i="40"/>
  <c r="X121" i="40"/>
  <c r="X137" i="40"/>
  <c r="X154" i="40"/>
  <c r="X170" i="40"/>
  <c r="X186" i="40"/>
  <c r="X34" i="40"/>
  <c r="X51" i="40"/>
  <c r="X67" i="40"/>
  <c r="X83" i="40"/>
  <c r="X100" i="40"/>
  <c r="X114" i="40"/>
  <c r="X130" i="40"/>
  <c r="X147" i="40"/>
  <c r="X163" i="40"/>
  <c r="X179" i="40"/>
  <c r="X21" i="40"/>
  <c r="X40" i="40"/>
  <c r="X56" i="40"/>
  <c r="X72" i="40"/>
  <c r="X89" i="40"/>
  <c r="X105" i="40"/>
  <c r="X119" i="40"/>
  <c r="X135" i="40"/>
  <c r="X152" i="40"/>
  <c r="X168" i="40"/>
  <c r="X184" i="40"/>
  <c r="M17" i="40"/>
  <c r="X22" i="40"/>
  <c r="X36" i="40"/>
  <c r="X53" i="40"/>
  <c r="X69" i="40"/>
  <c r="X85" i="40"/>
  <c r="X102" i="40"/>
  <c r="X120" i="40"/>
  <c r="X136" i="40"/>
  <c r="X153" i="40"/>
  <c r="X169" i="40"/>
  <c r="X185" i="40"/>
  <c r="X27" i="40"/>
  <c r="X42" i="40"/>
  <c r="X58" i="40"/>
  <c r="X74" i="40"/>
  <c r="X91" i="40"/>
  <c r="X109" i="40"/>
  <c r="X125" i="40"/>
  <c r="X142" i="40"/>
  <c r="X158" i="40"/>
  <c r="X174" i="40"/>
  <c r="X20" i="40"/>
  <c r="X39" i="40"/>
  <c r="X55" i="40"/>
  <c r="X71" i="40"/>
  <c r="X87" i="40"/>
  <c r="X104" i="40"/>
  <c r="X118" i="40"/>
  <c r="X134" i="40"/>
  <c r="X151" i="40"/>
  <c r="X167" i="40"/>
  <c r="X183" i="40"/>
  <c r="X25" i="40"/>
  <c r="X44" i="40"/>
  <c r="X60" i="40"/>
  <c r="X76" i="40"/>
  <c r="X93" i="40"/>
  <c r="X107" i="40"/>
  <c r="X123" i="40"/>
  <c r="X140" i="40"/>
  <c r="X156" i="40"/>
  <c r="X172" i="40"/>
  <c r="X188" i="40"/>
  <c r="D20" i="24"/>
  <c r="D5" i="25" s="1"/>
  <c r="D7" i="25" s="1"/>
  <c r="M55" i="39"/>
  <c r="O55" i="39" s="1"/>
  <c r="E6" i="57"/>
  <c r="E7" i="59" s="1"/>
  <c r="F9" i="57"/>
  <c r="D13" i="59" s="1"/>
  <c r="F13" i="57"/>
  <c r="D17" i="59" s="1"/>
  <c r="H10" i="57"/>
  <c r="G19" i="59" s="1"/>
  <c r="F14" i="57"/>
  <c r="F10" i="57"/>
  <c r="D19" i="59" s="1"/>
  <c r="E8" i="57"/>
  <c r="E9" i="59" s="1"/>
  <c r="G6" i="57"/>
  <c r="F7" i="59" s="1"/>
  <c r="F12" i="57"/>
  <c r="D27" i="59" s="1"/>
  <c r="H12" i="57"/>
  <c r="G27" i="59" s="1"/>
  <c r="H6" i="57"/>
  <c r="G7" i="59" s="1"/>
  <c r="H13" i="57"/>
  <c r="G17" i="59" s="1"/>
  <c r="E12" i="57"/>
  <c r="E27" i="59" s="1"/>
  <c r="E14" i="57"/>
  <c r="G8" i="57"/>
  <c r="F9" i="59" s="1"/>
  <c r="F8" i="57"/>
  <c r="D9" i="59" s="1"/>
  <c r="G7" i="57"/>
  <c r="F11" i="59" s="1"/>
  <c r="G14" i="57"/>
  <c r="G13" i="57"/>
  <c r="F17" i="59" s="1"/>
  <c r="E9" i="57"/>
  <c r="E13" i="59" s="1"/>
  <c r="E10" i="57"/>
  <c r="E19" i="59" s="1"/>
  <c r="E13" i="57"/>
  <c r="E17" i="59" s="1"/>
  <c r="H7" i="57"/>
  <c r="G11" i="59" s="1"/>
  <c r="H14" i="57"/>
  <c r="H8" i="57"/>
  <c r="G9" i="59" s="1"/>
  <c r="F6" i="57"/>
  <c r="D7" i="59" s="1"/>
  <c r="G9" i="57"/>
  <c r="F13" i="59" s="1"/>
  <c r="E7" i="57"/>
  <c r="E11" i="59" s="1"/>
  <c r="G10" i="57"/>
  <c r="F19" i="59" s="1"/>
  <c r="G12" i="57"/>
  <c r="F27" i="59" s="1"/>
  <c r="F7" i="57"/>
  <c r="D11" i="59" s="1"/>
  <c r="H5" i="57"/>
  <c r="G5" i="59" s="1"/>
  <c r="M139" i="40"/>
  <c r="M37" i="40"/>
  <c r="D6" i="30"/>
  <c r="H39" i="1"/>
  <c r="D124" i="30"/>
  <c r="I45" i="1"/>
  <c r="D20" i="30"/>
  <c r="H46" i="1"/>
  <c r="J174" i="36"/>
  <c r="F99" i="36"/>
  <c r="F144" i="36"/>
  <c r="BK695" i="31"/>
  <c r="F19" i="36"/>
  <c r="C208" i="36"/>
  <c r="HS319" i="31" s="1"/>
  <c r="HS689" i="31" s="1"/>
  <c r="C89" i="36"/>
  <c r="C217" i="36"/>
  <c r="C34" i="36"/>
  <c r="L32" i="36"/>
  <c r="G174" i="36"/>
  <c r="L24" i="39"/>
  <c r="O70" i="39"/>
  <c r="N77" i="39"/>
  <c r="B184" i="36"/>
  <c r="B200" i="36"/>
  <c r="B208" i="36" s="1"/>
  <c r="B217" i="36" s="1"/>
  <c r="N54" i="39"/>
  <c r="O54" i="39" s="1"/>
  <c r="N19" i="39"/>
  <c r="O19" i="39" s="1"/>
  <c r="M19" i="39"/>
  <c r="M24" i="39" s="1"/>
  <c r="O24" i="39" s="1"/>
  <c r="N55" i="39"/>
  <c r="O49" i="39"/>
  <c r="B185" i="36"/>
  <c r="B201" i="36"/>
  <c r="B209" i="36" s="1"/>
  <c r="B218" i="36" s="1"/>
  <c r="E154" i="36"/>
  <c r="M73" i="40"/>
  <c r="D89" i="24"/>
  <c r="M77" i="39"/>
  <c r="O77" i="39" s="1"/>
  <c r="N17" i="39"/>
  <c r="G192" i="36"/>
  <c r="J27" i="36"/>
  <c r="L154" i="36"/>
  <c r="J154" i="36"/>
  <c r="L174" i="36"/>
  <c r="K204" i="36"/>
  <c r="J192" i="36"/>
  <c r="I176" i="36"/>
  <c r="I194" i="36"/>
  <c r="I156" i="36"/>
  <c r="G194" i="36"/>
  <c r="G176" i="36"/>
  <c r="G129" i="36"/>
  <c r="D87" i="24"/>
  <c r="M157" i="40"/>
  <c r="M113" i="40"/>
  <c r="L31" i="36"/>
  <c r="L45" i="36" s="1"/>
  <c r="CD326" i="31"/>
  <c r="CD696" i="31" s="1"/>
  <c r="D66" i="24"/>
  <c r="F52" i="40" s="1"/>
  <c r="D100" i="24"/>
  <c r="D110" i="24" s="1"/>
  <c r="D111" i="24" s="1"/>
  <c r="C11" i="30" s="1"/>
  <c r="D50" i="26"/>
  <c r="M50" i="40"/>
  <c r="D115" i="24"/>
  <c r="M168" i="40"/>
  <c r="M129" i="40"/>
  <c r="M97" i="40"/>
  <c r="M65" i="40"/>
  <c r="M29" i="40"/>
  <c r="M175" i="40"/>
  <c r="F146" i="36"/>
  <c r="HO322" i="31" s="1"/>
  <c r="HO692" i="31" s="1"/>
  <c r="D96" i="25"/>
  <c r="D97" i="25"/>
  <c r="D96" i="26"/>
  <c r="D97" i="26"/>
  <c r="D98" i="25"/>
  <c r="D108" i="25" s="1"/>
  <c r="D95" i="26"/>
  <c r="E192" i="36"/>
  <c r="E196" i="36" s="1"/>
  <c r="E174" i="36"/>
  <c r="HM355" i="31" s="1"/>
  <c r="D45" i="36"/>
  <c r="D173" i="36"/>
  <c r="D153" i="36"/>
  <c r="C110" i="36"/>
  <c r="C112" i="36" s="1"/>
  <c r="C30" i="36"/>
  <c r="C126" i="36"/>
  <c r="C173" i="36"/>
  <c r="D19" i="30"/>
  <c r="C28" i="41"/>
  <c r="C29" i="41" s="1"/>
  <c r="C30" i="41" s="1"/>
  <c r="D19" i="25"/>
  <c r="F195" i="19"/>
  <c r="F32" i="40"/>
  <c r="F83" i="36"/>
  <c r="F85" i="36"/>
  <c r="F50" i="36"/>
  <c r="D150" i="30"/>
  <c r="F162" i="36"/>
  <c r="F166" i="36" s="1"/>
  <c r="HP322" i="31" s="1"/>
  <c r="HP692" i="31" s="1"/>
  <c r="M26" i="36"/>
  <c r="F180" i="36"/>
  <c r="F185" i="36" s="1"/>
  <c r="C45" i="36"/>
  <c r="C146" i="36"/>
  <c r="HO319" i="31" s="1"/>
  <c r="HO689" i="31" s="1"/>
  <c r="D196" i="36"/>
  <c r="D200" i="36" s="1"/>
  <c r="F107" i="36"/>
  <c r="F108" i="36" s="1"/>
  <c r="F113" i="36" s="1"/>
  <c r="F114" i="36" s="1"/>
  <c r="F115" i="36" s="1"/>
  <c r="C176" i="30"/>
  <c r="D176" i="30" s="1"/>
  <c r="C167" i="30"/>
  <c r="D167" i="30" s="1"/>
  <c r="C168" i="30"/>
  <c r="D168" i="30" s="1"/>
  <c r="C166" i="30"/>
  <c r="D166" i="30" s="1"/>
  <c r="C165" i="30"/>
  <c r="D165" i="30" s="1"/>
  <c r="C160" i="30"/>
  <c r="D160" i="30" s="1"/>
  <c r="C161" i="30"/>
  <c r="D161" i="30" s="1"/>
  <c r="C158" i="30"/>
  <c r="D158" i="30" s="1"/>
  <c r="C159" i="30"/>
  <c r="D159" i="30" s="1"/>
  <c r="M185" i="40"/>
  <c r="I72" i="1"/>
  <c r="M72" i="1" s="1"/>
  <c r="M79" i="36"/>
  <c r="L27" i="36"/>
  <c r="L127" i="36"/>
  <c r="D75" i="26"/>
  <c r="H29" i="36"/>
  <c r="H33" i="36"/>
  <c r="H44" i="36"/>
  <c r="H52" i="36"/>
  <c r="H84" i="36"/>
  <c r="H42" i="36"/>
  <c r="H118" i="36"/>
  <c r="H188" i="36"/>
  <c r="G32" i="36"/>
  <c r="K170" i="36"/>
  <c r="K81" i="36"/>
  <c r="M86" i="36"/>
  <c r="M61" i="1"/>
  <c r="K188" i="36"/>
  <c r="K104" i="36"/>
  <c r="K84" i="36"/>
  <c r="K118" i="36"/>
  <c r="K150" i="36"/>
  <c r="K40" i="36"/>
  <c r="K44" i="36"/>
  <c r="K52" i="36"/>
  <c r="K62" i="36"/>
  <c r="K33" i="36"/>
  <c r="K53" i="36"/>
  <c r="K213" i="36"/>
  <c r="K29" i="36"/>
  <c r="K43" i="36"/>
  <c r="M65" i="1"/>
  <c r="K123" i="36"/>
  <c r="K42" i="36"/>
  <c r="K212" i="36"/>
  <c r="K30" i="36"/>
  <c r="K32" i="36" s="1"/>
  <c r="J53" i="36"/>
  <c r="J118" i="36"/>
  <c r="J212" i="36"/>
  <c r="J150" i="36"/>
  <c r="J62" i="36"/>
  <c r="J42" i="36"/>
  <c r="J84" i="36"/>
  <c r="J213" i="36"/>
  <c r="J170" i="36"/>
  <c r="J188" i="36"/>
  <c r="J81" i="36"/>
  <c r="J29" i="36"/>
  <c r="J43" i="36"/>
  <c r="J33" i="36"/>
  <c r="J44" i="36"/>
  <c r="J204" i="36"/>
  <c r="J104" i="36"/>
  <c r="J30" i="36"/>
  <c r="J25" i="36" s="1"/>
  <c r="J52" i="36"/>
  <c r="J123" i="36"/>
  <c r="J40" i="36"/>
  <c r="Z697" i="31"/>
  <c r="CD327" i="31"/>
  <c r="CD697" i="31" s="1"/>
  <c r="M327" i="31"/>
  <c r="M697" i="31" s="1"/>
  <c r="L697" i="31"/>
  <c r="I42" i="36"/>
  <c r="I53" i="36"/>
  <c r="I118" i="36"/>
  <c r="I212" i="36"/>
  <c r="I204" i="36"/>
  <c r="I29" i="36"/>
  <c r="I44" i="36"/>
  <c r="I170" i="36"/>
  <c r="I188" i="36"/>
  <c r="I33" i="36"/>
  <c r="I81" i="36"/>
  <c r="I30" i="36"/>
  <c r="I43" i="36"/>
  <c r="I52" i="36"/>
  <c r="I84" i="36"/>
  <c r="I123" i="36"/>
  <c r="I104" i="36"/>
  <c r="I40" i="36"/>
  <c r="I213" i="36"/>
  <c r="I150" i="36"/>
  <c r="I62" i="36"/>
  <c r="I127" i="36"/>
  <c r="I27" i="36"/>
  <c r="I154" i="36"/>
  <c r="I192" i="36"/>
  <c r="I174" i="36"/>
  <c r="H85" i="36"/>
  <c r="H212" i="36"/>
  <c r="H170" i="36"/>
  <c r="H30" i="36"/>
  <c r="H53" i="36"/>
  <c r="H62" i="36"/>
  <c r="H40" i="36"/>
  <c r="H150" i="36"/>
  <c r="H104" i="36"/>
  <c r="H43" i="36"/>
  <c r="H204" i="36"/>
  <c r="H213" i="36"/>
  <c r="H123" i="36"/>
  <c r="BK696" i="31"/>
  <c r="M326" i="31"/>
  <c r="M696" i="31" s="1"/>
  <c r="G127" i="36"/>
  <c r="G27" i="36"/>
  <c r="G31" i="36"/>
  <c r="M328" i="31"/>
  <c r="M698" i="31" s="1"/>
  <c r="BK698" i="31"/>
  <c r="L34" i="36"/>
  <c r="L107" i="36"/>
  <c r="D12" i="40"/>
  <c r="E12" i="40" s="1"/>
  <c r="D11" i="57" s="1"/>
  <c r="L35" i="36"/>
  <c r="L119" i="36" s="1"/>
  <c r="L146" i="36" s="1"/>
  <c r="CD325" i="31"/>
  <c r="CD695" i="31" s="1"/>
  <c r="Z695" i="31"/>
  <c r="CD328" i="31"/>
  <c r="Z698" i="31"/>
  <c r="E107" i="36"/>
  <c r="E45" i="36"/>
  <c r="E46" i="36" s="1"/>
  <c r="C196" i="36"/>
  <c r="D146" i="36"/>
  <c r="HO320" i="31" s="1"/>
  <c r="HO690" i="31" s="1"/>
  <c r="F200" i="36"/>
  <c r="HP356" i="31" s="1"/>
  <c r="M69" i="36"/>
  <c r="F46" i="36"/>
  <c r="D26" i="26"/>
  <c r="D42" i="26" s="1"/>
  <c r="E209" i="36"/>
  <c r="E208" i="36"/>
  <c r="HS321" i="31" s="1"/>
  <c r="HS691" i="31" s="1"/>
  <c r="E217" i="36"/>
  <c r="E146" i="36"/>
  <c r="HO321" i="31" s="1"/>
  <c r="HO691" i="31" s="1"/>
  <c r="E34" i="36"/>
  <c r="E89" i="36"/>
  <c r="E91" i="36" s="1"/>
  <c r="E110" i="36"/>
  <c r="E112" i="36" s="1"/>
  <c r="E204" i="36"/>
  <c r="E29" i="36"/>
  <c r="E170" i="36"/>
  <c r="E62" i="36"/>
  <c r="E212" i="36"/>
  <c r="E150" i="36"/>
  <c r="E40" i="36"/>
  <c r="E81" i="36"/>
  <c r="E118" i="36"/>
  <c r="E104" i="36"/>
  <c r="E123" i="36"/>
  <c r="E188" i="36"/>
  <c r="E100" i="36"/>
  <c r="H81" i="1" s="1"/>
  <c r="M81" i="1" s="1"/>
  <c r="E84" i="36"/>
  <c r="D208" i="36"/>
  <c r="HS320" i="31" s="1"/>
  <c r="HS690" i="31" s="1"/>
  <c r="D209" i="36"/>
  <c r="D34" i="36"/>
  <c r="D110" i="36"/>
  <c r="D89" i="36"/>
  <c r="D217" i="36"/>
  <c r="C180" i="30"/>
  <c r="D180" i="30" s="1"/>
  <c r="M177" i="40"/>
  <c r="M156" i="40"/>
  <c r="M132" i="40"/>
  <c r="M116" i="40"/>
  <c r="M100" i="40"/>
  <c r="M84" i="40"/>
  <c r="M68" i="40"/>
  <c r="M52" i="40"/>
  <c r="M36" i="40"/>
  <c r="M20" i="40"/>
  <c r="D59" i="26"/>
  <c r="D68" i="24"/>
  <c r="M143" i="40"/>
  <c r="M159" i="40"/>
  <c r="M140" i="40"/>
  <c r="M74" i="40"/>
  <c r="M34" i="40"/>
  <c r="M42" i="40"/>
  <c r="Q46" i="39"/>
  <c r="D98" i="24"/>
  <c r="M184" i="40"/>
  <c r="M162" i="40"/>
  <c r="M141" i="40"/>
  <c r="M125" i="40"/>
  <c r="M109" i="40"/>
  <c r="M93" i="40"/>
  <c r="M77" i="40"/>
  <c r="M61" i="40"/>
  <c r="M45" i="40"/>
  <c r="M25" i="40"/>
  <c r="D118" i="24"/>
  <c r="D77" i="25"/>
  <c r="M46" i="40"/>
  <c r="D101" i="24"/>
  <c r="D58" i="24"/>
  <c r="D60" i="26"/>
  <c r="D62" i="25"/>
  <c r="M172" i="40"/>
  <c r="M150" i="40"/>
  <c r="M128" i="40"/>
  <c r="M112" i="40"/>
  <c r="M96" i="40"/>
  <c r="M80" i="40"/>
  <c r="M64" i="40"/>
  <c r="M48" i="40"/>
  <c r="M32" i="40"/>
  <c r="D54" i="25"/>
  <c r="D51" i="25"/>
  <c r="D59" i="25"/>
  <c r="M147" i="40"/>
  <c r="M163" i="40"/>
  <c r="M179" i="40"/>
  <c r="M124" i="40"/>
  <c r="M108" i="40"/>
  <c r="M92" i="40"/>
  <c r="M76" i="40"/>
  <c r="M60" i="40"/>
  <c r="M44" i="40"/>
  <c r="M28" i="40"/>
  <c r="D69" i="24"/>
  <c r="D76" i="26"/>
  <c r="M151" i="40"/>
  <c r="M167" i="40"/>
  <c r="D133" i="24"/>
  <c r="D134" i="24"/>
  <c r="D137" i="24" s="1"/>
  <c r="D138" i="24" s="1"/>
  <c r="D54" i="26"/>
  <c r="M27" i="40"/>
  <c r="M43" i="40"/>
  <c r="M59" i="40"/>
  <c r="M75" i="40"/>
  <c r="M83" i="40"/>
  <c r="M91" i="40"/>
  <c r="M99" i="40"/>
  <c r="M107" i="40"/>
  <c r="M115" i="40"/>
  <c r="M123" i="40"/>
  <c r="M131" i="40"/>
  <c r="M148" i="40"/>
  <c r="M158" i="40"/>
  <c r="M169" i="40"/>
  <c r="M180" i="40"/>
  <c r="D62" i="26"/>
  <c r="D67" i="24"/>
  <c r="D55" i="26"/>
  <c r="D75" i="25"/>
  <c r="D81" i="24"/>
  <c r="M165" i="40"/>
  <c r="D61" i="25"/>
  <c r="D49" i="26"/>
  <c r="D78" i="25"/>
  <c r="D139" i="24"/>
  <c r="E15" i="30" s="1"/>
  <c r="F15" i="30" s="1"/>
  <c r="M31" i="40"/>
  <c r="M47" i="40"/>
  <c r="M63" i="40"/>
  <c r="M78" i="40"/>
  <c r="M86" i="40"/>
  <c r="M94" i="40"/>
  <c r="M102" i="40"/>
  <c r="M110" i="40"/>
  <c r="M118" i="40"/>
  <c r="M126" i="40"/>
  <c r="M134" i="40"/>
  <c r="M149" i="40"/>
  <c r="M160" i="40"/>
  <c r="M170" i="40"/>
  <c r="M181" i="40"/>
  <c r="D52" i="25"/>
  <c r="D57" i="25"/>
  <c r="D79" i="24"/>
  <c r="D74" i="26"/>
  <c r="D76" i="25"/>
  <c r="M154" i="40"/>
  <c r="D116" i="24"/>
  <c r="D56" i="24"/>
  <c r="D85" i="24"/>
  <c r="D61" i="26"/>
  <c r="M19" i="40"/>
  <c r="M35" i="40"/>
  <c r="M51" i="40"/>
  <c r="M67" i="40"/>
  <c r="M79" i="40"/>
  <c r="M87" i="40"/>
  <c r="M95" i="40"/>
  <c r="M103" i="40"/>
  <c r="M111" i="40"/>
  <c r="M119" i="40"/>
  <c r="M127" i="40"/>
  <c r="M135" i="40"/>
  <c r="M142" i="40"/>
  <c r="M153" i="40"/>
  <c r="M164" i="40"/>
  <c r="M174" i="40"/>
  <c r="D56" i="25"/>
  <c r="D86" i="24"/>
  <c r="D51" i="26"/>
  <c r="M98" i="40"/>
  <c r="M176" i="40"/>
  <c r="D52" i="26"/>
  <c r="D60" i="25"/>
  <c r="D57" i="24"/>
  <c r="D55" i="24"/>
  <c r="M23" i="40"/>
  <c r="M39" i="40"/>
  <c r="M55" i="40"/>
  <c r="M71" i="40"/>
  <c r="M82" i="40"/>
  <c r="M90" i="40"/>
  <c r="M106" i="40"/>
  <c r="M114" i="40"/>
  <c r="M122" i="40"/>
  <c r="M130" i="40"/>
  <c r="M138" i="40"/>
  <c r="M144" i="40"/>
  <c r="M38" i="40"/>
  <c r="D80" i="24"/>
  <c r="Q15" i="39"/>
  <c r="D99" i="24"/>
  <c r="M188" i="40"/>
  <c r="M166" i="40"/>
  <c r="M58" i="40"/>
  <c r="M22" i="40"/>
  <c r="D50" i="25"/>
  <c r="M173" i="40"/>
  <c r="M152" i="40"/>
  <c r="M133" i="40"/>
  <c r="M117" i="40"/>
  <c r="M101" i="40"/>
  <c r="M85" i="40"/>
  <c r="M69" i="40"/>
  <c r="M53" i="40"/>
  <c r="M33" i="40"/>
  <c r="D78" i="24"/>
  <c r="M66" i="40"/>
  <c r="M26" i="40"/>
  <c r="D88" i="24"/>
  <c r="D55" i="25"/>
  <c r="Q68" i="39"/>
  <c r="D56" i="26"/>
  <c r="M182" i="40"/>
  <c r="M161" i="40"/>
  <c r="M136" i="40"/>
  <c r="M120" i="40"/>
  <c r="M104" i="40"/>
  <c r="M72" i="40"/>
  <c r="M56" i="40"/>
  <c r="M40" i="40"/>
  <c r="M24" i="40"/>
  <c r="D117" i="24"/>
  <c r="M155" i="40"/>
  <c r="M171" i="40"/>
  <c r="M187" i="40"/>
  <c r="D46" i="36"/>
  <c r="D47" i="36" s="1"/>
  <c r="D175" i="36" s="1"/>
  <c r="M20" i="36"/>
  <c r="D84" i="36"/>
  <c r="D126" i="36"/>
  <c r="D107" i="36"/>
  <c r="D67" i="26"/>
  <c r="I24" i="1"/>
  <c r="C181" i="30"/>
  <c r="D181" i="30" s="1"/>
  <c r="D25" i="25"/>
  <c r="F37" i="40"/>
  <c r="H42" i="1"/>
  <c r="C182" i="30"/>
  <c r="D182" i="30" s="1"/>
  <c r="D20" i="26"/>
  <c r="F35" i="26" s="1"/>
  <c r="D65" i="26"/>
  <c r="D66" i="26" s="1"/>
  <c r="E499" i="19"/>
  <c r="H47" i="1"/>
  <c r="H11" i="1"/>
  <c r="H16" i="1"/>
  <c r="F74" i="36"/>
  <c r="K53" i="1"/>
  <c r="F35" i="40"/>
  <c r="F36" i="40"/>
  <c r="F34" i="40"/>
  <c r="C42" i="41"/>
  <c r="C179" i="30"/>
  <c r="D179" i="30" s="1"/>
  <c r="I21" i="1"/>
  <c r="I23" i="1" s="1"/>
  <c r="I33" i="40"/>
  <c r="H33" i="40"/>
  <c r="G33" i="40"/>
  <c r="F65" i="36"/>
  <c r="K51" i="1"/>
  <c r="C40" i="37"/>
  <c r="I16" i="1"/>
  <c r="I22" i="1"/>
  <c r="D50" i="24"/>
  <c r="D45" i="24"/>
  <c r="I123" i="1"/>
  <c r="I138" i="1"/>
  <c r="E6" i="29"/>
  <c r="C6" i="29"/>
  <c r="J39" i="1" s="1"/>
  <c r="I32" i="40"/>
  <c r="H32" i="40"/>
  <c r="G32" i="40"/>
  <c r="K54" i="1"/>
  <c r="I25" i="1"/>
  <c r="C151" i="30"/>
  <c r="L110" i="36" l="1"/>
  <c r="L89" i="36"/>
  <c r="C18" i="60"/>
  <c r="D8" i="25"/>
  <c r="C10" i="60"/>
  <c r="E10" i="59"/>
  <c r="C17" i="60"/>
  <c r="F22" i="59"/>
  <c r="G10" i="59"/>
  <c r="D22" i="59"/>
  <c r="D10" i="59"/>
  <c r="C7" i="60"/>
  <c r="C14" i="60"/>
  <c r="G18" i="59"/>
  <c r="C16" i="60"/>
  <c r="C12" i="60"/>
  <c r="F18" i="59"/>
  <c r="C11" i="60"/>
  <c r="G22" i="59"/>
  <c r="E18" i="59"/>
  <c r="E22" i="59"/>
  <c r="F10" i="59"/>
  <c r="C13" i="60"/>
  <c r="D18" i="59"/>
  <c r="F17" i="60"/>
  <c r="F8" i="60"/>
  <c r="F16" i="60"/>
  <c r="F7" i="60"/>
  <c r="F10" i="60"/>
  <c r="F13" i="60"/>
  <c r="F6" i="60"/>
  <c r="F15" i="60"/>
  <c r="F18" i="60"/>
  <c r="F9" i="60"/>
  <c r="D10" i="60"/>
  <c r="D8" i="60"/>
  <c r="D11" i="60"/>
  <c r="D13" i="60"/>
  <c r="D15" i="60"/>
  <c r="D9" i="60"/>
  <c r="D16" i="60"/>
  <c r="D4" i="60"/>
  <c r="D14" i="60"/>
  <c r="D17" i="60"/>
  <c r="D18" i="60"/>
  <c r="D6" i="60"/>
  <c r="D12" i="60"/>
  <c r="D7" i="60"/>
  <c r="D5" i="60"/>
  <c r="D19" i="60"/>
  <c r="G16" i="60"/>
  <c r="G13" i="60"/>
  <c r="G10" i="60"/>
  <c r="G7" i="60"/>
  <c r="E7" i="60"/>
  <c r="E11" i="60"/>
  <c r="E17" i="60"/>
  <c r="E16" i="60"/>
  <c r="E10" i="60"/>
  <c r="E13" i="60"/>
  <c r="E12" i="60"/>
  <c r="E14" i="60"/>
  <c r="G19" i="60"/>
  <c r="C91" i="36"/>
  <c r="H67" i="1"/>
  <c r="H52" i="40"/>
  <c r="J32" i="40"/>
  <c r="J33" i="40"/>
  <c r="L33" i="40" s="1"/>
  <c r="C11" i="57"/>
  <c r="C12" i="30"/>
  <c r="D12" i="30" s="1"/>
  <c r="C14" i="30"/>
  <c r="D14" i="30" s="1"/>
  <c r="C15" i="30"/>
  <c r="D201" i="36"/>
  <c r="L217" i="36"/>
  <c r="HP354" i="31"/>
  <c r="HQ320" i="31"/>
  <c r="HQ690" i="31" s="1"/>
  <c r="N24" i="39"/>
  <c r="O17" i="39"/>
  <c r="D105" i="26"/>
  <c r="D106" i="26" s="1"/>
  <c r="F51" i="40"/>
  <c r="K39" i="1"/>
  <c r="M39" i="1" s="1"/>
  <c r="N39" i="1" s="1"/>
  <c r="E19" i="29"/>
  <c r="L208" i="36"/>
  <c r="O12" i="40" s="1"/>
  <c r="HS330" i="31" s="1"/>
  <c r="HS700" i="31" s="1"/>
  <c r="L128" i="36"/>
  <c r="L193" i="36"/>
  <c r="L196" i="36" s="1"/>
  <c r="L200" i="36" s="1"/>
  <c r="N12" i="40" s="1"/>
  <c r="HQ330" i="31" s="1"/>
  <c r="HQ700" i="31" s="1"/>
  <c r="L155" i="36"/>
  <c r="K25" i="36"/>
  <c r="K155" i="36" s="1"/>
  <c r="K193" i="36"/>
  <c r="K196" i="36" s="1"/>
  <c r="D74" i="24"/>
  <c r="E9" i="30" s="1"/>
  <c r="F9" i="30" s="1"/>
  <c r="F39" i="40"/>
  <c r="D72" i="24"/>
  <c r="D73" i="24" s="1"/>
  <c r="C9" i="30" s="1"/>
  <c r="D9" i="30" s="1"/>
  <c r="F45" i="40"/>
  <c r="F42" i="40"/>
  <c r="F47" i="40"/>
  <c r="F41" i="40"/>
  <c r="G155" i="36"/>
  <c r="G193" i="36"/>
  <c r="G196" i="36" s="1"/>
  <c r="F40" i="40"/>
  <c r="F46" i="40"/>
  <c r="F44" i="40"/>
  <c r="F38" i="40"/>
  <c r="F43" i="40"/>
  <c r="F48" i="40"/>
  <c r="F50" i="40"/>
  <c r="F49" i="40"/>
  <c r="HQ322" i="31"/>
  <c r="HQ692" i="31" s="1"/>
  <c r="D107" i="26"/>
  <c r="HO356" i="31"/>
  <c r="C107" i="36"/>
  <c r="C84" i="36"/>
  <c r="H63" i="1" s="1"/>
  <c r="E14" i="30"/>
  <c r="F14" i="30" s="1"/>
  <c r="C117" i="30"/>
  <c r="D117" i="30" s="1"/>
  <c r="F167" i="36"/>
  <c r="D26" i="25"/>
  <c r="D72" i="25" s="1"/>
  <c r="D20" i="25"/>
  <c r="F87" i="36"/>
  <c r="F92" i="36" s="1"/>
  <c r="F184" i="36"/>
  <c r="HR322" i="31" s="1"/>
  <c r="HR692" i="31" s="1"/>
  <c r="I52" i="40"/>
  <c r="D151" i="30"/>
  <c r="D11" i="30"/>
  <c r="E117" i="30"/>
  <c r="F117" i="30" s="1"/>
  <c r="C46" i="36"/>
  <c r="C47" i="36" s="1"/>
  <c r="N96" i="1"/>
  <c r="F56" i="40"/>
  <c r="F60" i="40"/>
  <c r="F64" i="40"/>
  <c r="F53" i="40"/>
  <c r="F57" i="40"/>
  <c r="F61" i="40"/>
  <c r="F65" i="40"/>
  <c r="F54" i="40"/>
  <c r="F58" i="40"/>
  <c r="F62" i="40"/>
  <c r="F66" i="40"/>
  <c r="F55" i="40"/>
  <c r="F59" i="40"/>
  <c r="F63" i="40"/>
  <c r="F67" i="40"/>
  <c r="N72" i="1"/>
  <c r="M93" i="1"/>
  <c r="N93" i="1" s="1"/>
  <c r="N65" i="1"/>
  <c r="N81" i="1"/>
  <c r="C169" i="30"/>
  <c r="C162" i="30"/>
  <c r="G52" i="40"/>
  <c r="K31" i="36"/>
  <c r="I27" i="1"/>
  <c r="I63" i="1"/>
  <c r="J31" i="36"/>
  <c r="J34" i="36" s="1"/>
  <c r="J32" i="36"/>
  <c r="D11" i="40" s="1"/>
  <c r="J128" i="36"/>
  <c r="J155" i="36"/>
  <c r="J193" i="36"/>
  <c r="J196" i="36" s="1"/>
  <c r="I31" i="36"/>
  <c r="I25" i="36"/>
  <c r="I32" i="36"/>
  <c r="H25" i="36"/>
  <c r="H31" i="36"/>
  <c r="H32" i="36"/>
  <c r="G128" i="36"/>
  <c r="M27" i="36"/>
  <c r="G89" i="36"/>
  <c r="G45" i="36"/>
  <c r="G34" i="36"/>
  <c r="G107" i="36"/>
  <c r="G110" i="36"/>
  <c r="G35" i="36"/>
  <c r="D7" i="40"/>
  <c r="L46" i="36"/>
  <c r="L47" i="36" s="1"/>
  <c r="L175" i="36" s="1"/>
  <c r="CD698" i="31"/>
  <c r="D77" i="26"/>
  <c r="L90" i="36"/>
  <c r="L91" i="36" s="1"/>
  <c r="L37" i="36"/>
  <c r="L120" i="36"/>
  <c r="L111" i="36"/>
  <c r="L112" i="36" s="1"/>
  <c r="C200" i="36"/>
  <c r="C201" i="36"/>
  <c r="F47" i="36"/>
  <c r="F72" i="36" s="1"/>
  <c r="I30" i="1"/>
  <c r="N46" i="40"/>
  <c r="E201" i="36"/>
  <c r="E200" i="36"/>
  <c r="M104" i="1"/>
  <c r="N104" i="1" s="1"/>
  <c r="E47" i="36"/>
  <c r="H41" i="1"/>
  <c r="I29" i="1"/>
  <c r="I26" i="1"/>
  <c r="I28" i="1" s="1"/>
  <c r="D112" i="24"/>
  <c r="E11" i="30" s="1"/>
  <c r="F11" i="30" s="1"/>
  <c r="D91" i="36"/>
  <c r="D112" i="36"/>
  <c r="C203" i="30"/>
  <c r="D203" i="30" s="1"/>
  <c r="C204" i="30"/>
  <c r="D204" i="30" s="1"/>
  <c r="C202" i="30"/>
  <c r="D202" i="30" s="1"/>
  <c r="C201" i="30"/>
  <c r="D201" i="30" s="1"/>
  <c r="N45" i="40"/>
  <c r="N33" i="40"/>
  <c r="N38" i="40"/>
  <c r="D63" i="24"/>
  <c r="E8" i="30" s="1"/>
  <c r="D61" i="24"/>
  <c r="D62" i="24" s="1"/>
  <c r="C8" i="30" s="1"/>
  <c r="F24" i="40"/>
  <c r="F20" i="40"/>
  <c r="F21" i="40"/>
  <c r="F19" i="40"/>
  <c r="F17" i="40"/>
  <c r="F28" i="40"/>
  <c r="F30" i="40"/>
  <c r="F25" i="40"/>
  <c r="F22" i="40"/>
  <c r="F23" i="40"/>
  <c r="F31" i="40"/>
  <c r="F29" i="40"/>
  <c r="F27" i="40"/>
  <c r="F18" i="40"/>
  <c r="F26" i="40"/>
  <c r="D72" i="36"/>
  <c r="D75" i="36"/>
  <c r="D49" i="36"/>
  <c r="D66" i="36"/>
  <c r="D41" i="26"/>
  <c r="D43" i="26" s="1"/>
  <c r="C183" i="30"/>
  <c r="D28" i="26"/>
  <c r="H37" i="40"/>
  <c r="I37" i="40"/>
  <c r="G37" i="40"/>
  <c r="C19" i="60" s="1"/>
  <c r="N17" i="40"/>
  <c r="H17" i="1"/>
  <c r="H18" i="1" s="1"/>
  <c r="I34" i="40"/>
  <c r="H34" i="40"/>
  <c r="G34" i="40"/>
  <c r="I36" i="40"/>
  <c r="H36" i="40"/>
  <c r="G36" i="40"/>
  <c r="H35" i="40"/>
  <c r="G35" i="40"/>
  <c r="I35" i="40"/>
  <c r="D146" i="24"/>
  <c r="D147" i="24" s="1"/>
  <c r="C119" i="30" s="1"/>
  <c r="D119" i="30" s="1"/>
  <c r="D148" i="24"/>
  <c r="E119" i="30" s="1"/>
  <c r="F119" i="30" s="1"/>
  <c r="I47" i="1"/>
  <c r="C11" i="41"/>
  <c r="D21" i="25"/>
  <c r="D37" i="25" s="1"/>
  <c r="I18" i="1"/>
  <c r="N32" i="40"/>
  <c r="D127" i="24"/>
  <c r="D128" i="24" s="1"/>
  <c r="C116" i="30" s="1"/>
  <c r="F83" i="40"/>
  <c r="F84" i="40"/>
  <c r="F85" i="40"/>
  <c r="F86" i="40"/>
  <c r="F87" i="40"/>
  <c r="D129" i="24"/>
  <c r="E116" i="30" s="1"/>
  <c r="F116" i="30" s="1"/>
  <c r="J17" i="1"/>
  <c r="C19" i="29"/>
  <c r="J11" i="1"/>
  <c r="F88" i="40"/>
  <c r="I42" i="1"/>
  <c r="D47" i="24"/>
  <c r="D32" i="24"/>
  <c r="D35" i="24" s="1"/>
  <c r="D36" i="24" s="1"/>
  <c r="D116" i="30" l="1"/>
  <c r="I41" i="1"/>
  <c r="E20" i="29"/>
  <c r="C20" i="29"/>
  <c r="D9" i="25"/>
  <c r="E9" i="29" s="1"/>
  <c r="F9" i="29" s="1"/>
  <c r="K128" i="36"/>
  <c r="D20" i="60"/>
  <c r="L32" i="40"/>
  <c r="P32" i="40" s="1"/>
  <c r="W33" i="40"/>
  <c r="K33" i="40"/>
  <c r="O33" i="40" s="1"/>
  <c r="S33" i="40"/>
  <c r="W32" i="40"/>
  <c r="K32" i="40"/>
  <c r="S32" i="40"/>
  <c r="G43" i="40"/>
  <c r="G40" i="40"/>
  <c r="H47" i="40"/>
  <c r="H39" i="40"/>
  <c r="J37" i="40"/>
  <c r="J36" i="40"/>
  <c r="W36" i="40" s="1"/>
  <c r="J52" i="40"/>
  <c r="L52" i="40" s="1"/>
  <c r="I49" i="40"/>
  <c r="I38" i="40"/>
  <c r="H42" i="40"/>
  <c r="J35" i="40"/>
  <c r="L35" i="40" s="1"/>
  <c r="J34" i="40"/>
  <c r="K34" i="40" s="1"/>
  <c r="G50" i="40"/>
  <c r="G44" i="40"/>
  <c r="I45" i="40"/>
  <c r="H51" i="40"/>
  <c r="G48" i="40"/>
  <c r="I46" i="40"/>
  <c r="G41" i="40"/>
  <c r="H43" i="1"/>
  <c r="H13" i="1"/>
  <c r="G51" i="40"/>
  <c r="E7" i="40"/>
  <c r="C5" i="57"/>
  <c r="E11" i="40"/>
  <c r="C10" i="57"/>
  <c r="D67" i="25"/>
  <c r="E8" i="29" s="1"/>
  <c r="D65" i="25"/>
  <c r="D66" i="25" s="1"/>
  <c r="C8" i="29" s="1"/>
  <c r="J40" i="1" s="1"/>
  <c r="D19" i="29"/>
  <c r="J45" i="1"/>
  <c r="C32" i="30"/>
  <c r="D32" i="30" s="1"/>
  <c r="D15" i="30"/>
  <c r="H14" i="1"/>
  <c r="D8" i="30"/>
  <c r="H40" i="1"/>
  <c r="C24" i="30"/>
  <c r="F8" i="30"/>
  <c r="E12" i="30"/>
  <c r="F12" i="30" s="1"/>
  <c r="M84" i="36"/>
  <c r="I51" i="40"/>
  <c r="D27" i="25"/>
  <c r="D29" i="25" s="1"/>
  <c r="D38" i="25" s="1"/>
  <c r="D89" i="25" s="1"/>
  <c r="E11" i="29" s="1"/>
  <c r="K45" i="36"/>
  <c r="K89" i="36"/>
  <c r="G47" i="40"/>
  <c r="I39" i="40"/>
  <c r="G39" i="40"/>
  <c r="I47" i="40"/>
  <c r="H40" i="40"/>
  <c r="H45" i="40"/>
  <c r="H44" i="40"/>
  <c r="I40" i="40"/>
  <c r="I42" i="40"/>
  <c r="G45" i="40"/>
  <c r="G38" i="40"/>
  <c r="G42" i="40"/>
  <c r="H128" i="36"/>
  <c r="H193" i="36"/>
  <c r="H196" i="36" s="1"/>
  <c r="H155" i="36"/>
  <c r="I44" i="40"/>
  <c r="H50" i="40"/>
  <c r="M63" i="1"/>
  <c r="N63" i="1" s="1"/>
  <c r="I50" i="40"/>
  <c r="H41" i="40"/>
  <c r="G49" i="40"/>
  <c r="I41" i="40"/>
  <c r="H49" i="40"/>
  <c r="H38" i="40"/>
  <c r="H48" i="40"/>
  <c r="I48" i="40"/>
  <c r="H46" i="40"/>
  <c r="G46" i="40"/>
  <c r="I43" i="40"/>
  <c r="H43" i="40"/>
  <c r="K35" i="36"/>
  <c r="K119" i="36" s="1"/>
  <c r="K208" i="36" s="1"/>
  <c r="O11" i="40" s="1"/>
  <c r="HS329" i="31" s="1"/>
  <c r="HS699" i="31" s="1"/>
  <c r="K107" i="36"/>
  <c r="E75" i="36"/>
  <c r="E175" i="36"/>
  <c r="D70" i="25"/>
  <c r="D71" i="25" s="1"/>
  <c r="C9" i="29" s="1"/>
  <c r="D9" i="29" s="1"/>
  <c r="J42" i="1"/>
  <c r="M42" i="1" s="1"/>
  <c r="N42" i="1" s="1"/>
  <c r="F139" i="40"/>
  <c r="E23" i="30"/>
  <c r="F23" i="30" s="1"/>
  <c r="C66" i="36"/>
  <c r="C175" i="36"/>
  <c r="I13" i="1"/>
  <c r="N52" i="40"/>
  <c r="C196" i="30"/>
  <c r="D196" i="30" s="1"/>
  <c r="D169" i="30"/>
  <c r="C209" i="30"/>
  <c r="D209" i="30" s="1"/>
  <c r="D183" i="30"/>
  <c r="C187" i="30"/>
  <c r="D187" i="30" s="1"/>
  <c r="D162" i="30"/>
  <c r="N42" i="40"/>
  <c r="N44" i="40"/>
  <c r="C72" i="36"/>
  <c r="C75" i="36"/>
  <c r="C49" i="36"/>
  <c r="D86" i="26"/>
  <c r="D87" i="26" s="1"/>
  <c r="D88" i="26"/>
  <c r="N39" i="40"/>
  <c r="J45" i="36"/>
  <c r="J46" i="36" s="1"/>
  <c r="M25" i="36"/>
  <c r="K110" i="36"/>
  <c r="K34" i="36"/>
  <c r="I31" i="1"/>
  <c r="I150" i="1" s="1"/>
  <c r="I152" i="1" s="1"/>
  <c r="I155" i="1" s="1"/>
  <c r="I159" i="1" s="1"/>
  <c r="J110" i="36"/>
  <c r="J35" i="36"/>
  <c r="J90" i="36" s="1"/>
  <c r="D10" i="40"/>
  <c r="J107" i="36"/>
  <c r="J89" i="36"/>
  <c r="I193" i="36"/>
  <c r="I196" i="36" s="1"/>
  <c r="I128" i="36"/>
  <c r="I155" i="36"/>
  <c r="I45" i="36"/>
  <c r="I46" i="36" s="1"/>
  <c r="I89" i="36"/>
  <c r="I110" i="36"/>
  <c r="I35" i="36"/>
  <c r="I107" i="36"/>
  <c r="I34" i="36"/>
  <c r="D9" i="40"/>
  <c r="H35" i="36"/>
  <c r="H110" i="36"/>
  <c r="H34" i="36"/>
  <c r="H89" i="36"/>
  <c r="H45" i="36"/>
  <c r="H46" i="36" s="1"/>
  <c r="D8" i="40"/>
  <c r="H107" i="36"/>
  <c r="O110" i="19"/>
  <c r="O111" i="19"/>
  <c r="O113" i="19"/>
  <c r="O115" i="19"/>
  <c r="O117" i="19"/>
  <c r="G111" i="36"/>
  <c r="G112" i="36" s="1"/>
  <c r="G37" i="36"/>
  <c r="G119" i="36" s="1"/>
  <c r="G90" i="36"/>
  <c r="G91" i="36" s="1"/>
  <c r="G46" i="36"/>
  <c r="G47" i="36" s="1"/>
  <c r="L72" i="36"/>
  <c r="L75" i="36"/>
  <c r="K46" i="36"/>
  <c r="L209" i="36"/>
  <c r="L147" i="36"/>
  <c r="L218" i="36"/>
  <c r="L201" i="36"/>
  <c r="K111" i="36"/>
  <c r="L66" i="36"/>
  <c r="L49" i="36"/>
  <c r="P33" i="40"/>
  <c r="I32" i="1"/>
  <c r="E72" i="36"/>
  <c r="I35" i="1"/>
  <c r="I118" i="1" s="1"/>
  <c r="I120" i="1" s="1"/>
  <c r="I125" i="1" s="1"/>
  <c r="I127" i="1" s="1"/>
  <c r="I132" i="1" s="1"/>
  <c r="I33" i="1"/>
  <c r="E49" i="36"/>
  <c r="D102" i="26"/>
  <c r="E66" i="36"/>
  <c r="D100" i="26"/>
  <c r="D101" i="26" s="1"/>
  <c r="HQ319" i="31"/>
  <c r="HP353" i="31"/>
  <c r="F49" i="36"/>
  <c r="F51" i="36" s="1"/>
  <c r="F75" i="36"/>
  <c r="F98" i="36" s="1"/>
  <c r="F66" i="36"/>
  <c r="F94" i="36" s="1"/>
  <c r="C188" i="30"/>
  <c r="D188" i="30" s="1"/>
  <c r="D37" i="26"/>
  <c r="D38" i="26" s="1"/>
  <c r="D91" i="26" s="1"/>
  <c r="HQ321" i="31"/>
  <c r="HQ691" i="31" s="1"/>
  <c r="HP355" i="31"/>
  <c r="C189" i="30"/>
  <c r="D189" i="30" s="1"/>
  <c r="C190" i="30"/>
  <c r="D190" i="30" s="1"/>
  <c r="H69" i="1"/>
  <c r="C210" i="30"/>
  <c r="D210" i="30" s="1"/>
  <c r="I34" i="1"/>
  <c r="C195" i="30"/>
  <c r="D195" i="30" s="1"/>
  <c r="C194" i="30"/>
  <c r="D194" i="30" s="1"/>
  <c r="C197" i="30"/>
  <c r="D197" i="30" s="1"/>
  <c r="C205" i="30"/>
  <c r="D205" i="30" s="1"/>
  <c r="N40" i="40"/>
  <c r="H18" i="40"/>
  <c r="G18" i="40"/>
  <c r="C4" i="60" s="1"/>
  <c r="I18" i="40"/>
  <c r="H23" i="40"/>
  <c r="I23" i="40"/>
  <c r="G23" i="40"/>
  <c r="I28" i="40"/>
  <c r="H28" i="40"/>
  <c r="G28" i="40"/>
  <c r="G20" i="40"/>
  <c r="C5" i="60" s="1"/>
  <c r="H20" i="40"/>
  <c r="I20" i="40"/>
  <c r="H27" i="40"/>
  <c r="I27" i="40"/>
  <c r="G27" i="40"/>
  <c r="G22" i="40"/>
  <c r="C15" i="60" s="1"/>
  <c r="H22" i="40"/>
  <c r="I22" i="40"/>
  <c r="H17" i="40"/>
  <c r="I17" i="40"/>
  <c r="G17" i="40"/>
  <c r="C8" i="60" s="1"/>
  <c r="H24" i="40"/>
  <c r="G24" i="40"/>
  <c r="I24" i="40"/>
  <c r="G29" i="40"/>
  <c r="H29" i="40"/>
  <c r="I29" i="40"/>
  <c r="G25" i="40"/>
  <c r="H25" i="40"/>
  <c r="I25" i="40"/>
  <c r="G19" i="40"/>
  <c r="C6" i="60" s="1"/>
  <c r="I19" i="40"/>
  <c r="H19" i="40"/>
  <c r="C31" i="30"/>
  <c r="C23" i="30"/>
  <c r="D23" i="30" s="1"/>
  <c r="H26" i="40"/>
  <c r="I26" i="40"/>
  <c r="G26" i="40"/>
  <c r="I31" i="40"/>
  <c r="H31" i="40"/>
  <c r="G31" i="40"/>
  <c r="G30" i="40"/>
  <c r="H30" i="40"/>
  <c r="I30" i="40"/>
  <c r="G21" i="40"/>
  <c r="C9" i="60" s="1"/>
  <c r="H21" i="40"/>
  <c r="I21" i="40"/>
  <c r="C211" i="30"/>
  <c r="D211" i="30" s="1"/>
  <c r="C208" i="30"/>
  <c r="D208" i="30" s="1"/>
  <c r="D94" i="24"/>
  <c r="E114" i="30" s="1"/>
  <c r="D92" i="24"/>
  <c r="D93" i="24" s="1"/>
  <c r="C114" i="30" s="1"/>
  <c r="I85" i="40"/>
  <c r="H85" i="40"/>
  <c r="G85" i="40"/>
  <c r="F75" i="40"/>
  <c r="F77" i="40"/>
  <c r="F80" i="40"/>
  <c r="F73" i="40"/>
  <c r="F78" i="40"/>
  <c r="F68" i="40"/>
  <c r="F71" i="40"/>
  <c r="F74" i="40"/>
  <c r="F81" i="40"/>
  <c r="F69" i="40"/>
  <c r="F76" i="40"/>
  <c r="F79" i="40"/>
  <c r="F82" i="40"/>
  <c r="F70" i="40"/>
  <c r="F72" i="40"/>
  <c r="H59" i="40"/>
  <c r="I59" i="40"/>
  <c r="G59" i="40"/>
  <c r="G58" i="40"/>
  <c r="E15" i="60" s="1"/>
  <c r="H58" i="40"/>
  <c r="I58" i="40"/>
  <c r="H56" i="40"/>
  <c r="I56" i="40"/>
  <c r="G56" i="40"/>
  <c r="E8" i="60" s="1"/>
  <c r="I57" i="40"/>
  <c r="G57" i="40"/>
  <c r="E9" i="60" s="1"/>
  <c r="H57" i="40"/>
  <c r="I87" i="40"/>
  <c r="H87" i="40"/>
  <c r="G87" i="40"/>
  <c r="I83" i="40"/>
  <c r="H83" i="40"/>
  <c r="G83" i="40"/>
  <c r="E18" i="60" s="1"/>
  <c r="H67" i="40"/>
  <c r="I67" i="40"/>
  <c r="G67" i="40"/>
  <c r="I55" i="40"/>
  <c r="H55" i="40"/>
  <c r="G55" i="40"/>
  <c r="E6" i="60" s="1"/>
  <c r="H53" i="40"/>
  <c r="I53" i="40"/>
  <c r="G53" i="40"/>
  <c r="E4" i="60" s="1"/>
  <c r="H64" i="40"/>
  <c r="I64" i="40"/>
  <c r="G64" i="40"/>
  <c r="H54" i="40"/>
  <c r="G54" i="40"/>
  <c r="E5" i="60" s="1"/>
  <c r="I54" i="40"/>
  <c r="I88" i="40"/>
  <c r="H88" i="40"/>
  <c r="G88" i="40"/>
  <c r="E19" i="60" s="1"/>
  <c r="I86" i="40"/>
  <c r="H86" i="40"/>
  <c r="G86" i="40"/>
  <c r="G66" i="40"/>
  <c r="H66" i="40"/>
  <c r="I66" i="40"/>
  <c r="I65" i="40"/>
  <c r="G65" i="40"/>
  <c r="H65" i="40"/>
  <c r="D42" i="25"/>
  <c r="J138" i="1" s="1"/>
  <c r="D101" i="25"/>
  <c r="D102" i="25" s="1"/>
  <c r="C14" i="29" s="1"/>
  <c r="D103" i="25"/>
  <c r="G11" i="41"/>
  <c r="E11" i="41"/>
  <c r="F11" i="41"/>
  <c r="D11" i="41"/>
  <c r="J11" i="41"/>
  <c r="H11" i="41"/>
  <c r="I11" i="41"/>
  <c r="I43" i="1"/>
  <c r="H63" i="40"/>
  <c r="I63" i="40"/>
  <c r="G63" i="40"/>
  <c r="H62" i="40"/>
  <c r="G62" i="40"/>
  <c r="I62" i="40"/>
  <c r="G61" i="40"/>
  <c r="H61" i="40"/>
  <c r="I61" i="40"/>
  <c r="H60" i="40"/>
  <c r="I60" i="40"/>
  <c r="G60" i="40"/>
  <c r="I84" i="40"/>
  <c r="H84" i="40"/>
  <c r="G84" i="40"/>
  <c r="K52" i="40" l="1"/>
  <c r="D43" i="25"/>
  <c r="F20" i="29"/>
  <c r="J46" i="1"/>
  <c r="D20" i="29"/>
  <c r="C60" i="41"/>
  <c r="C61" i="41" s="1"/>
  <c r="C62" i="41" s="1"/>
  <c r="F34" i="25"/>
  <c r="D12" i="25"/>
  <c r="D5" i="26" s="1"/>
  <c r="D33" i="25"/>
  <c r="D69" i="29"/>
  <c r="D6" i="29"/>
  <c r="E15" i="29"/>
  <c r="D71" i="29"/>
  <c r="D31" i="25"/>
  <c r="D68" i="29"/>
  <c r="D70" i="29"/>
  <c r="D32" i="25"/>
  <c r="F6" i="29"/>
  <c r="F19" i="29"/>
  <c r="L37" i="40"/>
  <c r="E20" i="60"/>
  <c r="C20" i="60"/>
  <c r="O32" i="40"/>
  <c r="W35" i="40"/>
  <c r="U36" i="40"/>
  <c r="K35" i="40"/>
  <c r="S52" i="40"/>
  <c r="S35" i="40"/>
  <c r="U35" i="40"/>
  <c r="S37" i="40"/>
  <c r="U37" i="40"/>
  <c r="K37" i="40"/>
  <c r="S36" i="40"/>
  <c r="L36" i="40"/>
  <c r="W37" i="40"/>
  <c r="N37" i="40"/>
  <c r="U34" i="40"/>
  <c r="L34" i="40"/>
  <c r="D5" i="57"/>
  <c r="D10" i="57"/>
  <c r="F11" i="40" s="1"/>
  <c r="H11" i="40" s="1"/>
  <c r="K36" i="40"/>
  <c r="S34" i="40"/>
  <c r="W34" i="40"/>
  <c r="D8" i="29"/>
  <c r="H47" i="36"/>
  <c r="H75" i="36" s="1"/>
  <c r="J54" i="40"/>
  <c r="L54" i="40" s="1"/>
  <c r="J84" i="40"/>
  <c r="L84" i="40" s="1"/>
  <c r="J61" i="40"/>
  <c r="L61" i="40" s="1"/>
  <c r="J66" i="40"/>
  <c r="L66" i="40" s="1"/>
  <c r="J57" i="40"/>
  <c r="L57" i="40" s="1"/>
  <c r="J58" i="40"/>
  <c r="L58" i="40" s="1"/>
  <c r="J59" i="40"/>
  <c r="L59" i="40" s="1"/>
  <c r="J26" i="40"/>
  <c r="L26" i="40" s="1"/>
  <c r="J23" i="40"/>
  <c r="L23" i="40" s="1"/>
  <c r="J43" i="40"/>
  <c r="U43" i="40" s="1"/>
  <c r="J47" i="40"/>
  <c r="K47" i="40" s="1"/>
  <c r="J46" i="40"/>
  <c r="J88" i="40"/>
  <c r="L88" i="40" s="1"/>
  <c r="J53" i="40"/>
  <c r="L53" i="40" s="1"/>
  <c r="J55" i="40"/>
  <c r="L55" i="40" s="1"/>
  <c r="J87" i="40"/>
  <c r="L87" i="40" s="1"/>
  <c r="J30" i="40"/>
  <c r="L30" i="40" s="1"/>
  <c r="J19" i="40"/>
  <c r="J24" i="40"/>
  <c r="L24" i="40" s="1"/>
  <c r="J17" i="40"/>
  <c r="J20" i="40"/>
  <c r="U20" i="40" s="1"/>
  <c r="J44" i="40"/>
  <c r="L44" i="40" s="1"/>
  <c r="N35" i="40"/>
  <c r="J49" i="40"/>
  <c r="L49" i="40" s="1"/>
  <c r="J60" i="40"/>
  <c r="L60" i="40" s="1"/>
  <c r="J83" i="40"/>
  <c r="J56" i="40"/>
  <c r="L56" i="40" s="1"/>
  <c r="J21" i="40"/>
  <c r="J31" i="40"/>
  <c r="L31" i="40" s="1"/>
  <c r="J29" i="40"/>
  <c r="L29" i="40" s="1"/>
  <c r="J28" i="40"/>
  <c r="L28" i="40" s="1"/>
  <c r="J18" i="40"/>
  <c r="J41" i="40"/>
  <c r="U41" i="40" s="1"/>
  <c r="J50" i="40"/>
  <c r="K50" i="40" s="1"/>
  <c r="J42" i="40"/>
  <c r="W42" i="40" s="1"/>
  <c r="J39" i="40"/>
  <c r="U39" i="40" s="1"/>
  <c r="J45" i="40"/>
  <c r="N36" i="40"/>
  <c r="J64" i="40"/>
  <c r="L64" i="40" s="1"/>
  <c r="J62" i="40"/>
  <c r="L62" i="40" s="1"/>
  <c r="J63" i="40"/>
  <c r="L63" i="40" s="1"/>
  <c r="J65" i="40"/>
  <c r="L65" i="40" s="1"/>
  <c r="J86" i="40"/>
  <c r="L86" i="40" s="1"/>
  <c r="J67" i="40"/>
  <c r="L67" i="40" s="1"/>
  <c r="J85" i="40"/>
  <c r="L85" i="40" s="1"/>
  <c r="J25" i="40"/>
  <c r="L25" i="40" s="1"/>
  <c r="J22" i="40"/>
  <c r="J27" i="40"/>
  <c r="L27" i="40" s="1"/>
  <c r="J48" i="40"/>
  <c r="L48" i="40" s="1"/>
  <c r="J40" i="40"/>
  <c r="W40" i="40" s="1"/>
  <c r="J51" i="40"/>
  <c r="N34" i="40"/>
  <c r="J38" i="40"/>
  <c r="W52" i="40"/>
  <c r="N94" i="40"/>
  <c r="N84" i="40"/>
  <c r="N59" i="40"/>
  <c r="N58" i="40"/>
  <c r="N57" i="40"/>
  <c r="N56" i="40"/>
  <c r="F8" i="29"/>
  <c r="N54" i="40"/>
  <c r="N53" i="40"/>
  <c r="N23" i="40"/>
  <c r="N22" i="40"/>
  <c r="N21" i="40"/>
  <c r="N20" i="40"/>
  <c r="N19" i="40"/>
  <c r="N18" i="40"/>
  <c r="E10" i="40"/>
  <c r="C9" i="57"/>
  <c r="E8" i="40"/>
  <c r="C8" i="57"/>
  <c r="E9" i="40"/>
  <c r="C6" i="57"/>
  <c r="D106" i="25"/>
  <c r="D107" i="25" s="1"/>
  <c r="C15" i="29" s="1"/>
  <c r="J14" i="1" s="1"/>
  <c r="D114" i="30"/>
  <c r="I40" i="1"/>
  <c r="I12" i="1" s="1"/>
  <c r="I15" i="1" s="1"/>
  <c r="I19" i="1" s="1"/>
  <c r="E24" i="30"/>
  <c r="C28" i="30"/>
  <c r="C43" i="30" s="1"/>
  <c r="D24" i="30"/>
  <c r="H20" i="1"/>
  <c r="K146" i="36"/>
  <c r="K11" i="40" s="1"/>
  <c r="HO329" i="31" s="1"/>
  <c r="HO699" i="31" s="1"/>
  <c r="C18" i="36"/>
  <c r="C106" i="36" s="1"/>
  <c r="C108" i="36" s="1"/>
  <c r="C113" i="36" s="1"/>
  <c r="C114" i="36" s="1"/>
  <c r="K37" i="36"/>
  <c r="K47" i="36"/>
  <c r="K175" i="36" s="1"/>
  <c r="K120" i="36"/>
  <c r="K209" i="36" s="1"/>
  <c r="K217" i="36"/>
  <c r="K90" i="36"/>
  <c r="K91" i="36" s="1"/>
  <c r="K200" i="36"/>
  <c r="S47" i="40"/>
  <c r="M91" i="1"/>
  <c r="H175" i="36"/>
  <c r="H66" i="36"/>
  <c r="I67" i="1"/>
  <c r="J12" i="1"/>
  <c r="D93" i="26"/>
  <c r="I139" i="40"/>
  <c r="G139" i="40"/>
  <c r="F19" i="60" s="1"/>
  <c r="H139" i="40"/>
  <c r="D14" i="29"/>
  <c r="F185" i="40"/>
  <c r="G185" i="40" s="1"/>
  <c r="G17" i="60" s="1"/>
  <c r="F186" i="40"/>
  <c r="G186" i="40" s="1"/>
  <c r="G18" i="60" s="1"/>
  <c r="P52" i="40"/>
  <c r="O52" i="40"/>
  <c r="E14" i="29"/>
  <c r="E127" i="30"/>
  <c r="F114" i="30"/>
  <c r="D31" i="30"/>
  <c r="F188" i="40"/>
  <c r="I188" i="40" s="1"/>
  <c r="F187" i="40"/>
  <c r="I187" i="40" s="1"/>
  <c r="F189" i="40"/>
  <c r="G189" i="40" s="1"/>
  <c r="I153" i="1"/>
  <c r="I163" i="1" s="1"/>
  <c r="H74" i="1"/>
  <c r="J47" i="36"/>
  <c r="J75" i="36" s="1"/>
  <c r="J111" i="36"/>
  <c r="J112" i="36" s="1"/>
  <c r="H49" i="36"/>
  <c r="H72" i="36"/>
  <c r="O107" i="19"/>
  <c r="O112" i="19"/>
  <c r="O108" i="19"/>
  <c r="O109" i="19"/>
  <c r="O116" i="19"/>
  <c r="O105" i="19"/>
  <c r="O104" i="19"/>
  <c r="O114" i="19"/>
  <c r="O106" i="19"/>
  <c r="O118" i="19"/>
  <c r="J91" i="36"/>
  <c r="J37" i="36"/>
  <c r="J119" i="36" s="1"/>
  <c r="M107" i="36"/>
  <c r="I47" i="36"/>
  <c r="I49" i="36" s="1"/>
  <c r="I111" i="36"/>
  <c r="I112" i="36" s="1"/>
  <c r="I37" i="36"/>
  <c r="I119" i="36" s="1"/>
  <c r="I200" i="36" s="1"/>
  <c r="N9" i="40" s="1"/>
  <c r="HQ327" i="31" s="1"/>
  <c r="HQ697" i="31" s="1"/>
  <c r="I90" i="36"/>
  <c r="I91" i="36" s="1"/>
  <c r="M110" i="36"/>
  <c r="H111" i="36"/>
  <c r="H112" i="36" s="1"/>
  <c r="H37" i="36"/>
  <c r="H119" i="36" s="1"/>
  <c r="H120" i="36" s="1"/>
  <c r="H90" i="36"/>
  <c r="M89" i="36"/>
  <c r="G120" i="36"/>
  <c r="G217" i="36"/>
  <c r="G146" i="36"/>
  <c r="K7" i="40" s="1"/>
  <c r="HO325" i="31" s="1"/>
  <c r="HO695" i="31" s="1"/>
  <c r="G208" i="36"/>
  <c r="O7" i="40" s="1"/>
  <c r="HS325" i="31" s="1"/>
  <c r="HS695" i="31" s="1"/>
  <c r="G200" i="36"/>
  <c r="N7" i="40" s="1"/>
  <c r="HQ325" i="31" s="1"/>
  <c r="HQ695" i="31" s="1"/>
  <c r="G175" i="36"/>
  <c r="G75" i="36"/>
  <c r="G72" i="36"/>
  <c r="G66" i="36"/>
  <c r="G49" i="36"/>
  <c r="K112" i="36"/>
  <c r="H76" i="1"/>
  <c r="H78" i="1"/>
  <c r="I117" i="1"/>
  <c r="I119" i="1" s="1"/>
  <c r="I124" i="1" s="1"/>
  <c r="I126" i="1" s="1"/>
  <c r="I131" i="1" s="1"/>
  <c r="HQ689" i="31"/>
  <c r="U52" i="40"/>
  <c r="U33" i="40"/>
  <c r="U32" i="40"/>
  <c r="F54" i="36"/>
  <c r="F55" i="36"/>
  <c r="C212" i="30"/>
  <c r="C191" i="30"/>
  <c r="C198" i="30"/>
  <c r="H12" i="1"/>
  <c r="H15" i="1" s="1"/>
  <c r="H19" i="1" s="1"/>
  <c r="H44" i="1"/>
  <c r="H48" i="1" s="1"/>
  <c r="C16" i="36"/>
  <c r="C17" i="36" s="1"/>
  <c r="H49" i="1"/>
  <c r="H135" i="1" s="1"/>
  <c r="H136" i="1" s="1"/>
  <c r="H139" i="1" s="1"/>
  <c r="H140" i="1" s="1"/>
  <c r="C27" i="30"/>
  <c r="D27" i="30" s="1"/>
  <c r="C135" i="30"/>
  <c r="C127" i="30"/>
  <c r="C131" i="30" s="1"/>
  <c r="D131" i="30" s="1"/>
  <c r="F87" i="26"/>
  <c r="D92" i="26"/>
  <c r="D94" i="25"/>
  <c r="E12" i="29" s="1"/>
  <c r="E24" i="29" s="1"/>
  <c r="J43" i="1"/>
  <c r="U54" i="40"/>
  <c r="G70" i="40"/>
  <c r="I70" i="40"/>
  <c r="H70" i="40"/>
  <c r="G69" i="40"/>
  <c r="I69" i="40"/>
  <c r="H69" i="40"/>
  <c r="I68" i="40"/>
  <c r="H68" i="40"/>
  <c r="G68" i="40"/>
  <c r="H77" i="40"/>
  <c r="G77" i="40"/>
  <c r="I77" i="40"/>
  <c r="D92" i="25"/>
  <c r="D93" i="25" s="1"/>
  <c r="C12" i="29" s="1"/>
  <c r="D12" i="29" s="1"/>
  <c r="D87" i="25"/>
  <c r="D88" i="25" s="1"/>
  <c r="C11" i="29" s="1"/>
  <c r="J123" i="1"/>
  <c r="D44" i="25"/>
  <c r="G82" i="40"/>
  <c r="H82" i="40"/>
  <c r="I82" i="40"/>
  <c r="H81" i="40"/>
  <c r="G81" i="40"/>
  <c r="I81" i="40"/>
  <c r="G78" i="40"/>
  <c r="H78" i="40"/>
  <c r="I78" i="40"/>
  <c r="H75" i="40"/>
  <c r="I75" i="40"/>
  <c r="G75" i="40"/>
  <c r="F88" i="25"/>
  <c r="H79" i="40"/>
  <c r="G79" i="40"/>
  <c r="I79" i="40"/>
  <c r="G74" i="40"/>
  <c r="H74" i="40"/>
  <c r="I74" i="40"/>
  <c r="G73" i="40"/>
  <c r="I73" i="40"/>
  <c r="H73" i="40"/>
  <c r="F137" i="40"/>
  <c r="F138" i="40"/>
  <c r="F134" i="40"/>
  <c r="F135" i="40"/>
  <c r="F136" i="40"/>
  <c r="D39" i="25"/>
  <c r="N55" i="40"/>
  <c r="N91" i="40"/>
  <c r="N83" i="40"/>
  <c r="G72" i="40"/>
  <c r="I72" i="40"/>
  <c r="H72" i="40"/>
  <c r="I76" i="40"/>
  <c r="G76" i="40"/>
  <c r="H76" i="40"/>
  <c r="H71" i="40"/>
  <c r="I71" i="40"/>
  <c r="G71" i="40"/>
  <c r="G80" i="40"/>
  <c r="I80" i="40"/>
  <c r="H80" i="40"/>
  <c r="K66" i="36" l="1"/>
  <c r="D34" i="25"/>
  <c r="F100" i="40"/>
  <c r="F89" i="40"/>
  <c r="F93" i="40"/>
  <c r="F97" i="40"/>
  <c r="F101" i="40"/>
  <c r="F90" i="40"/>
  <c r="F94" i="40"/>
  <c r="F98" i="40"/>
  <c r="F102" i="40"/>
  <c r="F91" i="40"/>
  <c r="F95" i="40"/>
  <c r="F99" i="40"/>
  <c r="F103" i="40"/>
  <c r="F92" i="40"/>
  <c r="F96" i="40"/>
  <c r="F118" i="40"/>
  <c r="F126" i="40"/>
  <c r="F130" i="40"/>
  <c r="F128" i="40"/>
  <c r="F129" i="40"/>
  <c r="F112" i="40"/>
  <c r="F111" i="40"/>
  <c r="F107" i="40"/>
  <c r="F104" i="40"/>
  <c r="F119" i="40"/>
  <c r="F117" i="40"/>
  <c r="F133" i="40"/>
  <c r="F122" i="40"/>
  <c r="F114" i="40"/>
  <c r="F106" i="40"/>
  <c r="F116" i="40"/>
  <c r="F109" i="40"/>
  <c r="F113" i="40"/>
  <c r="F121" i="40"/>
  <c r="F125" i="40"/>
  <c r="F110" i="40"/>
  <c r="F123" i="40"/>
  <c r="F132" i="40"/>
  <c r="F127" i="40"/>
  <c r="F115" i="40"/>
  <c r="F120" i="40"/>
  <c r="F131" i="40"/>
  <c r="F124" i="40"/>
  <c r="F108" i="40"/>
  <c r="F105" i="40"/>
  <c r="D7" i="26"/>
  <c r="D10" i="26"/>
  <c r="C75" i="41"/>
  <c r="K45" i="1"/>
  <c r="M45" i="1" s="1"/>
  <c r="N45" i="1" s="1"/>
  <c r="K66" i="40"/>
  <c r="P37" i="40"/>
  <c r="W88" i="40"/>
  <c r="W66" i="40"/>
  <c r="K26" i="40"/>
  <c r="L17" i="40"/>
  <c r="P17" i="40" s="1"/>
  <c r="L83" i="40"/>
  <c r="P83" i="40" s="1"/>
  <c r="L19" i="40"/>
  <c r="L22" i="40"/>
  <c r="P22" i="40" s="1"/>
  <c r="L18" i="40"/>
  <c r="P18" i="40" s="1"/>
  <c r="L21" i="40"/>
  <c r="P21" i="40" s="1"/>
  <c r="L20" i="40"/>
  <c r="P20" i="40" s="1"/>
  <c r="U87" i="40"/>
  <c r="S60" i="40"/>
  <c r="U59" i="40"/>
  <c r="U17" i="40"/>
  <c r="K218" i="36"/>
  <c r="K201" i="36"/>
  <c r="K62" i="40"/>
  <c r="K54" i="40"/>
  <c r="O54" i="40" s="1"/>
  <c r="K87" i="40"/>
  <c r="W54" i="40"/>
  <c r="W56" i="40"/>
  <c r="S54" i="40"/>
  <c r="S59" i="40"/>
  <c r="S56" i="40"/>
  <c r="U67" i="40"/>
  <c r="K49" i="36"/>
  <c r="K75" i="36"/>
  <c r="K72" i="36"/>
  <c r="U53" i="40"/>
  <c r="S84" i="40"/>
  <c r="W43" i="40"/>
  <c r="K88" i="40"/>
  <c r="S66" i="40"/>
  <c r="W57" i="40"/>
  <c r="S22" i="40"/>
  <c r="S88" i="40"/>
  <c r="N88" i="40"/>
  <c r="P88" i="40" s="1"/>
  <c r="O37" i="40"/>
  <c r="K53" i="40"/>
  <c r="O53" i="40" s="1"/>
  <c r="U23" i="40"/>
  <c r="K57" i="40"/>
  <c r="O57" i="40" s="1"/>
  <c r="U84" i="40"/>
  <c r="S27" i="40"/>
  <c r="W65" i="40"/>
  <c r="K31" i="40"/>
  <c r="S65" i="40"/>
  <c r="S23" i="40"/>
  <c r="W19" i="40"/>
  <c r="K83" i="40"/>
  <c r="S28" i="40"/>
  <c r="K25" i="40"/>
  <c r="S61" i="40"/>
  <c r="S55" i="40"/>
  <c r="S86" i="40"/>
  <c r="W58" i="40"/>
  <c r="W61" i="40"/>
  <c r="K55" i="40"/>
  <c r="O55" i="40" s="1"/>
  <c r="U58" i="40"/>
  <c r="W85" i="40"/>
  <c r="K24" i="40"/>
  <c r="W83" i="40"/>
  <c r="K64" i="40"/>
  <c r="U29" i="40"/>
  <c r="W24" i="40"/>
  <c r="K86" i="40"/>
  <c r="U83" i="40"/>
  <c r="W55" i="40"/>
  <c r="W86" i="40"/>
  <c r="S58" i="40"/>
  <c r="S85" i="40"/>
  <c r="W64" i="40"/>
  <c r="U61" i="40"/>
  <c r="S29" i="40"/>
  <c r="S83" i="40"/>
  <c r="U55" i="40"/>
  <c r="U86" i="40"/>
  <c r="K58" i="40"/>
  <c r="O58" i="40" s="1"/>
  <c r="K85" i="40"/>
  <c r="S64" i="40"/>
  <c r="K61" i="40"/>
  <c r="S24" i="40"/>
  <c r="K29" i="40"/>
  <c r="U49" i="40"/>
  <c r="U85" i="40"/>
  <c r="U64" i="40"/>
  <c r="W29" i="40"/>
  <c r="U24" i="40"/>
  <c r="W53" i="40"/>
  <c r="K65" i="40"/>
  <c r="U57" i="40"/>
  <c r="K84" i="40"/>
  <c r="O84" i="40" s="1"/>
  <c r="W23" i="40"/>
  <c r="W27" i="40"/>
  <c r="U31" i="40"/>
  <c r="U19" i="40"/>
  <c r="U47" i="40"/>
  <c r="S53" i="40"/>
  <c r="U65" i="40"/>
  <c r="S57" i="40"/>
  <c r="W84" i="40"/>
  <c r="K23" i="40"/>
  <c r="O23" i="40" s="1"/>
  <c r="U27" i="40"/>
  <c r="W31" i="40"/>
  <c r="K19" i="40"/>
  <c r="K27" i="40"/>
  <c r="S31" i="40"/>
  <c r="S19" i="40"/>
  <c r="W63" i="40"/>
  <c r="K21" i="40"/>
  <c r="S26" i="40"/>
  <c r="U88" i="40"/>
  <c r="U66" i="40"/>
  <c r="W18" i="40"/>
  <c r="U30" i="40"/>
  <c r="U26" i="40"/>
  <c r="W26" i="40"/>
  <c r="K56" i="40"/>
  <c r="O56" i="40" s="1"/>
  <c r="W62" i="40"/>
  <c r="S87" i="40"/>
  <c r="K60" i="40"/>
  <c r="K59" i="40"/>
  <c r="S67" i="40"/>
  <c r="S25" i="40"/>
  <c r="W28" i="40"/>
  <c r="W17" i="40"/>
  <c r="K44" i="40"/>
  <c r="O44" i="40" s="1"/>
  <c r="W44" i="40"/>
  <c r="W25" i="40"/>
  <c r="S17" i="40"/>
  <c r="W41" i="40"/>
  <c r="U62" i="40"/>
  <c r="W60" i="40"/>
  <c r="K67" i="40"/>
  <c r="K28" i="40"/>
  <c r="U56" i="40"/>
  <c r="S62" i="40"/>
  <c r="W87" i="40"/>
  <c r="U60" i="40"/>
  <c r="W59" i="40"/>
  <c r="W67" i="40"/>
  <c r="U25" i="40"/>
  <c r="U28" i="40"/>
  <c r="K17" i="40"/>
  <c r="U44" i="40"/>
  <c r="W48" i="40"/>
  <c r="U63" i="40"/>
  <c r="U22" i="40"/>
  <c r="W21" i="40"/>
  <c r="S18" i="40"/>
  <c r="W30" i="40"/>
  <c r="W20" i="40"/>
  <c r="S63" i="40"/>
  <c r="K22" i="40"/>
  <c r="U21" i="40"/>
  <c r="U18" i="40"/>
  <c r="S30" i="40"/>
  <c r="S20" i="40"/>
  <c r="K63" i="40"/>
  <c r="W22" i="40"/>
  <c r="S21" i="40"/>
  <c r="K18" i="40"/>
  <c r="K30" i="40"/>
  <c r="K20" i="40"/>
  <c r="S40" i="40"/>
  <c r="L40" i="40"/>
  <c r="K41" i="40"/>
  <c r="L41" i="40"/>
  <c r="U38" i="40"/>
  <c r="L38" i="40"/>
  <c r="S39" i="40"/>
  <c r="L39" i="40"/>
  <c r="P39" i="40" s="1"/>
  <c r="U46" i="40"/>
  <c r="L46" i="40"/>
  <c r="W51" i="40"/>
  <c r="L51" i="40"/>
  <c r="S42" i="40"/>
  <c r="L42" i="40"/>
  <c r="W47" i="40"/>
  <c r="L47" i="40"/>
  <c r="U45" i="40"/>
  <c r="L45" i="40"/>
  <c r="S50" i="40"/>
  <c r="L50" i="40"/>
  <c r="K43" i="40"/>
  <c r="L43" i="40"/>
  <c r="D8" i="57"/>
  <c r="F8" i="40" s="1"/>
  <c r="H8" i="40" s="1"/>
  <c r="D6" i="57"/>
  <c r="F9" i="40" s="1"/>
  <c r="H9" i="40" s="1"/>
  <c r="D9" i="57"/>
  <c r="F10" i="40" s="1"/>
  <c r="H10" i="40" s="1"/>
  <c r="U48" i="40"/>
  <c r="U50" i="40"/>
  <c r="S48" i="40"/>
  <c r="S43" i="40"/>
  <c r="K39" i="40"/>
  <c r="O39" i="40" s="1"/>
  <c r="K48" i="40"/>
  <c r="W50" i="40"/>
  <c r="U40" i="40"/>
  <c r="S51" i="40"/>
  <c r="U51" i="40"/>
  <c r="U42" i="40"/>
  <c r="K147" i="36"/>
  <c r="S41" i="40"/>
  <c r="K42" i="40"/>
  <c r="O42" i="40" s="1"/>
  <c r="K40" i="40"/>
  <c r="O40" i="40" s="1"/>
  <c r="K51" i="40"/>
  <c r="J71" i="40"/>
  <c r="J79" i="40"/>
  <c r="L79" i="40" s="1"/>
  <c r="J78" i="40"/>
  <c r="L78" i="40" s="1"/>
  <c r="J69" i="40"/>
  <c r="L69" i="40" s="1"/>
  <c r="N51" i="40"/>
  <c r="N27" i="40"/>
  <c r="P27" i="40" s="1"/>
  <c r="N25" i="40"/>
  <c r="N63" i="40"/>
  <c r="N64" i="40"/>
  <c r="W45" i="40"/>
  <c r="K45" i="40"/>
  <c r="S45" i="40"/>
  <c r="W39" i="40"/>
  <c r="N50" i="40"/>
  <c r="N31" i="40"/>
  <c r="N130" i="40"/>
  <c r="N60" i="40"/>
  <c r="N47" i="40"/>
  <c r="N128" i="40"/>
  <c r="J76" i="40"/>
  <c r="U76" i="40" s="1"/>
  <c r="J80" i="40"/>
  <c r="S80" i="40" s="1"/>
  <c r="J74" i="40"/>
  <c r="L74" i="40" s="1"/>
  <c r="J77" i="40"/>
  <c r="L77" i="40" s="1"/>
  <c r="J139" i="40"/>
  <c r="N85" i="40"/>
  <c r="N129" i="40"/>
  <c r="S44" i="40"/>
  <c r="P34" i="40"/>
  <c r="P35" i="40"/>
  <c r="N26" i="40"/>
  <c r="O34" i="40"/>
  <c r="J72" i="40"/>
  <c r="L72" i="40" s="1"/>
  <c r="J75" i="40"/>
  <c r="J82" i="40"/>
  <c r="L82" i="40" s="1"/>
  <c r="J68" i="40"/>
  <c r="L68" i="40" s="1"/>
  <c r="W38" i="40"/>
  <c r="S38" i="40"/>
  <c r="K38" i="40"/>
  <c r="N48" i="40"/>
  <c r="N65" i="40"/>
  <c r="N62" i="40"/>
  <c r="N41" i="40"/>
  <c r="N28" i="40"/>
  <c r="N29" i="40"/>
  <c r="P36" i="40"/>
  <c r="N118" i="40"/>
  <c r="N24" i="40"/>
  <c r="N30" i="40"/>
  <c r="K46" i="40"/>
  <c r="S46" i="40"/>
  <c r="W46" i="40"/>
  <c r="N43" i="40"/>
  <c r="N66" i="40"/>
  <c r="N61" i="40"/>
  <c r="N126" i="40"/>
  <c r="J73" i="40"/>
  <c r="W73" i="40" s="1"/>
  <c r="J81" i="40"/>
  <c r="L81" i="40" s="1"/>
  <c r="J70" i="40"/>
  <c r="L70" i="40" s="1"/>
  <c r="P44" i="40"/>
  <c r="N122" i="40"/>
  <c r="N67" i="40"/>
  <c r="N86" i="40"/>
  <c r="N49" i="40"/>
  <c r="S49" i="40"/>
  <c r="W49" i="40"/>
  <c r="K49" i="40"/>
  <c r="O36" i="40"/>
  <c r="N87" i="40"/>
  <c r="N109" i="40"/>
  <c r="O35" i="40"/>
  <c r="D15" i="29"/>
  <c r="N187" i="40"/>
  <c r="N93" i="40"/>
  <c r="N92" i="40"/>
  <c r="N90" i="40"/>
  <c r="P84" i="40"/>
  <c r="O59" i="40"/>
  <c r="P59" i="40"/>
  <c r="P58" i="40"/>
  <c r="P57" i="40"/>
  <c r="P56" i="40"/>
  <c r="P54" i="40"/>
  <c r="P53" i="40"/>
  <c r="I185" i="40"/>
  <c r="I189" i="40"/>
  <c r="P23" i="40"/>
  <c r="P19" i="40"/>
  <c r="N188" i="40"/>
  <c r="M67" i="1"/>
  <c r="N67" i="1" s="1"/>
  <c r="N91" i="1"/>
  <c r="J16" i="1"/>
  <c r="J18" i="1" s="1"/>
  <c r="J47" i="1"/>
  <c r="C45" i="30"/>
  <c r="C50" i="30"/>
  <c r="D28" i="30"/>
  <c r="C46" i="30"/>
  <c r="C49" i="30"/>
  <c r="C44" i="30"/>
  <c r="H151" i="1"/>
  <c r="H154" i="1" s="1"/>
  <c r="H158" i="1" s="1"/>
  <c r="F24" i="30"/>
  <c r="C115" i="36"/>
  <c r="C159" i="36" s="1"/>
  <c r="J66" i="36"/>
  <c r="J175" i="36"/>
  <c r="J200" i="36"/>
  <c r="J120" i="36"/>
  <c r="J201" i="36" s="1"/>
  <c r="J146" i="36"/>
  <c r="K10" i="40" s="1"/>
  <c r="HO328" i="31" s="1"/>
  <c r="HO698" i="31" s="1"/>
  <c r="J208" i="36"/>
  <c r="O10" i="40" s="1"/>
  <c r="HS328" i="31" s="1"/>
  <c r="HS698" i="31" s="1"/>
  <c r="J217" i="36"/>
  <c r="I120" i="36"/>
  <c r="I201" i="36" s="1"/>
  <c r="J49" i="36"/>
  <c r="J72" i="36"/>
  <c r="D11" i="29"/>
  <c r="F11" i="29" s="1"/>
  <c r="C23" i="29"/>
  <c r="C31" i="29"/>
  <c r="E23" i="29"/>
  <c r="I186" i="40"/>
  <c r="N89" i="40"/>
  <c r="G188" i="40"/>
  <c r="G187" i="40"/>
  <c r="F12" i="29"/>
  <c r="F14" i="29"/>
  <c r="I44" i="1"/>
  <c r="I48" i="1" s="1"/>
  <c r="F15" i="29"/>
  <c r="D18" i="36"/>
  <c r="D106" i="36" s="1"/>
  <c r="D108" i="36" s="1"/>
  <c r="D113" i="36" s="1"/>
  <c r="D114" i="36" s="1"/>
  <c r="D115" i="36" s="1"/>
  <c r="D159" i="36" s="1"/>
  <c r="F127" i="30"/>
  <c r="D212" i="30"/>
  <c r="D135" i="30"/>
  <c r="D191" i="30"/>
  <c r="D127" i="30"/>
  <c r="D198" i="30"/>
  <c r="I157" i="1"/>
  <c r="I168" i="1" s="1"/>
  <c r="C16" i="41"/>
  <c r="D16" i="41" s="1"/>
  <c r="I161" i="1"/>
  <c r="I164" i="1"/>
  <c r="I162" i="1"/>
  <c r="I166" i="1" s="1"/>
  <c r="I49" i="1"/>
  <c r="I135" i="1" s="1"/>
  <c r="I130" i="1"/>
  <c r="I133" i="1" s="1"/>
  <c r="I128" i="1"/>
  <c r="I68" i="1"/>
  <c r="M68" i="1" s="1"/>
  <c r="N68" i="1" s="1"/>
  <c r="M90" i="36"/>
  <c r="I66" i="36"/>
  <c r="M111" i="36"/>
  <c r="I75" i="36"/>
  <c r="I78" i="1" s="1"/>
  <c r="M78" i="1" s="1"/>
  <c r="N78" i="1" s="1"/>
  <c r="I72" i="36"/>
  <c r="I175" i="36"/>
  <c r="I146" i="36"/>
  <c r="K9" i="40" s="1"/>
  <c r="HO327" i="31" s="1"/>
  <c r="HO697" i="31" s="1"/>
  <c r="I217" i="36"/>
  <c r="I208" i="36"/>
  <c r="O9" i="40" s="1"/>
  <c r="HS327" i="31" s="1"/>
  <c r="HS697" i="31" s="1"/>
  <c r="H217" i="36"/>
  <c r="H146" i="36"/>
  <c r="K8" i="40" s="1"/>
  <c r="HO326" i="31" s="1"/>
  <c r="HO696" i="31" s="1"/>
  <c r="H200" i="36"/>
  <c r="N8" i="40" s="1"/>
  <c r="HQ326" i="31" s="1"/>
  <c r="HQ696" i="31" s="1"/>
  <c r="H208" i="36"/>
  <c r="O8" i="40" s="1"/>
  <c r="HS326" i="31" s="1"/>
  <c r="HS696" i="31" s="1"/>
  <c r="H91" i="36"/>
  <c r="M91" i="36" s="1"/>
  <c r="H201" i="36"/>
  <c r="H218" i="36"/>
  <c r="H147" i="36"/>
  <c r="H209" i="36"/>
  <c r="G218" i="36"/>
  <c r="G147" i="36"/>
  <c r="G209" i="36"/>
  <c r="G201" i="36"/>
  <c r="M112" i="36"/>
  <c r="D16" i="36"/>
  <c r="D17" i="36" s="1"/>
  <c r="C50" i="36"/>
  <c r="C51" i="36" s="1"/>
  <c r="C39" i="30"/>
  <c r="D39" i="30" s="1"/>
  <c r="C37" i="30"/>
  <c r="D37" i="30" s="1"/>
  <c r="C38" i="30"/>
  <c r="D38" i="30" s="1"/>
  <c r="C36" i="30"/>
  <c r="D36" i="30" s="1"/>
  <c r="I136" i="40"/>
  <c r="G136" i="40"/>
  <c r="H136" i="40"/>
  <c r="I137" i="40"/>
  <c r="H137" i="40"/>
  <c r="G137" i="40"/>
  <c r="J13" i="1"/>
  <c r="J15" i="1" s="1"/>
  <c r="C24" i="29"/>
  <c r="D24" i="29" s="1"/>
  <c r="F24" i="29" s="1"/>
  <c r="C141" i="30"/>
  <c r="D141" i="30" s="1"/>
  <c r="C140" i="30"/>
  <c r="D140" i="30" s="1"/>
  <c r="C143" i="30"/>
  <c r="D143" i="30" s="1"/>
  <c r="C142" i="30"/>
  <c r="I135" i="40"/>
  <c r="H135" i="40"/>
  <c r="G135" i="40"/>
  <c r="C44" i="41"/>
  <c r="I134" i="40"/>
  <c r="H134" i="40"/>
  <c r="G134" i="40"/>
  <c r="P55" i="40"/>
  <c r="I138" i="40"/>
  <c r="H138" i="40"/>
  <c r="G138" i="40"/>
  <c r="J41" i="1"/>
  <c r="J44" i="1" s="1"/>
  <c r="D70" i="26"/>
  <c r="D71" i="26" s="1"/>
  <c r="D72" i="26"/>
  <c r="C32" i="29"/>
  <c r="H105" i="40" l="1"/>
  <c r="G105" i="40"/>
  <c r="I105" i="40"/>
  <c r="J105" i="40" s="1"/>
  <c r="L105" i="40" s="1"/>
  <c r="I120" i="40"/>
  <c r="J120" i="40" s="1"/>
  <c r="L120" i="40" s="1"/>
  <c r="G120" i="40"/>
  <c r="H120" i="40"/>
  <c r="H123" i="40"/>
  <c r="I123" i="40"/>
  <c r="J123" i="40" s="1"/>
  <c r="K123" i="40" s="1"/>
  <c r="G123" i="40"/>
  <c r="H113" i="40"/>
  <c r="I113" i="40"/>
  <c r="J113" i="40" s="1"/>
  <c r="L113" i="40" s="1"/>
  <c r="G113" i="40"/>
  <c r="G114" i="40"/>
  <c r="I114" i="40"/>
  <c r="J114" i="40" s="1"/>
  <c r="U114" i="40" s="1"/>
  <c r="H114" i="40"/>
  <c r="H119" i="40"/>
  <c r="I119" i="40"/>
  <c r="J119" i="40" s="1"/>
  <c r="L119" i="40" s="1"/>
  <c r="G119" i="40"/>
  <c r="G112" i="40"/>
  <c r="H112" i="40"/>
  <c r="I112" i="40"/>
  <c r="J112" i="40" s="1"/>
  <c r="L112" i="40" s="1"/>
  <c r="G126" i="40"/>
  <c r="I126" i="40"/>
  <c r="J126" i="40" s="1"/>
  <c r="H126" i="40"/>
  <c r="H92" i="40"/>
  <c r="I92" i="40"/>
  <c r="J92" i="40" s="1"/>
  <c r="S92" i="40" s="1"/>
  <c r="G92" i="40"/>
  <c r="F12" i="60" s="1"/>
  <c r="I91" i="40"/>
  <c r="J91" i="40" s="1"/>
  <c r="L91" i="40" s="1"/>
  <c r="G91" i="40"/>
  <c r="F5" i="60" s="1"/>
  <c r="H91" i="40"/>
  <c r="G90" i="40"/>
  <c r="F4" i="60" s="1"/>
  <c r="I90" i="40"/>
  <c r="J90" i="40" s="1"/>
  <c r="S90" i="40" s="1"/>
  <c r="H90" i="40"/>
  <c r="H89" i="40"/>
  <c r="G89" i="40"/>
  <c r="F11" i="60" s="1"/>
  <c r="I89" i="40"/>
  <c r="J89" i="40" s="1"/>
  <c r="K89" i="40" s="1"/>
  <c r="H108" i="40"/>
  <c r="G108" i="40"/>
  <c r="I108" i="40"/>
  <c r="J108" i="40" s="1"/>
  <c r="K108" i="40" s="1"/>
  <c r="H115" i="40"/>
  <c r="I115" i="40"/>
  <c r="J115" i="40" s="1"/>
  <c r="W115" i="40" s="1"/>
  <c r="G115" i="40"/>
  <c r="I110" i="40"/>
  <c r="J110" i="40" s="1"/>
  <c r="G110" i="40"/>
  <c r="H110" i="40"/>
  <c r="I109" i="40"/>
  <c r="J109" i="40" s="1"/>
  <c r="G109" i="40"/>
  <c r="H109" i="40"/>
  <c r="I122" i="40"/>
  <c r="J122" i="40" s="1"/>
  <c r="G122" i="40"/>
  <c r="H122" i="40"/>
  <c r="G104" i="40"/>
  <c r="I104" i="40"/>
  <c r="J104" i="40" s="1"/>
  <c r="L104" i="40" s="1"/>
  <c r="H104" i="40"/>
  <c r="I129" i="40"/>
  <c r="J129" i="40" s="1"/>
  <c r="H129" i="40"/>
  <c r="G129" i="40"/>
  <c r="H118" i="40"/>
  <c r="G118" i="40"/>
  <c r="I118" i="40"/>
  <c r="J118" i="40" s="1"/>
  <c r="G103" i="40"/>
  <c r="I103" i="40"/>
  <c r="J103" i="40" s="1"/>
  <c r="U103" i="40" s="1"/>
  <c r="H103" i="40"/>
  <c r="I102" i="40"/>
  <c r="J102" i="40" s="1"/>
  <c r="L102" i="40" s="1"/>
  <c r="H102" i="40"/>
  <c r="G102" i="40"/>
  <c r="I101" i="40"/>
  <c r="J101" i="40" s="1"/>
  <c r="L101" i="40" s="1"/>
  <c r="H101" i="40"/>
  <c r="G101" i="40"/>
  <c r="I100" i="40"/>
  <c r="J100" i="40" s="1"/>
  <c r="W100" i="40" s="1"/>
  <c r="H100" i="40"/>
  <c r="G100" i="40"/>
  <c r="D8" i="26"/>
  <c r="E9" i="37" s="1"/>
  <c r="F9" i="37" s="1"/>
  <c r="C20" i="37"/>
  <c r="E20" i="37"/>
  <c r="H124" i="40"/>
  <c r="G124" i="40"/>
  <c r="I124" i="40"/>
  <c r="J124" i="40" s="1"/>
  <c r="L124" i="40" s="1"/>
  <c r="G127" i="40"/>
  <c r="I127" i="40"/>
  <c r="J127" i="40" s="1"/>
  <c r="L127" i="40" s="1"/>
  <c r="H127" i="40"/>
  <c r="I125" i="40"/>
  <c r="J125" i="40" s="1"/>
  <c r="W125" i="40" s="1"/>
  <c r="G125" i="40"/>
  <c r="H125" i="40"/>
  <c r="H116" i="40"/>
  <c r="I116" i="40"/>
  <c r="J116" i="40" s="1"/>
  <c r="L116" i="40" s="1"/>
  <c r="G116" i="40"/>
  <c r="H133" i="40"/>
  <c r="I133" i="40"/>
  <c r="J133" i="40" s="1"/>
  <c r="W133" i="40" s="1"/>
  <c r="G133" i="40"/>
  <c r="H107" i="40"/>
  <c r="G107" i="40"/>
  <c r="I107" i="40"/>
  <c r="J107" i="40" s="1"/>
  <c r="L107" i="40" s="1"/>
  <c r="I128" i="40"/>
  <c r="J128" i="40" s="1"/>
  <c r="H128" i="40"/>
  <c r="G128" i="40"/>
  <c r="G99" i="40"/>
  <c r="I99" i="40"/>
  <c r="J99" i="40" s="1"/>
  <c r="L99" i="40" s="1"/>
  <c r="H99" i="40"/>
  <c r="G98" i="40"/>
  <c r="H98" i="40"/>
  <c r="I98" i="40"/>
  <c r="J98" i="40" s="1"/>
  <c r="L98" i="40" s="1"/>
  <c r="I97" i="40"/>
  <c r="J97" i="40" s="1"/>
  <c r="L97" i="40" s="1"/>
  <c r="G97" i="40"/>
  <c r="H97" i="40"/>
  <c r="C6" i="37"/>
  <c r="E6" i="37"/>
  <c r="G131" i="40"/>
  <c r="H131" i="40"/>
  <c r="I131" i="40"/>
  <c r="J131" i="40" s="1"/>
  <c r="S131" i="40" s="1"/>
  <c r="H132" i="40"/>
  <c r="I132" i="40"/>
  <c r="J132" i="40" s="1"/>
  <c r="K132" i="40" s="1"/>
  <c r="G132" i="40"/>
  <c r="H121" i="40"/>
  <c r="I121" i="40"/>
  <c r="J121" i="40" s="1"/>
  <c r="S121" i="40" s="1"/>
  <c r="G121" i="40"/>
  <c r="G106" i="40"/>
  <c r="I106" i="40"/>
  <c r="J106" i="40" s="1"/>
  <c r="L106" i="40" s="1"/>
  <c r="H106" i="40"/>
  <c r="G117" i="40"/>
  <c r="H117" i="40"/>
  <c r="I117" i="40"/>
  <c r="J117" i="40" s="1"/>
  <c r="L117" i="40" s="1"/>
  <c r="G111" i="40"/>
  <c r="I111" i="40"/>
  <c r="J111" i="40" s="1"/>
  <c r="L111" i="40" s="1"/>
  <c r="H111" i="40"/>
  <c r="I130" i="40"/>
  <c r="J130" i="40" s="1"/>
  <c r="H130" i="40"/>
  <c r="G130" i="40"/>
  <c r="I96" i="40"/>
  <c r="J96" i="40" s="1"/>
  <c r="L96" i="40" s="1"/>
  <c r="H96" i="40"/>
  <c r="G96" i="40"/>
  <c r="H95" i="40"/>
  <c r="I95" i="40"/>
  <c r="J95" i="40" s="1"/>
  <c r="U95" i="40" s="1"/>
  <c r="G95" i="40"/>
  <c r="G94" i="40"/>
  <c r="H94" i="40"/>
  <c r="I94" i="40"/>
  <c r="J94" i="40" s="1"/>
  <c r="L94" i="40" s="1"/>
  <c r="G93" i="40"/>
  <c r="F14" i="60" s="1"/>
  <c r="H93" i="40"/>
  <c r="I93" i="40"/>
  <c r="J93" i="40" s="1"/>
  <c r="L93" i="40" s="1"/>
  <c r="F11" i="57"/>
  <c r="D25" i="59" s="1"/>
  <c r="D24" i="59"/>
  <c r="O18" i="40"/>
  <c r="O17" i="40"/>
  <c r="O83" i="40"/>
  <c r="O21" i="40"/>
  <c r="O20" i="40"/>
  <c r="O22" i="40"/>
  <c r="O19" i="40"/>
  <c r="L92" i="40"/>
  <c r="S75" i="40"/>
  <c r="L89" i="40"/>
  <c r="P89" i="40" s="1"/>
  <c r="M72" i="36"/>
  <c r="M75" i="36"/>
  <c r="M66" i="36"/>
  <c r="I147" i="36"/>
  <c r="I209" i="36"/>
  <c r="J218" i="36"/>
  <c r="O64" i="40"/>
  <c r="O88" i="40"/>
  <c r="O25" i="40"/>
  <c r="S79" i="40"/>
  <c r="U75" i="40"/>
  <c r="U79" i="40"/>
  <c r="K76" i="40"/>
  <c r="S105" i="40"/>
  <c r="K74" i="40"/>
  <c r="W76" i="40"/>
  <c r="W79" i="40"/>
  <c r="K81" i="40"/>
  <c r="K79" i="40"/>
  <c r="K105" i="40"/>
  <c r="S69" i="40"/>
  <c r="U69" i="40"/>
  <c r="U74" i="40"/>
  <c r="W69" i="40"/>
  <c r="S74" i="40"/>
  <c r="K69" i="40"/>
  <c r="K77" i="40"/>
  <c r="U105" i="40"/>
  <c r="K68" i="40"/>
  <c r="S77" i="40"/>
  <c r="S72" i="40"/>
  <c r="U77" i="40"/>
  <c r="U72" i="40"/>
  <c r="K70" i="40"/>
  <c r="W77" i="40"/>
  <c r="S119" i="40"/>
  <c r="K78" i="40"/>
  <c r="S81" i="40"/>
  <c r="W68" i="40"/>
  <c r="U81" i="40"/>
  <c r="W74" i="40"/>
  <c r="U68" i="40"/>
  <c r="W81" i="40"/>
  <c r="W105" i="40"/>
  <c r="K82" i="40"/>
  <c r="W119" i="40"/>
  <c r="K119" i="40"/>
  <c r="U119" i="40"/>
  <c r="U112" i="40"/>
  <c r="S68" i="40"/>
  <c r="S70" i="40"/>
  <c r="U82" i="40"/>
  <c r="W78" i="40"/>
  <c r="U100" i="40"/>
  <c r="U70" i="40"/>
  <c r="W82" i="40"/>
  <c r="S78" i="40"/>
  <c r="S99" i="40"/>
  <c r="W70" i="40"/>
  <c r="S82" i="40"/>
  <c r="U78" i="40"/>
  <c r="K116" i="40"/>
  <c r="L125" i="40"/>
  <c r="S76" i="40"/>
  <c r="L76" i="40"/>
  <c r="L114" i="40"/>
  <c r="L121" i="40"/>
  <c r="L139" i="40"/>
  <c r="W71" i="40"/>
  <c r="L71" i="40"/>
  <c r="L95" i="40"/>
  <c r="K73" i="40"/>
  <c r="L73" i="40"/>
  <c r="K110" i="40"/>
  <c r="L110" i="40"/>
  <c r="K103" i="40"/>
  <c r="U108" i="40"/>
  <c r="L108" i="40"/>
  <c r="K75" i="40"/>
  <c r="L75" i="40"/>
  <c r="U80" i="40"/>
  <c r="L80" i="40"/>
  <c r="P51" i="40"/>
  <c r="W75" i="40"/>
  <c r="C10" i="41"/>
  <c r="S71" i="40"/>
  <c r="K71" i="40"/>
  <c r="S108" i="40"/>
  <c r="U71" i="40"/>
  <c r="S73" i="40"/>
  <c r="W72" i="40"/>
  <c r="K72" i="40"/>
  <c r="K80" i="40"/>
  <c r="W95" i="40"/>
  <c r="W110" i="40"/>
  <c r="U73" i="40"/>
  <c r="S103" i="40"/>
  <c r="W108" i="40"/>
  <c r="U110" i="40"/>
  <c r="W80" i="40"/>
  <c r="S110" i="40"/>
  <c r="K121" i="40"/>
  <c r="W121" i="40"/>
  <c r="S139" i="40"/>
  <c r="I218" i="36"/>
  <c r="S115" i="40"/>
  <c r="K139" i="40"/>
  <c r="U106" i="40"/>
  <c r="W139" i="40"/>
  <c r="P47" i="40"/>
  <c r="O63" i="40"/>
  <c r="U139" i="40"/>
  <c r="N139" i="40"/>
  <c r="S114" i="40"/>
  <c r="O43" i="40"/>
  <c r="P62" i="40"/>
  <c r="O50" i="40"/>
  <c r="O87" i="40"/>
  <c r="O62" i="40"/>
  <c r="P66" i="40"/>
  <c r="O27" i="40"/>
  <c r="P61" i="40"/>
  <c r="P60" i="40"/>
  <c r="P31" i="40"/>
  <c r="P65" i="40"/>
  <c r="O31" i="40"/>
  <c r="O46" i="40"/>
  <c r="P50" i="40"/>
  <c r="O65" i="40"/>
  <c r="O60" i="40"/>
  <c r="O51" i="40"/>
  <c r="J134" i="40"/>
  <c r="L134" i="40" s="1"/>
  <c r="J189" i="40"/>
  <c r="L189" i="40" s="1"/>
  <c r="O49" i="40"/>
  <c r="N107" i="40"/>
  <c r="O67" i="40"/>
  <c r="N82" i="40"/>
  <c r="N72" i="40"/>
  <c r="N97" i="40"/>
  <c r="W97" i="40"/>
  <c r="K97" i="40"/>
  <c r="U97" i="40"/>
  <c r="S97" i="40"/>
  <c r="N104" i="40"/>
  <c r="K104" i="40"/>
  <c r="N99" i="40"/>
  <c r="N77" i="40"/>
  <c r="O66" i="40"/>
  <c r="U94" i="40"/>
  <c r="S94" i="40"/>
  <c r="P40" i="40"/>
  <c r="O30" i="40"/>
  <c r="N71" i="40"/>
  <c r="O38" i="40"/>
  <c r="J186" i="40"/>
  <c r="J185" i="40"/>
  <c r="N120" i="40"/>
  <c r="P49" i="40"/>
  <c r="N133" i="40"/>
  <c r="N100" i="40"/>
  <c r="N106" i="40"/>
  <c r="N102" i="40"/>
  <c r="P67" i="40"/>
  <c r="N73" i="40"/>
  <c r="P86" i="40"/>
  <c r="P46" i="40"/>
  <c r="N96" i="40"/>
  <c r="W96" i="40"/>
  <c r="U96" i="40"/>
  <c r="S96" i="40"/>
  <c r="P42" i="40"/>
  <c r="N121" i="40"/>
  <c r="U121" i="40"/>
  <c r="N110" i="40"/>
  <c r="P41" i="40"/>
  <c r="N103" i="40"/>
  <c r="N98" i="40"/>
  <c r="N108" i="40"/>
  <c r="P24" i="40"/>
  <c r="P30" i="40"/>
  <c r="O28" i="40"/>
  <c r="N76" i="40"/>
  <c r="O45" i="40"/>
  <c r="P48" i="40"/>
  <c r="N95" i="40"/>
  <c r="P63" i="40"/>
  <c r="N69" i="40"/>
  <c r="N78" i="40"/>
  <c r="N79" i="40"/>
  <c r="J138" i="40"/>
  <c r="L138" i="40" s="1"/>
  <c r="J136" i="40"/>
  <c r="W136" i="40" s="1"/>
  <c r="O48" i="40"/>
  <c r="P26" i="40"/>
  <c r="P28" i="40"/>
  <c r="N117" i="40"/>
  <c r="N68" i="40"/>
  <c r="N75" i="40"/>
  <c r="N112" i="40"/>
  <c r="S112" i="40"/>
  <c r="K112" i="40"/>
  <c r="W112" i="40"/>
  <c r="N115" i="40"/>
  <c r="U115" i="40"/>
  <c r="N125" i="40"/>
  <c r="O24" i="40"/>
  <c r="P85" i="40"/>
  <c r="N74" i="40"/>
  <c r="O86" i="40"/>
  <c r="N101" i="40"/>
  <c r="S101" i="40"/>
  <c r="K101" i="40"/>
  <c r="W101" i="40"/>
  <c r="U101" i="40"/>
  <c r="N113" i="40"/>
  <c r="U113" i="40"/>
  <c r="S113" i="40"/>
  <c r="K113" i="40"/>
  <c r="W113" i="40"/>
  <c r="W91" i="40"/>
  <c r="O29" i="40"/>
  <c r="P25" i="40"/>
  <c r="J135" i="40"/>
  <c r="L135" i="40" s="1"/>
  <c r="J137" i="40"/>
  <c r="K137" i="40" s="1"/>
  <c r="N124" i="40"/>
  <c r="W124" i="40"/>
  <c r="N127" i="40"/>
  <c r="S127" i="40"/>
  <c r="N132" i="40"/>
  <c r="N119" i="40"/>
  <c r="N70" i="40"/>
  <c r="N81" i="40"/>
  <c r="N111" i="40"/>
  <c r="P38" i="40"/>
  <c r="N131" i="40"/>
  <c r="O47" i="40"/>
  <c r="N105" i="40"/>
  <c r="O26" i="40"/>
  <c r="P29" i="40"/>
  <c r="O61" i="40"/>
  <c r="N80" i="40"/>
  <c r="P45" i="40"/>
  <c r="N114" i="40"/>
  <c r="P43" i="40"/>
  <c r="O41" i="40"/>
  <c r="N123" i="40"/>
  <c r="N116" i="40"/>
  <c r="P64" i="40"/>
  <c r="O85" i="40"/>
  <c r="P87" i="40"/>
  <c r="J48" i="1"/>
  <c r="J19" i="1"/>
  <c r="D44" i="30"/>
  <c r="H22" i="1"/>
  <c r="D49" i="30"/>
  <c r="C56" i="30"/>
  <c r="C55" i="30"/>
  <c r="C77" i="30"/>
  <c r="D77" i="30" s="1"/>
  <c r="C76" i="30"/>
  <c r="D76" i="30" s="1"/>
  <c r="C72" i="30"/>
  <c r="C54" i="30"/>
  <c r="C78" i="30"/>
  <c r="D78" i="30" s="1"/>
  <c r="C57" i="30"/>
  <c r="C75" i="30"/>
  <c r="D75" i="30" s="1"/>
  <c r="C58" i="30"/>
  <c r="D50" i="30"/>
  <c r="C64" i="30"/>
  <c r="D64" i="30" s="1"/>
  <c r="C61" i="30"/>
  <c r="D61" i="30" s="1"/>
  <c r="C62" i="30"/>
  <c r="D62" i="30" s="1"/>
  <c r="C63" i="30"/>
  <c r="D63" i="30" s="1"/>
  <c r="D43" i="30"/>
  <c r="H21" i="1"/>
  <c r="D45" i="30"/>
  <c r="H25" i="1"/>
  <c r="C47" i="30"/>
  <c r="D47" i="30" s="1"/>
  <c r="D46" i="30"/>
  <c r="H24" i="1"/>
  <c r="J147" i="36"/>
  <c r="J209" i="36"/>
  <c r="N10" i="40"/>
  <c r="HQ328" i="31" s="1"/>
  <c r="HQ698" i="31" s="1"/>
  <c r="N11" i="40"/>
  <c r="HQ329" i="31" s="1"/>
  <c r="HQ699" i="31" s="1"/>
  <c r="I69" i="1"/>
  <c r="M69" i="1" s="1"/>
  <c r="N69" i="1" s="1"/>
  <c r="E18" i="36"/>
  <c r="E106" i="36" s="1"/>
  <c r="E108" i="36" s="1"/>
  <c r="E113" i="36" s="1"/>
  <c r="E114" i="36" s="1"/>
  <c r="E115" i="36" s="1"/>
  <c r="E159" i="36" s="1"/>
  <c r="C27" i="29"/>
  <c r="E16" i="36"/>
  <c r="E17" i="36" s="1"/>
  <c r="J49" i="1"/>
  <c r="J135" i="1" s="1"/>
  <c r="J136" i="1" s="1"/>
  <c r="J139" i="1" s="1"/>
  <c r="J140" i="1" s="1"/>
  <c r="D23" i="29"/>
  <c r="F23" i="29" s="1"/>
  <c r="D31" i="29"/>
  <c r="D32" i="29"/>
  <c r="D142" i="30"/>
  <c r="I167" i="1"/>
  <c r="I74" i="1"/>
  <c r="M74" i="1" s="1"/>
  <c r="N74" i="1" s="1"/>
  <c r="I76" i="1"/>
  <c r="M76" i="1" s="1"/>
  <c r="N76" i="1" s="1"/>
  <c r="D50" i="36"/>
  <c r="D51" i="36" s="1"/>
  <c r="D55" i="36" s="1"/>
  <c r="D58" i="36" s="1"/>
  <c r="D60" i="36" s="1"/>
  <c r="D19" i="36"/>
  <c r="H50" i="1"/>
  <c r="C40" i="30"/>
  <c r="C68" i="36"/>
  <c r="H52" i="1"/>
  <c r="C71" i="36"/>
  <c r="C97" i="36" s="1"/>
  <c r="C74" i="36"/>
  <c r="C98" i="36" s="1"/>
  <c r="H53" i="1"/>
  <c r="C83" i="36"/>
  <c r="C19" i="36"/>
  <c r="C85" i="36"/>
  <c r="C65" i="36"/>
  <c r="C94" i="36" s="1"/>
  <c r="H51" i="1"/>
  <c r="C55" i="36"/>
  <c r="C58" i="36" s="1"/>
  <c r="C60" i="36" s="1"/>
  <c r="C54" i="36"/>
  <c r="C57" i="36" s="1"/>
  <c r="I136" i="1"/>
  <c r="N134" i="40"/>
  <c r="F44" i="41"/>
  <c r="E44" i="41"/>
  <c r="G44" i="41"/>
  <c r="D44" i="41"/>
  <c r="J44" i="41"/>
  <c r="H44" i="41"/>
  <c r="I44" i="41"/>
  <c r="C28" i="29"/>
  <c r="D28" i="29" s="1"/>
  <c r="J20" i="1"/>
  <c r="I53" i="1"/>
  <c r="D74" i="36"/>
  <c r="D71" i="36"/>
  <c r="I52" i="1"/>
  <c r="D65" i="36"/>
  <c r="I51" i="1"/>
  <c r="J151" i="1"/>
  <c r="C144" i="30"/>
  <c r="D68" i="36"/>
  <c r="I50" i="1"/>
  <c r="U98" i="40" l="1"/>
  <c r="S95" i="40"/>
  <c r="K96" i="40"/>
  <c r="K94" i="40"/>
  <c r="W94" i="40"/>
  <c r="K95" i="40"/>
  <c r="W123" i="40"/>
  <c r="K90" i="40"/>
  <c r="O90" i="40" s="1"/>
  <c r="L123" i="40"/>
  <c r="P123" i="40" s="1"/>
  <c r="S89" i="40"/>
  <c r="U120" i="40"/>
  <c r="W102" i="40"/>
  <c r="S125" i="40"/>
  <c r="W103" i="40"/>
  <c r="K100" i="40"/>
  <c r="K99" i="40"/>
  <c r="O99" i="40" s="1"/>
  <c r="S116" i="40"/>
  <c r="U99" i="40"/>
  <c r="K92" i="40"/>
  <c r="P92" i="40"/>
  <c r="W131" i="40"/>
  <c r="S124" i="40"/>
  <c r="S117" i="40"/>
  <c r="U124" i="40"/>
  <c r="S100" i="40"/>
  <c r="K106" i="40"/>
  <c r="O106" i="40" s="1"/>
  <c r="K125" i="40"/>
  <c r="L103" i="40"/>
  <c r="P103" i="40" s="1"/>
  <c r="S98" i="40"/>
  <c r="W98" i="40"/>
  <c r="W99" i="40"/>
  <c r="U92" i="40"/>
  <c r="W92" i="40"/>
  <c r="K124" i="40"/>
  <c r="O124" i="40" s="1"/>
  <c r="U117" i="40"/>
  <c r="K114" i="40"/>
  <c r="W114" i="40"/>
  <c r="U125" i="40"/>
  <c r="L100" i="40"/>
  <c r="L131" i="40"/>
  <c r="P131" i="40" s="1"/>
  <c r="K98" i="40"/>
  <c r="O98" i="40" s="1"/>
  <c r="U116" i="40"/>
  <c r="W116" i="40"/>
  <c r="W127" i="40"/>
  <c r="U91" i="40"/>
  <c r="U90" i="40"/>
  <c r="S123" i="40"/>
  <c r="U123" i="40"/>
  <c r="U89" i="40"/>
  <c r="S111" i="40"/>
  <c r="K120" i="40"/>
  <c r="K127" i="40"/>
  <c r="O127" i="40" s="1"/>
  <c r="K91" i="40"/>
  <c r="O91" i="40" s="1"/>
  <c r="S120" i="40"/>
  <c r="W90" i="40"/>
  <c r="W89" i="40"/>
  <c r="U127" i="40"/>
  <c r="S91" i="40"/>
  <c r="W120" i="40"/>
  <c r="U102" i="40"/>
  <c r="S102" i="40"/>
  <c r="L90" i="40"/>
  <c r="P90" i="40" s="1"/>
  <c r="K102" i="40"/>
  <c r="W106" i="40"/>
  <c r="W117" i="40"/>
  <c r="S106" i="40"/>
  <c r="K117" i="40"/>
  <c r="O117" i="40" s="1"/>
  <c r="U131" i="40"/>
  <c r="F20" i="37"/>
  <c r="K131" i="40"/>
  <c r="O131" i="40" s="1"/>
  <c r="F6" i="37"/>
  <c r="K111" i="40"/>
  <c r="O111" i="40" s="1"/>
  <c r="L133" i="40"/>
  <c r="P133" i="40" s="1"/>
  <c r="L115" i="40"/>
  <c r="P115" i="40" s="1"/>
  <c r="S107" i="40"/>
  <c r="S133" i="40"/>
  <c r="W107" i="40"/>
  <c r="U107" i="40"/>
  <c r="U104" i="40"/>
  <c r="W93" i="40"/>
  <c r="K133" i="40"/>
  <c r="O133" i="40" s="1"/>
  <c r="K115" i="40"/>
  <c r="O115" i="40" s="1"/>
  <c r="W111" i="40"/>
  <c r="U111" i="40"/>
  <c r="U133" i="40"/>
  <c r="K107" i="40"/>
  <c r="O107" i="40" s="1"/>
  <c r="U132" i="40"/>
  <c r="S104" i="40"/>
  <c r="W104" i="40"/>
  <c r="U93" i="40"/>
  <c r="W132" i="40"/>
  <c r="L128" i="40"/>
  <c r="P128" i="40" s="1"/>
  <c r="U128" i="40"/>
  <c r="W128" i="40"/>
  <c r="K128" i="40"/>
  <c r="O128" i="40" s="1"/>
  <c r="S128" i="40"/>
  <c r="K46" i="1"/>
  <c r="D20" i="37"/>
  <c r="K17" i="1"/>
  <c r="M17" i="1" s="1"/>
  <c r="N17" i="1" s="1"/>
  <c r="L109" i="40"/>
  <c r="P109" i="40" s="1"/>
  <c r="K109" i="40"/>
  <c r="O109" i="40" s="1"/>
  <c r="U109" i="40"/>
  <c r="W109" i="40"/>
  <c r="S109" i="40"/>
  <c r="F20" i="60"/>
  <c r="L126" i="40"/>
  <c r="P126" i="40" s="1"/>
  <c r="K126" i="40"/>
  <c r="O126" i="40" s="1"/>
  <c r="U126" i="40"/>
  <c r="S126" i="40"/>
  <c r="W126" i="40"/>
  <c r="F23" i="37"/>
  <c r="D32" i="26"/>
  <c r="E15" i="37"/>
  <c r="F15" i="37" s="1"/>
  <c r="D31" i="26"/>
  <c r="C19" i="37"/>
  <c r="E19" i="37"/>
  <c r="F19" i="37" s="1"/>
  <c r="D69" i="37"/>
  <c r="D71" i="37"/>
  <c r="D23" i="37"/>
  <c r="C11" i="37"/>
  <c r="J190" i="40"/>
  <c r="D40" i="37"/>
  <c r="D30" i="26"/>
  <c r="F33" i="26"/>
  <c r="D37" i="37"/>
  <c r="K123" i="1"/>
  <c r="H190" i="40"/>
  <c r="D28" i="59" s="1"/>
  <c r="E501" i="19"/>
  <c r="D70" i="37"/>
  <c r="D68" i="37"/>
  <c r="C8" i="37"/>
  <c r="C15" i="37"/>
  <c r="K138" i="1"/>
  <c r="D38" i="37"/>
  <c r="D39" i="37"/>
  <c r="E11" i="37"/>
  <c r="F11" i="37" s="1"/>
  <c r="E8" i="37"/>
  <c r="F8" i="37" s="1"/>
  <c r="E14" i="37"/>
  <c r="F14" i="37" s="1"/>
  <c r="C93" i="41"/>
  <c r="D36" i="37"/>
  <c r="D27" i="37"/>
  <c r="D31" i="37"/>
  <c r="C14" i="37"/>
  <c r="E12" i="37"/>
  <c r="J188" i="40"/>
  <c r="H188" i="40"/>
  <c r="H185" i="40"/>
  <c r="C12" i="37"/>
  <c r="H186" i="40"/>
  <c r="D26" i="59" s="1"/>
  <c r="H189" i="40"/>
  <c r="H187" i="40"/>
  <c r="J187" i="40"/>
  <c r="L122" i="40"/>
  <c r="P122" i="40" s="1"/>
  <c r="U122" i="40"/>
  <c r="W122" i="40"/>
  <c r="K122" i="40"/>
  <c r="O122" i="40" s="1"/>
  <c r="S122" i="40"/>
  <c r="S93" i="40"/>
  <c r="S132" i="40"/>
  <c r="L118" i="40"/>
  <c r="P118" i="40" s="1"/>
  <c r="S118" i="40"/>
  <c r="K118" i="40"/>
  <c r="O118" i="40" s="1"/>
  <c r="U118" i="40"/>
  <c r="W118" i="40"/>
  <c r="K93" i="40"/>
  <c r="O93" i="40" s="1"/>
  <c r="L132" i="40"/>
  <c r="P132" i="40" s="1"/>
  <c r="L130" i="40"/>
  <c r="P130" i="40" s="1"/>
  <c r="W130" i="40"/>
  <c r="S130" i="40"/>
  <c r="U130" i="40"/>
  <c r="K130" i="40"/>
  <c r="O130" i="40" s="1"/>
  <c r="D6" i="37"/>
  <c r="K11" i="1"/>
  <c r="M11" i="1" s="1"/>
  <c r="N11" i="1" s="1"/>
  <c r="L129" i="40"/>
  <c r="P129" i="40" s="1"/>
  <c r="U129" i="40"/>
  <c r="W129" i="40"/>
  <c r="S129" i="40"/>
  <c r="K129" i="40"/>
  <c r="O129" i="40" s="1"/>
  <c r="C9" i="37"/>
  <c r="O289" i="19"/>
  <c r="F12" i="40"/>
  <c r="H12" i="40" s="1"/>
  <c r="O92" i="40"/>
  <c r="F5" i="57"/>
  <c r="D5" i="59" s="1"/>
  <c r="D30" i="59" s="1"/>
  <c r="D4" i="59"/>
  <c r="D16" i="59"/>
  <c r="O89" i="40"/>
  <c r="L185" i="40"/>
  <c r="E24" i="59"/>
  <c r="L186" i="40"/>
  <c r="G26" i="59" s="1"/>
  <c r="E26" i="59"/>
  <c r="P93" i="40"/>
  <c r="K138" i="40"/>
  <c r="J10" i="41"/>
  <c r="J13" i="41" s="1"/>
  <c r="H10" i="41"/>
  <c r="H13" i="41" s="1"/>
  <c r="F10" i="41"/>
  <c r="F13" i="41" s="1"/>
  <c r="F24" i="41" s="1"/>
  <c r="F31" i="41" s="1"/>
  <c r="F32" i="41" s="1"/>
  <c r="W138" i="40"/>
  <c r="S138" i="40"/>
  <c r="U138" i="40"/>
  <c r="U136" i="40"/>
  <c r="L136" i="40"/>
  <c r="W137" i="40"/>
  <c r="L137" i="40"/>
  <c r="O235" i="19"/>
  <c r="E11" i="57"/>
  <c r="E25" i="59" s="1"/>
  <c r="K185" i="40"/>
  <c r="F24" i="59" s="1"/>
  <c r="W134" i="40"/>
  <c r="U137" i="40"/>
  <c r="S137" i="40"/>
  <c r="P139" i="40"/>
  <c r="O72" i="40"/>
  <c r="P71" i="40"/>
  <c r="P107" i="40"/>
  <c r="N186" i="40"/>
  <c r="U135" i="40"/>
  <c r="K134" i="40"/>
  <c r="O134" i="40" s="1"/>
  <c r="S134" i="40"/>
  <c r="U134" i="40"/>
  <c r="W186" i="40"/>
  <c r="O121" i="40"/>
  <c r="P104" i="40"/>
  <c r="K186" i="40"/>
  <c r="F26" i="59" s="1"/>
  <c r="U186" i="40"/>
  <c r="O139" i="40"/>
  <c r="S186" i="40"/>
  <c r="W135" i="40"/>
  <c r="S135" i="40"/>
  <c r="K135" i="40"/>
  <c r="P99" i="40"/>
  <c r="P72" i="40"/>
  <c r="O110" i="40"/>
  <c r="P77" i="40"/>
  <c r="P74" i="40"/>
  <c r="P102" i="40"/>
  <c r="O71" i="40"/>
  <c r="O73" i="40"/>
  <c r="S136" i="40"/>
  <c r="K136" i="40"/>
  <c r="C14" i="41"/>
  <c r="I14" i="41" s="1"/>
  <c r="P79" i="40"/>
  <c r="O100" i="40"/>
  <c r="P95" i="40"/>
  <c r="O77" i="40"/>
  <c r="O78" i="40"/>
  <c r="P127" i="40"/>
  <c r="O114" i="40"/>
  <c r="O80" i="40"/>
  <c r="P81" i="40"/>
  <c r="P117" i="40"/>
  <c r="P76" i="40"/>
  <c r="O81" i="40"/>
  <c r="O68" i="40"/>
  <c r="N138" i="40"/>
  <c r="W185" i="40"/>
  <c r="N185" i="40"/>
  <c r="U185" i="40"/>
  <c r="S185" i="40"/>
  <c r="P121" i="40"/>
  <c r="O125" i="40"/>
  <c r="P98" i="40"/>
  <c r="O108" i="40"/>
  <c r="P97" i="40"/>
  <c r="O103" i="40"/>
  <c r="O95" i="40"/>
  <c r="O102" i="40"/>
  <c r="P105" i="40"/>
  <c r="P78" i="40"/>
  <c r="P68" i="40"/>
  <c r="O82" i="40"/>
  <c r="C50" i="41"/>
  <c r="D50" i="41" s="1"/>
  <c r="P111" i="40"/>
  <c r="N137" i="40"/>
  <c r="N135" i="40"/>
  <c r="P101" i="40"/>
  <c r="P119" i="40"/>
  <c r="P96" i="40"/>
  <c r="O120" i="40"/>
  <c r="P114" i="40"/>
  <c r="O132" i="40"/>
  <c r="P100" i="40"/>
  <c r="N189" i="40"/>
  <c r="U189" i="40"/>
  <c r="W189" i="40"/>
  <c r="S189" i="40"/>
  <c r="K189" i="40"/>
  <c r="P110" i="40"/>
  <c r="O105" i="40"/>
  <c r="P70" i="40"/>
  <c r="P113" i="40"/>
  <c r="P125" i="40"/>
  <c r="O112" i="40"/>
  <c r="P108" i="40"/>
  <c r="N136" i="40"/>
  <c r="O75" i="40"/>
  <c r="O76" i="40"/>
  <c r="O74" i="40"/>
  <c r="P75" i="40"/>
  <c r="O96" i="40"/>
  <c r="O119" i="40"/>
  <c r="O69" i="40"/>
  <c r="P94" i="40"/>
  <c r="O104" i="40"/>
  <c r="P116" i="40"/>
  <c r="P106" i="40"/>
  <c r="P80" i="40"/>
  <c r="P73" i="40"/>
  <c r="O79" i="40"/>
  <c r="P69" i="40"/>
  <c r="P82" i="40"/>
  <c r="P124" i="40"/>
  <c r="O123" i="40"/>
  <c r="O70" i="40"/>
  <c r="P91" i="40"/>
  <c r="O113" i="40"/>
  <c r="O101" i="40"/>
  <c r="P112" i="40"/>
  <c r="P120" i="40"/>
  <c r="O116" i="40"/>
  <c r="O94" i="40"/>
  <c r="O97" i="40"/>
  <c r="N149" i="40"/>
  <c r="N147" i="40"/>
  <c r="N146" i="40"/>
  <c r="N145" i="40"/>
  <c r="N144" i="40"/>
  <c r="N143" i="40"/>
  <c r="N142" i="40"/>
  <c r="N141" i="40"/>
  <c r="N184" i="40"/>
  <c r="H29" i="1"/>
  <c r="C21" i="41" s="1"/>
  <c r="C65" i="30"/>
  <c r="D65" i="30" s="1"/>
  <c r="D72" i="30"/>
  <c r="C98" i="30"/>
  <c r="D98" i="30" s="1"/>
  <c r="C97" i="30"/>
  <c r="D97" i="30" s="1"/>
  <c r="C99" i="30"/>
  <c r="D99" i="30" s="1"/>
  <c r="C100" i="30"/>
  <c r="D100" i="30" s="1"/>
  <c r="D56" i="30"/>
  <c r="H30" i="1"/>
  <c r="D57" i="30"/>
  <c r="H23" i="1"/>
  <c r="D58" i="30"/>
  <c r="C84" i="30"/>
  <c r="D84" i="30" s="1"/>
  <c r="C86" i="30"/>
  <c r="D86" i="30" s="1"/>
  <c r="C85" i="30"/>
  <c r="D85" i="30" s="1"/>
  <c r="C83" i="30"/>
  <c r="D83" i="30" s="1"/>
  <c r="C79" i="30"/>
  <c r="D54" i="30"/>
  <c r="H26" i="1"/>
  <c r="H28" i="1" s="1"/>
  <c r="D55" i="30"/>
  <c r="H27" i="1"/>
  <c r="M16" i="36"/>
  <c r="M49" i="1"/>
  <c r="N49" i="1" s="1"/>
  <c r="M135" i="1"/>
  <c r="C37" i="29"/>
  <c r="C38" i="29"/>
  <c r="C36" i="29"/>
  <c r="C39" i="29"/>
  <c r="D27" i="29"/>
  <c r="E50" i="36"/>
  <c r="E51" i="36" s="1"/>
  <c r="C179" i="36"/>
  <c r="C161" i="36"/>
  <c r="D144" i="30"/>
  <c r="D40" i="30"/>
  <c r="D54" i="36"/>
  <c r="D57" i="36" s="1"/>
  <c r="D99" i="36" s="1"/>
  <c r="D83" i="36"/>
  <c r="D85" i="36"/>
  <c r="C87" i="36"/>
  <c r="C92" i="36" s="1"/>
  <c r="C77" i="36"/>
  <c r="C95" i="36" s="1"/>
  <c r="H54" i="1" s="1"/>
  <c r="C96" i="36"/>
  <c r="C99" i="36"/>
  <c r="C59" i="36"/>
  <c r="C134" i="36" s="1"/>
  <c r="I139" i="1"/>
  <c r="M136" i="1"/>
  <c r="J154" i="1"/>
  <c r="D98" i="36"/>
  <c r="N140" i="40"/>
  <c r="D94" i="36"/>
  <c r="C46" i="29"/>
  <c r="D46" i="29" s="1"/>
  <c r="C45" i="29"/>
  <c r="D45" i="29" s="1"/>
  <c r="C44" i="29"/>
  <c r="D44" i="29" s="1"/>
  <c r="C43" i="29"/>
  <c r="D43" i="29" s="1"/>
  <c r="C50" i="29"/>
  <c r="D50" i="29" s="1"/>
  <c r="C49" i="29"/>
  <c r="D49" i="29" s="1"/>
  <c r="N148" i="40"/>
  <c r="D77" i="36"/>
  <c r="D96" i="36"/>
  <c r="D97" i="36"/>
  <c r="P134" i="40"/>
  <c r="F46" i="41" l="1"/>
  <c r="F111" i="41" s="1"/>
  <c r="D9" i="37"/>
  <c r="C24" i="37"/>
  <c r="K12" i="1"/>
  <c r="W187" i="40"/>
  <c r="K187" i="40"/>
  <c r="O187" i="40" s="1"/>
  <c r="S187" i="40"/>
  <c r="U187" i="40"/>
  <c r="L187" i="40"/>
  <c r="P187" i="40" s="1"/>
  <c r="K13" i="1"/>
  <c r="M13" i="1" s="1"/>
  <c r="N13" i="1" s="1"/>
  <c r="D12" i="37"/>
  <c r="F12" i="37"/>
  <c r="E24" i="37"/>
  <c r="K14" i="1"/>
  <c r="M14" i="1" s="1"/>
  <c r="D15" i="37"/>
  <c r="C32" i="37"/>
  <c r="D32" i="37" s="1"/>
  <c r="D11" i="37"/>
  <c r="K41" i="1"/>
  <c r="M41" i="1" s="1"/>
  <c r="N41" i="1" s="1"/>
  <c r="D14" i="37"/>
  <c r="K43" i="1"/>
  <c r="M43" i="1" s="1"/>
  <c r="N43" i="1" s="1"/>
  <c r="C126" i="41"/>
  <c r="C94" i="41"/>
  <c r="D8" i="37"/>
  <c r="K40" i="1"/>
  <c r="F154" i="40"/>
  <c r="F145" i="40"/>
  <c r="F149" i="40"/>
  <c r="F141" i="40"/>
  <c r="F140" i="40"/>
  <c r="F146" i="40"/>
  <c r="F150" i="40"/>
  <c r="F143" i="40"/>
  <c r="F147" i="40"/>
  <c r="D33" i="26"/>
  <c r="F153" i="40"/>
  <c r="F144" i="40"/>
  <c r="F152" i="40"/>
  <c r="F142" i="40"/>
  <c r="F151" i="40"/>
  <c r="F148" i="40"/>
  <c r="D19" i="37"/>
  <c r="K16" i="1"/>
  <c r="M123" i="1"/>
  <c r="C77" i="41"/>
  <c r="F159" i="40"/>
  <c r="F170" i="40"/>
  <c r="F173" i="40"/>
  <c r="F162" i="40"/>
  <c r="F172" i="40"/>
  <c r="F158" i="40"/>
  <c r="F175" i="40"/>
  <c r="F163" i="40"/>
  <c r="F184" i="40"/>
  <c r="F179" i="40"/>
  <c r="F174" i="40"/>
  <c r="F167" i="40"/>
  <c r="F171" i="40"/>
  <c r="F164" i="40"/>
  <c r="F156" i="40"/>
  <c r="F169" i="40"/>
  <c r="F181" i="40"/>
  <c r="F160" i="40"/>
  <c r="F182" i="40"/>
  <c r="F166" i="40"/>
  <c r="F168" i="40"/>
  <c r="F157" i="40"/>
  <c r="F161" i="40"/>
  <c r="F165" i="40"/>
  <c r="F176" i="40"/>
  <c r="F183" i="40"/>
  <c r="F177" i="40"/>
  <c r="F180" i="40"/>
  <c r="F178" i="40"/>
  <c r="F155" i="40"/>
  <c r="W188" i="40"/>
  <c r="S188" i="40"/>
  <c r="K188" i="40"/>
  <c r="O188" i="40" s="1"/>
  <c r="R188" i="40"/>
  <c r="U188" i="40"/>
  <c r="L188" i="40"/>
  <c r="P188" i="40" s="1"/>
  <c r="K139" i="1"/>
  <c r="K140" i="1" s="1"/>
  <c r="M138" i="1"/>
  <c r="L190" i="40"/>
  <c r="G28" i="59" s="1"/>
  <c r="W190" i="40"/>
  <c r="T190" i="40"/>
  <c r="K190" i="40"/>
  <c r="F28" i="59" s="1"/>
  <c r="U190" i="40"/>
  <c r="N190" i="40"/>
  <c r="V190" i="40"/>
  <c r="S190" i="40"/>
  <c r="R190" i="40"/>
  <c r="E28" i="59"/>
  <c r="M46" i="1"/>
  <c r="N46" i="1" s="1"/>
  <c r="K47" i="1"/>
  <c r="M47" i="1" s="1"/>
  <c r="N47" i="1" s="1"/>
  <c r="P186" i="40"/>
  <c r="E12" i="59"/>
  <c r="E20" i="59"/>
  <c r="E16" i="59"/>
  <c r="E6" i="59"/>
  <c r="E8" i="59"/>
  <c r="H11" i="57"/>
  <c r="G25" i="59" s="1"/>
  <c r="G24" i="59"/>
  <c r="E14" i="59"/>
  <c r="E15" i="59"/>
  <c r="E4" i="59"/>
  <c r="E21" i="59"/>
  <c r="O186" i="40"/>
  <c r="D14" i="41"/>
  <c r="H14" i="41"/>
  <c r="G14" i="41"/>
  <c r="J14" i="41"/>
  <c r="J24" i="41" s="1"/>
  <c r="E5" i="57"/>
  <c r="E5" i="59" s="1"/>
  <c r="E30" i="59" s="1"/>
  <c r="F7" i="40"/>
  <c r="H7" i="40" s="1"/>
  <c r="M95" i="1"/>
  <c r="G11" i="57"/>
  <c r="F25" i="59" s="1"/>
  <c r="P138" i="40"/>
  <c r="P135" i="40"/>
  <c r="J43" i="41"/>
  <c r="N175" i="40"/>
  <c r="N153" i="40"/>
  <c r="N150" i="40"/>
  <c r="N160" i="40"/>
  <c r="N168" i="40"/>
  <c r="N156" i="40"/>
  <c r="N163" i="40"/>
  <c r="N157" i="40"/>
  <c r="P137" i="40"/>
  <c r="P189" i="40"/>
  <c r="O185" i="40"/>
  <c r="P185" i="40"/>
  <c r="N158" i="40"/>
  <c r="O135" i="40"/>
  <c r="N176" i="40"/>
  <c r="N166" i="40"/>
  <c r="N182" i="40"/>
  <c r="O137" i="40"/>
  <c r="F43" i="41"/>
  <c r="H43" i="41"/>
  <c r="O189" i="40"/>
  <c r="N162" i="40"/>
  <c r="N159" i="40"/>
  <c r="N171" i="40"/>
  <c r="N174" i="40"/>
  <c r="N183" i="40"/>
  <c r="O136" i="40"/>
  <c r="N179" i="40"/>
  <c r="N155" i="40"/>
  <c r="N152" i="40"/>
  <c r="N169" i="40"/>
  <c r="C43" i="41"/>
  <c r="C48" i="41" s="1"/>
  <c r="H48" i="41" s="1"/>
  <c r="N161" i="40"/>
  <c r="N181" i="40"/>
  <c r="N151" i="40"/>
  <c r="N170" i="40"/>
  <c r="O138" i="40"/>
  <c r="N177" i="40"/>
  <c r="P136" i="40"/>
  <c r="N180" i="40"/>
  <c r="N164" i="40"/>
  <c r="N172" i="40"/>
  <c r="N173" i="40"/>
  <c r="N154" i="40"/>
  <c r="N167" i="40"/>
  <c r="N178" i="40"/>
  <c r="N165" i="40"/>
  <c r="H32" i="1"/>
  <c r="C90" i="30"/>
  <c r="D90" i="30" s="1"/>
  <c r="C92" i="30"/>
  <c r="D92" i="30" s="1"/>
  <c r="C91" i="30"/>
  <c r="D91" i="30" s="1"/>
  <c r="C93" i="30"/>
  <c r="D93" i="30" s="1"/>
  <c r="C19" i="41"/>
  <c r="D19" i="41" s="1"/>
  <c r="C104" i="30"/>
  <c r="D104" i="30" s="1"/>
  <c r="C105" i="30"/>
  <c r="D105" i="30" s="1"/>
  <c r="H34" i="1"/>
  <c r="D79" i="30"/>
  <c r="C107" i="30"/>
  <c r="D107" i="30" s="1"/>
  <c r="C106" i="30"/>
  <c r="D106" i="30" s="1"/>
  <c r="H35" i="1"/>
  <c r="H118" i="1" s="1"/>
  <c r="H120" i="1" s="1"/>
  <c r="H125" i="1" s="1"/>
  <c r="H127" i="1" s="1"/>
  <c r="H132" i="1" s="1"/>
  <c r="H31" i="1"/>
  <c r="H150" i="1" s="1"/>
  <c r="H33" i="1"/>
  <c r="C87" i="30"/>
  <c r="D87" i="30" s="1"/>
  <c r="C20" i="41"/>
  <c r="I21" i="41"/>
  <c r="G21" i="41"/>
  <c r="C101" i="30"/>
  <c r="D101" i="30" s="1"/>
  <c r="J50" i="1"/>
  <c r="M50" i="1" s="1"/>
  <c r="N50" i="1" s="1"/>
  <c r="E68" i="36"/>
  <c r="H71" i="1" s="1"/>
  <c r="D36" i="29"/>
  <c r="E19" i="36"/>
  <c r="E85" i="36"/>
  <c r="H64" i="1" s="1"/>
  <c r="E83" i="36"/>
  <c r="J53" i="1"/>
  <c r="M53" i="1" s="1"/>
  <c r="N53" i="1" s="1"/>
  <c r="E74" i="36"/>
  <c r="D38" i="29"/>
  <c r="E71" i="36"/>
  <c r="E97" i="36" s="1"/>
  <c r="J52" i="1"/>
  <c r="M52" i="1" s="1"/>
  <c r="N52" i="1" s="1"/>
  <c r="D39" i="29"/>
  <c r="E54" i="36"/>
  <c r="E57" i="36" s="1"/>
  <c r="E55" i="36"/>
  <c r="E58" i="36" s="1"/>
  <c r="E60" i="36" s="1"/>
  <c r="C40" i="29"/>
  <c r="E65" i="36"/>
  <c r="J51" i="1"/>
  <c r="M51" i="1" s="1"/>
  <c r="N51" i="1" s="1"/>
  <c r="D37" i="29"/>
  <c r="C178" i="36"/>
  <c r="C180" i="36" s="1"/>
  <c r="C160" i="36"/>
  <c r="D87" i="36"/>
  <c r="D92" i="36" s="1"/>
  <c r="D59" i="36"/>
  <c r="D134" i="36" s="1"/>
  <c r="D144" i="36" s="1"/>
  <c r="F42" i="41"/>
  <c r="C101" i="36"/>
  <c r="C143" i="36"/>
  <c r="C144" i="36"/>
  <c r="I140" i="1"/>
  <c r="D160" i="36"/>
  <c r="D178" i="36"/>
  <c r="J22" i="1"/>
  <c r="D179" i="36"/>
  <c r="D161" i="36"/>
  <c r="D95" i="36"/>
  <c r="I54" i="1" s="1"/>
  <c r="C56" i="29"/>
  <c r="D56" i="29" s="1"/>
  <c r="C76" i="29"/>
  <c r="C54" i="29"/>
  <c r="D54" i="29" s="1"/>
  <c r="C55" i="29"/>
  <c r="D55" i="29" s="1"/>
  <c r="C78" i="29"/>
  <c r="C72" i="29"/>
  <c r="D72" i="29" s="1"/>
  <c r="C77" i="29"/>
  <c r="C57" i="29"/>
  <c r="D57" i="29" s="1"/>
  <c r="C75" i="29"/>
  <c r="J25" i="1"/>
  <c r="C62" i="29"/>
  <c r="C64" i="29"/>
  <c r="C63" i="29"/>
  <c r="C61" i="29"/>
  <c r="C47" i="29"/>
  <c r="J21" i="1"/>
  <c r="J24" i="1"/>
  <c r="J158" i="1"/>
  <c r="F47" i="41" l="1"/>
  <c r="M140" i="1"/>
  <c r="M139" i="1"/>
  <c r="G180" i="40"/>
  <c r="I180" i="40"/>
  <c r="J180" i="40" s="1"/>
  <c r="H180" i="40"/>
  <c r="H165" i="40"/>
  <c r="G165" i="40"/>
  <c r="I165" i="40"/>
  <c r="J165" i="40" s="1"/>
  <c r="I166" i="40"/>
  <c r="J166" i="40" s="1"/>
  <c r="G166" i="40"/>
  <c r="H166" i="40"/>
  <c r="I169" i="40"/>
  <c r="J169" i="40" s="1"/>
  <c r="G169" i="40"/>
  <c r="H169" i="40"/>
  <c r="I167" i="40"/>
  <c r="J167" i="40" s="1"/>
  <c r="H167" i="40"/>
  <c r="G167" i="40"/>
  <c r="H163" i="40"/>
  <c r="G163" i="40"/>
  <c r="I163" i="40"/>
  <c r="J163" i="40" s="1"/>
  <c r="I162" i="40"/>
  <c r="J162" i="40" s="1"/>
  <c r="G162" i="40"/>
  <c r="H162" i="40"/>
  <c r="F77" i="41"/>
  <c r="F108" i="41" s="1"/>
  <c r="G77" i="41"/>
  <c r="G108" i="41" s="1"/>
  <c r="C108" i="41"/>
  <c r="E77" i="41"/>
  <c r="E108" i="41" s="1"/>
  <c r="I77" i="41"/>
  <c r="I108" i="41" s="1"/>
  <c r="D77" i="41"/>
  <c r="D108" i="41" s="1"/>
  <c r="H77" i="41"/>
  <c r="H108" i="41" s="1"/>
  <c r="J77" i="41"/>
  <c r="J108" i="41" s="1"/>
  <c r="H148" i="40"/>
  <c r="D12" i="59" s="1"/>
  <c r="G148" i="40"/>
  <c r="G8" i="60" s="1"/>
  <c r="I148" i="40"/>
  <c r="J148" i="40" s="1"/>
  <c r="G144" i="40"/>
  <c r="G14" i="60" s="1"/>
  <c r="H144" i="40"/>
  <c r="D20" i="59" s="1"/>
  <c r="I144" i="40"/>
  <c r="J144" i="40" s="1"/>
  <c r="H143" i="40"/>
  <c r="D15" i="59" s="1"/>
  <c r="G143" i="40"/>
  <c r="G11" i="60" s="1"/>
  <c r="I143" i="40"/>
  <c r="J143" i="40" s="1"/>
  <c r="G141" i="40"/>
  <c r="G9" i="60" s="1"/>
  <c r="H141" i="40"/>
  <c r="D14" i="59" s="1"/>
  <c r="I141" i="40"/>
  <c r="J141" i="40" s="1"/>
  <c r="M40" i="1"/>
  <c r="N40" i="1" s="1"/>
  <c r="K44" i="1"/>
  <c r="M12" i="1"/>
  <c r="K15" i="1"/>
  <c r="I177" i="40"/>
  <c r="J177" i="40" s="1"/>
  <c r="H177" i="40"/>
  <c r="G177" i="40"/>
  <c r="H161" i="40"/>
  <c r="G161" i="40"/>
  <c r="I161" i="40"/>
  <c r="J161" i="40" s="1"/>
  <c r="I182" i="40"/>
  <c r="J182" i="40" s="1"/>
  <c r="H182" i="40"/>
  <c r="G182" i="40"/>
  <c r="H156" i="40"/>
  <c r="G156" i="40"/>
  <c r="I156" i="40"/>
  <c r="J156" i="40" s="1"/>
  <c r="I174" i="40"/>
  <c r="J174" i="40" s="1"/>
  <c r="G174" i="40"/>
  <c r="H174" i="40"/>
  <c r="I175" i="40"/>
  <c r="J175" i="40" s="1"/>
  <c r="G175" i="40"/>
  <c r="H175" i="40"/>
  <c r="H173" i="40"/>
  <c r="G173" i="40"/>
  <c r="I173" i="40"/>
  <c r="J173" i="40" s="1"/>
  <c r="I151" i="40"/>
  <c r="J151" i="40" s="1"/>
  <c r="G151" i="40"/>
  <c r="H151" i="40"/>
  <c r="G153" i="40"/>
  <c r="I153" i="40"/>
  <c r="J153" i="40" s="1"/>
  <c r="H153" i="40"/>
  <c r="I150" i="40"/>
  <c r="J150" i="40" s="1"/>
  <c r="H150" i="40"/>
  <c r="G150" i="40"/>
  <c r="I149" i="40"/>
  <c r="J149" i="40" s="1"/>
  <c r="H149" i="40"/>
  <c r="G149" i="40"/>
  <c r="K20" i="1"/>
  <c r="M20" i="1" s="1"/>
  <c r="N20" i="1" s="1"/>
  <c r="D24" i="37"/>
  <c r="C28" i="37"/>
  <c r="I24" i="37"/>
  <c r="G155" i="40"/>
  <c r="H155" i="40"/>
  <c r="I155" i="40"/>
  <c r="J155" i="40" s="1"/>
  <c r="G183" i="40"/>
  <c r="H183" i="40"/>
  <c r="I183" i="40"/>
  <c r="J183" i="40" s="1"/>
  <c r="H157" i="40"/>
  <c r="G157" i="40"/>
  <c r="I157" i="40"/>
  <c r="J157" i="40" s="1"/>
  <c r="G160" i="40"/>
  <c r="I160" i="40"/>
  <c r="J160" i="40" s="1"/>
  <c r="H160" i="40"/>
  <c r="I164" i="40"/>
  <c r="J164" i="40" s="1"/>
  <c r="G164" i="40"/>
  <c r="H164" i="40"/>
  <c r="H179" i="40"/>
  <c r="G179" i="40"/>
  <c r="I179" i="40"/>
  <c r="J179" i="40" s="1"/>
  <c r="H158" i="40"/>
  <c r="G158" i="40"/>
  <c r="I158" i="40"/>
  <c r="J158" i="40" s="1"/>
  <c r="H170" i="40"/>
  <c r="G170" i="40"/>
  <c r="I170" i="40"/>
  <c r="J170" i="40" s="1"/>
  <c r="M97" i="1"/>
  <c r="N97" i="1" s="1"/>
  <c r="K18" i="1"/>
  <c r="M16" i="1"/>
  <c r="H142" i="40"/>
  <c r="D21" i="59" s="1"/>
  <c r="G142" i="40"/>
  <c r="G15" i="60" s="1"/>
  <c r="I142" i="40"/>
  <c r="J142" i="40" s="1"/>
  <c r="H146" i="40"/>
  <c r="D8" i="59" s="1"/>
  <c r="G146" i="40"/>
  <c r="G6" i="60" s="1"/>
  <c r="I146" i="40"/>
  <c r="J146" i="40" s="1"/>
  <c r="I145" i="40"/>
  <c r="J145" i="40" s="1"/>
  <c r="H145" i="40"/>
  <c r="G145" i="40"/>
  <c r="G4" i="60" s="1"/>
  <c r="C131" i="41"/>
  <c r="C132" i="41" s="1"/>
  <c r="C95" i="41"/>
  <c r="N14" i="1"/>
  <c r="M90" i="1"/>
  <c r="N90" i="1" s="1"/>
  <c r="G30" i="59"/>
  <c r="O190" i="40"/>
  <c r="P190" i="40"/>
  <c r="H178" i="40"/>
  <c r="G178" i="40"/>
  <c r="I178" i="40"/>
  <c r="J178" i="40" s="1"/>
  <c r="I176" i="40"/>
  <c r="J176" i="40" s="1"/>
  <c r="G176" i="40"/>
  <c r="H176" i="40"/>
  <c r="G168" i="40"/>
  <c r="H168" i="40"/>
  <c r="I168" i="40"/>
  <c r="J168" i="40" s="1"/>
  <c r="I181" i="40"/>
  <c r="J181" i="40" s="1"/>
  <c r="H181" i="40"/>
  <c r="G181" i="40"/>
  <c r="I171" i="40"/>
  <c r="J171" i="40" s="1"/>
  <c r="H171" i="40"/>
  <c r="G171" i="40"/>
  <c r="I184" i="40"/>
  <c r="J184" i="40" s="1"/>
  <c r="G184" i="40"/>
  <c r="H184" i="40"/>
  <c r="G172" i="40"/>
  <c r="H172" i="40"/>
  <c r="I172" i="40"/>
  <c r="J172" i="40" s="1"/>
  <c r="G159" i="40"/>
  <c r="H159" i="40"/>
  <c r="I159" i="40"/>
  <c r="J159" i="40" s="1"/>
  <c r="I152" i="40"/>
  <c r="J152" i="40" s="1"/>
  <c r="H152" i="40"/>
  <c r="G152" i="40"/>
  <c r="G147" i="40"/>
  <c r="G5" i="60" s="1"/>
  <c r="I147" i="40"/>
  <c r="J147" i="40" s="1"/>
  <c r="H147" i="40"/>
  <c r="D6" i="59" s="1"/>
  <c r="I140" i="40"/>
  <c r="H140" i="40"/>
  <c r="F191" i="40"/>
  <c r="G140" i="40"/>
  <c r="G154" i="40"/>
  <c r="I154" i="40"/>
  <c r="J154" i="40" s="1"/>
  <c r="H154" i="40"/>
  <c r="K151" i="1"/>
  <c r="F24" i="37"/>
  <c r="F16" i="59"/>
  <c r="F6" i="59"/>
  <c r="F20" i="59"/>
  <c r="G4" i="59"/>
  <c r="F14" i="59"/>
  <c r="F15" i="59"/>
  <c r="G5" i="57"/>
  <c r="F5" i="59" s="1"/>
  <c r="F30" i="59" s="1"/>
  <c r="F4" i="59"/>
  <c r="F8" i="59"/>
  <c r="F21" i="59"/>
  <c r="N95" i="1"/>
  <c r="G48" i="41"/>
  <c r="F58" i="41"/>
  <c r="F63" i="41" s="1"/>
  <c r="F64" i="41" s="1"/>
  <c r="F79" i="41" s="1"/>
  <c r="F112" i="41" s="1"/>
  <c r="I48" i="41"/>
  <c r="J48" i="41"/>
  <c r="D48" i="41"/>
  <c r="C94" i="30"/>
  <c r="D94" i="30" s="1"/>
  <c r="H117" i="1"/>
  <c r="H119" i="1" s="1"/>
  <c r="H124" i="1" s="1"/>
  <c r="H126" i="1" s="1"/>
  <c r="H128" i="1" s="1"/>
  <c r="C17" i="41" s="1"/>
  <c r="D17" i="41" s="1"/>
  <c r="C108" i="30"/>
  <c r="D108" i="30" s="1"/>
  <c r="H153" i="1"/>
  <c r="H152" i="1"/>
  <c r="H155" i="1" s="1"/>
  <c r="H159" i="1" s="1"/>
  <c r="G20" i="41"/>
  <c r="I20" i="41"/>
  <c r="E87" i="36"/>
  <c r="E92" i="36" s="1"/>
  <c r="E59" i="36"/>
  <c r="E134" i="36" s="1"/>
  <c r="E99" i="36"/>
  <c r="H80" i="1" s="1"/>
  <c r="E179" i="36"/>
  <c r="E161" i="36"/>
  <c r="D40" i="29"/>
  <c r="E98" i="36"/>
  <c r="H77" i="1"/>
  <c r="E77" i="36"/>
  <c r="E96" i="36"/>
  <c r="E94" i="36"/>
  <c r="H73" i="1"/>
  <c r="H62" i="1"/>
  <c r="C102" i="36"/>
  <c r="C132" i="36" s="1"/>
  <c r="C133" i="36" s="1"/>
  <c r="C140" i="36" s="1"/>
  <c r="Q37" i="40" s="1"/>
  <c r="C158" i="36"/>
  <c r="C162" i="36" s="1"/>
  <c r="C185" i="36"/>
  <c r="HO353" i="31"/>
  <c r="C184" i="36"/>
  <c r="D64" i="29"/>
  <c r="D77" i="29"/>
  <c r="D47" i="29"/>
  <c r="D75" i="29"/>
  <c r="D76" i="29"/>
  <c r="D61" i="29"/>
  <c r="D62" i="29"/>
  <c r="D78" i="29"/>
  <c r="D63" i="29"/>
  <c r="D143" i="36"/>
  <c r="R88" i="40" s="1"/>
  <c r="D101" i="36"/>
  <c r="D102" i="36" s="1"/>
  <c r="J31" i="41"/>
  <c r="J32" i="41" s="1"/>
  <c r="R37" i="40"/>
  <c r="HN319" i="31"/>
  <c r="HN689" i="31" s="1"/>
  <c r="C58" i="29"/>
  <c r="C79" i="29"/>
  <c r="J27" i="1"/>
  <c r="D180" i="36"/>
  <c r="J23" i="1"/>
  <c r="C65" i="29"/>
  <c r="D65" i="29" s="1"/>
  <c r="J26" i="1"/>
  <c r="C54" i="41" s="1"/>
  <c r="C98" i="29"/>
  <c r="C99" i="29"/>
  <c r="C97" i="29"/>
  <c r="C100" i="29"/>
  <c r="J29" i="1"/>
  <c r="C55" i="41" s="1"/>
  <c r="J30" i="1"/>
  <c r="J46" i="41" l="1"/>
  <c r="J111" i="41" s="1"/>
  <c r="M98" i="1"/>
  <c r="N98" i="1" s="1"/>
  <c r="K154" i="1"/>
  <c r="M151" i="1"/>
  <c r="G12" i="60"/>
  <c r="G20" i="60" s="1"/>
  <c r="G191" i="40"/>
  <c r="K181" i="40"/>
  <c r="O181" i="40" s="1"/>
  <c r="W181" i="40"/>
  <c r="S181" i="40"/>
  <c r="L181" i="40"/>
  <c r="P181" i="40" s="1"/>
  <c r="U181" i="40"/>
  <c r="W145" i="40"/>
  <c r="K145" i="40"/>
  <c r="O145" i="40" s="1"/>
  <c r="S145" i="40"/>
  <c r="U145" i="40"/>
  <c r="L145" i="40"/>
  <c r="P145" i="40" s="1"/>
  <c r="U142" i="40"/>
  <c r="W142" i="40"/>
  <c r="K142" i="40"/>
  <c r="O142" i="40" s="1"/>
  <c r="S142" i="40"/>
  <c r="L142" i="40"/>
  <c r="W179" i="40"/>
  <c r="K179" i="40"/>
  <c r="O179" i="40" s="1"/>
  <c r="U179" i="40"/>
  <c r="L179" i="40"/>
  <c r="P179" i="40" s="1"/>
  <c r="S179" i="40"/>
  <c r="S183" i="40"/>
  <c r="K183" i="40"/>
  <c r="O183" i="40" s="1"/>
  <c r="L183" i="40"/>
  <c r="P183" i="40" s="1"/>
  <c r="W183" i="40"/>
  <c r="U183" i="40"/>
  <c r="K149" i="40"/>
  <c r="U149" i="40"/>
  <c r="W149" i="40"/>
  <c r="L149" i="40"/>
  <c r="P149" i="40" s="1"/>
  <c r="O149" i="40"/>
  <c r="S149" i="40"/>
  <c r="K182" i="40"/>
  <c r="O182" i="40" s="1"/>
  <c r="U182" i="40"/>
  <c r="S182" i="40"/>
  <c r="W182" i="40"/>
  <c r="L182" i="40"/>
  <c r="P182" i="40" s="1"/>
  <c r="N12" i="1"/>
  <c r="M15" i="1"/>
  <c r="W148" i="40"/>
  <c r="K148" i="40"/>
  <c r="L148" i="40"/>
  <c r="S148" i="40"/>
  <c r="U148" i="40"/>
  <c r="L147" i="40"/>
  <c r="G6" i="59" s="1"/>
  <c r="S147" i="40"/>
  <c r="U147" i="40"/>
  <c r="K147" i="40"/>
  <c r="O147" i="40" s="1"/>
  <c r="W147" i="40"/>
  <c r="L152" i="40"/>
  <c r="P152" i="40" s="1"/>
  <c r="U152" i="40"/>
  <c r="K152" i="40"/>
  <c r="O152" i="40" s="1"/>
  <c r="W152" i="40"/>
  <c r="S152" i="40"/>
  <c r="W172" i="40"/>
  <c r="K172" i="40"/>
  <c r="O172" i="40" s="1"/>
  <c r="U172" i="40"/>
  <c r="L172" i="40"/>
  <c r="P172" i="40" s="1"/>
  <c r="S172" i="40"/>
  <c r="S171" i="40"/>
  <c r="U171" i="40"/>
  <c r="K171" i="40"/>
  <c r="O171" i="40" s="1"/>
  <c r="W171" i="40"/>
  <c r="L171" i="40"/>
  <c r="P171" i="40" s="1"/>
  <c r="L168" i="40"/>
  <c r="P168" i="40" s="1"/>
  <c r="K168" i="40"/>
  <c r="O168" i="40" s="1"/>
  <c r="W168" i="40"/>
  <c r="U168" i="40"/>
  <c r="S168" i="40"/>
  <c r="U146" i="40"/>
  <c r="W146" i="40"/>
  <c r="K146" i="40"/>
  <c r="O146" i="40" s="1"/>
  <c r="L146" i="40"/>
  <c r="S146" i="40"/>
  <c r="L158" i="40"/>
  <c r="P158" i="40" s="1"/>
  <c r="U158" i="40"/>
  <c r="S158" i="40"/>
  <c r="W158" i="40"/>
  <c r="K158" i="40"/>
  <c r="O158" i="40" s="1"/>
  <c r="L164" i="40"/>
  <c r="P164" i="40" s="1"/>
  <c r="U164" i="40"/>
  <c r="K164" i="40"/>
  <c r="O164" i="40" s="1"/>
  <c r="W164" i="40"/>
  <c r="S164" i="40"/>
  <c r="L157" i="40"/>
  <c r="P157" i="40" s="1"/>
  <c r="S157" i="40"/>
  <c r="W157" i="40"/>
  <c r="U157" i="40"/>
  <c r="K157" i="40"/>
  <c r="O157" i="40" s="1"/>
  <c r="K153" i="40"/>
  <c r="O153" i="40" s="1"/>
  <c r="W153" i="40"/>
  <c r="L153" i="40"/>
  <c r="P153" i="40" s="1"/>
  <c r="S153" i="40"/>
  <c r="U153" i="40"/>
  <c r="L151" i="40"/>
  <c r="P151" i="40" s="1"/>
  <c r="W151" i="40"/>
  <c r="K151" i="40"/>
  <c r="O151" i="40" s="1"/>
  <c r="U151" i="40"/>
  <c r="S151" i="40"/>
  <c r="L161" i="40"/>
  <c r="P161" i="40" s="1"/>
  <c r="K161" i="40"/>
  <c r="O161" i="40" s="1"/>
  <c r="S161" i="40"/>
  <c r="W161" i="40"/>
  <c r="U161" i="40"/>
  <c r="M44" i="1"/>
  <c r="N44" i="1" s="1"/>
  <c r="K48" i="1"/>
  <c r="M48" i="1" s="1"/>
  <c r="N48" i="1" s="1"/>
  <c r="S144" i="40"/>
  <c r="L144" i="40"/>
  <c r="W144" i="40"/>
  <c r="U144" i="40"/>
  <c r="K144" i="40"/>
  <c r="O144" i="40" s="1"/>
  <c r="S162" i="40"/>
  <c r="U162" i="40"/>
  <c r="K162" i="40"/>
  <c r="O162" i="40" s="1"/>
  <c r="W162" i="40"/>
  <c r="L162" i="40"/>
  <c r="P162" i="40" s="1"/>
  <c r="S166" i="40"/>
  <c r="U166" i="40"/>
  <c r="W166" i="40"/>
  <c r="K166" i="40"/>
  <c r="O166" i="40" s="1"/>
  <c r="L166" i="40"/>
  <c r="P166" i="40" s="1"/>
  <c r="W159" i="40"/>
  <c r="U159" i="40"/>
  <c r="K159" i="40"/>
  <c r="O159" i="40" s="1"/>
  <c r="S159" i="40"/>
  <c r="L159" i="40"/>
  <c r="P159" i="40" s="1"/>
  <c r="L184" i="40"/>
  <c r="P184" i="40" s="1"/>
  <c r="Q184" i="40"/>
  <c r="K184" i="40"/>
  <c r="O184" i="40" s="1"/>
  <c r="S184" i="40"/>
  <c r="U184" i="40"/>
  <c r="W184" i="40"/>
  <c r="L176" i="40"/>
  <c r="P176" i="40" s="1"/>
  <c r="K176" i="40"/>
  <c r="O176" i="40" s="1"/>
  <c r="U176" i="40"/>
  <c r="W176" i="40"/>
  <c r="S176" i="40"/>
  <c r="L170" i="40"/>
  <c r="P170" i="40" s="1"/>
  <c r="W170" i="40"/>
  <c r="K170" i="40"/>
  <c r="O170" i="40" s="1"/>
  <c r="S170" i="40"/>
  <c r="U170" i="40"/>
  <c r="W173" i="40"/>
  <c r="K173" i="40"/>
  <c r="O173" i="40" s="1"/>
  <c r="S173" i="40"/>
  <c r="L173" i="40"/>
  <c r="P173" i="40" s="1"/>
  <c r="U173" i="40"/>
  <c r="S174" i="40"/>
  <c r="W174" i="40"/>
  <c r="K174" i="40"/>
  <c r="O174" i="40" s="1"/>
  <c r="L174" i="40"/>
  <c r="P174" i="40" s="1"/>
  <c r="U174" i="40"/>
  <c r="U177" i="40"/>
  <c r="S177" i="40"/>
  <c r="L177" i="40"/>
  <c r="P177" i="40" s="1"/>
  <c r="K177" i="40"/>
  <c r="O177" i="40" s="1"/>
  <c r="W177" i="40"/>
  <c r="W143" i="40"/>
  <c r="L143" i="40"/>
  <c r="S143" i="40"/>
  <c r="U143" i="40"/>
  <c r="K143" i="40"/>
  <c r="O143" i="40" s="1"/>
  <c r="L163" i="40"/>
  <c r="P163" i="40" s="1"/>
  <c r="K163" i="40"/>
  <c r="O163" i="40" s="1"/>
  <c r="U163" i="40"/>
  <c r="S163" i="40"/>
  <c r="W163" i="40"/>
  <c r="L169" i="40"/>
  <c r="P169" i="40" s="1"/>
  <c r="K169" i="40"/>
  <c r="O169" i="40" s="1"/>
  <c r="U169" i="40"/>
  <c r="W169" i="40"/>
  <c r="S169" i="40"/>
  <c r="S165" i="40"/>
  <c r="W165" i="40"/>
  <c r="K165" i="40"/>
  <c r="O165" i="40" s="1"/>
  <c r="L165" i="40"/>
  <c r="P165" i="40" s="1"/>
  <c r="U165" i="40"/>
  <c r="L180" i="40"/>
  <c r="P180" i="40" s="1"/>
  <c r="W180" i="40"/>
  <c r="S180" i="40"/>
  <c r="U180" i="40"/>
  <c r="K180" i="40"/>
  <c r="O180" i="40" s="1"/>
  <c r="W154" i="40"/>
  <c r="U154" i="40"/>
  <c r="S154" i="40"/>
  <c r="L154" i="40"/>
  <c r="P154" i="40" s="1"/>
  <c r="K154" i="40"/>
  <c r="O154" i="40" s="1"/>
  <c r="H191" i="40"/>
  <c r="D23" i="59" s="1"/>
  <c r="D29" i="59" s="1"/>
  <c r="C83" i="41"/>
  <c r="I191" i="40"/>
  <c r="J140" i="40"/>
  <c r="L178" i="40"/>
  <c r="P178" i="40" s="1"/>
  <c r="U178" i="40"/>
  <c r="W178" i="40"/>
  <c r="S178" i="40"/>
  <c r="K178" i="40"/>
  <c r="O178" i="40" s="1"/>
  <c r="N16" i="1"/>
  <c r="M18" i="1"/>
  <c r="N18" i="1" s="1"/>
  <c r="L160" i="40"/>
  <c r="P160" i="40" s="1"/>
  <c r="W160" i="40"/>
  <c r="U160" i="40"/>
  <c r="K160" i="40"/>
  <c r="O160" i="40" s="1"/>
  <c r="S160" i="40"/>
  <c r="U155" i="40"/>
  <c r="K155" i="40"/>
  <c r="O155" i="40" s="1"/>
  <c r="W155" i="40"/>
  <c r="S155" i="40"/>
  <c r="L155" i="40"/>
  <c r="P155" i="40" s="1"/>
  <c r="I25" i="37"/>
  <c r="C46" i="37"/>
  <c r="C49" i="37"/>
  <c r="C45" i="37"/>
  <c r="C50" i="37"/>
  <c r="C44" i="37"/>
  <c r="C43" i="37"/>
  <c r="D28" i="37"/>
  <c r="U150" i="40"/>
  <c r="W150" i="40"/>
  <c r="K150" i="40"/>
  <c r="O150" i="40" s="1"/>
  <c r="L150" i="40"/>
  <c r="P150" i="40" s="1"/>
  <c r="S150" i="40"/>
  <c r="L175" i="40"/>
  <c r="P175" i="40" s="1"/>
  <c r="U175" i="40"/>
  <c r="W175" i="40"/>
  <c r="K175" i="40"/>
  <c r="O175" i="40" s="1"/>
  <c r="S175" i="40"/>
  <c r="S156" i="40"/>
  <c r="K156" i="40"/>
  <c r="O156" i="40" s="1"/>
  <c r="U156" i="40"/>
  <c r="W156" i="40"/>
  <c r="L156" i="40"/>
  <c r="P156" i="40" s="1"/>
  <c r="K19" i="1"/>
  <c r="U141" i="40"/>
  <c r="W141" i="40"/>
  <c r="S141" i="40"/>
  <c r="L141" i="40"/>
  <c r="G14" i="59" s="1"/>
  <c r="K141" i="40"/>
  <c r="O141" i="40" s="1"/>
  <c r="L167" i="40"/>
  <c r="P167" i="40" s="1"/>
  <c r="K167" i="40"/>
  <c r="O167" i="40" s="1"/>
  <c r="W167" i="40"/>
  <c r="U167" i="40"/>
  <c r="S167" i="40"/>
  <c r="F75" i="41"/>
  <c r="H66" i="1"/>
  <c r="H70" i="1" s="1"/>
  <c r="H130" i="1"/>
  <c r="H131" i="1"/>
  <c r="H161" i="1"/>
  <c r="H164" i="1"/>
  <c r="H157" i="1"/>
  <c r="H162" i="1"/>
  <c r="H166" i="1" s="1"/>
  <c r="H163" i="1"/>
  <c r="D158" i="36"/>
  <c r="D162" i="36" s="1"/>
  <c r="D166" i="36" s="1"/>
  <c r="HM319" i="31"/>
  <c r="HM689" i="31" s="1"/>
  <c r="C141" i="36"/>
  <c r="E160" i="36"/>
  <c r="E178" i="36"/>
  <c r="E180" i="36" s="1"/>
  <c r="E144" i="36"/>
  <c r="E143" i="36"/>
  <c r="E95" i="36"/>
  <c r="H79" i="1"/>
  <c r="C167" i="36"/>
  <c r="C166" i="36"/>
  <c r="V37" i="40"/>
  <c r="HR319" i="31"/>
  <c r="HR689" i="31" s="1"/>
  <c r="D98" i="29"/>
  <c r="D100" i="29"/>
  <c r="C84" i="29"/>
  <c r="D58" i="29"/>
  <c r="D97" i="29"/>
  <c r="C104" i="29"/>
  <c r="D79" i="29"/>
  <c r="D99" i="29"/>
  <c r="HN320" i="31"/>
  <c r="HN690" i="31" s="1"/>
  <c r="J42" i="41"/>
  <c r="R42" i="40"/>
  <c r="R46" i="40"/>
  <c r="R51" i="40"/>
  <c r="R44" i="40"/>
  <c r="R45" i="40"/>
  <c r="R50" i="40"/>
  <c r="R52" i="40"/>
  <c r="R47" i="40"/>
  <c r="R39" i="40"/>
  <c r="R41" i="40"/>
  <c r="R49" i="40"/>
  <c r="R43" i="40"/>
  <c r="R40" i="40"/>
  <c r="R38" i="40"/>
  <c r="R33" i="40"/>
  <c r="R48" i="40"/>
  <c r="R34" i="40"/>
  <c r="R36" i="40"/>
  <c r="R35" i="40"/>
  <c r="R26" i="40"/>
  <c r="R31" i="40"/>
  <c r="R84" i="40"/>
  <c r="R64" i="40"/>
  <c r="R101" i="40"/>
  <c r="R97" i="40"/>
  <c r="R85" i="40"/>
  <c r="R127" i="40"/>
  <c r="R122" i="40"/>
  <c r="R60" i="40"/>
  <c r="R103" i="40"/>
  <c r="R65" i="40"/>
  <c r="R119" i="40"/>
  <c r="R104" i="40"/>
  <c r="R87" i="40"/>
  <c r="R114" i="40"/>
  <c r="R125" i="40"/>
  <c r="R55" i="40"/>
  <c r="R130" i="40"/>
  <c r="R56" i="40"/>
  <c r="R63" i="40"/>
  <c r="R61" i="40"/>
  <c r="R100" i="40"/>
  <c r="R54" i="40"/>
  <c r="R109" i="40"/>
  <c r="R128" i="40"/>
  <c r="R57" i="40"/>
  <c r="R93" i="40"/>
  <c r="R131" i="40"/>
  <c r="R111" i="40"/>
  <c r="R108" i="40"/>
  <c r="R112" i="40"/>
  <c r="R102" i="40"/>
  <c r="R53" i="40"/>
  <c r="R19" i="40"/>
  <c r="R24" i="40"/>
  <c r="R20" i="40"/>
  <c r="R30" i="40"/>
  <c r="R21" i="40"/>
  <c r="R25" i="40"/>
  <c r="R22" i="40"/>
  <c r="R27" i="40"/>
  <c r="R95" i="40"/>
  <c r="R120" i="40"/>
  <c r="R118" i="40"/>
  <c r="R94" i="40"/>
  <c r="R106" i="40"/>
  <c r="R67" i="40"/>
  <c r="R129" i="40"/>
  <c r="R58" i="40"/>
  <c r="R126" i="40"/>
  <c r="R123" i="40"/>
  <c r="R117" i="40"/>
  <c r="R107" i="40"/>
  <c r="R96" i="40"/>
  <c r="R124" i="40"/>
  <c r="R92" i="40"/>
  <c r="R115" i="40"/>
  <c r="R62" i="40"/>
  <c r="R66" i="40"/>
  <c r="R29" i="40"/>
  <c r="R28" i="40"/>
  <c r="R121" i="40"/>
  <c r="R116" i="40"/>
  <c r="R113" i="40"/>
  <c r="R59" i="40"/>
  <c r="R90" i="40"/>
  <c r="R110" i="40"/>
  <c r="R133" i="40"/>
  <c r="R132" i="40"/>
  <c r="R98" i="40"/>
  <c r="R99" i="40"/>
  <c r="R105" i="40"/>
  <c r="R86" i="40"/>
  <c r="R91" i="40"/>
  <c r="R79" i="40"/>
  <c r="R75" i="40"/>
  <c r="R70" i="40"/>
  <c r="R69" i="40"/>
  <c r="R78" i="40"/>
  <c r="R74" i="40"/>
  <c r="R81" i="40"/>
  <c r="R80" i="40"/>
  <c r="R187" i="40"/>
  <c r="R73" i="40"/>
  <c r="R68" i="40"/>
  <c r="R71" i="40"/>
  <c r="R76" i="40"/>
  <c r="R72" i="40"/>
  <c r="R77" i="40"/>
  <c r="R82" i="40"/>
  <c r="R189" i="40"/>
  <c r="R137" i="40"/>
  <c r="R138" i="40"/>
  <c r="R135" i="40"/>
  <c r="R136" i="40"/>
  <c r="R153" i="40"/>
  <c r="R163" i="40"/>
  <c r="R166" i="40"/>
  <c r="R167" i="40"/>
  <c r="R143" i="40"/>
  <c r="R146" i="40"/>
  <c r="R179" i="40"/>
  <c r="R149" i="40"/>
  <c r="R156" i="40"/>
  <c r="R152" i="40"/>
  <c r="R175" i="40"/>
  <c r="R180" i="40"/>
  <c r="R157" i="40"/>
  <c r="R151" i="40"/>
  <c r="R158" i="40"/>
  <c r="R182" i="40"/>
  <c r="R155" i="40"/>
  <c r="R154" i="40"/>
  <c r="R173" i="40"/>
  <c r="R162" i="40"/>
  <c r="R177" i="40"/>
  <c r="R184" i="40"/>
  <c r="R144" i="40"/>
  <c r="R150" i="40"/>
  <c r="R183" i="40"/>
  <c r="R168" i="40"/>
  <c r="R170" i="40"/>
  <c r="R181" i="40"/>
  <c r="R147" i="40"/>
  <c r="R159" i="40"/>
  <c r="R172" i="40"/>
  <c r="R164" i="40"/>
  <c r="R169" i="40"/>
  <c r="R160" i="40"/>
  <c r="R176" i="40"/>
  <c r="R165" i="40"/>
  <c r="R178" i="40"/>
  <c r="R174" i="40"/>
  <c r="R171" i="40"/>
  <c r="R141" i="40"/>
  <c r="R142" i="40"/>
  <c r="R161" i="40"/>
  <c r="C105" i="29"/>
  <c r="C106" i="29"/>
  <c r="C107" i="29"/>
  <c r="C83" i="29"/>
  <c r="C86" i="29"/>
  <c r="C85" i="29"/>
  <c r="J33" i="1"/>
  <c r="J34" i="1"/>
  <c r="G55" i="41"/>
  <c r="I55" i="41"/>
  <c r="J31" i="1"/>
  <c r="J150" i="1" s="1"/>
  <c r="J28" i="1"/>
  <c r="C53" i="41" s="1"/>
  <c r="D184" i="36"/>
  <c r="D185" i="36"/>
  <c r="HO354" i="31"/>
  <c r="C90" i="29"/>
  <c r="C92" i="29"/>
  <c r="J35" i="1"/>
  <c r="C93" i="29"/>
  <c r="C91" i="29"/>
  <c r="C101" i="29"/>
  <c r="D132" i="36"/>
  <c r="D133" i="36" s="1"/>
  <c r="J32" i="1"/>
  <c r="I54" i="41"/>
  <c r="G54" i="41"/>
  <c r="J47" i="41" l="1"/>
  <c r="J58" i="41" s="1"/>
  <c r="J63" i="41" s="1"/>
  <c r="P141" i="40"/>
  <c r="K22" i="1"/>
  <c r="M22" i="1" s="1"/>
  <c r="N22" i="1" s="1"/>
  <c r="D44" i="37"/>
  <c r="K24" i="1"/>
  <c r="M24" i="1" s="1"/>
  <c r="N24" i="1" s="1"/>
  <c r="F71" i="36"/>
  <c r="D46" i="37"/>
  <c r="G20" i="59"/>
  <c r="P144" i="40"/>
  <c r="G21" i="59"/>
  <c r="P142" i="40"/>
  <c r="C64" i="37"/>
  <c r="C62" i="37"/>
  <c r="D62" i="37" s="1"/>
  <c r="C61" i="37"/>
  <c r="D50" i="37"/>
  <c r="C63" i="37"/>
  <c r="D63" i="37" s="1"/>
  <c r="N15" i="1"/>
  <c r="M19" i="1"/>
  <c r="N19" i="1" s="1"/>
  <c r="D45" i="37"/>
  <c r="K25" i="1"/>
  <c r="M25" i="1" s="1"/>
  <c r="N25" i="1" s="1"/>
  <c r="G12" i="59"/>
  <c r="P148" i="40"/>
  <c r="K158" i="1"/>
  <c r="M158" i="1" s="1"/>
  <c r="M154" i="1"/>
  <c r="C47" i="37"/>
  <c r="D47" i="37" s="1"/>
  <c r="D43" i="37"/>
  <c r="K21" i="1"/>
  <c r="C57" i="37"/>
  <c r="D57" i="37" s="1"/>
  <c r="C78" i="37"/>
  <c r="D78" i="37" s="1"/>
  <c r="C77" i="37"/>
  <c r="D77" i="37" s="1"/>
  <c r="D49" i="37"/>
  <c r="I49" i="37"/>
  <c r="C54" i="37"/>
  <c r="C72" i="37"/>
  <c r="C56" i="37"/>
  <c r="C75" i="37"/>
  <c r="C76" i="37"/>
  <c r="D76" i="37" s="1"/>
  <c r="C55" i="37"/>
  <c r="W140" i="40"/>
  <c r="J76" i="41" s="1"/>
  <c r="J107" i="41" s="1"/>
  <c r="C76" i="41"/>
  <c r="K140" i="40"/>
  <c r="K191" i="40" s="1"/>
  <c r="J191" i="40"/>
  <c r="E23" i="59" s="1"/>
  <c r="E29" i="59" s="1"/>
  <c r="L140" i="40"/>
  <c r="P140" i="40" s="1"/>
  <c r="U140" i="40"/>
  <c r="H76" i="41" s="1"/>
  <c r="H107" i="41" s="1"/>
  <c r="S140" i="40"/>
  <c r="F76" i="41" s="1"/>
  <c r="F107" i="41" s="1"/>
  <c r="F113" i="41" s="1"/>
  <c r="D83" i="41"/>
  <c r="D116" i="41" s="1"/>
  <c r="C116" i="41"/>
  <c r="G15" i="59"/>
  <c r="P143" i="40"/>
  <c r="G8" i="59"/>
  <c r="P146" i="40"/>
  <c r="F12" i="59"/>
  <c r="O148" i="40"/>
  <c r="P147" i="40"/>
  <c r="D167" i="36"/>
  <c r="H133" i="1"/>
  <c r="H168" i="1"/>
  <c r="H167" i="1"/>
  <c r="HN321" i="31"/>
  <c r="HN691" i="31" s="1"/>
  <c r="R139" i="40"/>
  <c r="E185" i="36"/>
  <c r="E184" i="36"/>
  <c r="HO355" i="31"/>
  <c r="J54" i="1"/>
  <c r="M54" i="1" s="1"/>
  <c r="N54" i="1" s="1"/>
  <c r="E101" i="36"/>
  <c r="HP319" i="31"/>
  <c r="HP689" i="31" s="1"/>
  <c r="T37" i="40"/>
  <c r="D93" i="29"/>
  <c r="D105" i="29"/>
  <c r="D104" i="29"/>
  <c r="D83" i="29"/>
  <c r="D84" i="29"/>
  <c r="D92" i="29"/>
  <c r="D85" i="29"/>
  <c r="D107" i="29"/>
  <c r="D101" i="29"/>
  <c r="D91" i="29"/>
  <c r="D90" i="29"/>
  <c r="D86" i="29"/>
  <c r="D106" i="29"/>
  <c r="C108" i="29"/>
  <c r="C87" i="29"/>
  <c r="D141" i="36"/>
  <c r="D140" i="36"/>
  <c r="D53" i="41"/>
  <c r="V88" i="40"/>
  <c r="HR320" i="31"/>
  <c r="J117" i="1"/>
  <c r="C94" i="29"/>
  <c r="HP320" i="31"/>
  <c r="T88" i="40"/>
  <c r="J118" i="1"/>
  <c r="J153" i="1"/>
  <c r="J152" i="1"/>
  <c r="J64" i="41" l="1"/>
  <c r="J79" i="41" s="1"/>
  <c r="J112" i="41" s="1"/>
  <c r="J113" i="41" s="1"/>
  <c r="J75" i="41"/>
  <c r="F80" i="41"/>
  <c r="F91" i="41" s="1"/>
  <c r="F124" i="41"/>
  <c r="F133" i="41" s="1"/>
  <c r="F23" i="59"/>
  <c r="F29" i="59" s="1"/>
  <c r="C107" i="41"/>
  <c r="C81" i="41"/>
  <c r="D75" i="37"/>
  <c r="C79" i="37"/>
  <c r="D56" i="37"/>
  <c r="K30" i="1"/>
  <c r="M30" i="1" s="1"/>
  <c r="N30" i="1" s="1"/>
  <c r="M21" i="1"/>
  <c r="N21" i="1" s="1"/>
  <c r="K23" i="1"/>
  <c r="M23" i="1" s="1"/>
  <c r="N23" i="1" s="1"/>
  <c r="K29" i="1"/>
  <c r="D64" i="37"/>
  <c r="G16" i="59"/>
  <c r="L191" i="40"/>
  <c r="O140" i="40"/>
  <c r="O191" i="40" s="1"/>
  <c r="M89" i="1" s="1"/>
  <c r="N89" i="1" s="1"/>
  <c r="K27" i="1"/>
  <c r="D55" i="37"/>
  <c r="C98" i="37"/>
  <c r="D98" i="37" s="1"/>
  <c r="C99" i="37"/>
  <c r="D99" i="37" s="1"/>
  <c r="D72" i="37"/>
  <c r="C100" i="37"/>
  <c r="D100" i="37" s="1"/>
  <c r="C97" i="37"/>
  <c r="K26" i="1"/>
  <c r="D54" i="37"/>
  <c r="D61" i="37"/>
  <c r="C65" i="37"/>
  <c r="H75" i="1"/>
  <c r="H82" i="1" s="1"/>
  <c r="F97" i="36"/>
  <c r="F101" i="36" s="1"/>
  <c r="F102" i="36" s="1"/>
  <c r="F132" i="36" s="1"/>
  <c r="F133" i="36" s="1"/>
  <c r="C58" i="37"/>
  <c r="I22" i="41"/>
  <c r="I23" i="41" s="1"/>
  <c r="D22" i="41"/>
  <c r="D23" i="41" s="1"/>
  <c r="G22" i="41"/>
  <c r="G23" i="41" s="1"/>
  <c r="H22" i="41"/>
  <c r="H23" i="41" s="1"/>
  <c r="H24" i="41" s="1"/>
  <c r="H31" i="41" s="1"/>
  <c r="E102" i="36"/>
  <c r="E158" i="36"/>
  <c r="E162" i="36" s="1"/>
  <c r="HR321" i="31"/>
  <c r="HR691" i="31" s="1"/>
  <c r="V139" i="40"/>
  <c r="D94" i="29"/>
  <c r="D87" i="29"/>
  <c r="D108" i="29"/>
  <c r="HP690" i="31"/>
  <c r="T46" i="40"/>
  <c r="T42" i="40"/>
  <c r="T50" i="40"/>
  <c r="T51" i="40"/>
  <c r="T39" i="40"/>
  <c r="T49" i="40"/>
  <c r="T45" i="40"/>
  <c r="T33" i="40"/>
  <c r="T52" i="40"/>
  <c r="T44" i="40"/>
  <c r="T40" i="40"/>
  <c r="T47" i="40"/>
  <c r="T43" i="40"/>
  <c r="T48" i="40"/>
  <c r="T38" i="40"/>
  <c r="T41" i="40"/>
  <c r="T36" i="40"/>
  <c r="T35" i="40"/>
  <c r="T34" i="40"/>
  <c r="T24" i="40"/>
  <c r="T25" i="40"/>
  <c r="T27" i="40"/>
  <c r="T63" i="40"/>
  <c r="T61" i="40"/>
  <c r="T120" i="40"/>
  <c r="T100" i="40"/>
  <c r="T118" i="40"/>
  <c r="T90" i="40"/>
  <c r="T131" i="40"/>
  <c r="T96" i="40"/>
  <c r="T62" i="40"/>
  <c r="T105" i="40"/>
  <c r="T86" i="40"/>
  <c r="T130" i="40"/>
  <c r="T30" i="40"/>
  <c r="T28" i="40"/>
  <c r="T22" i="40"/>
  <c r="T113" i="40"/>
  <c r="T85" i="40"/>
  <c r="T127" i="40"/>
  <c r="T106" i="40"/>
  <c r="T58" i="40"/>
  <c r="T59" i="40"/>
  <c r="T60" i="40"/>
  <c r="T103" i="40"/>
  <c r="T133" i="40"/>
  <c r="T132" i="40"/>
  <c r="T87" i="40"/>
  <c r="T99" i="40"/>
  <c r="T114" i="40"/>
  <c r="T112" i="40"/>
  <c r="T26" i="40"/>
  <c r="T19" i="40"/>
  <c r="T21" i="40"/>
  <c r="T31" i="40"/>
  <c r="T121" i="40"/>
  <c r="T95" i="40"/>
  <c r="T116" i="40"/>
  <c r="T54" i="40"/>
  <c r="T64" i="40"/>
  <c r="T101" i="40"/>
  <c r="T97" i="40"/>
  <c r="T109" i="40"/>
  <c r="T94" i="40"/>
  <c r="T126" i="40"/>
  <c r="T93" i="40"/>
  <c r="T123" i="40"/>
  <c r="T110" i="40"/>
  <c r="T65" i="40"/>
  <c r="T66" i="40"/>
  <c r="T108" i="40"/>
  <c r="T29" i="40"/>
  <c r="T84" i="40"/>
  <c r="T128" i="40"/>
  <c r="T67" i="40"/>
  <c r="T129" i="40"/>
  <c r="T122" i="40"/>
  <c r="T57" i="40"/>
  <c r="T117" i="40"/>
  <c r="T107" i="40"/>
  <c r="T119" i="40"/>
  <c r="T98" i="40"/>
  <c r="T124" i="40"/>
  <c r="T104" i="40"/>
  <c r="T92" i="40"/>
  <c r="T115" i="40"/>
  <c r="T111" i="40"/>
  <c r="T125" i="40"/>
  <c r="T53" i="40"/>
  <c r="T56" i="40"/>
  <c r="T102" i="40"/>
  <c r="T187" i="40"/>
  <c r="T76" i="40"/>
  <c r="T78" i="40"/>
  <c r="T79" i="40"/>
  <c r="T75" i="40"/>
  <c r="T189" i="40"/>
  <c r="T71" i="40"/>
  <c r="T74" i="40"/>
  <c r="T81" i="40"/>
  <c r="T69" i="40"/>
  <c r="T188" i="40"/>
  <c r="T72" i="40"/>
  <c r="T82" i="40"/>
  <c r="T70" i="40"/>
  <c r="T80" i="40"/>
  <c r="T77" i="40"/>
  <c r="T73" i="40"/>
  <c r="T68" i="40"/>
  <c r="T138" i="40"/>
  <c r="T136" i="40"/>
  <c r="T137" i="40"/>
  <c r="T135" i="40"/>
  <c r="T181" i="40"/>
  <c r="T155" i="40"/>
  <c r="T159" i="40"/>
  <c r="T162" i="40"/>
  <c r="T172" i="40"/>
  <c r="T176" i="40"/>
  <c r="T144" i="40"/>
  <c r="T166" i="40"/>
  <c r="T183" i="40"/>
  <c r="T167" i="40"/>
  <c r="T157" i="40"/>
  <c r="T182" i="40"/>
  <c r="T147" i="40"/>
  <c r="T169" i="40"/>
  <c r="T153" i="40"/>
  <c r="T163" i="40"/>
  <c r="T152" i="40"/>
  <c r="T178" i="40"/>
  <c r="T174" i="40"/>
  <c r="T171" i="40"/>
  <c r="T142" i="40"/>
  <c r="T168" i="40"/>
  <c r="T146" i="40"/>
  <c r="T170" i="40"/>
  <c r="T160" i="40"/>
  <c r="T184" i="40"/>
  <c r="T165" i="40"/>
  <c r="T180" i="40"/>
  <c r="T161" i="40"/>
  <c r="T151" i="40"/>
  <c r="T179" i="40"/>
  <c r="T154" i="40"/>
  <c r="T173" i="40"/>
  <c r="T164" i="40"/>
  <c r="T177" i="40"/>
  <c r="T149" i="40"/>
  <c r="T156" i="40"/>
  <c r="T150" i="40"/>
  <c r="T175" i="40"/>
  <c r="T141" i="40"/>
  <c r="T143" i="40"/>
  <c r="T158" i="40"/>
  <c r="HR690" i="31"/>
  <c r="V42" i="40"/>
  <c r="V46" i="40"/>
  <c r="V50" i="40"/>
  <c r="V52" i="40"/>
  <c r="V47" i="40"/>
  <c r="V43" i="40"/>
  <c r="V48" i="40"/>
  <c r="V51" i="40"/>
  <c r="V41" i="40"/>
  <c r="V33" i="40"/>
  <c r="V45" i="40"/>
  <c r="V39" i="40"/>
  <c r="V40" i="40"/>
  <c r="V38" i="40"/>
  <c r="V49" i="40"/>
  <c r="V44" i="40"/>
  <c r="V34" i="40"/>
  <c r="V36" i="40"/>
  <c r="V35" i="40"/>
  <c r="V19" i="40"/>
  <c r="V30" i="40"/>
  <c r="V29" i="40"/>
  <c r="V31" i="40"/>
  <c r="V84" i="40"/>
  <c r="V116" i="40"/>
  <c r="V109" i="40"/>
  <c r="V67" i="40"/>
  <c r="V129" i="40"/>
  <c r="V122" i="40"/>
  <c r="V90" i="40"/>
  <c r="V93" i="40"/>
  <c r="V103" i="40"/>
  <c r="V132" i="40"/>
  <c r="V115" i="40"/>
  <c r="V99" i="40"/>
  <c r="V53" i="40"/>
  <c r="V56" i="40"/>
  <c r="V26" i="40"/>
  <c r="V24" i="40"/>
  <c r="V25" i="40"/>
  <c r="V63" i="40"/>
  <c r="V121" i="40"/>
  <c r="V95" i="40"/>
  <c r="V64" i="40"/>
  <c r="V101" i="40"/>
  <c r="V94" i="40"/>
  <c r="V57" i="40"/>
  <c r="V59" i="40"/>
  <c r="V123" i="40"/>
  <c r="V117" i="40"/>
  <c r="V107" i="40"/>
  <c r="V133" i="40"/>
  <c r="V96" i="40"/>
  <c r="V124" i="40"/>
  <c r="V104" i="40"/>
  <c r="V87" i="40"/>
  <c r="V92" i="40"/>
  <c r="V125" i="40"/>
  <c r="V66" i="40"/>
  <c r="V105" i="40"/>
  <c r="V130" i="40"/>
  <c r="V102" i="40"/>
  <c r="V28" i="40"/>
  <c r="V61" i="40"/>
  <c r="V100" i="40"/>
  <c r="V118" i="40"/>
  <c r="V54" i="40"/>
  <c r="V113" i="40"/>
  <c r="V85" i="40"/>
  <c r="V127" i="40"/>
  <c r="V128" i="40"/>
  <c r="V58" i="40"/>
  <c r="V110" i="40"/>
  <c r="V131" i="40"/>
  <c r="V60" i="40"/>
  <c r="V65" i="40"/>
  <c r="V98" i="40"/>
  <c r="V62" i="40"/>
  <c r="V108" i="40"/>
  <c r="V21" i="40"/>
  <c r="V22" i="40"/>
  <c r="V27" i="40"/>
  <c r="V120" i="40"/>
  <c r="V97" i="40"/>
  <c r="V106" i="40"/>
  <c r="V126" i="40"/>
  <c r="V119" i="40"/>
  <c r="V114" i="40"/>
  <c r="V111" i="40"/>
  <c r="V86" i="40"/>
  <c r="V112" i="40"/>
  <c r="V77" i="40"/>
  <c r="V187" i="40"/>
  <c r="V73" i="40"/>
  <c r="V74" i="40"/>
  <c r="V80" i="40"/>
  <c r="V82" i="40"/>
  <c r="V71" i="40"/>
  <c r="V69" i="40"/>
  <c r="V188" i="40"/>
  <c r="V68" i="40"/>
  <c r="V79" i="40"/>
  <c r="V76" i="40"/>
  <c r="V81" i="40"/>
  <c r="V72" i="40"/>
  <c r="V78" i="40"/>
  <c r="V75" i="40"/>
  <c r="V70" i="40"/>
  <c r="V189" i="40"/>
  <c r="V135" i="40"/>
  <c r="V137" i="40"/>
  <c r="V138" i="40"/>
  <c r="V136" i="40"/>
  <c r="V159" i="40"/>
  <c r="V173" i="40"/>
  <c r="V162" i="40"/>
  <c r="V172" i="40"/>
  <c r="V164" i="40"/>
  <c r="V169" i="40"/>
  <c r="V177" i="40"/>
  <c r="V166" i="40"/>
  <c r="V178" i="40"/>
  <c r="V174" i="40"/>
  <c r="V142" i="40"/>
  <c r="V181" i="40"/>
  <c r="V182" i="40"/>
  <c r="V155" i="40"/>
  <c r="V156" i="40"/>
  <c r="V167" i="40"/>
  <c r="V141" i="40"/>
  <c r="V180" i="40"/>
  <c r="V161" i="40"/>
  <c r="V158" i="40"/>
  <c r="V147" i="40"/>
  <c r="V179" i="40"/>
  <c r="V163" i="40"/>
  <c r="V144" i="40"/>
  <c r="V165" i="40"/>
  <c r="V171" i="40"/>
  <c r="V175" i="40"/>
  <c r="V143" i="40"/>
  <c r="V157" i="40"/>
  <c r="V154" i="40"/>
  <c r="V160" i="40"/>
  <c r="V176" i="40"/>
  <c r="V153" i="40"/>
  <c r="V184" i="40"/>
  <c r="V149" i="40"/>
  <c r="V152" i="40"/>
  <c r="V150" i="40"/>
  <c r="V183" i="40"/>
  <c r="V168" i="40"/>
  <c r="V146" i="40"/>
  <c r="V170" i="40"/>
  <c r="V151" i="40"/>
  <c r="J155" i="1"/>
  <c r="J119" i="1"/>
  <c r="J163" i="1"/>
  <c r="J157" i="1"/>
  <c r="J161" i="1"/>
  <c r="J162" i="1"/>
  <c r="J164" i="1"/>
  <c r="J120" i="1"/>
  <c r="HM320" i="31"/>
  <c r="Q88" i="40"/>
  <c r="J80" i="41" l="1"/>
  <c r="D65" i="37"/>
  <c r="C92" i="37"/>
  <c r="D92" i="37" s="1"/>
  <c r="K33" i="1"/>
  <c r="C91" i="37"/>
  <c r="D91" i="37" s="1"/>
  <c r="C90" i="37"/>
  <c r="C93" i="37"/>
  <c r="D93" i="37" s="1"/>
  <c r="D97" i="37"/>
  <c r="C101" i="37"/>
  <c r="D101" i="37" s="1"/>
  <c r="C84" i="37"/>
  <c r="D84" i="37" s="1"/>
  <c r="C85" i="37"/>
  <c r="D85" i="37" s="1"/>
  <c r="D58" i="37"/>
  <c r="K34" i="1"/>
  <c r="C83" i="37"/>
  <c r="K32" i="1"/>
  <c r="C86" i="37"/>
  <c r="D86" i="37" s="1"/>
  <c r="C88" i="41"/>
  <c r="M29" i="1"/>
  <c r="N29" i="1" s="1"/>
  <c r="I81" i="41"/>
  <c r="I114" i="41" s="1"/>
  <c r="H81" i="41"/>
  <c r="H114" i="41" s="1"/>
  <c r="G81" i="41"/>
  <c r="G114" i="41" s="1"/>
  <c r="D81" i="41"/>
  <c r="D114" i="41" s="1"/>
  <c r="C114" i="41"/>
  <c r="J81" i="41"/>
  <c r="J114" i="41" s="1"/>
  <c r="J124" i="41" s="1"/>
  <c r="J133" i="41" s="1"/>
  <c r="F141" i="36"/>
  <c r="F140" i="36"/>
  <c r="C86" i="41"/>
  <c r="M27" i="1"/>
  <c r="N27" i="1" s="1"/>
  <c r="G23" i="59"/>
  <c r="G29" i="59" s="1"/>
  <c r="F97" i="41"/>
  <c r="F96" i="41"/>
  <c r="K28" i="1"/>
  <c r="M28" i="1" s="1"/>
  <c r="N28" i="1" s="1"/>
  <c r="M26" i="1"/>
  <c r="C87" i="41"/>
  <c r="K31" i="1"/>
  <c r="K150" i="1" s="1"/>
  <c r="C104" i="37"/>
  <c r="D79" i="37"/>
  <c r="C107" i="37"/>
  <c r="D107" i="37" s="1"/>
  <c r="C106" i="37"/>
  <c r="D106" i="37" s="1"/>
  <c r="C105" i="37"/>
  <c r="D105" i="37" s="1"/>
  <c r="K35" i="1"/>
  <c r="K118" i="1" s="1"/>
  <c r="H32" i="41"/>
  <c r="H46" i="41" s="1"/>
  <c r="H111" i="41" s="1"/>
  <c r="K10" i="36"/>
  <c r="E166" i="36"/>
  <c r="E167" i="36"/>
  <c r="E132" i="36"/>
  <c r="E133" i="36" s="1"/>
  <c r="H83" i="1"/>
  <c r="HM690" i="31"/>
  <c r="Q42" i="40"/>
  <c r="Q46" i="40"/>
  <c r="Q52" i="40"/>
  <c r="Q40" i="40"/>
  <c r="Q38" i="40"/>
  <c r="Q45" i="40"/>
  <c r="Q44" i="40"/>
  <c r="Q39" i="40"/>
  <c r="Q33" i="40"/>
  <c r="Q49" i="40"/>
  <c r="Q50" i="40"/>
  <c r="Q51" i="40"/>
  <c r="Q43" i="40"/>
  <c r="Q48" i="40"/>
  <c r="Q47" i="40"/>
  <c r="Q41" i="40"/>
  <c r="Q34" i="40"/>
  <c r="Q35" i="40"/>
  <c r="Q36" i="40"/>
  <c r="Q19" i="40"/>
  <c r="Q28" i="40"/>
  <c r="Q27" i="40"/>
  <c r="Q121" i="40"/>
  <c r="Q54" i="40"/>
  <c r="Q101" i="40"/>
  <c r="Q85" i="40"/>
  <c r="Q94" i="40"/>
  <c r="Q128" i="40"/>
  <c r="Q58" i="40"/>
  <c r="Q60" i="40"/>
  <c r="Q107" i="40"/>
  <c r="Q133" i="40"/>
  <c r="Q96" i="40"/>
  <c r="Q87" i="40"/>
  <c r="Q92" i="40"/>
  <c r="Q114" i="40"/>
  <c r="Q108" i="40"/>
  <c r="Q112" i="40"/>
  <c r="Q26" i="40"/>
  <c r="Q21" i="40"/>
  <c r="Q31" i="40"/>
  <c r="Q84" i="40"/>
  <c r="Q61" i="40"/>
  <c r="Q118" i="40"/>
  <c r="Q97" i="40"/>
  <c r="Q127" i="40"/>
  <c r="Q110" i="40"/>
  <c r="Q119" i="40"/>
  <c r="Q98" i="40"/>
  <c r="Q124" i="40"/>
  <c r="Q105" i="40"/>
  <c r="Q86" i="40"/>
  <c r="Q56" i="40"/>
  <c r="Q102" i="40"/>
  <c r="Q24" i="40"/>
  <c r="Q30" i="40"/>
  <c r="Q29" i="40"/>
  <c r="Q120" i="40"/>
  <c r="Q100" i="40"/>
  <c r="Q116" i="40"/>
  <c r="Q64" i="40"/>
  <c r="Q113" i="40"/>
  <c r="Q106" i="40"/>
  <c r="Q67" i="40"/>
  <c r="Q122" i="40"/>
  <c r="Q59" i="40"/>
  <c r="Q90" i="40"/>
  <c r="Q126" i="40"/>
  <c r="Q93" i="40"/>
  <c r="Q111" i="40"/>
  <c r="Q25" i="40"/>
  <c r="Q22" i="40"/>
  <c r="Q63" i="40"/>
  <c r="Q95" i="40"/>
  <c r="Q109" i="40"/>
  <c r="Q129" i="40"/>
  <c r="Q57" i="40"/>
  <c r="Q123" i="40"/>
  <c r="Q117" i="40"/>
  <c r="Q131" i="40"/>
  <c r="Q103" i="40"/>
  <c r="Q65" i="40"/>
  <c r="Q132" i="40"/>
  <c r="Q104" i="40"/>
  <c r="Q115" i="40"/>
  <c r="Q62" i="40"/>
  <c r="Q99" i="40"/>
  <c r="Q125" i="40"/>
  <c r="Q66" i="40"/>
  <c r="Q53" i="40"/>
  <c r="Q130" i="40"/>
  <c r="Q75" i="40"/>
  <c r="Q72" i="40"/>
  <c r="Q77" i="40"/>
  <c r="Q73" i="40"/>
  <c r="Q68" i="40"/>
  <c r="Q79" i="40"/>
  <c r="Q82" i="40"/>
  <c r="Q70" i="40"/>
  <c r="Q189" i="40"/>
  <c r="Q76" i="40"/>
  <c r="Q81" i="40"/>
  <c r="Q188" i="40"/>
  <c r="Q187" i="40"/>
  <c r="Q71" i="40"/>
  <c r="Q69" i="40"/>
  <c r="Q74" i="40"/>
  <c r="Q80" i="40"/>
  <c r="Q78" i="40"/>
  <c r="Q138" i="40"/>
  <c r="Q136" i="40"/>
  <c r="Q135" i="40"/>
  <c r="Q137" i="40"/>
  <c r="Q159" i="40"/>
  <c r="Q160" i="40"/>
  <c r="Q176" i="40"/>
  <c r="Q144" i="40"/>
  <c r="Q165" i="40"/>
  <c r="Q175" i="40"/>
  <c r="Q143" i="40"/>
  <c r="Q161" i="40"/>
  <c r="Q181" i="40"/>
  <c r="Q147" i="40"/>
  <c r="Q173" i="40"/>
  <c r="Q164" i="40"/>
  <c r="Q177" i="40"/>
  <c r="Q163" i="40"/>
  <c r="Q178" i="40"/>
  <c r="Q171" i="40"/>
  <c r="Q142" i="40"/>
  <c r="Q158" i="40"/>
  <c r="Q182" i="40"/>
  <c r="Q154" i="40"/>
  <c r="Q172" i="40"/>
  <c r="Q169" i="40"/>
  <c r="Q153" i="40"/>
  <c r="Q149" i="40"/>
  <c r="Q156" i="40"/>
  <c r="Q152" i="40"/>
  <c r="Q150" i="40"/>
  <c r="Q167" i="40"/>
  <c r="Q141" i="40"/>
  <c r="Q180" i="40"/>
  <c r="Q157" i="40"/>
  <c r="Q146" i="40"/>
  <c r="Q155" i="40"/>
  <c r="Q179" i="40"/>
  <c r="Q162" i="40"/>
  <c r="Q166" i="40"/>
  <c r="Q183" i="40"/>
  <c r="Q174" i="40"/>
  <c r="Q168" i="40"/>
  <c r="Q151" i="40"/>
  <c r="Q170" i="40"/>
  <c r="J124" i="1"/>
  <c r="J159" i="1"/>
  <c r="J10" i="36"/>
  <c r="G10" i="36"/>
  <c r="I10" i="36"/>
  <c r="H10" i="36"/>
  <c r="J125" i="1"/>
  <c r="J166" i="1"/>
  <c r="H42" i="41" l="1"/>
  <c r="H47" i="41" s="1"/>
  <c r="K117" i="1"/>
  <c r="D104" i="37"/>
  <c r="C108" i="37"/>
  <c r="D108" i="37" s="1"/>
  <c r="J91" i="41"/>
  <c r="M150" i="1"/>
  <c r="K152" i="1"/>
  <c r="K153" i="1"/>
  <c r="D86" i="41"/>
  <c r="D119" i="41" s="1"/>
  <c r="C119" i="41"/>
  <c r="I87" i="41"/>
  <c r="I120" i="41" s="1"/>
  <c r="G87" i="41"/>
  <c r="G120" i="41" s="1"/>
  <c r="C120" i="41"/>
  <c r="Q190" i="40"/>
  <c r="HM322" i="31"/>
  <c r="HM692" i="31" s="1"/>
  <c r="K120" i="1"/>
  <c r="M118" i="1"/>
  <c r="N26" i="1"/>
  <c r="M31" i="1"/>
  <c r="G88" i="41"/>
  <c r="G121" i="41" s="1"/>
  <c r="I88" i="41"/>
  <c r="I121" i="41" s="1"/>
  <c r="C121" i="41"/>
  <c r="D83" i="37"/>
  <c r="C87" i="37"/>
  <c r="D87" i="37" s="1"/>
  <c r="D90" i="37"/>
  <c r="C94" i="37"/>
  <c r="D94" i="37" s="1"/>
  <c r="E140" i="36"/>
  <c r="E141" i="36"/>
  <c r="HP321" i="31"/>
  <c r="HP691" i="31" s="1"/>
  <c r="T139" i="40"/>
  <c r="J127" i="1"/>
  <c r="J167" i="1"/>
  <c r="J126" i="1"/>
  <c r="J168" i="1"/>
  <c r="K119" i="1" l="1"/>
  <c r="M117" i="1"/>
  <c r="K125" i="1"/>
  <c r="M120" i="1"/>
  <c r="J97" i="41"/>
  <c r="J96" i="41"/>
  <c r="L10" i="36"/>
  <c r="M10" i="36" s="1"/>
  <c r="M35" i="1"/>
  <c r="M34" i="1"/>
  <c r="M33" i="1"/>
  <c r="N31" i="1"/>
  <c r="I62" i="1"/>
  <c r="M62" i="1" s="1"/>
  <c r="N62" i="1" s="1"/>
  <c r="M32" i="1"/>
  <c r="G11" i="36" s="1"/>
  <c r="M153" i="1"/>
  <c r="K164" i="1"/>
  <c r="M164" i="1" s="1"/>
  <c r="K162" i="1"/>
  <c r="K161" i="1"/>
  <c r="M161" i="1" s="1"/>
  <c r="K157" i="1"/>
  <c r="K163" i="1"/>
  <c r="M163" i="1" s="1"/>
  <c r="K155" i="1"/>
  <c r="M152" i="1"/>
  <c r="K13" i="36"/>
  <c r="L13" i="36"/>
  <c r="Q139" i="40"/>
  <c r="HM321" i="31"/>
  <c r="HM691" i="31" s="1"/>
  <c r="D56" i="41"/>
  <c r="J132" i="1"/>
  <c r="G56" i="41"/>
  <c r="H56" i="41"/>
  <c r="I89" i="41"/>
  <c r="I90" i="41" s="1"/>
  <c r="I56" i="41"/>
  <c r="J128" i="1"/>
  <c r="J131" i="1"/>
  <c r="J130" i="1"/>
  <c r="I13" i="36"/>
  <c r="J13" i="36"/>
  <c r="H13" i="36"/>
  <c r="G13" i="36" l="1"/>
  <c r="M13" i="36" s="1"/>
  <c r="G15" i="36"/>
  <c r="G12" i="36"/>
  <c r="K124" i="1"/>
  <c r="M119" i="1"/>
  <c r="M157" i="1"/>
  <c r="K159" i="1"/>
  <c r="M159" i="1" s="1"/>
  <c r="M155" i="1"/>
  <c r="K166" i="1"/>
  <c r="M162" i="1"/>
  <c r="K127" i="1"/>
  <c r="M125" i="1"/>
  <c r="J11" i="36"/>
  <c r="L11" i="36"/>
  <c r="H11" i="36"/>
  <c r="I11" i="36"/>
  <c r="K11" i="36"/>
  <c r="K12" i="36"/>
  <c r="L12" i="36"/>
  <c r="K15" i="36"/>
  <c r="L15" i="36"/>
  <c r="J15" i="36"/>
  <c r="I15" i="36"/>
  <c r="H15" i="36"/>
  <c r="H57" i="41"/>
  <c r="H58" i="41" s="1"/>
  <c r="H63" i="41" s="1"/>
  <c r="H64" i="41" s="1"/>
  <c r="H79" i="41" s="1"/>
  <c r="H112" i="41" s="1"/>
  <c r="H113" i="41" s="1"/>
  <c r="I12" i="36"/>
  <c r="J12" i="36"/>
  <c r="H12" i="36"/>
  <c r="G57" i="41"/>
  <c r="I57" i="41"/>
  <c r="I122" i="41"/>
  <c r="I123" i="41" s="1"/>
  <c r="J133" i="1"/>
  <c r="C51" i="41"/>
  <c r="G74" i="36" l="1"/>
  <c r="G98" i="36" s="1"/>
  <c r="G17" i="36"/>
  <c r="G19" i="36" s="1"/>
  <c r="G50" i="36"/>
  <c r="G51" i="36" s="1"/>
  <c r="G55" i="36" s="1"/>
  <c r="G58" i="36" s="1"/>
  <c r="G60" i="36" s="1"/>
  <c r="G68" i="36"/>
  <c r="G77" i="36" s="1"/>
  <c r="G65" i="36"/>
  <c r="G94" i="36" s="1"/>
  <c r="G71" i="36"/>
  <c r="G97" i="36" s="1"/>
  <c r="K126" i="1"/>
  <c r="K128" i="1" s="1"/>
  <c r="M124" i="1"/>
  <c r="K168" i="1"/>
  <c r="M166" i="1"/>
  <c r="K167" i="1"/>
  <c r="M167" i="1" s="1"/>
  <c r="K132" i="1"/>
  <c r="M132" i="1" s="1"/>
  <c r="M127" i="1"/>
  <c r="M11" i="36"/>
  <c r="K71" i="36"/>
  <c r="K97" i="36" s="1"/>
  <c r="K179" i="36" s="1"/>
  <c r="K65" i="36"/>
  <c r="K94" i="36" s="1"/>
  <c r="K74" i="36"/>
  <c r="K98" i="36" s="1"/>
  <c r="K17" i="36"/>
  <c r="K83" i="36" s="1"/>
  <c r="K68" i="36"/>
  <c r="K96" i="36" s="1"/>
  <c r="L74" i="36"/>
  <c r="L98" i="36" s="1"/>
  <c r="L17" i="36"/>
  <c r="L71" i="36"/>
  <c r="L97" i="36" s="1"/>
  <c r="L50" i="36"/>
  <c r="L51" i="36" s="1"/>
  <c r="L68" i="36"/>
  <c r="L65" i="36"/>
  <c r="L94" i="36" s="1"/>
  <c r="K50" i="36"/>
  <c r="K51" i="36" s="1"/>
  <c r="M12" i="36"/>
  <c r="M15" i="36"/>
  <c r="H65" i="36"/>
  <c r="H94" i="36" s="1"/>
  <c r="H17" i="36"/>
  <c r="H50" i="36"/>
  <c r="H51" i="36" s="1"/>
  <c r="H68" i="36"/>
  <c r="H74" i="36"/>
  <c r="H98" i="36" s="1"/>
  <c r="H71" i="36"/>
  <c r="H97" i="36" s="1"/>
  <c r="J68" i="36"/>
  <c r="J65" i="36"/>
  <c r="J94" i="36" s="1"/>
  <c r="J17" i="36"/>
  <c r="J74" i="36"/>
  <c r="J98" i="36" s="1"/>
  <c r="J71" i="36"/>
  <c r="J97" i="36" s="1"/>
  <c r="J50" i="36"/>
  <c r="J51" i="36" s="1"/>
  <c r="H75" i="41"/>
  <c r="H80" i="41" s="1"/>
  <c r="D51" i="41"/>
  <c r="I50" i="36"/>
  <c r="I51" i="36" s="1"/>
  <c r="I68" i="36"/>
  <c r="I71" i="36"/>
  <c r="I97" i="36" s="1"/>
  <c r="I74" i="36"/>
  <c r="I98" i="36" s="1"/>
  <c r="I65" i="36"/>
  <c r="I94" i="36" s="1"/>
  <c r="I17" i="36"/>
  <c r="G83" i="36" l="1"/>
  <c r="G18" i="36"/>
  <c r="G96" i="36"/>
  <c r="G54" i="36"/>
  <c r="G57" i="36" s="1"/>
  <c r="G59" i="36" s="1"/>
  <c r="D89" i="41"/>
  <c r="D122" i="41" s="1"/>
  <c r="K131" i="1"/>
  <c r="M131" i="1" s="1"/>
  <c r="K130" i="1"/>
  <c r="M126" i="1"/>
  <c r="C84" i="41"/>
  <c r="M128" i="1"/>
  <c r="M168" i="1"/>
  <c r="G89" i="41"/>
  <c r="H89" i="41"/>
  <c r="K77" i="36"/>
  <c r="K95" i="36" s="1"/>
  <c r="K161" i="36"/>
  <c r="K19" i="36"/>
  <c r="K18" i="36"/>
  <c r="K106" i="36" s="1"/>
  <c r="K108" i="36" s="1"/>
  <c r="K113" i="36" s="1"/>
  <c r="K114" i="36" s="1"/>
  <c r="K115" i="36" s="1"/>
  <c r="K159" i="36" s="1"/>
  <c r="K85" i="36"/>
  <c r="K87" i="36" s="1"/>
  <c r="K92" i="36" s="1"/>
  <c r="L54" i="36"/>
  <c r="L57" i="36" s="1"/>
  <c r="L55" i="36"/>
  <c r="L58" i="36" s="1"/>
  <c r="L60" i="36" s="1"/>
  <c r="K54" i="36"/>
  <c r="K57" i="36" s="1"/>
  <c r="K55" i="36"/>
  <c r="K58" i="36" s="1"/>
  <c r="K60" i="36" s="1"/>
  <c r="L161" i="36"/>
  <c r="L179" i="36"/>
  <c r="L83" i="36"/>
  <c r="L85" i="36"/>
  <c r="L19" i="36"/>
  <c r="L18" i="36"/>
  <c r="L106" i="36" s="1"/>
  <c r="L108" i="36" s="1"/>
  <c r="L113" i="36" s="1"/>
  <c r="L114" i="36" s="1"/>
  <c r="L115" i="36" s="1"/>
  <c r="L159" i="36" s="1"/>
  <c r="L96" i="36"/>
  <c r="L77" i="36"/>
  <c r="L95" i="36" s="1"/>
  <c r="K160" i="36"/>
  <c r="K178" i="36"/>
  <c r="K180" i="36" s="1"/>
  <c r="I77" i="1"/>
  <c r="M77" i="1" s="1"/>
  <c r="I71" i="1"/>
  <c r="I75" i="1"/>
  <c r="M75" i="1" s="1"/>
  <c r="I73" i="1"/>
  <c r="M73" i="1" s="1"/>
  <c r="M94" i="36"/>
  <c r="M17" i="36"/>
  <c r="M68" i="36"/>
  <c r="I54" i="36"/>
  <c r="I57" i="36" s="1"/>
  <c r="I55" i="36"/>
  <c r="I58" i="36" s="1"/>
  <c r="I60" i="36" s="1"/>
  <c r="G106" i="36"/>
  <c r="D57" i="41"/>
  <c r="J54" i="36"/>
  <c r="J57" i="36" s="1"/>
  <c r="J55" i="36"/>
  <c r="J58" i="36" s="1"/>
  <c r="J60" i="36" s="1"/>
  <c r="G161" i="36"/>
  <c r="G179" i="36"/>
  <c r="M97" i="36"/>
  <c r="J179" i="36"/>
  <c r="J161" i="36"/>
  <c r="J77" i="36"/>
  <c r="J95" i="36" s="1"/>
  <c r="J96" i="36"/>
  <c r="G178" i="36"/>
  <c r="G160" i="36"/>
  <c r="H77" i="36"/>
  <c r="H95" i="36" s="1"/>
  <c r="H96" i="36"/>
  <c r="I179" i="36"/>
  <c r="I161" i="36"/>
  <c r="M74" i="36"/>
  <c r="M71" i="36"/>
  <c r="G95" i="36"/>
  <c r="H55" i="36"/>
  <c r="H58" i="36" s="1"/>
  <c r="H60" i="36" s="1"/>
  <c r="H54" i="36"/>
  <c r="H57" i="36" s="1"/>
  <c r="M65" i="36"/>
  <c r="I83" i="36"/>
  <c r="I18" i="36"/>
  <c r="I106" i="36" s="1"/>
  <c r="I108" i="36" s="1"/>
  <c r="I113" i="36" s="1"/>
  <c r="I114" i="36" s="1"/>
  <c r="I115" i="36" s="1"/>
  <c r="I159" i="36" s="1"/>
  <c r="I19" i="36"/>
  <c r="I85" i="36"/>
  <c r="I96" i="36"/>
  <c r="I77" i="36"/>
  <c r="I95" i="36" s="1"/>
  <c r="G87" i="36"/>
  <c r="M98" i="36"/>
  <c r="J83" i="36"/>
  <c r="J19" i="36"/>
  <c r="J18" i="36"/>
  <c r="J106" i="36" s="1"/>
  <c r="J108" i="36" s="1"/>
  <c r="J113" i="36" s="1"/>
  <c r="J85" i="36"/>
  <c r="H161" i="36"/>
  <c r="H179" i="36"/>
  <c r="H83" i="36"/>
  <c r="H87" i="36" s="1"/>
  <c r="H92" i="36" s="1"/>
  <c r="H19" i="36"/>
  <c r="H18" i="36"/>
  <c r="H106" i="36" s="1"/>
  <c r="H108" i="36" s="1"/>
  <c r="H113" i="36" s="1"/>
  <c r="G99" i="36" l="1"/>
  <c r="M130" i="1"/>
  <c r="M133" i="1" s="1"/>
  <c r="K133" i="1"/>
  <c r="H90" i="41"/>
  <c r="H91" i="41" s="1"/>
  <c r="H122" i="41"/>
  <c r="H123" i="41" s="1"/>
  <c r="H124" i="41" s="1"/>
  <c r="H133" i="41" s="1"/>
  <c r="D84" i="41"/>
  <c r="C117" i="41"/>
  <c r="G90" i="41"/>
  <c r="G122" i="41"/>
  <c r="G123" i="41" s="1"/>
  <c r="N73" i="1"/>
  <c r="M71" i="1"/>
  <c r="M99" i="1" s="1"/>
  <c r="N99" i="1" s="1"/>
  <c r="N75" i="1"/>
  <c r="M101" i="1"/>
  <c r="N101" i="1" s="1"/>
  <c r="N77" i="1"/>
  <c r="M102" i="1"/>
  <c r="N102" i="1" s="1"/>
  <c r="L178" i="36"/>
  <c r="L180" i="36" s="1"/>
  <c r="L160" i="36"/>
  <c r="L87" i="36"/>
  <c r="L92" i="36" s="1"/>
  <c r="K99" i="36"/>
  <c r="K101" i="36" s="1"/>
  <c r="K59" i="36"/>
  <c r="K134" i="36" s="1"/>
  <c r="L59" i="36"/>
  <c r="L134" i="36" s="1"/>
  <c r="L99" i="36"/>
  <c r="K184" i="36"/>
  <c r="M11" i="40" s="1"/>
  <c r="HR329" i="31" s="1"/>
  <c r="HR699" i="31" s="1"/>
  <c r="K185" i="36"/>
  <c r="G180" i="36"/>
  <c r="G184" i="36" s="1"/>
  <c r="M7" i="40" s="1"/>
  <c r="HR325" i="31" s="1"/>
  <c r="V145" i="40" s="1"/>
  <c r="I79" i="1"/>
  <c r="M79" i="1" s="1"/>
  <c r="N79" i="1" s="1"/>
  <c r="J87" i="36"/>
  <c r="J92" i="36" s="1"/>
  <c r="I87" i="36"/>
  <c r="I92" i="36" s="1"/>
  <c r="I64" i="1"/>
  <c r="M95" i="36"/>
  <c r="M60" i="36"/>
  <c r="M96" i="36"/>
  <c r="M19" i="36"/>
  <c r="H114" i="36"/>
  <c r="H115" i="36" s="1"/>
  <c r="H159" i="36" s="1"/>
  <c r="G134" i="36"/>
  <c r="M18" i="36"/>
  <c r="I178" i="36"/>
  <c r="I180" i="36" s="1"/>
  <c r="I160" i="36"/>
  <c r="J99" i="36"/>
  <c r="J59" i="36"/>
  <c r="J134" i="36" s="1"/>
  <c r="G108" i="36"/>
  <c r="M106" i="36"/>
  <c r="J114" i="36"/>
  <c r="J115" i="36" s="1"/>
  <c r="J159" i="36" s="1"/>
  <c r="M83" i="36"/>
  <c r="M77" i="36"/>
  <c r="H160" i="36"/>
  <c r="H178" i="36"/>
  <c r="H180" i="36" s="1"/>
  <c r="M85" i="36"/>
  <c r="G92" i="36"/>
  <c r="H99" i="36"/>
  <c r="H101" i="36" s="1"/>
  <c r="H59" i="36"/>
  <c r="H134" i="36" s="1"/>
  <c r="J160" i="36"/>
  <c r="J178" i="36"/>
  <c r="J180" i="36" s="1"/>
  <c r="I99" i="36"/>
  <c r="I59" i="36"/>
  <c r="I134" i="36" s="1"/>
  <c r="D90" i="41" l="1"/>
  <c r="D117" i="41"/>
  <c r="D123" i="41" s="1"/>
  <c r="H96" i="41"/>
  <c r="H97" i="41"/>
  <c r="V23" i="40"/>
  <c r="V18" i="40"/>
  <c r="M100" i="1"/>
  <c r="N100" i="1" s="1"/>
  <c r="N71" i="1"/>
  <c r="G185" i="36"/>
  <c r="K102" i="36"/>
  <c r="K132" i="36" s="1"/>
  <c r="K133" i="36" s="1"/>
  <c r="K140" i="36" s="1"/>
  <c r="I11" i="40" s="1"/>
  <c r="HM329" i="31" s="1"/>
  <c r="HM699" i="31" s="1"/>
  <c r="K158" i="36"/>
  <c r="K162" i="36" s="1"/>
  <c r="K167" i="36" s="1"/>
  <c r="L143" i="36"/>
  <c r="J12" i="40" s="1"/>
  <c r="HN330" i="31" s="1"/>
  <c r="L144" i="36"/>
  <c r="L101" i="36"/>
  <c r="K144" i="36"/>
  <c r="K143" i="36"/>
  <c r="J11" i="40" s="1"/>
  <c r="HN329" i="31" s="1"/>
  <c r="HN699" i="31" s="1"/>
  <c r="L184" i="36"/>
  <c r="M12" i="40" s="1"/>
  <c r="HR330" i="31" s="1"/>
  <c r="L185" i="36"/>
  <c r="M64" i="1"/>
  <c r="N64" i="1" s="1"/>
  <c r="I66" i="1"/>
  <c r="M99" i="36"/>
  <c r="M87" i="36"/>
  <c r="I80" i="1"/>
  <c r="M80" i="1" s="1"/>
  <c r="N80" i="1" s="1"/>
  <c r="J101" i="36"/>
  <c r="J102" i="36" s="1"/>
  <c r="J132" i="36" s="1"/>
  <c r="J133" i="36" s="1"/>
  <c r="H102" i="36"/>
  <c r="H132" i="36" s="1"/>
  <c r="H133" i="36" s="1"/>
  <c r="H158" i="36"/>
  <c r="H162" i="36" s="1"/>
  <c r="J184" i="36"/>
  <c r="M10" i="40" s="1"/>
  <c r="HR328" i="31" s="1"/>
  <c r="J185" i="36"/>
  <c r="V17" i="40"/>
  <c r="V89" i="40"/>
  <c r="HR695" i="31"/>
  <c r="V140" i="40"/>
  <c r="G113" i="36"/>
  <c r="M108" i="36"/>
  <c r="I101" i="36"/>
  <c r="G144" i="36"/>
  <c r="G143" i="36"/>
  <c r="J7" i="40" s="1"/>
  <c r="HN325" i="31" s="1"/>
  <c r="R145" i="40" s="1"/>
  <c r="J143" i="36"/>
  <c r="J10" i="40" s="1"/>
  <c r="HN328" i="31" s="1"/>
  <c r="J144" i="36"/>
  <c r="J158" i="36"/>
  <c r="J162" i="36" s="1"/>
  <c r="I143" i="36"/>
  <c r="J9" i="40" s="1"/>
  <c r="HN327" i="31" s="1"/>
  <c r="I144" i="36"/>
  <c r="G101" i="36"/>
  <c r="M92" i="36"/>
  <c r="H184" i="36"/>
  <c r="M8" i="40" s="1"/>
  <c r="HR326" i="31" s="1"/>
  <c r="H185" i="36"/>
  <c r="I185" i="36"/>
  <c r="I184" i="36"/>
  <c r="M9" i="40" s="1"/>
  <c r="HR327" i="31" s="1"/>
  <c r="H144" i="36"/>
  <c r="H143" i="36"/>
  <c r="M59" i="36"/>
  <c r="K166" i="36" l="1"/>
  <c r="L11" i="40" s="1"/>
  <c r="HP329" i="31" s="1"/>
  <c r="HP699" i="31" s="1"/>
  <c r="HR700" i="31"/>
  <c r="V186" i="40"/>
  <c r="HN700" i="31"/>
  <c r="R186" i="40"/>
  <c r="R23" i="40"/>
  <c r="R18" i="40"/>
  <c r="K141" i="36"/>
  <c r="L102" i="36"/>
  <c r="L132" i="36" s="1"/>
  <c r="L133" i="36" s="1"/>
  <c r="L158" i="36"/>
  <c r="L162" i="36" s="1"/>
  <c r="M92" i="1"/>
  <c r="M94" i="1" s="1"/>
  <c r="M66" i="1"/>
  <c r="N66" i="1" s="1"/>
  <c r="I70" i="1"/>
  <c r="M70" i="1" s="1"/>
  <c r="N70" i="1" s="1"/>
  <c r="HR696" i="31"/>
  <c r="V20" i="40"/>
  <c r="V55" i="40"/>
  <c r="V91" i="40"/>
  <c r="HN697" i="31"/>
  <c r="R148" i="40"/>
  <c r="R134" i="40"/>
  <c r="R185" i="40"/>
  <c r="HN698" i="31"/>
  <c r="R83" i="40"/>
  <c r="R32" i="40"/>
  <c r="J140" i="36"/>
  <c r="I10" i="40" s="1"/>
  <c r="HM328" i="31" s="1"/>
  <c r="J141" i="36"/>
  <c r="R140" i="40"/>
  <c r="R89" i="40"/>
  <c r="R17" i="40"/>
  <c r="HN695" i="31"/>
  <c r="G114" i="36"/>
  <c r="M113" i="36"/>
  <c r="M103" i="1"/>
  <c r="N103" i="1" s="1"/>
  <c r="G102" i="36"/>
  <c r="G158" i="36"/>
  <c r="M101" i="36"/>
  <c r="J166" i="36"/>
  <c r="L10" i="40" s="1"/>
  <c r="HP328" i="31" s="1"/>
  <c r="J167" i="36"/>
  <c r="HR697" i="31"/>
  <c r="V148" i="40"/>
  <c r="I158" i="36"/>
  <c r="I162" i="36" s="1"/>
  <c r="I102" i="36"/>
  <c r="I132" i="36" s="1"/>
  <c r="I133" i="36" s="1"/>
  <c r="V32" i="40"/>
  <c r="V134" i="40"/>
  <c r="V83" i="40"/>
  <c r="V185" i="40"/>
  <c r="HR698" i="31"/>
  <c r="H167" i="36"/>
  <c r="H166" i="36"/>
  <c r="L8" i="40" s="1"/>
  <c r="HP326" i="31" s="1"/>
  <c r="H141" i="36"/>
  <c r="H140" i="36"/>
  <c r="I8" i="40" s="1"/>
  <c r="HM326" i="31" s="1"/>
  <c r="N92" i="1" l="1"/>
  <c r="M105" i="1"/>
  <c r="N105" i="1" s="1"/>
  <c r="L166" i="36"/>
  <c r="L12" i="40" s="1"/>
  <c r="HP330" i="31" s="1"/>
  <c r="T185" i="40" s="1"/>
  <c r="L167" i="36"/>
  <c r="L140" i="36"/>
  <c r="I12" i="40" s="1"/>
  <c r="HM330" i="31" s="1"/>
  <c r="L141" i="36"/>
  <c r="I82" i="1"/>
  <c r="I76" i="41"/>
  <c r="I43" i="41"/>
  <c r="E10" i="41"/>
  <c r="E13" i="41" s="1"/>
  <c r="E24" i="41" s="1"/>
  <c r="E76" i="41"/>
  <c r="M102" i="36"/>
  <c r="I83" i="1"/>
  <c r="M83" i="1" s="1"/>
  <c r="N83" i="1" s="1"/>
  <c r="G132" i="36"/>
  <c r="G133" i="36" s="1"/>
  <c r="G115" i="36"/>
  <c r="M114" i="36"/>
  <c r="T32" i="40"/>
  <c r="T134" i="40"/>
  <c r="HP698" i="31"/>
  <c r="T83" i="40"/>
  <c r="Q20" i="40"/>
  <c r="Q55" i="40"/>
  <c r="HM696" i="31"/>
  <c r="Q91" i="40"/>
  <c r="Q185" i="40"/>
  <c r="HM698" i="31"/>
  <c r="Q83" i="40"/>
  <c r="Q32" i="40"/>
  <c r="Q134" i="40"/>
  <c r="I10" i="41"/>
  <c r="T20" i="40"/>
  <c r="T55" i="40"/>
  <c r="HP696" i="31"/>
  <c r="T91" i="40"/>
  <c r="I140" i="36"/>
  <c r="I9" i="40" s="1"/>
  <c r="HM327" i="31" s="1"/>
  <c r="I141" i="36"/>
  <c r="I166" i="36"/>
  <c r="L9" i="40" s="1"/>
  <c r="HP327" i="31" s="1"/>
  <c r="I167" i="36"/>
  <c r="E43" i="41"/>
  <c r="HP700" i="31" l="1"/>
  <c r="T186" i="40"/>
  <c r="HM700" i="31"/>
  <c r="Q186" i="40"/>
  <c r="M82" i="1"/>
  <c r="N82" i="1" s="1"/>
  <c r="N94" i="1"/>
  <c r="E31" i="41"/>
  <c r="E32" i="41" s="1"/>
  <c r="E107" i="41"/>
  <c r="G159" i="36"/>
  <c r="G162" i="36" s="1"/>
  <c r="M115" i="36"/>
  <c r="G141" i="36"/>
  <c r="G140" i="36"/>
  <c r="I7" i="40" s="1"/>
  <c r="HM325" i="31" s="1"/>
  <c r="Q145" i="40" s="1"/>
  <c r="Q148" i="40"/>
  <c r="HM697" i="31"/>
  <c r="M106" i="1"/>
  <c r="N106" i="1" s="1"/>
  <c r="T140" i="40"/>
  <c r="T17" i="40"/>
  <c r="T89" i="40"/>
  <c r="I107" i="41"/>
  <c r="I13" i="41"/>
  <c r="I24" i="41" s="1"/>
  <c r="HP697" i="31"/>
  <c r="T148" i="40"/>
  <c r="E46" i="41" l="1"/>
  <c r="E111" i="41" s="1"/>
  <c r="G43" i="41"/>
  <c r="Q23" i="40"/>
  <c r="Q18" i="40"/>
  <c r="I31" i="41"/>
  <c r="I32" i="41" s="1"/>
  <c r="E42" i="41"/>
  <c r="G167" i="36"/>
  <c r="G166" i="36"/>
  <c r="L7" i="40" s="1"/>
  <c r="HP325" i="31" s="1"/>
  <c r="HM695" i="31"/>
  <c r="Q17" i="40"/>
  <c r="Q89" i="40"/>
  <c r="Q140" i="40"/>
  <c r="E47" i="41" l="1"/>
  <c r="E58" i="41" s="1"/>
  <c r="E63" i="41" s="1"/>
  <c r="I46" i="41"/>
  <c r="I111" i="41" s="1"/>
  <c r="T18" i="40"/>
  <c r="T145" i="40"/>
  <c r="G76" i="41" s="1"/>
  <c r="D43" i="41"/>
  <c r="D76" i="41"/>
  <c r="D10" i="41"/>
  <c r="D13" i="41" s="1"/>
  <c r="D24" i="41" s="1"/>
  <c r="HP695" i="31"/>
  <c r="T23" i="40"/>
  <c r="I42" i="41"/>
  <c r="E64" i="41" l="1"/>
  <c r="E79" i="41" s="1"/>
  <c r="E112" i="41" s="1"/>
  <c r="E113" i="41" s="1"/>
  <c r="E124" i="41" s="1"/>
  <c r="E133" i="41" s="1"/>
  <c r="E75" i="41"/>
  <c r="I47" i="41"/>
  <c r="I58" i="41" s="1"/>
  <c r="I63" i="41" s="1"/>
  <c r="G10" i="41"/>
  <c r="G13" i="41" s="1"/>
  <c r="G24" i="41" s="1"/>
  <c r="G31" i="41" s="1"/>
  <c r="G32" i="41" s="1"/>
  <c r="D107" i="41"/>
  <c r="D31" i="41"/>
  <c r="D32" i="41" s="1"/>
  <c r="I64" i="41" l="1"/>
  <c r="I79" i="41" s="1"/>
  <c r="I112" i="41" s="1"/>
  <c r="I113" i="41" s="1"/>
  <c r="I124" i="41" s="1"/>
  <c r="I133" i="41" s="1"/>
  <c r="I75" i="41"/>
  <c r="E80" i="41"/>
  <c r="E91" i="41" s="1"/>
  <c r="E96" i="41" s="1"/>
  <c r="D46" i="41"/>
  <c r="D111" i="41" s="1"/>
  <c r="G46" i="41"/>
  <c r="G111" i="41" s="1"/>
  <c r="G107" i="41"/>
  <c r="G42" i="41"/>
  <c r="D42" i="41"/>
  <c r="E97" i="41" l="1"/>
  <c r="I80" i="41"/>
  <c r="I91" i="41" s="1"/>
  <c r="I96" i="41" s="1"/>
  <c r="G47" i="41"/>
  <c r="G58" i="41" s="1"/>
  <c r="G63" i="41" s="1"/>
  <c r="D47" i="41"/>
  <c r="D58" i="41" s="1"/>
  <c r="D63" i="41" s="1"/>
  <c r="I97" i="41" l="1"/>
  <c r="G64" i="41"/>
  <c r="G79" i="41" s="1"/>
  <c r="G112" i="41" s="1"/>
  <c r="G113" i="41" s="1"/>
  <c r="G124" i="41" s="1"/>
  <c r="G133" i="41" s="1"/>
  <c r="G75" i="41"/>
  <c r="D64" i="41"/>
  <c r="D79" i="41" s="1"/>
  <c r="D112" i="41" s="1"/>
  <c r="D113" i="41" s="1"/>
  <c r="D124" i="41" s="1"/>
  <c r="D133" i="41" s="1"/>
  <c r="D75" i="41"/>
  <c r="G80" i="41" l="1"/>
  <c r="G91" i="41" s="1"/>
  <c r="G96" i="41" s="1"/>
  <c r="D80" i="41"/>
  <c r="D91" i="41" s="1"/>
  <c r="D96" i="41" s="1"/>
  <c r="G97" i="41" l="1"/>
  <c r="D97" i="41"/>
</calcChain>
</file>

<file path=xl/comments1.xml><?xml version="1.0" encoding="utf-8"?>
<comments xmlns="http://schemas.openxmlformats.org/spreadsheetml/2006/main">
  <authors>
    <author>Niels Morten Sloth</author>
  </authors>
  <commentList>
    <comment ref="CQ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R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 xml:space="preserve">ordøjeligt aminosyre eller råprotein
Fx: SIF råprotein eller SIF Lys (lysin)
</t>
        </r>
      </text>
    </comment>
    <comment ref="CS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V3" authorId="0" shapeId="0">
      <text>
        <r>
          <rPr>
            <sz val="9"/>
            <color indexed="81"/>
            <rFont val="Tahoma"/>
            <family val="2"/>
          </rPr>
          <t xml:space="preserve">= SIF Cystin + Methionin
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Il</t>
        </r>
        <r>
          <rPr>
            <sz val="9"/>
            <color indexed="81"/>
            <rFont val="Tahoma"/>
            <family val="2"/>
          </rPr>
          <t xml:space="preserve">ealt </t>
        </r>
        <r>
          <rPr>
            <b/>
            <sz val="9"/>
            <color indexed="81"/>
            <rFont val="Tahoma"/>
            <family val="2"/>
          </rPr>
          <t>F</t>
        </r>
        <r>
          <rPr>
            <sz val="9"/>
            <color indexed="81"/>
            <rFont val="Tahoma"/>
            <family val="2"/>
          </rPr>
          <t>ordøjeligt aminosyre eller råprotein</t>
        </r>
      </text>
    </comment>
    <comment ref="DD3" authorId="0" shapeId="0">
      <text>
        <r>
          <rPr>
            <sz val="9"/>
            <color indexed="81"/>
            <rFont val="Tahoma"/>
            <family val="2"/>
          </rPr>
          <t xml:space="preserve">= SIF Fenylalanin + Tyrosin
Med forkortelsen SIF menes Standardiseret Ilealt Fordøjeligt aminosyre eller råprotein
</t>
        </r>
      </text>
    </comment>
    <comment ref="CQ37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R37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 xml:space="preserve">ordøjeligt aminosyre eller råprotein
Fx: SIF råprotein eller SIF Lys (lysin)
</t>
        </r>
      </text>
    </comment>
    <comment ref="CS373" authorId="0" shapeId="0">
      <text>
        <r>
          <rPr>
            <sz val="9"/>
            <color indexed="81"/>
            <rFont val="Tahoma"/>
            <family val="2"/>
          </rPr>
          <t xml:space="preserve">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tandardiseret</t>
        </r>
        <r>
          <rPr>
            <b/>
            <sz val="9"/>
            <color indexed="81"/>
            <rFont val="Tahoma"/>
            <family val="2"/>
          </rPr>
          <t xml:space="preserve"> I</t>
        </r>
        <r>
          <rPr>
            <sz val="9"/>
            <color indexed="81"/>
            <rFont val="Tahoma"/>
            <family val="2"/>
          </rPr>
          <t xml:space="preserve">lealt </t>
        </r>
        <r>
          <rPr>
            <b/>
            <sz val="9"/>
            <color indexed="81"/>
            <rFont val="Tahoma"/>
            <family val="2"/>
          </rPr>
          <t>F</t>
        </r>
        <r>
          <rPr>
            <sz val="9"/>
            <color indexed="81"/>
            <rFont val="Tahoma"/>
            <family val="2"/>
          </rPr>
          <t>ordøjeligt aminosyre eller råprotein
Fx: SIF råprotein eller SIF Lys (lysin)</t>
        </r>
      </text>
    </comment>
    <comment ref="CV373" authorId="0" shapeId="0">
      <text>
        <r>
          <rPr>
            <sz val="9"/>
            <color indexed="81"/>
            <rFont val="Tahoma"/>
            <family val="2"/>
          </rPr>
          <t xml:space="preserve">= SIF Cystin + Methionin
Med forkortelsen </t>
        </r>
        <r>
          <rPr>
            <b/>
            <sz val="9"/>
            <color indexed="81"/>
            <rFont val="Tahoma"/>
            <family val="2"/>
          </rPr>
          <t>SIF</t>
        </r>
        <r>
          <rPr>
            <sz val="9"/>
            <color indexed="81"/>
            <rFont val="Tahoma"/>
            <family val="2"/>
          </rPr>
          <t xml:space="preserve"> menes </t>
        </r>
        <r>
          <rPr>
            <b/>
            <sz val="9"/>
            <color indexed="81"/>
            <rFont val="Tahoma"/>
            <family val="2"/>
          </rPr>
          <t>S</t>
        </r>
        <r>
          <rPr>
            <sz val="9"/>
            <color indexed="81"/>
            <rFont val="Tahoma"/>
            <family val="2"/>
          </rPr>
          <t xml:space="preserve">tandardiseret </t>
        </r>
        <r>
          <rPr>
            <b/>
            <sz val="9"/>
            <color indexed="81"/>
            <rFont val="Tahoma"/>
            <family val="2"/>
          </rPr>
          <t>Il</t>
        </r>
        <r>
          <rPr>
            <sz val="9"/>
            <color indexed="81"/>
            <rFont val="Tahoma"/>
            <family val="2"/>
          </rPr>
          <t xml:space="preserve">ealt </t>
        </r>
        <r>
          <rPr>
            <b/>
            <sz val="9"/>
            <color indexed="81"/>
            <rFont val="Tahoma"/>
            <family val="2"/>
          </rPr>
          <t>F</t>
        </r>
        <r>
          <rPr>
            <sz val="9"/>
            <color indexed="81"/>
            <rFont val="Tahoma"/>
            <family val="2"/>
          </rPr>
          <t>ordøjeligt aminosyre eller råprotein</t>
        </r>
      </text>
    </comment>
    <comment ref="DD373" authorId="0" shapeId="0">
      <text>
        <r>
          <rPr>
            <sz val="9"/>
            <color indexed="81"/>
            <rFont val="Tahoma"/>
            <family val="2"/>
          </rPr>
          <t xml:space="preserve">= SIF Fenylalanin + Tyrosin
Med forkortelsen SIF menes Standardiseret Ilealt Fordøjeligt aminosyre eller råprotein
</t>
        </r>
      </text>
    </comment>
  </commentList>
</comments>
</file>

<file path=xl/comments2.xml><?xml version="1.0" encoding="utf-8"?>
<comments xmlns="http://schemas.openxmlformats.org/spreadsheetml/2006/main">
  <authors>
    <author>Teodora Preda</author>
  </authors>
  <commentList>
    <comment ref="G10" authorId="0" shapeId="0">
      <text>
        <r>
          <rPr>
            <b/>
            <sz val="9"/>
            <color indexed="81"/>
            <rFont val="Tahoma"/>
            <family val="2"/>
          </rPr>
          <t>Teodora Preda:</t>
        </r>
        <r>
          <rPr>
            <sz val="9"/>
            <color indexed="81"/>
            <rFont val="Tahoma"/>
            <family val="2"/>
          </rPr>
          <t xml:space="preserve">
remember that cereals that follow grass cannot be fertilized
</t>
        </r>
      </text>
    </comment>
    <comment ref="C29" authorId="0" shapeId="0">
      <text>
        <r>
          <rPr>
            <b/>
            <sz val="9"/>
            <color indexed="81"/>
            <rFont val="Tahoma"/>
            <family val="2"/>
          </rPr>
          <t>Teodora Preda:</t>
        </r>
        <r>
          <rPr>
            <sz val="9"/>
            <color indexed="81"/>
            <rFont val="Tahoma"/>
            <family val="2"/>
          </rPr>
          <t xml:space="preserve">
yield from Malene's paper</t>
        </r>
      </text>
    </comment>
    <comment ref="C85" authorId="0" shapeId="0">
      <text>
        <r>
          <rPr>
            <b/>
            <sz val="9"/>
            <color indexed="81"/>
            <rFont val="Tahoma"/>
            <family val="2"/>
          </rPr>
          <t>Teodora Preda:</t>
        </r>
        <r>
          <rPr>
            <sz val="9"/>
            <color indexed="81"/>
            <rFont val="Tahoma"/>
            <family val="2"/>
          </rPr>
          <t xml:space="preserve">
2,829*C32/100-0,0101*C32/100*C17*0,3+0,00001109*(C32/100)*(C17*0,3)*(C17*0,3)</t>
        </r>
      </text>
    </comment>
    <comment ref="D85" authorId="0" shapeId="0">
      <text>
        <r>
          <rPr>
            <b/>
            <sz val="9"/>
            <color indexed="81"/>
            <rFont val="Tahoma"/>
            <family val="2"/>
          </rPr>
          <t>Teodora Preda:</t>
        </r>
        <r>
          <rPr>
            <sz val="9"/>
            <color indexed="81"/>
            <rFont val="Tahoma"/>
            <family val="2"/>
          </rPr>
          <t xml:space="preserve">
=2,829*D32/100-0,0101*D32/100*D17*0,3+0,00001109*(D32/100)*(D17*0,3)*(D17*0,3)</t>
        </r>
      </text>
    </comment>
    <comment ref="E85" authorId="0" shapeId="0">
      <text>
        <r>
          <rPr>
            <b/>
            <sz val="9"/>
            <color indexed="81"/>
            <rFont val="Tahoma"/>
            <family val="2"/>
          </rPr>
          <t>Teodora Preda:</t>
        </r>
        <r>
          <rPr>
            <sz val="9"/>
            <color indexed="81"/>
            <rFont val="Tahoma"/>
            <family val="2"/>
          </rPr>
          <t xml:space="preserve">
=2,829*E32/100-0,0101*E32/100*E17*0,3+0,00001109*(E32/100)*(E17*0,3)*(E17*0,3)</t>
        </r>
      </text>
    </comment>
    <comment ref="F85" authorId="0" shapeId="0">
      <text>
        <r>
          <rPr>
            <b/>
            <sz val="9"/>
            <color indexed="81"/>
            <rFont val="Tahoma"/>
            <family val="2"/>
          </rPr>
          <t>Teodora Preda:</t>
        </r>
        <r>
          <rPr>
            <sz val="9"/>
            <color indexed="81"/>
            <rFont val="Tahoma"/>
            <family val="2"/>
          </rPr>
          <t xml:space="preserve">
=2,829*F32/100-0,0101*F32/100*F17*0,3+0,00001109*(F32/100)*(F17*0,3)*(F17*0,3)</t>
        </r>
      </text>
    </comment>
  </commentList>
</comments>
</file>

<file path=xl/comments3.xml><?xml version="1.0" encoding="utf-8"?>
<comments xmlns="http://schemas.openxmlformats.org/spreadsheetml/2006/main">
  <authors>
    <author>Heidi Mai-Lis Andersen</author>
    <author>Teodora Preda</author>
  </authors>
  <commentList>
    <comment ref="E11" authorId="0" shapeId="0">
      <text>
        <r>
          <rPr>
            <b/>
            <sz val="9"/>
            <color indexed="81"/>
            <rFont val="Tahoma"/>
            <family val="2"/>
          </rPr>
          <t>Heidi Mai-Lis Andersen:</t>
        </r>
        <r>
          <rPr>
            <sz val="9"/>
            <color indexed="81"/>
            <rFont val="Tahoma"/>
            <family val="2"/>
          </rPr>
          <t xml:space="preserve">
0,65/1,3*10%+0,65/1,3*30% fra Anders peters regneark</t>
        </r>
      </text>
    </comment>
    <comment ref="M12" authorId="1" shapeId="0">
      <text>
        <r>
          <rPr>
            <b/>
            <sz val="9"/>
            <color indexed="81"/>
            <rFont val="Tahoma"/>
            <family val="2"/>
          </rPr>
          <t>Teodora Preda:</t>
        </r>
        <r>
          <rPr>
            <sz val="9"/>
            <color indexed="81"/>
            <rFont val="Tahoma"/>
            <family val="2"/>
          </rPr>
          <t xml:space="preserve">
Nox = 0,21* N2O
</t>
        </r>
      </text>
    </comment>
    <comment ref="E14" authorId="0" shapeId="0">
      <text>
        <r>
          <rPr>
            <b/>
            <sz val="9"/>
            <color indexed="81"/>
            <rFont val="Tahoma"/>
            <family val="2"/>
          </rPr>
          <t>Heidi Mai-Lis Andersen:</t>
        </r>
        <r>
          <rPr>
            <sz val="9"/>
            <color indexed="81"/>
            <rFont val="Tahoma"/>
            <family val="2"/>
          </rPr>
          <t xml:space="preserve">
0,63/1,3*10%+0,02/1,3*30%+0,65/1,3*(4%+9
%) - Fra Andes Peters regneark</t>
        </r>
      </text>
    </comment>
    <comment ref="E15" authorId="0" shapeId="0">
      <text>
        <r>
          <rPr>
            <b/>
            <sz val="9"/>
            <color indexed="81"/>
            <rFont val="Tahoma"/>
            <family val="2"/>
          </rPr>
          <t>Heidi Mai-Lis Andersen:</t>
        </r>
        <r>
          <rPr>
            <sz val="9"/>
            <color indexed="81"/>
            <rFont val="Tahoma"/>
            <family val="2"/>
          </rPr>
          <t xml:space="preserve">
0,63/1,3*10%+0,02/1,3*30%+0,65/1,3*(4%+2
%) - Fra Andes Peters regneark</t>
        </r>
      </text>
    </comment>
    <comment ref="M22" authorId="1" shapeId="0">
      <text>
        <r>
          <rPr>
            <b/>
            <sz val="9"/>
            <color indexed="81"/>
            <rFont val="Tahoma"/>
            <family val="2"/>
          </rPr>
          <t>Teodora Preda:</t>
        </r>
        <r>
          <rPr>
            <sz val="9"/>
            <color indexed="81"/>
            <rFont val="Tahoma"/>
            <family val="2"/>
          </rPr>
          <t xml:space="preserve">
Nox = 0,21* N2O
</t>
        </r>
      </text>
    </comment>
    <comment ref="M49" authorId="1" shapeId="0">
      <text>
        <r>
          <rPr>
            <b/>
            <sz val="9"/>
            <color indexed="81"/>
            <rFont val="Tahoma"/>
            <family val="2"/>
          </rPr>
          <t>Teodora Preda:</t>
        </r>
        <r>
          <rPr>
            <sz val="9"/>
            <color indexed="81"/>
            <rFont val="Tahoma"/>
            <family val="2"/>
          </rPr>
          <t xml:space="preserve">
Nox = 0,21* N2O
</t>
        </r>
      </text>
    </comment>
    <comment ref="M59" authorId="1" shapeId="0">
      <text>
        <r>
          <rPr>
            <b/>
            <sz val="9"/>
            <color indexed="81"/>
            <rFont val="Tahoma"/>
            <family val="2"/>
          </rPr>
          <t>Teodora Preda:</t>
        </r>
        <r>
          <rPr>
            <sz val="9"/>
            <color indexed="81"/>
            <rFont val="Tahoma"/>
            <family val="2"/>
          </rPr>
          <t xml:space="preserve">
Nox = 0,21* N2O
</t>
        </r>
      </text>
    </comment>
  </commentList>
</comments>
</file>

<file path=xl/comments4.xml><?xml version="1.0" encoding="utf-8"?>
<comments xmlns="http://schemas.openxmlformats.org/spreadsheetml/2006/main">
  <authors>
    <author>Author</author>
  </authors>
  <commentList>
    <comment ref="K28" authorId="0" shapeId="0">
      <text>
        <r>
          <rPr>
            <b/>
            <sz val="9"/>
            <color indexed="81"/>
            <rFont val="Calibri"/>
            <family val="2"/>
          </rPr>
          <t>Author:</t>
        </r>
        <r>
          <rPr>
            <sz val="9"/>
            <color indexed="81"/>
            <rFont val="Calibri"/>
            <family val="2"/>
          </rPr>
          <t xml:space="preserve">
ILCD, 2011</t>
        </r>
      </text>
    </comment>
    <comment ref="L28" authorId="0" shapeId="0">
      <text>
        <r>
          <rPr>
            <b/>
            <sz val="9"/>
            <color indexed="81"/>
            <rFont val="Calibri"/>
            <family val="2"/>
          </rPr>
          <t>Author:</t>
        </r>
        <r>
          <rPr>
            <sz val="9"/>
            <color indexed="81"/>
            <rFont val="Calibri"/>
            <family val="2"/>
          </rPr>
          <t xml:space="preserve">
EPD, 2013</t>
        </r>
      </text>
    </comment>
    <comment ref="M28" authorId="0" shapeId="0">
      <text>
        <r>
          <rPr>
            <b/>
            <sz val="9"/>
            <color indexed="81"/>
            <rFont val="Calibri"/>
            <family val="2"/>
          </rPr>
          <t>Author:</t>
        </r>
        <r>
          <rPr>
            <sz val="9"/>
            <color indexed="81"/>
            <rFont val="Calibri"/>
            <family val="2"/>
          </rPr>
          <t xml:space="preserve">
Impact, 2012</t>
        </r>
      </text>
    </comment>
    <comment ref="N28" authorId="0" shapeId="0">
      <text>
        <r>
          <rPr>
            <b/>
            <sz val="9"/>
            <color indexed="81"/>
            <rFont val="Calibri"/>
            <family val="2"/>
          </rPr>
          <t>Author:</t>
        </r>
        <r>
          <rPr>
            <sz val="9"/>
            <color indexed="81"/>
            <rFont val="Calibri"/>
            <family val="2"/>
          </rPr>
          <t xml:space="preserve">
EPD, 2013</t>
        </r>
      </text>
    </comment>
  </commentList>
</comments>
</file>

<file path=xl/comments5.xml><?xml version="1.0" encoding="utf-8"?>
<comments xmlns="http://schemas.openxmlformats.org/spreadsheetml/2006/main">
  <authors>
    <author>Teodora Preda</author>
  </authors>
  <commentList>
    <comment ref="AD3" authorId="0" shapeId="0">
      <text>
        <r>
          <rPr>
            <b/>
            <sz val="9"/>
            <color indexed="81"/>
            <rFont val="Tahoma"/>
            <family val="2"/>
          </rPr>
          <t>Teodora Preda:</t>
        </r>
        <r>
          <rPr>
            <sz val="9"/>
            <color indexed="81"/>
            <rFont val="Tahoma"/>
            <family val="2"/>
          </rPr>
          <t xml:space="preserve">
NorFor</t>
        </r>
      </text>
    </comment>
    <comment ref="AG3" authorId="0" shapeId="0">
      <text>
        <r>
          <rPr>
            <b/>
            <sz val="9"/>
            <color indexed="81"/>
            <rFont val="Tahoma"/>
            <family val="2"/>
          </rPr>
          <t>Teodora Preda:</t>
        </r>
        <r>
          <rPr>
            <sz val="9"/>
            <color indexed="81"/>
            <rFont val="Tahoma"/>
            <family val="2"/>
          </rPr>
          <t xml:space="preserve">
Knudsen et al., 2016</t>
        </r>
      </text>
    </comment>
    <comment ref="R10" authorId="0" shapeId="0">
      <text>
        <r>
          <rPr>
            <b/>
            <sz val="9"/>
            <color indexed="81"/>
            <rFont val="Tahoma"/>
            <family val="2"/>
          </rPr>
          <t>Teodora Preda:</t>
        </r>
        <r>
          <rPr>
            <sz val="9"/>
            <color indexed="81"/>
            <rFont val="Tahoma"/>
            <family val="2"/>
          </rPr>
          <t xml:space="preserve">
as barley
</t>
        </r>
      </text>
    </comment>
    <comment ref="AB10" authorId="0" shapeId="0">
      <text>
        <r>
          <rPr>
            <b/>
            <sz val="9"/>
            <color indexed="81"/>
            <rFont val="Tahoma"/>
            <family val="2"/>
          </rPr>
          <t>Teodora Preda:</t>
        </r>
        <r>
          <rPr>
            <sz val="9"/>
            <color indexed="81"/>
            <rFont val="Tahoma"/>
            <family val="2"/>
          </rPr>
          <t xml:space="preserve">
IPCC, 2006 - ch. 11, table 11,2</t>
        </r>
      </text>
    </comment>
    <comment ref="AH10" authorId="0" shapeId="0">
      <text>
        <r>
          <rPr>
            <b/>
            <sz val="9"/>
            <color indexed="81"/>
            <rFont val="Tahoma"/>
            <family val="2"/>
          </rPr>
          <t>Teodora Preda:</t>
        </r>
        <r>
          <rPr>
            <sz val="9"/>
            <color indexed="81"/>
            <rFont val="Tahoma"/>
            <family val="2"/>
          </rPr>
          <t xml:space="preserve">
as barley
</t>
        </r>
      </text>
    </comment>
    <comment ref="AB13" authorId="0" shapeId="0">
      <text>
        <r>
          <rPr>
            <b/>
            <sz val="9"/>
            <color indexed="81"/>
            <rFont val="Tahoma"/>
            <family val="2"/>
          </rPr>
          <t>Teodora Preda:</t>
        </r>
        <r>
          <rPr>
            <sz val="9"/>
            <color indexed="81"/>
            <rFont val="Tahoma"/>
            <family val="2"/>
          </rPr>
          <t xml:space="preserve">
IPCC, 2006; chapter 11; table 11,2</t>
        </r>
      </text>
    </comment>
  </commentList>
</comments>
</file>

<file path=xl/comments6.xml><?xml version="1.0" encoding="utf-8"?>
<comments xmlns="http://schemas.openxmlformats.org/spreadsheetml/2006/main">
  <authors>
    <author>Heidi Mai-Lis Andersen</author>
  </authors>
  <commentList>
    <comment ref="A38" authorId="0" shapeId="0">
      <text>
        <r>
          <rPr>
            <b/>
            <sz val="9"/>
            <color indexed="81"/>
            <rFont val="Tahoma"/>
            <family val="2"/>
          </rPr>
          <t>Heidi Mai-Lis Andersen: overvej om vi skal have valg mulighed</t>
        </r>
        <r>
          <rPr>
            <sz val="9"/>
            <color indexed="81"/>
            <rFont val="Tahoma"/>
            <family val="2"/>
          </rPr>
          <t xml:space="preserve">
</t>
        </r>
      </text>
    </comment>
    <comment ref="A41" authorId="0" shapeId="0">
      <text>
        <r>
          <rPr>
            <b/>
            <sz val="9"/>
            <color indexed="81"/>
            <rFont val="Tahoma"/>
            <family val="2"/>
          </rPr>
          <t>Heidi Mai-Lis Andersen: overvej om vi skal have valg mulighed</t>
        </r>
        <r>
          <rPr>
            <sz val="9"/>
            <color indexed="81"/>
            <rFont val="Tahoma"/>
            <family val="2"/>
          </rPr>
          <t xml:space="preserve">
</t>
        </r>
      </text>
    </comment>
    <comment ref="A44" authorId="0" shapeId="0">
      <text>
        <r>
          <rPr>
            <b/>
            <sz val="9"/>
            <color indexed="81"/>
            <rFont val="Tahoma"/>
            <family val="2"/>
          </rPr>
          <t>Heidi Mai-Lis Andersen: overvej om vi skal have valg mulighed</t>
        </r>
        <r>
          <rPr>
            <sz val="9"/>
            <color indexed="81"/>
            <rFont val="Tahoma"/>
            <family val="2"/>
          </rPr>
          <t xml:space="preserve">
</t>
        </r>
      </text>
    </comment>
    <comment ref="A50" authorId="0" shapeId="0">
      <text>
        <r>
          <rPr>
            <b/>
            <sz val="9"/>
            <color indexed="81"/>
            <rFont val="Tahoma"/>
            <family val="2"/>
          </rPr>
          <t>Heidi Mai-Lis Andersen: overvej om vi skal have valg mulighed</t>
        </r>
        <r>
          <rPr>
            <sz val="9"/>
            <color indexed="81"/>
            <rFont val="Tahoma"/>
            <family val="2"/>
          </rPr>
          <t xml:space="preserve">
</t>
        </r>
      </text>
    </comment>
    <comment ref="A53" authorId="0" shapeId="0">
      <text>
        <r>
          <rPr>
            <b/>
            <sz val="9"/>
            <color indexed="81"/>
            <rFont val="Tahoma"/>
            <family val="2"/>
          </rPr>
          <t>Heidi Mai-Lis Andersen: overvej om vi skal have valg mulighed</t>
        </r>
        <r>
          <rPr>
            <sz val="9"/>
            <color indexed="81"/>
            <rFont val="Tahoma"/>
            <family val="2"/>
          </rPr>
          <t xml:space="preserve">
</t>
        </r>
      </text>
    </comment>
    <comment ref="A56" authorId="0" shapeId="0">
      <text>
        <r>
          <rPr>
            <b/>
            <sz val="9"/>
            <color indexed="81"/>
            <rFont val="Tahoma"/>
            <family val="2"/>
          </rPr>
          <t>Heidi Mai-Lis Andersen: overvej om vi skal have valg mulighed</t>
        </r>
        <r>
          <rPr>
            <sz val="9"/>
            <color indexed="81"/>
            <rFont val="Tahoma"/>
            <family val="2"/>
          </rPr>
          <t xml:space="preserve">
</t>
        </r>
      </text>
    </comment>
  </commentList>
</comments>
</file>

<file path=xl/comments7.xml><?xml version="1.0" encoding="utf-8"?>
<comments xmlns="http://schemas.openxmlformats.org/spreadsheetml/2006/main">
  <authors>
    <author>Heidi Mai-Lis Andersen</author>
  </authors>
  <commentList>
    <comment ref="A12" authorId="0" shapeId="0">
      <text>
        <r>
          <rPr>
            <b/>
            <sz val="9"/>
            <color indexed="81"/>
            <rFont val="Tahoma"/>
            <family val="2"/>
          </rPr>
          <t>Heidi Mai-Lis Andersen: overvej om vi skal have valg mulighed</t>
        </r>
        <r>
          <rPr>
            <sz val="9"/>
            <color indexed="81"/>
            <rFont val="Tahoma"/>
            <family val="2"/>
          </rPr>
          <t xml:space="preserve">
</t>
        </r>
      </text>
    </comment>
    <comment ref="A34" authorId="0" shapeId="0">
      <text>
        <r>
          <rPr>
            <b/>
            <sz val="9"/>
            <color indexed="81"/>
            <rFont val="Tahoma"/>
            <family val="2"/>
          </rPr>
          <t>Heidi Mai-Lis Andersen: overvej om vi skal have valg mulighed</t>
        </r>
        <r>
          <rPr>
            <sz val="9"/>
            <color indexed="81"/>
            <rFont val="Tahoma"/>
            <family val="2"/>
          </rPr>
          <t xml:space="preserve">
</t>
        </r>
      </text>
    </comment>
    <comment ref="A65" authorId="0" shapeId="0">
      <text>
        <r>
          <rPr>
            <b/>
            <sz val="9"/>
            <color indexed="81"/>
            <rFont val="Tahoma"/>
            <family val="2"/>
          </rPr>
          <t>Heidi Mai-Lis Andersen: overvej om vi skal have valg mulighed</t>
        </r>
        <r>
          <rPr>
            <sz val="9"/>
            <color indexed="81"/>
            <rFont val="Tahoma"/>
            <family val="2"/>
          </rPr>
          <t xml:space="preserve">
</t>
        </r>
      </text>
    </comment>
  </commentList>
</comments>
</file>

<file path=xl/sharedStrings.xml><?xml version="1.0" encoding="utf-8"?>
<sst xmlns="http://schemas.openxmlformats.org/spreadsheetml/2006/main" count="32191" uniqueCount="2092">
  <si>
    <t>Gylle</t>
  </si>
  <si>
    <t>Smågrise</t>
  </si>
  <si>
    <t>Slagtesvin</t>
  </si>
  <si>
    <t>kg N</t>
  </si>
  <si>
    <t>Afgrøder</t>
  </si>
  <si>
    <t>Halm</t>
  </si>
  <si>
    <t>vsp: H22 - Løbestrategi, polte</t>
  </si>
  <si>
    <t>Nøgletal økologi 2013: foderforbrug per årsso inklusiv polte = 1929 FE</t>
  </si>
  <si>
    <t>Kilder til standardtal / bemærkninger</t>
  </si>
  <si>
    <t>Standard</t>
  </si>
  <si>
    <t>m2</t>
  </si>
  <si>
    <t>Sodødelighed/100*Antal årssøer</t>
  </si>
  <si>
    <t>Antages taget fra slagtesvineholdet, derfor sat til slagtevægten</t>
  </si>
  <si>
    <t>Kilder:</t>
  </si>
  <si>
    <t>https://www.landbrugsinfo.dk/oekologi/svin/foder/sider/fodring_af_de_enkelte_oekologisk_dyregru.aspx</t>
  </si>
  <si>
    <t>(Udskiftningsprocent/100*antal årssøer) - døde</t>
  </si>
  <si>
    <t>DLBR SvineIT</t>
  </si>
  <si>
    <t>Pr. kg vare</t>
  </si>
  <si>
    <t>Kemisk indhold, pct. af varen</t>
  </si>
  <si>
    <t>Fordøjeligheder, pct.</t>
  </si>
  <si>
    <t>gram pr. kg tørstof</t>
  </si>
  <si>
    <t>milligram pr. kg tørstof</t>
  </si>
  <si>
    <t>Aminosyreindhold i procent af råprotein</t>
  </si>
  <si>
    <t>Aminosyrefordøjelighed i forhold til råproteinfordøjelighed, faktor</t>
  </si>
  <si>
    <t>Kemisk indhold, pct. af tørstof</t>
  </si>
  <si>
    <t>pr. kg tørstof</t>
  </si>
  <si>
    <t>gram pr. kg vare</t>
  </si>
  <si>
    <t>milligram pr. kg vare</t>
  </si>
  <si>
    <t>gram pr. FEsv</t>
  </si>
  <si>
    <t>pr. kg vare</t>
  </si>
  <si>
    <t>Fodermid-delkode</t>
  </si>
  <si>
    <t>Kode</t>
  </si>
  <si>
    <t>Parti</t>
  </si>
  <si>
    <t>Fodermiddel</t>
  </si>
  <si>
    <t>Redige-rings-dato</t>
  </si>
  <si>
    <t>FEsv</t>
  </si>
  <si>
    <t>FEso</t>
  </si>
  <si>
    <t>EFOS</t>
  </si>
  <si>
    <t>EFOSi</t>
  </si>
  <si>
    <t>EFNi</t>
  </si>
  <si>
    <t>FE-korr. Faktor</t>
  </si>
  <si>
    <t>Tør-stof</t>
  </si>
  <si>
    <t>Rå-protein</t>
  </si>
  <si>
    <t>Rå-fedt</t>
  </si>
  <si>
    <t>Rå-aske</t>
  </si>
  <si>
    <t>Træ-stof</t>
  </si>
  <si>
    <t>Calcium</t>
  </si>
  <si>
    <t>Fosfor</t>
  </si>
  <si>
    <t>Natrium</t>
  </si>
  <si>
    <t>Klorid</t>
  </si>
  <si>
    <t>Kalium</t>
  </si>
  <si>
    <t>Magnesium</t>
  </si>
  <si>
    <t>Svovl</t>
  </si>
  <si>
    <t>Jern</t>
  </si>
  <si>
    <t>Kobber</t>
  </si>
  <si>
    <t>Mangan</t>
  </si>
  <si>
    <t>Zink</t>
  </si>
  <si>
    <t>Jod</t>
  </si>
  <si>
    <t>Selen</t>
  </si>
  <si>
    <t>Lysin</t>
  </si>
  <si>
    <t>Methi-onin</t>
  </si>
  <si>
    <t>Cystin</t>
  </si>
  <si>
    <t>Tre-onin</t>
  </si>
  <si>
    <t>Tryp-tofan</t>
  </si>
  <si>
    <t>Iso-leucin</t>
  </si>
  <si>
    <t>Leu-cin</t>
  </si>
  <si>
    <t>Histidin</t>
  </si>
  <si>
    <t>Fenyl-alanin</t>
  </si>
  <si>
    <t>Tyrosin</t>
  </si>
  <si>
    <t>Valin</t>
  </si>
  <si>
    <t>Treo-nin</t>
  </si>
  <si>
    <t>Histi-din</t>
  </si>
  <si>
    <t>Tyro-sin</t>
  </si>
  <si>
    <t>Råprotein</t>
  </si>
  <si>
    <t>Råfedt</t>
  </si>
  <si>
    <t>Råaske</t>
  </si>
  <si>
    <t>Træstof</t>
  </si>
  <si>
    <t>Jodtal</t>
  </si>
  <si>
    <t>Jodtals-produkt</t>
  </si>
  <si>
    <t>Orga-nisk stof</t>
  </si>
  <si>
    <t>Let-fordøjelige kulhydrater</t>
  </si>
  <si>
    <t>Fermenterbare kulhydrater</t>
  </si>
  <si>
    <t>Sti-velse</t>
  </si>
  <si>
    <t>Suk-ker</t>
  </si>
  <si>
    <t>Opløse-lige fibre</t>
  </si>
  <si>
    <t>Uopløse-lige fibre</t>
  </si>
  <si>
    <t>Magne-sium</t>
  </si>
  <si>
    <t>SIF Råprotein pr. kg vare</t>
  </si>
  <si>
    <t>SIF Råprotein</t>
  </si>
  <si>
    <t>SIF Lys</t>
  </si>
  <si>
    <t>SIF Met</t>
  </si>
  <si>
    <t>SIF Cys</t>
  </si>
  <si>
    <t>SIF CyM</t>
  </si>
  <si>
    <t>SIF Tre</t>
  </si>
  <si>
    <t>SIF Try</t>
  </si>
  <si>
    <t>SIF Iso</t>
  </si>
  <si>
    <t>SIF Leu</t>
  </si>
  <si>
    <t>SIF His</t>
  </si>
  <si>
    <t>SIF Fen</t>
  </si>
  <si>
    <t>SIF Tyr</t>
  </si>
  <si>
    <t>SIF FeT</t>
  </si>
  <si>
    <t>SIF Val</t>
  </si>
  <si>
    <t>Fytase-aktivitet, FYT/kg</t>
  </si>
  <si>
    <t>Fytase-aktivitet, FTU/kg</t>
  </si>
  <si>
    <t>Xylanase</t>
  </si>
  <si>
    <t>Vit. A, 1000 I.E.</t>
  </si>
  <si>
    <t xml:space="preserve">Vit. D, 1000 I.E. </t>
  </si>
  <si>
    <t>Vit. E, mg</t>
  </si>
  <si>
    <t>Vit. K3, mg</t>
  </si>
  <si>
    <t>Vit. C, mg</t>
  </si>
  <si>
    <t>Vit. B1, mg</t>
  </si>
  <si>
    <t>Vit. B2, mg</t>
  </si>
  <si>
    <t>Vit. B6, mg</t>
  </si>
  <si>
    <t>Vit. B12, mcg</t>
  </si>
  <si>
    <t>Vit. B3,Niacin, mg</t>
  </si>
  <si>
    <t>D-panto-thensyre, mg</t>
  </si>
  <si>
    <t>Cholin, mg</t>
  </si>
  <si>
    <t>Folin-syre, mg</t>
  </si>
  <si>
    <t>Biotin, mg</t>
  </si>
  <si>
    <t>EU-nummer</t>
  </si>
  <si>
    <t>n10TS</t>
  </si>
  <si>
    <t>n11Prot</t>
  </si>
  <si>
    <t>n12Fedt</t>
  </si>
  <si>
    <t>n13Aske</t>
  </si>
  <si>
    <t>n15Traestf</t>
  </si>
  <si>
    <t>n20EFOS</t>
  </si>
  <si>
    <t>n73EFOSi</t>
  </si>
  <si>
    <t>n71Ifaktor</t>
  </si>
  <si>
    <t>n22FEsv</t>
  </si>
  <si>
    <t>n23FEso</t>
  </si>
  <si>
    <t>n43Lys</t>
  </si>
  <si>
    <t>n41Met</t>
  </si>
  <si>
    <t>n40Cys</t>
  </si>
  <si>
    <t>n42Thr</t>
  </si>
  <si>
    <t>n59Trp</t>
  </si>
  <si>
    <t>n51Ile</t>
  </si>
  <si>
    <t>n52Leu</t>
  </si>
  <si>
    <t>n55His</t>
  </si>
  <si>
    <t>n54Fen</t>
  </si>
  <si>
    <t>n53Tyr</t>
  </si>
  <si>
    <t>n50Val</t>
  </si>
  <si>
    <t>n30Ca</t>
  </si>
  <si>
    <t>n31P</t>
  </si>
  <si>
    <t>n32Na</t>
  </si>
  <si>
    <t>n33Cl</t>
  </si>
  <si>
    <t>n34K</t>
  </si>
  <si>
    <t>n35Mg</t>
  </si>
  <si>
    <t>n36S</t>
  </si>
  <si>
    <t>n37Fe</t>
  </si>
  <si>
    <t>n38Cu</t>
  </si>
  <si>
    <t>n39Mn</t>
  </si>
  <si>
    <t>n26Zn</t>
  </si>
  <si>
    <t>n27I</t>
  </si>
  <si>
    <t>n28Se</t>
  </si>
  <si>
    <t>s10TS</t>
  </si>
  <si>
    <t>s11Prot</t>
  </si>
  <si>
    <t>s12Fedt</t>
  </si>
  <si>
    <t>s13Aske</t>
  </si>
  <si>
    <t>s15Traestf</t>
  </si>
  <si>
    <t>s20EFOS</t>
  </si>
  <si>
    <t>s73EFOSi</t>
  </si>
  <si>
    <t>s71Ifaktor</t>
  </si>
  <si>
    <t>s22FEsv</t>
  </si>
  <si>
    <t>s23FEso</t>
  </si>
  <si>
    <t>s43Lys</t>
  </si>
  <si>
    <t>s41Met</t>
  </si>
  <si>
    <t>s40Cys</t>
  </si>
  <si>
    <t>s42Thr</t>
  </si>
  <si>
    <t>s59Trp</t>
  </si>
  <si>
    <t>s51Ile</t>
  </si>
  <si>
    <t>s52Leu</t>
  </si>
  <si>
    <t>s55His</t>
  </si>
  <si>
    <t>s54Fes</t>
  </si>
  <si>
    <t>s53Tyr</t>
  </si>
  <si>
    <t>s50Val</t>
  </si>
  <si>
    <t>s30Ca</t>
  </si>
  <si>
    <t>s31P</t>
  </si>
  <si>
    <t>s32sa</t>
  </si>
  <si>
    <t>s33Cl</t>
  </si>
  <si>
    <t>s34K</t>
  </si>
  <si>
    <t>s35Mg</t>
  </si>
  <si>
    <t>s36S</t>
  </si>
  <si>
    <t>s37Fe</t>
  </si>
  <si>
    <t>s38Cu</t>
  </si>
  <si>
    <t>s39Ms</t>
  </si>
  <si>
    <t>s26Zs</t>
  </si>
  <si>
    <t>s27I</t>
  </si>
  <si>
    <t>s28Se</t>
  </si>
  <si>
    <t>d10TS</t>
  </si>
  <si>
    <t>d11Prot</t>
  </si>
  <si>
    <t>d12Fedt</t>
  </si>
  <si>
    <t>d13Aske</t>
  </si>
  <si>
    <t>d15Traestf</t>
  </si>
  <si>
    <t>d20EFOS</t>
  </si>
  <si>
    <t>d73EFOSi</t>
  </si>
  <si>
    <t>d71Ifaktor</t>
  </si>
  <si>
    <t>d22FEsv</t>
  </si>
  <si>
    <t>d23FEso</t>
  </si>
  <si>
    <t>d43Lys</t>
  </si>
  <si>
    <t>d41Met</t>
  </si>
  <si>
    <t>d40Cys</t>
  </si>
  <si>
    <t>d42Thr</t>
  </si>
  <si>
    <t>d59Trp</t>
  </si>
  <si>
    <t>d51Ile</t>
  </si>
  <si>
    <t>d52Leu</t>
  </si>
  <si>
    <t>d55His</t>
  </si>
  <si>
    <t>d54Fed</t>
  </si>
  <si>
    <t>d53Tyr</t>
  </si>
  <si>
    <t>d50Val</t>
  </si>
  <si>
    <t>d30Ca</t>
  </si>
  <si>
    <t>d31P</t>
  </si>
  <si>
    <t>d32da</t>
  </si>
  <si>
    <t>d33Cl</t>
  </si>
  <si>
    <t>Generelt</t>
  </si>
  <si>
    <t>Vær opmærksom på</t>
  </si>
  <si>
    <t>Håndtering og transport</t>
  </si>
  <si>
    <t>BENZOESYRE (1% vand)</t>
  </si>
  <si>
    <t xml:space="preserve"> </t>
  </si>
  <si>
    <t/>
  </si>
  <si>
    <t>BIOLYS 70 %</t>
  </si>
  <si>
    <t>BIOLYS 70% Vådfoder,FK=75%</t>
  </si>
  <si>
    <t>BLODPLASMA, Daka Sprayt  2500</t>
  </si>
  <si>
    <t>9.8.1</t>
  </si>
  <si>
    <t>Blod består af to fraktioner : en væskefraktion indeholdende blandt andet næringsstoffer kaldet blodplama, samt blodlegemer også kaldet blodceller.
Blodplasma fremstilles fra rent og friskt svineblod, der er levnedsmiddelgodkendt.
Ved fremstilling af blodplasma anvendes ultrafiltrerings – og spraytørringsteknologi.
Blodplasma har nr. 9.8.1 (Blodprodukter)  i Forordning om fortegnelsen over fodermidler. EU kommissionens Forordning nr. 68/2013 [1].</t>
  </si>
  <si>
    <t>BLODPRODUKT (HÆMOGLOBINMEL, Daka)</t>
  </si>
  <si>
    <t>Hæmoglobinmel indeholder blodcellefraktionen af friskt svineblod, der er levnedsmiddelgodkendt.    
Fremstilles ved spraytørring 
Råvaren er proteinrig med en høj fordøjelighed og især relativt rig på aminosyren valin.</t>
  </si>
  <si>
    <t>Der forekommer hæmoglobinmel af udenlandsk oprindelse, der ikke er spraytørret, men tromletørret.
Den høje varmepåvirkning giver en markant dårligere proteinfordøjelighed og dermed en råvare af markant ringere kvalitet.</t>
  </si>
  <si>
    <t>BOLIFOR 18   (MCP 21/18)</t>
  </si>
  <si>
    <t>BOLIFOR MCP-F (16/22,7)</t>
  </si>
  <si>
    <t>BYG,  vinter,  2016</t>
  </si>
  <si>
    <t>1.1.1</t>
  </si>
  <si>
    <t>Byg er frø fra dyrkede sorter af toradet og seksradet bygplanter (Hordeum vulgare), og dyrkes i stor udstrækning i Danmark.
En undersøgelse foretaget fra 2003 til 2005 viste, at de forskellige sorter varierer med hensyn til antal af foderenheder pr. 100 kg.
Indholdet af foderenheder i forskellige sorter af vårbyg varierede fra 102 til 109 FEsv pr. 100 kg. Desuden var der effekt af sort på EFOS, EFOSi, råfedt og råaske, men ingen statistisk sikker forskel i indhold af råprotein mellem sorterne.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Byg kan bruges i henhold til følgende kilder: [2], [3], [4], [5], [6], [7], [8], [9], [10], [11], [12], [13], [14], [15]. [16]</t>
  </si>
  <si>
    <t>Forsøg har vist, at stigende indhold af byg reducerer problemer med Salmonella og maveforandringer i den hvide del af maven sammenlignet med en hvedebaseret blanding [15].</t>
  </si>
  <si>
    <t xml:space="preserve">Byg giver generelt ikke anledning til problemer, og kan uden problemer transporteres som løsvare.
Byg bør opbevares tørt og er lagerfast ved 86 procent tørstof.
</t>
  </si>
  <si>
    <t>BYG,  vinter,  2016 + xylanase</t>
  </si>
  <si>
    <t>BYG,  vinter,  2016, varmebehandlet</t>
  </si>
  <si>
    <t>BYG,  vinter,  2016, varmebehandlet  + xylanase</t>
  </si>
  <si>
    <t>BYG,  vinter,  gns. 2014-2016</t>
  </si>
  <si>
    <t>14-'16</t>
  </si>
  <si>
    <t>BYG,  vinter,  gns. 2014-2016 + xylanase</t>
  </si>
  <si>
    <t>BYG,  vinter,  gns. 2014-2016, varmebehandlet</t>
  </si>
  <si>
    <t>BYG,  vinter,  gns. 2014-2016, varmebehandlet + xylanas</t>
  </si>
  <si>
    <t>BYG,  vinter, 2015</t>
  </si>
  <si>
    <t>BYG,  vinter, 2015 + xylanase</t>
  </si>
  <si>
    <t>BYG,  vinter, 2015, varmebehandlet</t>
  </si>
  <si>
    <t>BYG,  vinter, 2015, varmebehandlet  + xylanase</t>
  </si>
  <si>
    <t>BYG,  vår,  2016</t>
  </si>
  <si>
    <t>BYG,  vår,  2016 + xylanase</t>
  </si>
  <si>
    <t>BYG,  vår,  2016, varmebehandlet</t>
  </si>
  <si>
    <t>BYG,  vår,  2016, varmebehandlet  + xylanase</t>
  </si>
  <si>
    <t>BYG,  vår,  gns. 2014-2016</t>
  </si>
  <si>
    <t>BYG,  vår,  gns. 2014-2016 + xylanase</t>
  </si>
  <si>
    <t>BYG,  vår,  gns. 2014-2016, varmebehandlet</t>
  </si>
  <si>
    <t>BYG,  vår,  gns. 2014-2016, varmebehandlet  + xylanase</t>
  </si>
  <si>
    <t>BYG,  vår, 2015</t>
  </si>
  <si>
    <t>BYG,  vår, 2015 + xylanase</t>
  </si>
  <si>
    <t>BYG,  vår, 2015, varmebehandlet</t>
  </si>
  <si>
    <t>BYG,  vår, 2015, varmebehandlet  + xylanase</t>
  </si>
  <si>
    <t>BYG, 10,0 % råprotein, varmebehandlet + xylanase</t>
  </si>
  <si>
    <t>Tabelværdierne er dannet ved kopi af VSPs fodermiddelkode 50211 (gennemsnit af vårbyg de seneste tre år i udgaven svarende til varmebehandlet foder tilsat xylanase), hvor eneste ændring er råproteinkoncentration med de afledte konsekvenser for råproteinfordøjeligheden og aminosyreandelen i procent af råprotein.
Formålet med denne tabelværdi er at give et eksempel på værdien af korn med højt proteinindhold, som fx tysk korn, hvor gødningsreglerne er anderledes end de danske.
Byg er frø fra dyrkede sorter af toradet og seksradet bygplanter (Hordeum vulgare), og dyrkes i stor udstrækning i Danmark.
For vinterbyg er der fundet en statistisk sikker forskel i indholdet af foderenheder mellem sorterne. Indholdet af foderenheder varierede fra 98 til 105 FEsv pr. 100 kg. Det målte energiindhold er forholdsvis stabilt uanset lokalitet og dyrkningsår, så mht. foderværdien skal der ikke vælges sorter ud fra, hvor i Danmark kornet dyrkes. Desuden kan det forventes, at forskellen på foderværdien mellem to sorter det ene år også vil være der et andet år [16].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Ud fra forsøg og generel erfaring vurderes, at byg kan bruges i henhold til følgende kilder: [2], [3], [4], [5], [6], [7], [8], [9], [10], [11], [12], [13], [14], [15].</t>
  </si>
  <si>
    <t>BYG, 11,5 % råprotein, varmebehandlet + xylanase</t>
  </si>
  <si>
    <t>BYG, vår 10% råprotein</t>
  </si>
  <si>
    <t>CALCIUMFORMIAT</t>
  </si>
  <si>
    <t>Calciumformiat: Ca(HCO2)2</t>
  </si>
  <si>
    <t>CALCIUMJODAT 1%-opløsning</t>
  </si>
  <si>
    <t>CIKORIE: PULVER AF CIKORIERØDDER</t>
  </si>
  <si>
    <t>4.4.6</t>
  </si>
  <si>
    <t xml:space="preserve">
Indholdet af opløselige og uopløselige fibre er beregnet, se versionsbeskrivelsen for 3. juni 2016</t>
  </si>
  <si>
    <t>CITRONSYRE (1% vand)</t>
  </si>
  <si>
    <t>CITRUSKVAS TØR (Obs.: Gamle data)</t>
  </si>
  <si>
    <t>5.13.2</t>
  </si>
  <si>
    <t>Citruskvas er et biprodukt, der fremkommer ved presning af citrusfrugter (Citrus ssp.) ved fremstilling af citrussaft og som består af citrusskaller samt rester og cellevægge af selve frugten, der tørres, findeles og sælges som citruskvas.
Der er ikke forsøgsmæssig eller erfaringsmæssig baggrund for brug af citruskvas i foder til svin. Det vurderes, at citruskvas kun er relevant at overveje i foder til drægtige søer.</t>
  </si>
  <si>
    <t>CYSTIN,L98,5</t>
  </si>
  <si>
    <t>Ca-Na-FOSFAT</t>
  </si>
  <si>
    <t>11.3.16</t>
  </si>
  <si>
    <t>Ca-Na-FOSFAT Nagel</t>
  </si>
  <si>
    <t>Ca-Na-FOSFAT+ P-syre</t>
  </si>
  <si>
    <t>Ca-Na-FOSFAT+ P-syre, Nagel</t>
  </si>
  <si>
    <t>DCP dihydrat</t>
  </si>
  <si>
    <t>DICALCIUMFOSFAT</t>
  </si>
  <si>
    <t>11.3.1</t>
  </si>
  <si>
    <t>E-10 VIT TILSKUD (kun E-vit )</t>
  </si>
  <si>
    <t>E-25 VIT TILSKUD (kun E-vit )</t>
  </si>
  <si>
    <t>EP 100  fermenteret tilskudsfoder</t>
  </si>
  <si>
    <t>Indholdet af opløselige og uopløselige fibre er beregnet, se versionsbeskrivelsen for 3. juni 2016
Som følge af ændringen af proteinfordøjeligheden i "Sojaskråfoder, afskallet, toastet" i november 2016 fra 88 til 89,5 procent har proteinfodermidler til smågrise, der fik ændret proteinfordøjelighed med baggrund i et fordøjelighedsforsøg [175], fået et tillæg på 1,5 procentenheder proteinfordøjelighed for at bevare balancen mellem disse og "Sojaskråfoder, afskallet, toastet".</t>
  </si>
  <si>
    <t>Der er stor variation i fodermidlets næringsindhold. [171]</t>
  </si>
  <si>
    <t>FENYLALANIN,L98,5</t>
  </si>
  <si>
    <t>FISKEMEL</t>
  </si>
  <si>
    <t>10.4.2</t>
  </si>
  <si>
    <t>Fiskemel fremstilles ved tørring og formaling af hele eller dele af fisk, hvoraf en del af olien kan være fjernet. Der skal være et indhold af råprotein i tørstof på mindst 61 pct. i fiskemel. 
Hvis fiskemel har et indhold af råprotein i tørstof på mere end 75 pct., kan det betegnes som proteinrigt.
Anvendelse af fiskemel i ren form kræver en godkendelse hos Plantedirektoratet. For bedrifter, der både har svin og drøvtyggere, stilles der, udover krav til godkendelse, yderligere krav. Læs mere på Plantedirektoratets hjemmeside [124].
Kvalitet 
På de danske fiskemelsfabrikker fremstilles 2 fiskemelskvaliteter der anvendes i foder til svin – Standard Fiskemel og LT fiskemel. Der fremstilles desuden andre kvaliteter af fiskemel – og produkter, der bruges i aquaindustrien. Disse produkter ses der bort fra her. Ved produktion af LT Fiskemel stilles der krav til friskheden af de fisk der anvendes ved fremstillingen.
Der stilles desuden krav til temperaturen under fremstillingen (LT = Low temperature). Begge forhold giver en højere fordøjelighed af råprotein og for, at et parti fiskemel er af LT kvalitet, skal det derfor også opfylde et minimumskrav til proteinfordøjeligheden. For fiskemel af Standardkvalitet er der ingen krav til hverken friskhed, procestemperatur eller proteinfordøjelighed. Fisk, der ikke er helt frisk, er kendetegnet ved, at en proces hvorved proteinet gradvist omdannes til andre kvælstofforbindelser er begyndt. Ved processen dannes aminer eksempelvis cadevarin og histamin og i sidste ende ammoniak. Læs mere herom på www.vsp.lf.dk -&gt; VIDEN -&gt; Foder -&gt; Råvarer -&gt; Beskrivelse af råvarer [173]
Ved afprøvning i to besætninger blev der ikke fundet nogen effekt på produktionsresultaterne ved at anvende LT-fiskemel frem for Standard fiskemel [125].
Fiskemel har et indhold af råfedt på ca. 9 pct., som hovedsageligt består af umættede fedtsyrer.Ud fra forsøg og generel erfaring vurderes det, at fiskemel kan bruges i henhold til følgende kilder: [126], [127], [128], [129], [130], [131], [132], [133], [134].</t>
  </si>
  <si>
    <t>Brug af fiskemel i foder til slagtesvin giver afsmag i kødet. Denne afsmag skyldes indhold af fiskeolie i fiskemel. Fiskemel må derfor kun bruges i foder til grise indtil en vægt af ca. 35-40 kg [135], samt i foder til søer. 
Forsøg har ikke kunnet bekræfte en positiv effekt af brug af fiskemel i foder til søer i goldperioden [132].
Hvis fisk før formaling og varmebehandling er i en begyndende forrådnelse forringes kvaliteten af fiskemel. Dette kan være årsag til lavere daglig foderoptagelse og eventuelt ædevægring. Desuden, hvis fiskemel udsættes for opvarmning ved en for høj temperatur, vil dele af proteinet være ufordøjeligt, og dermed årsag til fx lavere daglig tilvækst.    
Problemer omkring fiskemel ses ved, at grisene mister pludselig deres ædelyst eller reducerer deres daglige foderoptagelse. Undersøg oprindelse og kvalitetstype af den brugte fiskemel. Hvis det vurderes nødvendigt, kan der gennemføres en analyse af fiskemelspartiet, men kemisk analyse vil ikke altid afdække en kvalitetsmæssig forringelse.</t>
  </si>
  <si>
    <t>Fiskemel opbevares tørt; derudover er der ingen specielle forhold.
Fiskemel leveres som melvare eller som 4 mm piller. Fiskemel LT leveres som melvare. Melvare af fiskemel danner let bro i silo, og kræver derfor 60° kegle, vibrator og trykluftspjæld i siloen. Alternativt kan fiskemel lagres i mineralpåslag med omrører.</t>
  </si>
  <si>
    <t>FISKEMEL,  LT</t>
  </si>
  <si>
    <t>FISKEMEL, ISLAND (Obs.: Gamle data)</t>
  </si>
  <si>
    <t>Islandsk fiskemel bruges stort set ikke i Danmark 
Fiskemel fremstilles ved tørring og formaling af hele eller dele af fisk, hvoraf en del af olien kan være fjernet. Der skal være et indhold af råprotein i tørstof på mindst 61 pct. i fiskemel. 
Hvis fiskemel har et indhold af råprotein i tørstof på mere end 75 pct., kan det betegnes som proteinrigt.
Anvendelse af fiskemel i ren form kræver en godkendelse hos Plantedirektoratet. For bedrifter, der både har svin og drøvtyggere, stilles der, udover krav til godkendelse, yderligere krav. Læs mere på Plantedirektoratets hjemmeside [124].
Kvalitet 
På de danske fiskemelsfabrikker fremstilles 2 fiskemelskvaliteter der anvendes i foder til svin – Standard Fiskemel og LT fiskemel. Der fremstilles desuden andre kvaliteter af fiskemel – og produkter, der bruges i aquaindustrien. For fiskemel af Standardkvalitet er der ingen krav til hverken friskhed, procestemperatur eller proteinfordøjelighed. Fisk, der ikke er helt frisk, er kendetegnet ved, at en proces hvorved proteinet gradvist omdannes til andre kvælstofforbindelser er begyndt. Ved processen dannes aminer eksempelvis cadevarin og histamin og i sidste ende ammoniak. Læs mere herom på www.vsp.lf.dk -&gt; VIDEN -&gt; Foder -&gt; Råvarer -&gt; Beskrivelse af råvarer [173]
Ved afprøvning i to besætninger blev der ikke fundet nogen effekt på produktionsresultaterne ved at anvende LT-fiskemel frem for Standard fiskemel [125].
Fiskemel har et indhold af råfedt på ca. 9 pct., som hovedsageligt består af umættede fedtsyrer.Ud fra forsøg og generel erfaring vurderes det, at fiskemel kan bruges i henhold til følgende kilder: [126], [127], [128], [129], [130], [131], [132], [133], [134].</t>
  </si>
  <si>
    <t>FISKEPROTEIN, hydrolyseret, H-35 Lakseproteinkoncentrat</t>
  </si>
  <si>
    <t>10.4.4</t>
  </si>
  <si>
    <t>Fremstilles ud fra fraskær i produktionen af lakseprodukter i Norge. Råvaren er farmlaks. Eksempler er produkterne H-pro og H-35 fra firmaet Hordafor A/S. Der tilsættes organisk syre som konserveringsmiddel.  
Ud fra forsøg og generel erfaring vurderes det, at fiskeprotein, hydrolyseret kan bruges i henhold til følgende kilder: [136], [137].</t>
  </si>
  <si>
    <t>Brug af store andele af fiskeensilage i foder til slagtesvin giver afsmag i kødet. Denne afsmag skyldes indhold af fiskeolie i råvaren. Fiskeprotein, hydrolyseret  må derfor kun bruges i mindre omfang i foder til slagtesvin [136] og de olieholdige produkter må ikke anvendes til slagtesvin over ca. 35-40 kg.
Der er ikke dokumenterede eksempler på, at fiskeprotein, hydrolyseret har været årsag til problemer.</t>
  </si>
  <si>
    <t>FISKEPROTEIN, hydrolyseret, H-PRO Lakseproteinkoncentrat</t>
  </si>
  <si>
    <t>FODERKRIDT, 36 % calcium</t>
  </si>
  <si>
    <t>11.1.1</t>
  </si>
  <si>
    <t>FODERRIS (formalet)</t>
  </si>
  <si>
    <t>1.6.7</t>
  </si>
  <si>
    <t>Ris er de uafskallede korn fra risplanten (Oryza sativa), og importeres fra bl.a. Kina, Indien og Thailand.
Ris kan indeholde de produktionshæmmende stoffer trypsin- og pepsininhibitorer.</t>
  </si>
  <si>
    <t>Der er ingen specielle forhold omkring brug, opbevaring og håndtering af ris, man bør være opmærksom på.</t>
  </si>
  <si>
    <t>Ris er lagerfast ved 86 procent tørstof.</t>
  </si>
  <si>
    <t>FODERSUKKER  (Obs.: Gamle data)</t>
  </si>
  <si>
    <t>4.1.3</t>
  </si>
  <si>
    <t>Fodersukker er ekstraheret fra sukkerroer, og kan også benævnes saccharose.
Fodersukker kan tilsættes foder til nyfravænnede grise for at øge grisenes foderoptagelse. Der er dog ikke forsøgsmæssigt grundlag til at vurdere effekten af tilsætning af fodersukker</t>
  </si>
  <si>
    <t>FORBL  300 E-10 (kun E-vit )</t>
  </si>
  <si>
    <t>FORBL  301 E-25 (kun E-vit )</t>
  </si>
  <si>
    <t>FOSFORSYRE 75%</t>
  </si>
  <si>
    <t>Fedtsyredestillater fra fysisk raffinering, palme (PFAD)</t>
  </si>
  <si>
    <t>13.6.5</t>
  </si>
  <si>
    <t xml:space="preserve">Læs udførlig beskrivelse vedr. foderfedt og fedtkvalitet her:
http://vsp.lf.dk/Viden/Foder/Raavarer/Foder_raavareliste/Foderfedt_fedtkvalitet.aspx?full=1 
(Klik på referencenr. 172 i fanen [Liste over referencer] )
</t>
  </si>
  <si>
    <t>Foderblanding af olie og fedtstoffer (Blandingsfedt) (Obs.: Gl. data)</t>
  </si>
  <si>
    <t>Kvaliteten af blandingsfedt afhænger meget af, hvad der er blandet i den pågældende leverance; normalt består det af planteolie og et eller flere industrirestprodukter.
Læs udførlig beskrivelse vedr. foderfedt og fedtkvalitet her:
http://vsp.lf.dk/Viden/Foder/Raavarer/Foder_raavareliste/Foderfedt_fedtkvalitet.aspx?full=1 
(Klik på referencenr. 172 i fanen [Liste over referencer] )</t>
  </si>
  <si>
    <t xml:space="preserve">SPECIELLE PRODUKTER:
Det er ikke tilladt at bruge friturefedt, hvori der har været tilberedt animalsk protein, da det hører til kategorien ”madaffald”, som er forbudt at anvende i svinefoder. Vær opmærksom på, at fedt/olierester fra fødevareindustrien kan indeholde store mængder af fx salte, der skal tages højde for ved optimering af foderet – bed altid om en indholdsdeklaration for ”øvrige fedtkilder”.
Læs udførlig beskrivelse vedr. foderfedt og fedtkvalitet her:
http://vsp.lf.dk/Viden/Foder/Raavarer/Foder_raavareliste/Foderfedt_fedtkvalitet.aspx?full=1 
(Klik på referencenr. 172 i fanen [Liste over referencer] )
</t>
  </si>
  <si>
    <t>GLYCEROL, CONCERINE CD80 FEED</t>
  </si>
  <si>
    <t>13.8.1</t>
  </si>
  <si>
    <t>GRÆSENSILAGE  1. SLÆT</t>
  </si>
  <si>
    <t>6.6.3</t>
  </si>
  <si>
    <t>Græsensilage består af finsnittet græs, ofte rajgræsser eller kløvergræs.
Kvaliteten af græsensilage er afhængig af næringsindholdet og sammensætningen af den friske råvare. 
Generelt gælder det, at indholdet af næringsstoffer i ensilage varierer en del. Indgår ensilage som en væsentlig del af foderrationen bør ensilagen derfor analyseres for indhold af næringsstoffer. Oftest aftager fordøjeligheden med stigende slætnummer.
Ensilage er et godt strukturfoder til løsgående drægtige søer. Ensilage bør ikke bruges i stier med spaltegulv</t>
  </si>
  <si>
    <t>Søer kan i drægtighedsperioden komme i dårligt huld, hvis energiindholdet i ensilagen er for lavt. Dette kan løse ved at sætte en højere stub ved høst af helsæd eller reducere mængden af helsædsensilage i blandingen.</t>
  </si>
  <si>
    <t>Ensilage kan opbevares i markstak, plansilo, silowarp eller ensileringssække.
Håndtering og transport af ensilage 
Der skal fjernes 20 cm af stakken dagligt. Der skal bruges en siloklo ved udtagning af majsensilage fra stakken. Majsensilage skal blandes med tilskudsfoder i en blandevogn før udfodring.</t>
  </si>
  <si>
    <t>GRÆSENSILAGE  2. SLÆT</t>
  </si>
  <si>
    <t>GRÆSGRØNMEL (grønpiller)</t>
  </si>
  <si>
    <t>6.5.1</t>
  </si>
  <si>
    <t>Græsgrønmel er fintsnittet græs og kløver, som kunsttørres i en tromletørrer og derefter pelleteres. Der produceres en del grønpiller i Danmark.
Græsgrønmel har et lavt indhold af energi, som følge af et højt indhold af træstof. Græsgrønmel har stor variation i indhold af træstof afhængig af, i hvilket udviklingstrin græsset høstes. Der kan være stor variation i indhold af næringsstoffer fra parti til parti.
Ud fra forsøg og generel erfaring vurderes, at græsgrønmel kan bruges i henhold til følgende kilder: [96], [97], [98].
Indholdet af opløselige og uopløselige fibre er beregnet, se versionsbeskrivelsen for 3. juni 2016</t>
  </si>
  <si>
    <t>På grund af det lave indhold af energi er græsgrønmel  primært egnet i foder til søer. Brug af græsgrønmel  i foder til diegivende søer betyder, at foderets indhold af energi falder. Dette kan betyde både en lavere foderoptagelse og en lavere mælkeydelse, men kan afhjælpes ved at reducere iblandingen af græsgrønmel i foderet til de diegivende søer.</t>
  </si>
  <si>
    <t>Græsgrønmel opbevares tørt; ellers ingen specielle forhold.
Græsgrøntmel bør ikke transporteres med flexsnegle. Sneglevindinger ved almindelige kornsnegle fræses ned ved indløb. Der kan forventes 6-7 gange større slitage ved formaling på hammermølle eller kornrive. Slitagen kan begrænses, men er stadig stor ved valsning på valser med ens periferihastighed.</t>
  </si>
  <si>
    <t>GÆRFLØDE, SPRIT</t>
  </si>
  <si>
    <t>12.1.5</t>
  </si>
  <si>
    <t xml:space="preserve">Gærfløde er et biprodukt fra fremstillingen af henholdsvis øl, spiritus og insulin, og produktionen foregår i Danmark.
Beskrivelse
Der er stor variation i indhold af tørstof og råprotein i gærfløde.
Der er tre typer gærfløde på det danske marked: 
Øl-gærfløde er et biprodukt fra ølfremstillingen. Brug af øl-gærfløde i foder til hangrise kan medføre forhøjet skatol i spækket hos hangrise, og må derfor ikke bruges i foder til hangrise [4].
Novo-gærfløde er et biprodukt fra fremstilling af insulin på basis af gensplejsede gær. Gæren opvarmes til 80 °C, således at gærcellerne dræbes, hvorefter gæren køles og der tilsættes mælkesyrebakterier for at konservere gærfløden. Novo-gærfløde medfører formentlig ikke samme skatolproblemer som ved øl-gærfløde.
Sprit-gærfløde er et biprodukt fra fremstilling af sprit. Under fremstilling gennemblæses gærfløden med damp og varmes op til kogepunktet, hvorved spritten damper af og gærcellerne dræbes. Sprit-gærfløde tilsættes ca. 0,7 pct. mælkesyre for at konservere gærfløden.
</t>
  </si>
  <si>
    <t>Øl-gærfløde kan medføre forhøjet skatol i spækket og må derfor ikke bruges i foder til hangrise [4]. Dette er sandsynligvis ikke gældende for Novo-gærfløde fra produktion af insulin. Ved produktion af hangrise er der måling af skatoltal på slagteriet. Ved for højt skatoltal er der fradrag i afregning for det enkelte slagtesvin.
Indholdet af næringsstoffer og mineraler varierer afhængig af gærflødens oprindelse. Ved brug af gærfløde i foder til grise er det vigtigt at kende produktets oprindelse samt det kemiske indhold af næringsstoffer.
Det er sandsynligvis visse næringsstoffer i øl-gærfløde, der er årsag til, at de skatolproducerende tarmbakterier får specielt gode vækstbetingelser, og dermed også stor produktion af skatol i tarmen.</t>
  </si>
  <si>
    <t>Der sker tab af tørstof, som følge af forgæring i gærfløden, hvis gærfløde opbevares over en længere periode. Holdbarheden på gærfløde er 8-14 dage fra levering. Holdbarheden afhænger dog meget af temperaturen. I vintermånederne har nogle producenter leverancer hver 3. uge. Opbevares gærfløden i åben tank kan det reducere holdbarheden og det er vigtigt at holde en god hygiejne (luk tanken, så der ikke kommer urenheder i). pH-værdien kan bruges som mål for, at gærflødens kvalitet er ok. Er pH over 4,8 bør gærfløden kasseres.
Produktet leveres flydende og kræver derfor opbevaringstank på ejendommen. Læs mere om opbevaring af gærfløde i afsnittet: opbevaring og håndtering af flydende råvarer.</t>
  </si>
  <si>
    <t>GÆRFLØDE, ØL</t>
  </si>
  <si>
    <t>HAVRE,   flerårigt gns, varmebehandlet</t>
  </si>
  <si>
    <t>1.4.1</t>
  </si>
  <si>
    <t>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Nøgen havre eller afskallet havre adskiller sig fra almindelig havre ved, at indholdet af skaller - og dermed svært fordøjelige fibre - er lavt.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t>
  </si>
  <si>
    <t xml:space="preserve">Havre er et godt strukturfoder især til sofoder, og erfaringer viser, at brug af havre kan afhjælpe problemer med diarré hos smågrise. Dette har forsøg dog ikke kunnet bekræfte [4].
Der er ikke eksempler på, at havre skulle have forårsaget problemer.
</t>
  </si>
  <si>
    <t>Havre bør ikke blandes med andre kornarter i siloen, da det er tilbøjelig til at "stå stille" under tømning af siloen, hvilket samtidig betyder svingende blandingsnøjagtighed. Hvis havreandelen i en blanding er over 10 procent, opstår der ofte problemer med "hængning" i siloer og foderautomater. Dette forværres ved høj fugtighed og ved grov formaling.
Ved transport af fugtige partier med et vandindhold på 20 procent eller derover, bør der bruges kæderedler frem for sidesnegl eller sneglerende.</t>
  </si>
  <si>
    <t>HAVRE,   flerårigt gns.</t>
  </si>
  <si>
    <t>HAVRE,  2016</t>
  </si>
  <si>
    <t>HAVRE,  2016, varmebehandlet</t>
  </si>
  <si>
    <t>HAVRE, 10,0 % råprotein, varmebehandlet</t>
  </si>
  <si>
    <t>Tabelværdierne er dannet ved kopi af VSPs fodermiddelkode 53010 (gennemsnit af de seneste år i udgaven svarende til varmebehandlet foder), hvor eneste ændring er råproteinkoncentration med de afledte beregnede konsekvenser.
Havre er frø fra dyrkede sorter af havreplanter (Avena sativa), og dyrkes i Danmark
Som kornart har havre et relativt højt indhold af råfedt samt et jodtalsprodukt på 53 mod 34 for byg. Hvis der bruges meget havre i foder til slagtesvin, øger det risikoen for blødt spæk.
Havre har et højt indhold af fibre, hvilket betyder et noget lavere energiindhold end i de øvrige kornarter. Havre anvendes i dag kun i begrænsede mængder i foder til smågrise, primært begrundet i det lave energiindhold. Havre anvendes i nogle besætninger som ”problemløser”, da erfaringen er, at det er godt til at stabilisere mave-tarm-kanalen og dermed til at reducere problemer med diarré hos smågrise samt til at forbedre mavesundheden hos søer. 
Nøgen havre eller afskallet havre adskiller sig fra almindelig havre ved, at indholdet af skaller - og dermed svært fordøjelige fibre - er lavt. Havre har i forhold til hvede et højt indhold af uopløselige fibre i form af beta-glucaner. Indholdet af beta-glucaner er et par procentpoint højere i nøgen havre end i almindelig havre. Nøgen havre har en god aminosyresammensætning og generelt en høj fordøjelighed, og anses derfor for en god råvare til smågrise. 
Havre og nøgen havre giver et lavere udbytte i marken sammenlignet med hvede. Dog betyder havre i sædskiftet, at udbyttet i hvede året efter øges. 
Tilsætning af det kulhydratspaltende enzymxylanase påvirker ikke foderværdien i havre – modsat de øvrige kornarter. En undersøgelse har vist, at EFOSi-værdien ikke blev påvirket i havre ved tilsætning af xylanase. 
Ud fra forsøg og generel erfaring vurderes, at havre kan bruges i henhold til følgende kilder: [3], [29], [30],</t>
  </si>
  <si>
    <t>HAVRE, 11,5 % råprotein, varmebehandlet</t>
  </si>
  <si>
    <t>HAVRE, Nøgen</t>
  </si>
  <si>
    <t>HAVRESKALMEL</t>
  </si>
  <si>
    <t>1.4.11</t>
  </si>
  <si>
    <t>Havreskalmel er et biprodukt fra fremstilling af havregryn ud fra renset havre, og består hovedsagelig af havreskaller og havreklid.
Havreskalmel er et biprodukt fra fremstilling af havregryn ud fra renset havre. Havreskalmel består hovedsagelig af havreskaller og havreklid.
Kvalitet
Havreskalmel har et meget højt indhold af fibre og et lavt indhold af energi.
Det vurderes, at havreskalmel kun bør anvendes i foder til søer. Det maksimale indhold af havreskalmel i foder kan ses i oversigten Maksimalt indhold af råvarer i foder.</t>
  </si>
  <si>
    <t>Havreskalmel er godt i foder til søer, på grund af råvarens høje indhold af træstof. 
Havreskalmels egenskab som strukturfoder er dog reduceret væsentlig, som følge af en meget fin formaling. Havreskalmel er ikke velegnet i foder til smågrise og slagtesvin på grund af det lave energiindhold.
Der er ikke eksempler på, at havreskalmel har været årsag til problemer.</t>
  </si>
  <si>
    <t>Havreskalmel skal opbevares tørt.
Havreskalmel danner meget let bro i siloer og kan være vanskeligt at få ud af siloen. Trykluft og vibrator i silosiderne kan afhjælpe problemet. Ved udtagning med sug fra hammermølle bør der sættes stort sugehoved på siloens bund.
Hvis havreandelen i en blanding er over ca. 10 procent, opstår der ofte problemer med "hængning" i siloer og foderautomater. Dette forværres ved høj fugtighed og ved grov formaling.</t>
  </si>
  <si>
    <t>HESTEBØNNER,  gennemsnit af høst 2012, 2014 og 2015</t>
  </si>
  <si>
    <t>3.7.1</t>
  </si>
  <si>
    <t>12-15</t>
  </si>
  <si>
    <t>2012&amp;'14</t>
  </si>
  <si>
    <t>Bønner af bælgplanten hestebønne (Vicia fabe). Hestebønner dyrkes kun i begrænset omfang i Danmark.
Kvalitet
Mellem sorterne kan der være stor forskel i næringsindhold og indhold af anti-nutritionelle forbindelser. Brug derfor hvidblomstrende sorter eller sorter med et lavt indhold af tanniner, som f.eks. Fuego og Espresso i foder til svin.
Ud fra forsøg og generel erfaring vurderes, at hestebønne kan bruges i henhold til følgende kilder: [82].
Analyseværdierne stammer dels fra en afprøvning af hestebønnesorterne Columbo, Fuego og Espresso i foder til smågrise (høst 2012), dels fra en afprøvning af Fuego hestebønner til slagtesvin (høst 2014).
Der er observeret store forskelle mellem høstår mht. analyseret koncentration af råprotein og energi. Derfor anbefales det at anvende aktuelle analyser for det enkelte parti hestebønner.
Indholdet af opløselige og uopløselige fibre er beregnet, se versionsbeskrivelsen for 3. juni 2016</t>
  </si>
  <si>
    <t>Hestebønner kan ikke anbefales til søer.
Hestebønner har et varierende indhold af stoffer, som kan hæmme væksten hos grise.
Brug hvidblomstrende sorter eller sorterne Fuego eller Espresso i foder til svin, idet de har lavt indhold af tanniner og glykosider. Brug af hestebønner i foder med højt indhold af tanniner eller glykosider kan betyde en lavere daglig foderoptagelse og en dårligere foderudnyttelse</t>
  </si>
  <si>
    <t>Hestebønner skal opbevares tørt og er lagerfast ved 88-89 pct. tørstof. 
Hestebønner bør ikke transporteres med flexsnegle. Sneglevindinger på kornsnegle fræses ned ved indløb.
Der er ingen problemer ved transport af hestebønner som løsvare.</t>
  </si>
  <si>
    <t>HESTEBØNNER, gennemsnit af høst 2012</t>
  </si>
  <si>
    <t>HESTEBØNNER, gennemsnit af høst 2014</t>
  </si>
  <si>
    <t>HESTEBØNNER, gennemsnit af høst 2015</t>
  </si>
  <si>
    <t>HESTEBØNNER, høst 2012, Columbo</t>
  </si>
  <si>
    <t>Bønner af bælgplanten hestebønne (Vicia fabe). Hestebønner dyrkes kun i begrænset omfang i Danmark.
Kvalitet
Mellem sorterne kan der være stor forskel i næringsindhold og indhold af anti-nutritionelle forbindelser. Brug derfor hvidblomstrende sorter eller sorter med et lavt indhold af tanniner, som f.eks. Fuego og Espresso i foder til svin.
Ud fra forsøg og generel erfaring vurderes, at hestebønne kan bruges i henhold til følgende kilder: [82].
Hovedparten af analyseværdierne stammer fra en igangværende afprøvning af hestebønnesorterne Columbo, Fuego og Espresso i foder til smågrise (høst 2012).
Der er observeret store forskelle mellem høstår mht. analyseret koncentration af råprotein og energi. Derfor anbefales det at anvende aktuelle analyser for det enkelte parti hestebønner.
Indholdet af opløselige og uopløselige fibre er beregnet, se versionsbeskrivelsen for 3. juni 2016</t>
  </si>
  <si>
    <t>HESTEBØNNER, høst 2012, Espresso</t>
  </si>
  <si>
    <t>HESTEBØNNER, høst 2012, Fuego</t>
  </si>
  <si>
    <t>HISTIDIN,L98,5</t>
  </si>
  <si>
    <t>HVEDE,  2016</t>
  </si>
  <si>
    <t>1.11.1</t>
  </si>
  <si>
    <t xml:space="preserve">Hvede, som dyrkes i stor udstrækning i Danmark, er frø fra dyrkede sorter af hvedeplanter (Triticum aestivum og Triticum durum).
Hvede kan indgå i et foder til grise som eneste kornart. Er der før høst brugt stråforkortningsmidler, bør hvede i foder til søer maksimalt udgøre 30 pct. af FEso.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Ud fra forsøg og generel erfaring vurderes, at hvede kan bruges i henhold til følgende kilder: [1], [3], [5], [6], [9], [11], [12], [14], [15]. [17], [18], [19], [20], 
</t>
  </si>
  <si>
    <t xml:space="preserve">En høj andel af hvede eller hvede som eneste kornart øger risikoen for mave-tarm-problemer, som fx Salmonella og mavesår. Det anbefales i sådanne tilfælde at anvende en grovere formaling. Man bør dog være opmærksom på, at grovere formaling forringer foderudnyttelsen, og ændringen bør derfor altid ske udfra en ordentlig diagnose. Læs mere i afsnittet Formaling og foderstruktur.
Hvede kan være inficeret med hvede stinkbrand og kan indeholde Fusarium-toksiner.
Årsagen til problemer med mave- og fordøjelsesforstyrrelser samt svineri i stierne kan skyldes manglende struktur i foderet som følge af det lave indhold af fibre i hvede. Manglende struktur i foderet giver risiko for dannelse af maveforandringer og -sår i den hvide del af maven. En grov formaling eller valsning af hvede afhjælper i mange tilfælde problemet med manglende struktur i foderet og dermed risiko for mavesår, men øger samtidig risikoen for en væsentlig forringelse af foderudnyttelsen.
</t>
  </si>
  <si>
    <t xml:space="preserve">Hvede opbevares tørt og er lagerfast ved 86 pct. tørstof. Ellers ingen specielle forhold.
Ved transport af fugtige partier med et vandindhold på 20 pct. eller derover, bør transport fra korngrav foretages med kæderedler frem for med sidesnegl eller sneglerende.
</t>
  </si>
  <si>
    <t>HVEDE,  2016 + xylanase</t>
  </si>
  <si>
    <t xml:space="preserve">Hvede, som dyrkes i stor udstrækning i Danmark, er frø fra dyrkede sorter af hvedeplanter (Triticum aestivum og Triticum durum).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Ud fra forsøg og generel erfaring vurderes, at hvede kan bruges i henhold til følgende kilder: [1], [3], [5], [6], [9], [11], [12], [14], [15]. [17], [18], [19], [20], 
</t>
  </si>
  <si>
    <t>HVEDE,  2016, varmebehandlet</t>
  </si>
  <si>
    <t>HVEDE,  2016, varmebehandlet  + xylanase</t>
  </si>
  <si>
    <t>HVEDE,  gns. 2014-2016</t>
  </si>
  <si>
    <t>HVEDE,  gns. 2014-2016 + xylanase</t>
  </si>
  <si>
    <t>HVEDE,  gns. 2014-2016, varmebehandlet</t>
  </si>
  <si>
    <t>HVEDE,  gns. 2014-2016, varmebehandlet  + xylanase</t>
  </si>
  <si>
    <t>HVEDE, 10% råprotein</t>
  </si>
  <si>
    <t>HVEDE, 10,0 % råprotein, varmebehandlet + xylanase</t>
  </si>
  <si>
    <t xml:space="preserve">Tabelværdierne er dannet ved kopi af VSPs fodermiddelkode 51211 (gennemsnit af hvede de seneste tre år i udgaven svarende til varmebehandlet foder tilsat xylanase), hvor eneste ændring er råproteinkoncentration med de afledte konsekvenser for råproteinfordøjeligheden og aminosyreandelen i procent af råprotein.
Formålet med denne tabelværdi er at give et eksempel på værdien af korn med højt proteinindhold, som fx tysk korn, hvor gødningsreglerne er anderledes end de danske.
Hvede, som dyrkes i stor udstrækning i Danmark, er frø fra dyrkede sorter af hvedeplanter (Triticum aestivum og Triticum durum).
En igangværende undersøgelse tyder på, at der er forskel i foderværdien (indhold af FEsv) mellem forskellige sorter. Der er ud fra de foreløbige tal et potentiale på 3,5 FEsv pr. 100 kg i vinterhvede, men flere analyser skal vise, om der i fremtiden skal vælges sort efter FEsv pr. ha.
Hvede har et lavt indhold af fibre.
Ud fra forsøg og generel erfaring vurderes, at hvede kan bruges i henhold til følgende kilder: [1], [3], [5], [6], [9], [11], [12], [14], [15]. [17], [18], [19], [20], 
</t>
  </si>
  <si>
    <t>HVEDE, 11,5 % råprotein, varmebehandlet + xylanase</t>
  </si>
  <si>
    <t>HVEDE, 2015</t>
  </si>
  <si>
    <t>HVEDE, 2015 + xylanase</t>
  </si>
  <si>
    <t>HVEDE, 2015, varmebehandlet</t>
  </si>
  <si>
    <t>HVEDE, 2015, varmebehandlet  + xylanase</t>
  </si>
  <si>
    <t>HVEDEGLUTEN 80% protein (Obs.: Gamle data)</t>
  </si>
  <si>
    <t>1.11.18</t>
  </si>
  <si>
    <t xml:space="preserve">Gluten udgør hovedparten af proteinindholdet i en del kornsorter, især hvede, rug og byg. 
Sammen med stivelse udgør gluten det meste af det indre af kornet, hviden.  
Hvedegluten dannes ved ekstraktion fra hvedemel hvorved stivelsen vaskes ud og bruges til andet formål.   
Indholdet af opløselige og uopløselige fibre er beregnet, se versionsbeskrivelsen for 3. juni 2016
</t>
  </si>
  <si>
    <t xml:space="preserve">Hvedegluten opbevares tørt.
</t>
  </si>
  <si>
    <t>HVEDEGLUTENFODER</t>
  </si>
  <si>
    <t>1.11.16</t>
  </si>
  <si>
    <t>Råvaren hvedeglutenfoder kan være mere eller mindre renset for små stykker hvede eller hvedemel hvorved proteinindholdet kan variere.
Hvedeglutenfoder består af klid, hvorfra kimen kan være delvis fjernet, og af gluten, hvortil meget små mængder af brudhvede, der stammer fra sigtningen af hveden, og meget små restmængder fra hydrolysen af stivelsen kan være tilsat.
Indholdet af opløselige og uopløselige fibre er beregnet, se versionsbeskrivelsen for 3. juni 2016</t>
  </si>
  <si>
    <t>Hvedeglutenfoder opbevares tørt.
Hvedeglutenfoder er et meget findelt foder, som støver meget, hvilket man skal være opmærksom på under transport og forarbejdning.</t>
  </si>
  <si>
    <t>HVEDEKLID</t>
  </si>
  <si>
    <t>1.11.7</t>
  </si>
  <si>
    <t xml:space="preserve">Hvedeklid er et biprodukt fra fremstilling af mel ud fra renset hvede. Hvedeklid består hovedsagelig af skaldele eller dele af korn, hvorfra størstedelen af endosperm er fjernet.
Kvalitet
Hvedeklid har, i sammenligning med hvede, et højt indhold af træstof og opfattes som et godt strukturfoder. Hvedeklid har et lavt indhold af energi.
Et forsøg har vist, at iblanding af 15 procent hvedeklid af korndelen i foder til slagtesvin forringede produktiviteten statistisk sikkert sammenlignet med en ren hvedebaseret blanding [15]. Derimod påvirkede iblanding af 15 procent hvedeklid ikke mave-tarm-sundhed eller forekomst af Salmonella.
En anden undersøgelse antydede også, at produktiviteten forringes ved brug af hvedeklid i slagtesvinefoder [21], men at faldet kan modvirkes ved tilsætning af kulhydratspaltende.
Indholdet af opløselige og uopløselige fibre er beregnet, se versionsbeskrivelsen for 3. juni 2016
</t>
  </si>
  <si>
    <t>Der er ingen specielle forhold at være opmærksom på omkring hvedeklid, og der er ingen eksempler på problemer forårsaget af produktet.</t>
  </si>
  <si>
    <t>Hvedeklid opbevares tørt.
Hvedeklid danner let bro, og kan være vanskelig at få ud af siloen. Det kan afhjælpes ved trykluft eller vibrator i silosiden. Der er ingen problemer ved transport af hvedeklid som løsvare.</t>
  </si>
  <si>
    <t>HVEDEKLID +xylanase</t>
  </si>
  <si>
    <t xml:space="preserve">Hvedeklid opbevares tørt.
Hvedeklid danner let bro, og kan være vanskelig at få ud af siloen. Det kan afhjælpes ved trykluft eller vibrator i silosiden. Der er ingen problemer ved transport af hvedeklid som løsvare.
</t>
  </si>
  <si>
    <t>HVEDESTRØMEL</t>
  </si>
  <si>
    <t>1.11.4</t>
  </si>
  <si>
    <t xml:space="preserve">Hvedestrømel er et biprodukt fra fremstilling af mel ud fra renset hvede. Hvedestrømel består hovedsagelig af dele af endosperm, fine skaldele og enkelte andre kornbestanddele.
Kvalitet
Hvedestrømel har et lavere indhold af træstof end hvedeklid. Hvedestrømel har en kemisk sammensætning, der minder meget om hvedeklid. Sammensætning og kvalitet kan variere. Hvedestrømel anvendes ofte som bærestof i forblandinger.
</t>
  </si>
  <si>
    <t>Hvedestrømel er et meget findelt foder, som støver meget. På grund af den høje grad af findeling opfattes råvaren som strukturfattig.
Der er ingen eksempler på, at hvedestrømel har forårsaget problemer.</t>
  </si>
  <si>
    <t>Hvedestrømel opbevares tørt.
Hvedestrømel er et meget findelt foder, som støver meget, hvilket man skal være opmærksom på under transport og forarbejdning.</t>
  </si>
  <si>
    <t>HØRFRØ (Obs.: Gamle data)</t>
  </si>
  <si>
    <t>2.8.1</t>
  </si>
  <si>
    <t>Frø af hør ( Linum usitatissimum L.). Hørfrø importeres fra bl.a. Canada, Argentina, Indien, Kina og europæiske lande.
Hørfrø kan indeholde det uønskede stof Linamarin, der kan medføre indhold af blåsyre.</t>
  </si>
  <si>
    <t>Et højt indhold af blåsyre forhindrer ilttransport i blodet og kan medføre kvælning. Kontroller derfor indholdet af blåsyre.</t>
  </si>
  <si>
    <t>Hørfrø er lagerfaste ved 91-92 procent tørstof.
Vi har ikke erfaringer med håndtering af hørfrø, men da det er meget olieholdige frø kan der tages udgangspunkt i opbevaring/håndtering af rapsfrø.</t>
  </si>
  <si>
    <t>ISOLEUCIN,L98,5</t>
  </si>
  <si>
    <t>JERNSULFAT,HEPT 1%-opløsning</t>
  </si>
  <si>
    <t>KALIUMJODID 1%-opløsning</t>
  </si>
  <si>
    <t>KALIUMKLORID</t>
  </si>
  <si>
    <t>11.5.1</t>
  </si>
  <si>
    <t>KARTOFFELPROTEIN</t>
  </si>
  <si>
    <t>4.8.10</t>
  </si>
  <si>
    <t>Kartoffelprotein er et tørret biprodukt fra fremstilling af kartoffelstivelse ud fra knolde af kartoffelplanten (Solanum tuberosum). Kartoffelprotein fremstilles hovedsageligt i Danmark, Tyskland, Frankrig, Holland og Polen.
Produktet er ved teknisk behandling koncentreret med hensyn til indhold af protein, og der skal være et indhold af råprotein i tørstof på mindst 76 pct.
Der sælges en kvalitet kartoffelprotein (Protastar), som er kartoffelproteinkoncentrat, der har været igennem en proces, hvor bitterstoffet solanin fjernes ved hjælp af en syrebehandling med efterfølgende ekstraktion og dekantering. Indholdet af solanin er herefter under 40 ppm. Under processen fjernes også en stor del af kaliumindholdet, men til gengæld stiger indholdet af klorid.
Kvalitet
Kartoffelprotein kan ernæringsmæssigt erstatte en del af skummetmælkspulver og/eller fiskemel i blandinger til smågrise. Det skal bemærkes, at produktet kan indeholde det bitre og giftige stof "solanin". 
Ud fra forsøg og generel erfaring vurderes, at kartoffelprotein kan bruges i henhold til følgende kilder: [95].</t>
  </si>
  <si>
    <t>Kartoffelprotein kan indeholde det bitre og giftige stof solanin, hvilket giver lavere foderoptagelse og dermed også lavere daglig tilvækst. Indholdet af solanin varierer fra 800 til 4.000 ppm i varen.
Forsøg har vist, at hvis en fuldfoderblanding til smågrise har et indhold på mindre end 200 ppm solanin, er der ingen påvirkning af dødelighed og frekvens af diarré.
Solanin har en bitter smag og det irriterer slimhinden i tarmkanalen. Solanin kan være årsag til mavepine og diarré. Et synligt tegn er ædevægring, reduceret tilvækst og evt. begyndende diarré. Der kan kun gennemføres analyse for indhold af solanin i en renvare af kartoffelprotein, fordi analysen ikke er følsom nok til at måle den lave koncentration, der er i et fuldfoder.
Reducer indholdet af kartoffelprotein i blandingen. Alternativt kan en prøve af partiet med kartoffelprotein analyseres for indhold af solanin.</t>
  </si>
  <si>
    <t>Kartoffelprotein opbevares tørt
Varen bør ikke transporteres på bånd i ren form af hensyn til belægninger på returbåndet. Kartoffelproteinkoncentrat kan være vanskeligt at få ud af silo.</t>
  </si>
  <si>
    <t>KARTOFFELPROTEIN,  PROTASTAR</t>
  </si>
  <si>
    <t>KOBBEROXID 100%-opløsning</t>
  </si>
  <si>
    <t>KOBBERSULFAT 100%-opløsning</t>
  </si>
  <si>
    <t>KOKOSKAGE, FEDTRIG</t>
  </si>
  <si>
    <t>2.4.1</t>
  </si>
  <si>
    <t xml:space="preserve">Kvaliteten af kokoskage varierer, og kagerne kan være forurenede med sand og andre urenheder. Kokosfedt har et lavt jodtal, hvilket giver god kvalitet og konsistens af spæk i den slagtede gris. Proteinet i kokoskager har en lav fordøjelighed, hvorfor det ikke er en specielt velegnet råvare i svinefoder.
Kokoskage dyrkes hovedsagelig i Indonesien, Filippinerne, Fiji, Mexico og Afrika. Danmark importerer kokoskage fortrinsvis fra Indonesien.
Ud fra forsøg og generel erfaring vurderes det, at kokoskage, fedtrig kan bruges i henhold til følgende kilder: [53], [60], [61].
Indholdet af opløselige og uopløselige fibre er beregnet, se versionsbeskrivelsen for 3. juni 2016
</t>
  </si>
  <si>
    <t xml:space="preserve">Kokoskage kan indeholde aflatoksin B1. Ifølge bekendtgørelsen [1], må der maksimalt være 0,02 mg aflatoksin B1 pr. kg ublandet foderstof. Dårlig opbevaring af kokoskage efter olieudvinding af kokosfedt samt lang transport fra leverandør til modtager kan give problemer med harskning og vækst af skimmelsvampe med efterfølgende dannelse af toksin, primært aflatoksin. Kokoskage har samtidig høj risiko for indhold af foderbåren Salmonella.
Et forsøg viser, at søer, der fik et foder med 20 procent kokoskage fik 0,3 flere levendefødte grise pr. kuld end i kontrolgruppen, og søernes sundhed var ikke påvirket af kokoskagerne [60].
Svineri og tjæreagtig diarré kan skyldes, at foderets totale indhold af protein er højt, som følge af en lav fordøjelighed af proteinet i kokoskager. Reducer eller undgå brug af kokoskager i svinefoder.
</t>
  </si>
  <si>
    <t xml:space="preserve">Kokoskage skal opbevares tørt 
Hos hjemmeblandere af svinefoder kræves en stenfælde eller forknuser før formaling/valsning af kokoskage. 
Kokoskage danner let bro under udtagning fra silo, og dermed kan der opstå problemer med at få råvaren ud af en silo. Der kræves derfor et stort sugehoved under silo ved sugetransport fra hammermølle.
Der er ingen problemer ved håndtering og transport af kokoskage som løsvare.
</t>
  </si>
  <si>
    <t>KOLBEMAJS</t>
  </si>
  <si>
    <t>1.2.5</t>
  </si>
  <si>
    <t>KORNBÆRME, tørret (DDGS)</t>
  </si>
  <si>
    <t>1.12.10</t>
  </si>
  <si>
    <t>Restprodukt fra bioethanolproduktionen.
Indholdet af opløselige og uopløselige fibre er beregnet, se versionsbeskrivelsen for 3. juni 2016</t>
  </si>
  <si>
    <t>Der er MEGET STOR VARIATION i næringsindholdet mellem partier af kornbærme! Eksempel: Standardafvigelsen i forhold til middelværdien (CV) på aminosyrer går fra ca. 10 pct. for lysin til 30 pct. for tryptofan og valin.
Indholdet i bærme varierer meget alt efter, hvilken kornart og hvilken fabrik det kommer fra: Da der er forskellige behandlingsprocessor i forbindelse med fremstilling af  bioethanol, er der også forskel på restproduktet. På længere sigt er det intentionen at få fastlagt en analyseprofil pr. oprindelse/leverandør, da der givetvis vil forekomme spredning herpå mellem de forskellige procesanlæg, også som naturlig konsekvens af hvilken/hvilke kornarter, der danner basis for ethanolproduktionen på anlægget hen over tid.</t>
  </si>
  <si>
    <t>KORNHALM, Byg</t>
  </si>
  <si>
    <t>6.3.1</t>
  </si>
  <si>
    <t xml:space="preserve">Halm er tørrede stængler, blade og avner af korn. Hvede og byg dyrkes i stor udstrækning i Danmark, hvoraf restproduktet af begge kornsorter laves til halm.
Halm består næsten udelukkende af tungtopløselige cellevægsstoffer. Indholdet af næringsstoffer, vitaminer og mineraler er med undtagelse af kalcium generelt lavt.
Foderdata stammer fra følgende kilder [106], [107], [108].
</t>
  </si>
  <si>
    <t xml:space="preserve">Søer, gylte, polte og slagtesvin, der fodres med fint formalet eller pelleteret foder, har øget risiko for at udvikle maveforandringer (forhorninger, sår og ar i den hvide del af maven, forsnævret spiserørsåbning), hvilket kan give reduceret vækst og utrivelighed. Maveforandringer kan bl.a. forebygges ved at tildele strukturfoder som fx frisk halm [109], [110]. Undersøgelser har dog også vist, at halm ikke har nogen indflydelse på maveindholdets konsistens og dermed maveforandringer [111], [112].
Halm kan indeholde betydelige mængder skimmelsvampe af Fusarium-familien. Disse skimmelsvampe kan danne en lang række forskellige toksiner, som kan give forskellige symptomer på forgiftning [113]. 
Halm, som indeholder svampetoksiner, kan ikke afgiftes og bør derfor kasseres eller fortyndes med halm uden svampetoksiner.
</t>
  </si>
  <si>
    <t>Halm bør opbevares tørt og er lagerfast fra omkring 85 % tørstof. Der er ingen speciele forhold, der gør sig gældende omkring håndtering og transport af halm.</t>
  </si>
  <si>
    <t>KORNHALM, Hvede</t>
  </si>
  <si>
    <t>KORNPLANTER, Helsæd af Byg, gns.</t>
  </si>
  <si>
    <t>6.2.1</t>
  </si>
  <si>
    <t>Helsæd er betegnelsen for en afgrøde af byg, hvede eller ærter høstet før modenhed. Byg og hvede ensileres i renbestand, mens ærter ofte blandes med byg eller hvede. Afgrøder til ensilage dyrkes efter samme retningslinier som afgrøderne ved alm.brug.
Helsæd høstes når kerneindholdet er dejagtigt - ca. 5-6 uger efter begyndende skridning. Helsæd skal snittes i 2-4 cm længde.
Generelt gælder det, at indholdet af næringsstoffer i ensilage varierer en del. Indgår ensilage som en væsentlig del af foderrationen bør ensilagen derfor analyseres for indhold af næringsstoffer.
Ensilage er et godt strukturfoder til løsgående drægtige søer. Ensilage bør ikke bruges i stier med spaltegulv. Ærtehelsæd øger søernes ædelyst.
Ud fra generel erfaring vurderes det, at ensilage kan bruges i henhold til følgende kilder: [103], [104], [105].</t>
  </si>
  <si>
    <t>KORNPLANTER, Helsæd af Byg-Ært, gns.</t>
  </si>
  <si>
    <t>KORNPLANTER, Helsæd af Hvede, gns.</t>
  </si>
  <si>
    <t>KORNPLANTER, Helsæd af Hvede-Ært, gns.</t>
  </si>
  <si>
    <t>KORNPLANTER, Helsæd af Ært, gns.</t>
  </si>
  <si>
    <t>KÆRNEMÆLKSPULVER</t>
  </si>
  <si>
    <t>8.2.1</t>
  </si>
  <si>
    <t>Fremkommer ved at kærne smør af fløde eller lignende processer. Kan være koncentreret og/eller tørret.</t>
  </si>
  <si>
    <t>KÆRNEMÆLKSPULVER, Type B</t>
  </si>
  <si>
    <t>LEUCIN,L98,5</t>
  </si>
  <si>
    <t>LUCERNEGRØNMEL (lucernepiller)</t>
  </si>
  <si>
    <t>6.10.5</t>
  </si>
  <si>
    <t xml:space="preserve">Lucernegrønmel er fintsnittet lucerne (Medicago sativa L. og Medicago varia M.), og der skal være mindst 80 procent botanisk renhed. Produktet kunsttørres i en tromletørre med efterfølgende pelletering.
Der produceres en del lucernepiller i Danmark.
Ud fra forsøg og generel erfaring vurderes, at lucernepiller kan bruges i henhold til følgende kilder: [96], [97], [98].
Indholdet af opløselige og uopløselige fibre er beregnet, se versionsbeskrivelsen for 3. juni 2016
</t>
  </si>
  <si>
    <t>På grund af det lave indhold af energi er lucernegrønmel kun egnet i foder til søer. Et forsøg har vist, at brug af 12 procent lucernegrønmel i foder til søer betød, at unge søer under 4. læg fik 0,6 færre levendefødte grise pr. kuld end den tilsvarende gruppe i kontrolgruppen [96]. Modsat fik de ældre søer over 3. læg 0,5 flere levendefødte grise pr. kuld, end den tilsvarende gruppe søer i kontrolgruppen.
Brug af lucernegrønmel i foder til diegivende søer betyder, at foderets indhold af energi falder. Dette kan betyde både en lavere foderoptagelse og en lavere mælkeydelse. Reducer iblandingen af lucernegrønmel i foderet til de diegivende søer.</t>
  </si>
  <si>
    <t>Lucernegrønmel kan være svære at få ud af siloen, og kan indeholde en del sand, hvorfor pillerne bør formales med hammermølle, der har forstærket sold, af hensyn til slitage.</t>
  </si>
  <si>
    <t>LUPIN, blå,</t>
  </si>
  <si>
    <t>3.9.1</t>
  </si>
  <si>
    <t>Der findes tre arter af lupin, og deres dyrkningsegenskaber og foderværdi er noget forskellige:
•Smalbladet blå lupin (L. angustifolius) 
•Gul lupin (L. luteus) 
•Hvid lupin (L. albus).
I Europa dyrkes alle tre arter, men under danske forhold er der størst interesse for dyrkning af smalbladet blå lupin på grund af den tidlige modning. Gul lupin dyrkes hovedsagligt i Australien, og hvid lupin i Chile, Ægypten, Sydafrika og Østeuropa.
Ud fra forsøg og generel erfaring vurderes, at lupin kan bruges i henhold til følgende kilder: [170].
Indholdet af opløselige og uopløselige fibre er beregnet, se versionsbeskrivelsen for 3. juni 2016</t>
  </si>
  <si>
    <t xml:space="preserve">Fra naturens side har frø af lupin et højt indhold af alkaloider. Der er fremavlet sorter af gul, hvid og blå lupin, som har et lavt indhold af alkaloider. Sorter med under 0,03 procent alkaloider giver sandsynligvis ikke fodringsmæssige problemer. Et højere indhold af alkaloider betyder en bitter smag i foderet samt en lavere foderoptagelse. 
En lav foderoptagelse eller evt. æde vægring skyldes et for højt indhold af alkaloider i foderet. Afhjælp problemet ved kun at bruge de fremavlede sorter af gul, hvid og blå lupin, som har et lavt indhold af alkaloider. Reducer indholdet af lupin i foderet.
</t>
  </si>
  <si>
    <t xml:space="preserve">Lupin opbevares tørt - lupin er lagerfast ved 89-90 procent tørstof. Ellers ingen specielle forhold.
Der er ingen problemer forbundet med håndtering og transport af lupin som løsvare. ” 
</t>
  </si>
  <si>
    <t>LUPIN, gul (Obs.: Gamle data)</t>
  </si>
  <si>
    <t>LYSIN 30% (70%hv strømel)</t>
  </si>
  <si>
    <t>LYSIN 40% (60%hv klid)</t>
  </si>
  <si>
    <t>LYSIN 40% (60%kridt)</t>
  </si>
  <si>
    <t>LYSIN,L Vådfoder FK=75%</t>
  </si>
  <si>
    <t>LYSIN,L(HCl)98,5%</t>
  </si>
  <si>
    <t>LYSIN,L(sulfat) Vådfod  FK=75%</t>
  </si>
  <si>
    <t>LYSIN,L(sulfat)70%</t>
  </si>
  <si>
    <t>LYSIN,LLB50 flydende</t>
  </si>
  <si>
    <t>LYSIN,LLB50 i vådfoder FK=75%</t>
  </si>
  <si>
    <t>Laktoseprodukt, VarioLac 960</t>
  </si>
  <si>
    <t>8.9.1</t>
  </si>
  <si>
    <t>Leci E (Lecitin med E-vit )</t>
  </si>
  <si>
    <t>MAGNESIUMKARBON</t>
  </si>
  <si>
    <t>11.2.7</t>
  </si>
  <si>
    <t>MAGNESIUMOXID</t>
  </si>
  <si>
    <t>11.2.1</t>
  </si>
  <si>
    <t>MAJS  (Obs.: Gamle data)</t>
  </si>
  <si>
    <t>1.2.1</t>
  </si>
  <si>
    <t xml:space="preserve">Majs er frø fra dyrkede sorter af majsplanter (Zea mays), og dyrkes hovedsagelig i USA, Kina og Rumænien.
Majs er specielt et godt foderstof til smågrise. Erfaringer fra praksis har vist, at foder til diegivende søer med et indhold af majs på 20-30 pct. majs stimulerer søernes foderoptagelse. Dette har ikke kunnet eftervises i en kontrolleret afprøvning [10]. Konklusionen af denne afprøvning var, at det alene bør være prisrelationerne mellem hvede og majs, der skal være bestemmende for anvendelsen af majs i diegivningsfoder. Der kan ikke påregnes en produktivitetsmæssig gevinst.
Kvalitet
Majs har et relativt lavt indhold af fibre. Som kornart har majs et relativt højt indhold af råfedt samt et forholdsvist højt jodtal. Hvis der bruges meget majs i foder til slagtesvin, øges risikoen for blødt spæk. En afprøvning viste, at tilsætning af 40 pct. majs til slagtesvinefoder resulterede i et jodtalsprodukt i spæk på omkring maks. grænsen på 73 (tidligere 70) [39].
Ud fra forsøg og generel erfaring vurderes, at majs kan bruges i henhold til følgende kilder: [31], [32], [33], [34], [35], [3], [36], [37], [38], [39].
</t>
  </si>
  <si>
    <t xml:space="preserve">Brug af store mængder majs påvirker spækvaliteten negativt (mere blødt spæk), men påvirker ikke spækfarven [39]. 
Der er risiko for indhold af Fusarium-toksiner i majs. 
</t>
  </si>
  <si>
    <t>Majs bør opbevares tørt - majs er lagerfast ved 86 pct. tørstof. Ellers ingen specielle forhold.
Ved transport af majs i elevatorer bør ifyldningsmængden reduceres, for at undgå overbelastning på grund af den høje volumenvægt. Der er ingen problemer ved transport af majs som løsvare.</t>
  </si>
  <si>
    <t>MAJS, Varmebehandlet</t>
  </si>
  <si>
    <t>MAJS, Vådkonserveret</t>
  </si>
  <si>
    <t>MAJSENSILAGE, Gns.  2003-2007</t>
  </si>
  <si>
    <t>6.11.1</t>
  </si>
  <si>
    <t>Majsensilage består af finsnittet fodermajs, som høstes i sidste halvdel af oktober eller i november. Kvaliteten af majsensilage er afhængig af antallet af kolber på majsplanterne. Antal og størrelse af kolber er stærkt temperaturafhængig, idet en varm sommer og efterår er lig med en god majshøst.
Kvaliteten og dermed energiindholdet og fordøjeligheden af majsensilage afhænger af antallet af kolber på majsplanterne (jo færre kolber, jo tungere fordøjeligt). Antal og størrelse af kolber er stærkt temperaturafhængig, idet en varm sommer og efterår er lig med en god majshøst. Desuden afhænger majskvaliteten af hvor høj stub, der sættes ved høstning. Grænsen mellem en letfordøjelig, en gennemsnitlig og en tungt fordøjelig majsensilage er flydende, men i tabellen er angivet et typisk energiindhold og FK for protein for hver kvalitet majsensilage 
Generelt gælder det, at indholdet af næringsstoffer i ensilage varierer en del. Indgår ensilage som en væsentlig del af foderrationen bør ensilagen derfor analyseres for indhold af næringsstoffer. Derfor der i denne foderstoftabel præsenteret en gennemsnitlig kvalitet samt en letfordøjelig og en tungt fordøjelig kvalitet.
Ensilage er et godt strukturfoder til løsgående drægtige søer. Ensilage bør ikke bruges i stier med spaltegulv.</t>
  </si>
  <si>
    <t>MAJSENSILAGE, Let fordøjelig</t>
  </si>
  <si>
    <t>MAJSENSILAGE, Tungt fordøjelig</t>
  </si>
  <si>
    <t>MAJSFODERMEL</t>
  </si>
  <si>
    <t>1.2.3</t>
  </si>
  <si>
    <t xml:space="preserve">Majsfodermel er et biprodukt fra produktion af mel og gryn af majs (Zea mays), og består primært af skaldele og dele af korn, men der er fjernet en mindre del af endosperm end gældende for majsklid. Majs dyrkes hovedsageligt i USA, Kina og Rumænien.
Kvalitet
Fra parti til parti kan indholdet af næringsstoffer variere i majsfodermel, men råvaren er generelt mere ensartet i kvalitet end majsglutenfoder.
Majsfodermel har et relativt højt indhold af råfedt samt et jodtalsprodukt på 79 mod 34 i byg. Hvis der bruges meget majsfodermel i foder til slagtesvin, øger det risikoen for blødt spæk.
Det maksimale indhold af majsfodermel i foder kan ses i oversigten Maksimalt indhold af råvarer i foder. </t>
  </si>
  <si>
    <t>Brug af majsfodermel i foder til grise begrænses først og fremmest på grund af det svingende indhold af næringsstoffer.
Der er ingen eksempler på, at majsfodermel har været årsag til problemer.
Ved brug af majsfodermel skal man være opmærksom på, at råvaren opbevares tørt, således at der ikke sker vækst af skimmelsvampe.</t>
  </si>
  <si>
    <t>Majsfodermel opbevares tørt - majsfodermel er lagerfast ved 86 procent tørstof. Ellers ingen specielle forhold.
Ingen problemer ved håndtering af majsfodermel som løsvare. Under transport med fx skib kan der ske vækst af skimmelsvampe, hvis vandprocenten i råvaren er høj.</t>
  </si>
  <si>
    <t>MAJSGLUTEN 60% råprotein</t>
  </si>
  <si>
    <t>1.2.8</t>
  </si>
  <si>
    <t xml:space="preserve">Majsglutenfoder er et tørret biprodukt fra produktion af majsstivelse ud fra majs (Zea mays). Råvaren består hovedsagelig af klid og gluten. Majs dyrkes hovedsageligt i USA, Kina og Rumænien.
Kvalitet
Fra parti til parti kan indholdet af næringsstoffer variere i majsglutenfoder, men råvaren er generelt mindre ensartet i kvalitet end majsfodermel.
Majsglutenfoder har et relativt højt indhold af råfedt samt et jodtalsprodukt på 50 mod 34 i byg. Hvis der bruges meget majsglutenfoder i foder til slagtesvin, øger det risikoen for blødt spæk.
Det maksimale indhold af majsglutenfoder i foder kan ses i oversigten Maksimalt indhold af råvarer i foder. </t>
  </si>
  <si>
    <t>Brug af majsglutenfoder i foder til grise begrænses først og fremmest på grund af det svingende indhold af næringsstoffer.
Majsglutenfoder har ikke vist at være årsag til problemer.
Majsglutenfoder opbevares tørt - majsglutenfoder er lagerfast ved 86 procent tørstof.  Ved brug af majsglutenfoder skal man være opmærksom på, at råvaren opbevares tørt, således at der ikke sker vækst af skimmelsvampe.</t>
  </si>
  <si>
    <t>Ingen problemer ved håndtering af majsglutenfoder som løsvare. Under transport med fx skib kan der ske vækst af skimmelsvampe, hvis vandprocenten i råvaren er høj.</t>
  </si>
  <si>
    <t>MAJSGLUTENFODER</t>
  </si>
  <si>
    <t>1.2.9</t>
  </si>
  <si>
    <t>MAJSKIM  (Obs.: Gamle data)</t>
  </si>
  <si>
    <t>1.2.10</t>
  </si>
  <si>
    <t xml:space="preserve">Majskim er et biprodukt efter fremstilling af mølleriprodukter eller efter udvinding af majsstivelse.
Der kan være variation i næringsindholdet mellem forskellige partier og afhængig af, hvilken proces, biproduktet stammer fra. 
</t>
  </si>
  <si>
    <t>MANGANDIOXID 1%-opløsning</t>
  </si>
  <si>
    <t>MANGANOXID 1%-opløsning</t>
  </si>
  <si>
    <t>MANGANSULF,MONO 1%-opløsning</t>
  </si>
  <si>
    <t>MANGANSULF,TETR 1%-opløsning</t>
  </si>
  <si>
    <t>11.2.3</t>
  </si>
  <si>
    <t>MASK, frisk</t>
  </si>
  <si>
    <t>1.12.14</t>
  </si>
  <si>
    <t>MASK, tørret</t>
  </si>
  <si>
    <t>METHIONIN 30% (70%hv strømel)</t>
  </si>
  <si>
    <t>METHIONIN 40% (60%hv strømel)</t>
  </si>
  <si>
    <t>METHIONIN,DL 99</t>
  </si>
  <si>
    <t>MILOKORN, lavt tanninindhold</t>
  </si>
  <si>
    <t>1.8.1</t>
  </si>
  <si>
    <t>Milokorn er korn af Sorghum bicolor (L.) Moench s.l.
Milokorn er en hirseart og kan dyrkes i mere tørre egne end f.eks. majs. Milokorn dyrkes bl.a. i USA(90 pct. Af markedet [42)], Mexico, Sydamerika, Afrika, Indien, Kina og Australien. På verdensplan er milokorn den femtevigtigste kornart. Milokorn anvendes som føde- og fodermiddel samt til ethanolproduktion. 
I USA opererer de med fire handelsklasser: Sorghum, Tannin Sorghum, Hvid Sorghum og Mixed Sorghum. 
Tannin Sorghum vurderes af USA's korninspektion på mængden af mørk pigment i frøskallen, en metode, der ikke er særlig præcis. Sorghum med højt tanninindhold kaldes også bird-resistant, fordi det smager bittert, så fuglene ikke tager frøene. Importeret milokorn vil typisk være fra klassen Sorghum, som også er den mest dyrkede i USA. Kravene til klassen "Sorghum" er, at den er lav i tanninindhold og indeholder mindre end 98 pct. Hvid Sorghum og højst 3 pct. Tannin Sorghum. Farven vil typisk være hvid, gul, pink, orange, rød eller bronze. 
I en hollandsk fodertabel [42] skelnes mellem milo (Sorghum) med mindre end 0,4 pct. tannin og milo med over 1 pct. tannin.
Energiværdierne ligger på niveau med hvede og majs for de bedste sorter og ned til lidt under byg for sorter med højt tanninindhold.
En amerikansk oversigtsartikel [42] angiver energiværdien af lav-tannin milokorn til 95 pct. af majs og høj-tannin milokorn til ca. 83 pct. af majs.
De lavere protein- og fedtfordøjeligheder kunne tyde på enzymhæmning og dermed et stort endogent tab.</t>
  </si>
  <si>
    <t xml:space="preserve">Milokorn kan indeholde produktionshæmmende stoffer fra gruppen tanniner. Tanniner kan danne komplekser med protein (foderprotein og enzymer) og kulhydrater, hvilket medfører reduceret udnyttelse af foderets indhold af protein og kulhydrat. Tanniner smager dårligt og kan medføre lavere foderoptagelse mv. 
</t>
  </si>
  <si>
    <t>Milokorn er lagerfast ved 86 pct. tørstof.
Som med andet korn er fordøjeligheden i praksis afhængig af formalingsgraden. Det anbefales hjemmeblandere at følge anbefalingerne for partikelfordeling i formalet hvede. Meget fin formalet milokorn vil kunne danne bro i silo og foderautomater.</t>
  </si>
  <si>
    <t>MONOCALCIUMFOS  (16/22,7)</t>
  </si>
  <si>
    <t>11.3.3</t>
  </si>
  <si>
    <t>MONODICALC FOSF</t>
  </si>
  <si>
    <t>11.3.2</t>
  </si>
  <si>
    <t>MONONATRIUMFOS</t>
  </si>
  <si>
    <t>11.3.10</t>
  </si>
  <si>
    <t>MYRESYRE (25% vand)</t>
  </si>
  <si>
    <t>Meth analog Alimet 72%</t>
  </si>
  <si>
    <t>MÆLKEPROTEINPULVER</t>
  </si>
  <si>
    <t>8.13.1</t>
  </si>
  <si>
    <t>Produkt fremkommet ved tørring af proteinforbindelser udskilt fra mælk.
Der er pt. ingen analyseværdier til rådighed i denne database</t>
  </si>
  <si>
    <t>MÆLKESYRE (20% vand)</t>
  </si>
  <si>
    <t>NATRIUMBICARBON</t>
  </si>
  <si>
    <t>11.4.2</t>
  </si>
  <si>
    <t>NATRIUMCLORID</t>
  </si>
  <si>
    <t>11.4.1</t>
  </si>
  <si>
    <t>NATRIUMSELENIT 1%-opløsning</t>
  </si>
  <si>
    <t>Natuphos flydende, Std. dosis: 500 FTU</t>
  </si>
  <si>
    <t>Natuphos tør, Std. dosis: 500 FTU</t>
  </si>
  <si>
    <t>PALMEKAGE</t>
  </si>
  <si>
    <t>2.12.1</t>
  </si>
  <si>
    <t>Palmekage er et biprodukt fra olieudvinding ved presning af frø fra oliepalme (fx Elaeis guineensis). Frøene er så vidt muligt befriet fra deres hårde skaller.
Oliepalme dyrkes primært i Indonesien, Malaysia og i mindre grad i de afrikanske lande omkring ækvator.
Kvaliteten af palmekage varierer en del og fordøjeligheden af protein er lav sammenlignet med andre proteinråvarer. Palmefedt har et lavt jodtal, hvilket giver bedre kvalitet og konsistens af spæk i den slagtede gris.
Ud fra forsøg og generel erfaring vurderes, at palmekage kan bruges i henhold til følgende kilder: [62], [63].</t>
  </si>
  <si>
    <t>Palmekage kan indeholde aflatoksin B1. Ifølge lovgivningen (læs mere under afsnittet: lovgivning vedrørende foder) må der maksimalt være 0,02 mg aflatoksin B1 pr. kg ublandet foderstof. Dårlig opbevaring af palmekage efter olieudvinding af palmefedt samt lang transport fra leverandør til modtager kan give problemer med harskning og vækst af skimmelsvampe med efterfølgende dannelse af toksin, primært aflatoksin. Palmekage har samtidig høj risiko for indhold af foderbåren Salmonella. 
Der er ikke set problemer med brug af 15 procent palmekage i foder til søer [62]. Brug af palmekage i foder til slagtesvin gav mere lind gødning [63].
Svineri og tjæreagtig diarré i stien kan skyldes, at foderets totale indhold af protein er højt, som følge af en lav fordøjelighed af proteinet i palmekager. Hvis det vurderes, at svineri er et problem, kan man reducere indholdet af palmekage i foderet.</t>
  </si>
  <si>
    <t>Palmekage opbevares tørt. 
Palmekager danner let bro i silo. Kræver stort sugehoved under silo ved sugetransport med hammermølle. Der er ingen problemer ved håndtering og transport af palmekage som løsvare.</t>
  </si>
  <si>
    <t>PEKTINFODER</t>
  </si>
  <si>
    <t>5.27.1</t>
  </si>
  <si>
    <t>Phyzyme XP flydende, Std. dosis: 500 FTU</t>
  </si>
  <si>
    <t>Phyzyme XP tør,  Std. dosis: 500 FTU</t>
  </si>
  <si>
    <t>RAPSFRØ DL (=(Dobbelt) Lavt glukosinolatindhold)</t>
  </si>
  <si>
    <t>2.14.1</t>
  </si>
  <si>
    <t>Rapsfrø er fedtrige oliefrø af rapsplanter (Brassica napus). De dyrkes hovedsageligt i Canada, Kina og Europa. Dobbeltlav betyder, at det er sorter med lavt indhold af både erucasyre og glukosinolater.
Rapsfrø indeholder ca. 42 procent råfedt, og når rapsfrø samtidig har et højt jodtal, er der begrænset mulighed for at blande rapsfrø i et foder til specielt slagtesvin, når grænsen for jodtalsprodukt skal overholdes. Grisenes spækkvalitet bliver forringet, hvis foderets jodtalsprodukt er for højt. 
Indholdet af opløselige og uopløselige fibre er beregnet, se versionsbeskrivelsen for 3. juni 2016</t>
  </si>
  <si>
    <t>Rapsfrø med et højt indhold af glukosinolater i foder til smågrise forringer produktionsresultaterne [4].
Rapsfrø er dobbeltlave, når indholdet af glukosinolater er mindre end 30 mikromol pr. g rapsfrø (9 pct. vand). Samtidig skal indholdet af erucasyre være mindre end 1 procent af fedtsyrerne. Glukosinolater og/eller dets nedbrydningsprodukter er væksthæmmende, idet disse stoffer hæmmer skjoldbruskkirtlens optagelse af jod og dermed også produktion af hormonet thyroxin.
Rapsfrø og ærter supplerer hinanden godt med hensyn til indhold af aminosyrer.
Et for højt indhold af glukosinolater i foder betyder reduceret produktion af hormonet thyroxin. Dette kan konstateres ved at lave en analyse (HPLC) for indhold af glukosinolater. Afhjælp problemet ved at bruge rapsfrø med lavt indhold af glukosinolater.</t>
  </si>
  <si>
    <t>Rapsfrø opbevares tørt - rapsfrø er lagerfast ved 91-92 procent tørstof. 
Der er ingen problemer ved transport af rapsfrø som løsvare.
Rapsfrø kan formales sammen med korn i en hammermølle med 3-5 mm sold, hvis det efterfølges af et kornprodukt til rensning. Desuden kan rapsfrø formales på en valse med 1 mm afstand, dog fungerer dobbeltdrevne valser bedst. Valsning af rapsfrø fungerer bedst, hvis der samtidig jævnligt valses korn.</t>
  </si>
  <si>
    <t>RAPSKAGEFODER,  lavt glukosinolatindhold</t>
  </si>
  <si>
    <t>2.14.6</t>
  </si>
  <si>
    <t xml:space="preserve">Biprodukt ved presning/ekstraktion af olie fra fedtrige oliefrø af rapsplanter (Brassica napus), som dyrkes hovedsageligt i Canada, Kina og Europa. Dobbeltlav betyder, at det er sorter med lavt indhold af både erucasyre og glukosinolater.
Rapskagefoder kan forringe kvaliteten af spæk på grund af højt jodtalsprodukt.
Indhold af råfedt i tørstof skal være mere end 3 procent i rapskagefoder. Indhold af energi i rapskagefoder, afhænger af indhold af råfedt i rapskagefoder.
Ud fra forsøg og generel erfaring vurderes, at rapskagefoder, lavt glukosinolatindhold , kan bruges i henhold til følgende kilder: [26],  [55], [56], [57], [58], [59].
Indholdet af opløselige og uopløselige fibre er beregnet, se versionsbeskrivelsen for 3. juni 2016
</t>
  </si>
  <si>
    <t>Rapsfrø er dobbeltlave, når indholdet af glukosinolater er mindre end 30 mikromol pr. g rapsfrø (9 pct. vand). Samtidig skal indholdet af erucasyre være mindre end 1 procent af fedtsyrerne. Glukosinolater og/eller dets nedbrydningsprodukter er væksthæmmende, idet disse stoffer hæmmer skjoldbruskkirtlens optagelse af jod og dermed også produktion af hormonet thyroxin. 
Rapskagefoder og ærter supplerer hinanden godt med hensyn til indhold af aminosyrer.
For højt indhold af glukosinolat i foder medfører en lav produktion af hormonet thyroxin. Problemet kan konstateres ved at foretage en analyse (HPLC) for indhold af glukosinolater. Dette afhjælpes ved at bruge rapskagefoder med lavt indhold af glukosinolater.
Hvis der er problemer med blødt spæk, er årsagen det høje jodtalsprodukt i rapskage.</t>
  </si>
  <si>
    <t>Rapskage opbevares tørt. Der er ingen problemer ved transport af rapskage som løsvare.</t>
  </si>
  <si>
    <t>RAPSKAGEFODER, 5 % fedt, lavt glukosinolatindhold (Obs.: Gamle data)</t>
  </si>
  <si>
    <t>RAPSKAGEFODER, 9 % fedt, lavt glukosinolatindhold (Obs.: Gamle data)</t>
  </si>
  <si>
    <t>RAPSSKRÅFODER,  lavt glukosinolatindhold</t>
  </si>
  <si>
    <t>2.14.7</t>
  </si>
  <si>
    <t xml:space="preserve">Biprodukt ved ekstraktion af olie fra fedtrige oliefrø af rapsplanter (Brassica napus), som dyrkes hovedsageligt i Canada, Kina og Europa. Dobbeltlav betyder, at det er sorter med lavt indhold af både erucasyre og glukosinolater.
Indhold af råfedt i tørstof skal være mindre end 3 pct. i rapsskrå. 
Ud fra forsøg og generel erfaring vurderes, at rapsskrå, dobbeltlav, kan bruges i henhold til følgende kilder: [47], [48], [49], [50], [51], [52], [53]. Brug af rapsskrå af dårlig kvalitet forringer produktionsresultaterne [54].
Indholdet af opløselige og uopløselige fibre er beregnet, se versionsbeskrivelsen for 3. juni 2016
</t>
  </si>
  <si>
    <t>Rapsfrø er dobbeltlave, når indholdet af glukosinolater er mindre end 30 mikromol pr. g rapsfrø (9 pct. vand). Samtidig skal indholdet af erucasyre være mindre end 1 pct. af fedtsyrerne. Glukosinolater og/eller dets nedbrydningsprodukter er væksthæmmende, idet disse stoffer hæmmer skjoldbruskkirtlens optagelse af jod og dermed også produktion af hormonet thyroxin. 
Rapsskrå og ærter supplerer hinanden godt med hensyn til indhold af aminosyrer.
For højt indhold af glukosinolat i foder betyder reduceret produktion af hormonet thyroxin. Problemet kan konstateres ved at foretage en analyse (HPLC) for indhold af glukosinolater. Afhjælp problemet ved at bruge rapsskrå med lavt indhold af glukosinolater.</t>
  </si>
  <si>
    <t>Rapsskråfoder opbevares tørt. Der er ingen problemer ved transport af rapsskrå som løsvare.</t>
  </si>
  <si>
    <t>RESTMÆLK, Brabrand, maj 2013</t>
  </si>
  <si>
    <t>Analyseresultater på tørstof, protein, fedt, calcium, fosfor, natrium, kalium, magnesium og klorid er leveret af Arla
De øvrige tabelværdier er fremkommet ved simpelt gennemsnit af værdier fra skummetmælkspulver (kode 756-00) og valle, kategori A</t>
  </si>
  <si>
    <t>RISFODERMEL,HVIDT (Obs.: Gamle data)</t>
  </si>
  <si>
    <t>1.6.10</t>
  </si>
  <si>
    <t xml:space="preserve">Der skelnes mellem to typer risfodermel:
•”Risfodermel, gult”, der er et biprodukt fra første polering af afskallede ris. Varen består hovedsagelig af sølvhinder samt dele af aleuronlaget, endospermen og kimen. 
•”Risfodermel, hvidt”, der er et biprodukt fra anden polering af afskallede ris. Varen består hovedsagelig af dele af aleuronlaget, endospermen og kimen.
</t>
  </si>
  <si>
    <t xml:space="preserve">Der kan være variation i næringsindholdet mellem forskellige partier. Indholdet af træstof er lavere i den ”hvide risfodermel” end i den ”gule kvalitet”. </t>
  </si>
  <si>
    <t>Der er ingen specielle forhold, man skal være opmærksom på i forbindelse med brug, opbevaring og håndtering af risfodermel.
Risfodermel er lagerfast ved 86 procent tørstof.</t>
  </si>
  <si>
    <t>RUG,   flerårigt gns</t>
  </si>
  <si>
    <t>1.7.1</t>
  </si>
  <si>
    <t>Rug er frø fra dyrkede sorter af rugplanter (Secale cereale) og dyrkes i Danmark.
Rug har generelt altid haft et dårligt ry i fodersammenhæng, hvilket hovedsageligt skyldtes problemer med svampen meldrøjer, som giver dårligere produktionsresultater hos grise i vækst og ikke må forekomme i foder til søer. Moderne rugsorter er dog mere resistente overfor meldrøjer end tidligere sorter, og meldrøjer er i mindre grad et problem i de hybridsorter, der findes i dag, end det var tidligere. Derudover indeholder rug stoffet alkylresorcinol, hvilket tidligere var under mistanke for at kunne reducere foderoptagelsen og tilvæksten hos grise, men det er dog aldrig blevet påvist, at det har en negativ effekt på grise. Andre kornarter, som eksempelvis hvede, har typisk et lige så højt indhold af alkylresorcinol som rug.
En tidligere afprøvning har vist, at fodring med rug til slagtesvin gav en lavere foderoptagelse og dermed lavere tilvækst ved stigende indhold af rug i foderet [27]. Senest har forsøg med smågrise ligeledes vist lavere produktionsværdi, hvilket skyldes både en lav foderoptagelse og en lav daglig tilvækst ved højt indhold af rug i foderet. Ved 20 pct. rug i foder var tilvækst og foderoptagelse var statistisk sikkert forringet [28].
Ud fra forsøg og generel erfaring vurderes, at rug kan bruges i henhold til følgende kilder: [1], [22], [23], [24], [25], [13], [19], [26], [14], [27], [28].</t>
  </si>
  <si>
    <t>Rug opbevares tørt  og er lagerfast ved 86 pct. tørstof.
Transport af rug med et vandindhold på 20 pct. eller derover fra korngrav bør ske med kæderedler frem for sidesnegl eller sneglerende.
Valsning bør ske med mindst mulige valseafstand. Ved et vandindhold på over 18 pct. klistrer materialet fast på valserne.
Der er ingen problemer ved transport af rug som løsvare.</t>
  </si>
  <si>
    <t>RUG,   flerårigt gns + xylanase</t>
  </si>
  <si>
    <t>RUG,   flerårigt gns, varmebehandlet</t>
  </si>
  <si>
    <t>RUG,   flerårigt gns, varmebehandlet  + xylanase</t>
  </si>
  <si>
    <t>RUG,  2016</t>
  </si>
  <si>
    <t>RUG,  2016 + xylanase</t>
  </si>
  <si>
    <t>RUG,  2016, varmebehandlet</t>
  </si>
  <si>
    <t>RUG,  2016, varmebehandlet + xylanase</t>
  </si>
  <si>
    <t>RUG, 10,0 % råprotein, varmebehandlet + xylanase</t>
  </si>
  <si>
    <t>Tabelværdierne er dannet ved kopi af VSPs fodermiddelkode 52011 (gennemsnit af de seneste år i udgaven svarende til varmebehandlet foder tilsat xylanase), hvor eneste ændring er råproteinkoncentration med de afledte beregnede konsekvenser.
Rug er frø fra dyrkede sorter af rugplanter (Secale cereale) og dyrkes i Danmark.
Rug har generelt altid haft et dårligt ry i fodersammenhæng, hvilket hovedsageligt skyldtes problemer med svampen meldrøjer, som giver dårligere produktionsresultater hos grise i vækst og ikke må forekomme i foder til søer. Moderne rugsorter er dog mere resistente overfor meldrøjer end tidligere sorter, og meldrøjer er i mindre grad et problem i de hybridsorter, der findes i dag, end det var tidligere. Derudover indeholder rug stoffet alkylresorcinol, hvilket tidligere var under mistanke for at kunne reducere foderoptagelsen og tilvæksten hos grise, men det er dog aldrig blevet påvist, at det har en negativ effekt på grise. Andre kornarter, som eksempelvis hvede, har typisk et lige så højt indhold af alkylresorcinol som rug.
En tidligere afprøvning har vist, at fodring med rug til slagtesvin gav en lavere foderoptagelse og dermed lavere tilvækst ved stigende indhold af rug i foderet [27]. Senest har forsøg med smågrise ligeledes vist lavere produktionsværdi, hvilket skyldes både en lav foderoptagelse og en lav daglig tilvækst ved højt indhold af rug i foderet. Ved 20 pct. rug i foder var tilvækst og foderoptagelse var statistisk sikkert forringet [28].
Ud fra forsøg og generel erfaring vurderes, at rug kan bruges i henhold til følgende kilder: [1], [22], [23], [24], [25], [13], [19], [26], [14], [27], [28].</t>
  </si>
  <si>
    <t>RUG, 11,5 % råprotein, varmebehandlet + xylanase</t>
  </si>
  <si>
    <t>Ronozyme HiPhos GT tør, Std. dosis: 500 FYT,  dog min. 1000 FYT til søer</t>
  </si>
  <si>
    <t>Fytaseaktiviteten er deklareret til: 10.000 FYT pr. gram</t>
  </si>
  <si>
    <t>Ronozyme HiPhos L flydende, Std. dosis: 500 FYT,  dog min. 1000 FYT til søer</t>
  </si>
  <si>
    <t>Fytaseaktiviteten er ifølge EFSA-dokumentationen (http://www.efsa.europa.eu/en/efsajournal/pub/2527.htm): 20.000 FYT pr. gram</t>
  </si>
  <si>
    <t>Ronozyme HiPhos M tør, Std. dosis: 500 FYT,  dog min. 1000 FYT til søer</t>
  </si>
  <si>
    <t>Fytaseaktiviteten er ifølge EFSA-dokumentationen (http://www.efsa.europa.eu/en/efsajournal/pub/2527.htm): 50.000 FYT pr. gram</t>
  </si>
  <si>
    <t>Ronozyme NP flydende, Std. dosis: 1250 FYT (mindste lovlige: 1500 FYT/kg)</t>
  </si>
  <si>
    <t>Ronozyme NP tør, Std. dosis: 1250 FYT (mindste lovlige: 1500 FYT/kg)</t>
  </si>
  <si>
    <t>Ronozyme P flydende, Std. dosis: 750 FYT</t>
  </si>
  <si>
    <t>Ronozyme P tør, Std. dosis: 750 FYT</t>
  </si>
  <si>
    <t>SKUMMETMÆLK</t>
  </si>
  <si>
    <t>8.11.1</t>
  </si>
  <si>
    <t xml:space="preserve">Skummetmælkspulver fremstilles ved tørring af mælk, hvorfra det meste af fedtet er udskilt. Tørringen sker enten ved forstøvning i varm luft (spray) eller ved tørring i cylindre.
Skummetmælkspulver har et højt indhold af råprotein og med en god proteinkvalitet. Der er desuden et højt indhold af laktose og mineralstoffer.
I denatureret skummetmælkspulver ændres den procentvise andel af næringsstoffer lidt som følge af opblandingen med andre produkter.
Generelt er indholdet af råprotein lavere i denatureret skummetmælkspulver, formel A, i forhold til denatureret skummetmælkspulver, formel B, mens indholdet af hhv. laktose og træstof er højere i formel A sammenlignet med formel B.
Produktion
Skummetmælkspulver fremstilles primært med henblik på produktion af børnemælk, men sælges også med tilskud fra EU til fremstilling af fx ko- og somælkserstatning. Skummetmælkspulver fremstilles i de fleste væsentlige mælkeproducerende lande.
</t>
  </si>
  <si>
    <t>SKUMMETMÆLKSPULVER</t>
  </si>
  <si>
    <t>Skummetmælkspulver fremstilles ved tørring af mælk, hvorfra det meste af fedtet er udskilt. Tørringen sker enten ved forstøvning i varm luft (spray) eller ved tørring i cylindre.
Skummetmælkspulver har et højt indhold af råprotein og med en god proteinkvalitet. Der er desuden et højt indhold af laktose og mineralstoffer.
I denatureret skummetmælkspulver ændres den procentvise andel af næringsstoffer lidt som følge af opblandingen med andre produkter.
Generelt er indholdet af råprotein lavere i denatureret skummetmælkspulver, formel A, i forhold til denatureret skummetmælkspulver, formel B, mens indholdet af hhv. laktose og træstof er højere i formel A sammenlignet med formel B.
Produktion
Skummetmælkspulver fremstilles primært med henblik på produktion af børnemælk, men sælges også med tilskud fra EU til fremstilling af fx ko- og somælkserstatning. Skummetmælkspulver fremstilles i de fleste væsentlige mælkeproducerende lande.</t>
  </si>
  <si>
    <t>Skummetmælkspulver har en høj fordøjelighed og er derfor velegnet i somælkserstatninger og i foder til tidligt fravænnede grise.
Et brunligt eller mørkfarvet pulver med kogt smag (svovlsmag) er tegn på en for kraftig opvarmning, og dermed reduceret proteinværdi.
En kendt og god kvalitet skummetmælkspulver giver ingen problemer.</t>
  </si>
  <si>
    <t>Skummetmælkspulver suger let fugt, og skal derfor opbevares tørt. Produktet har lang holdbarhed i ubrudt plastik emballage.
Ingen problemer ved håndtering og transport af skummetmælkspulver, hvilket dog ofte sker i form af sækkevare.</t>
  </si>
  <si>
    <t>SKUMMETMÆLKSPULVER, DENAT  Formel A</t>
  </si>
  <si>
    <t>SOJABØNNER, toastet</t>
  </si>
  <si>
    <t>2.18.1</t>
  </si>
  <si>
    <t>Sojabønner er fra sojaplanten (Glycine max.), som er en bælgplante. Sojabønner dyrkes hovedsagelig i USA, Brasilien og Kina.
Toasted sojabønner har god proteinkvalitet og et højt indhold af energi. Det høje jodtalsprodukt i sojabønner forringer spækkets kvalitet, og derfor kan sojabønner ikke bruges i større mængder i foder til slagtesvin. Hvis der bruges sojabønner i foder til slagtesvin, begrænser det samtidig brugen af foderfedt. 
Det høje indhold af energi betyder, at sojabønner kan erstatte en del af sojaskråen i foder til smågrise. Rå sojabønner bør ikke bruges i foder til svin, idet rå sojabønner indeholder nogle stoffer, som hæmmer virkningen af trypsin. Disse hæmmende stoffer ødelægges dog ved toastning.
Ud fra forsøg og generel erfaring vurderes, at sojabønner, toasted, kan bruges i henhold til følgende kilder: [47], [48].
Indholdet af opløselige og uopløselige fibre er beregnet, se versionsbeskrivelsen for 3. juni 2016</t>
  </si>
  <si>
    <t>Sojabønner indeholder stoffer, som hæmmer virkningen af trypsin, som er et af de enzymer, der nedbryder protein. Disse væksthæmmende stoffer kan ødelægges ved toastning, men toastning inaktiverer ikke altid trypsininhibotorerne fuldt ud
Årsagen til problemer kan være, at protein i sojabønner udnyttes ikke som forventet. Synlige tegn på dette i stalden er, at slagtesvin i en periode har lav tilvækst samtidig med et højt foderforbrug og faldende kødprocent. Dette kan afhjælpes ved eksempelvis at varmebehandle sojabønner.</t>
  </si>
  <si>
    <t>Sojabønner opbevares tørt, og bønnerne er lagerfaste ved 89-90 procent tørstof. 
Der er ingen problemer ved håndtering og transport af sojabønner som løsvare.</t>
  </si>
  <si>
    <t>SOJAKAGE 8,1% fedt</t>
  </si>
  <si>
    <t>2.18.2</t>
  </si>
  <si>
    <t xml:space="preserve">
Indholdet af opløselige og uopløselige fibre er beregnet, se versionsbeskrivelsen for 3. juni 2016</t>
  </si>
  <si>
    <t>SOJAPROTEINKONCENTRAT, ekstraheret, AlphaSoy PIG 600</t>
  </si>
  <si>
    <t>2.18.7</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</si>
  <si>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</si>
  <si>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Sojabønner indeholder stoffer, der hæmmer virkningen af trypsin, hvilket er et af de enzymer, der nedbryder protein. Disse væksthæmmende stoffer ødelægges dog ved toastning. Under fremstilling af sojaproteinkoncentratet ødelægges disse væksthæmmende stoffer, samtidig med at en del af antigenerne fjernes.
Derudover er der ikke eksempler på, at sojaproteinkoncentrat har været årsag til problemer.</t>
  </si>
  <si>
    <t>Produktet bør opbevares tørt.
Der er ingen problemer ved håndtering og transport af sojaproteinkoncentrat, hvilket dog ofte sker i form af sækkevarer.</t>
  </si>
  <si>
    <t>SOJAPROTEINKONCENTRAT, ekstraheret, Imcosoy</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</si>
  <si>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</si>
  <si>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SOJAPROTEINKONCENTRAT, fermenteret tørret, HP 200</t>
  </si>
  <si>
    <t>SOJAPROTEINKONCENTRAT, fermenteret tørret, HP 300</t>
  </si>
  <si>
    <t>11 &amp; 13</t>
  </si>
  <si>
    <t xml:space="preserve">Sojaproteinkoncentrat er ekstraherede afskallede sojabønner fra sojaplanten (Glycine max.), som er fermenteret eller er ekstraheret anden gang for at reducere indholdet af kvælstoffri ekstrakt. Sojabønnen dyrkes hovedsagelig i USA, Brasilien og Kina.
Sojaproteinkoncentrat har god proteinkvalitet. 
Denne produkttype har i forhold til afskallet sojaskråfoder et højere proteinindhold og et lavere indhold af anti-nutritionelle forbindelser (ANF’er), fx trypsininhibitorer, raffinose, stachyose, glycinin og betaconglycinin,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
</t>
  </si>
  <si>
    <t>SOJAPROTEINKONCENTRAT, fermenteret tørret, Vilosoy</t>
  </si>
  <si>
    <t>SOJASKALLER</t>
  </si>
  <si>
    <t>2.18.5</t>
  </si>
  <si>
    <t>SOJASKRÅFODER,  afskallet toastet</t>
  </si>
  <si>
    <t>2.18.14</t>
  </si>
  <si>
    <t>Afskallet sojaskråfodere et biprodukt fra olieudvinding ved ekstraktion af afskallede sojabønner og efterfølgende passende varmebehandling. Bønnen dyrkes hovedsagelig i USA, Brasilien og Kina.
Der gælder følgende for afskallet sojaskråfoder (toasted): Der må maksimalt være et indhold af træstof på 8 procent i tørstof og maksimalt en ureaseaktivitet på 0,5 mg N/g × min [1].
Danmark importerer sojaskråfoder, som fortrinsvis forarbejdes i Tyskland, Norge og Argentina.
Afskallet sojaskråfoder vurderes at være en god proteinkilde til svin. Indholdet af næringsstoffer kan variere afhængig af, hvor meget sojabønner er afskallet. Værdierne for aminosyreindholdet i procent af råprotein er en sammenvejning af kvægfodermiddeltabellen fra 2005 [107], et fordøjelighedsforsøg i 2011 [173] og 10 analyser fra DLA-gruppen 2015-2016. 
Resultaterne fra et fordøjelighedsforsøg ved ungsvin med argentinsk og brassiliansk afskallet sojaskråfoder, sammenvejet med et fordøjelighedsforsøg med smågrise [175] og hidtidige tabelværdier [176], har dannet baggrund for opdatering af fodermiddeltabellen med protein- og aminosyrefordøjeligheder.
Indholdet af opløselige og uopløselige fibre er beregnet, se versionsbeskrivelsen for 3. juni 2016</t>
  </si>
  <si>
    <t>Sojabønner indeholder stoffer, der hæmmer virkningen af trypsin, hvilket er et af de enzymer, der nedbryder protein. Disse væksthæmmende stoffer ødelægges dog ved toastning.
Der er risiko for indhold af Salmonella i sojaskrå. 
En årsag til problemer med sojaskråfoder kan være, at protein i sojaskråfoder ikke udnyttes som forventet. Synlige tegn på problemer i stalden er, at slagtesvin i en periode har lav tilvækst samtidig med et højt foderforbrug og faldende kødprocent. Som afhjælpning kan sojaskrå evt. varmebehandles</t>
  </si>
  <si>
    <t>Sojaskråfoder opbevares tørt. Der er ingen problemer ved transport af sojaskråfoder som løsvare.</t>
  </si>
  <si>
    <t>SOJASKRÅFODER, afskallet toastet ekstruderet, AGB-Soya</t>
  </si>
  <si>
    <t>Produkt af sojabønne. Produktet er opvarmet under tryk (og fugt), og derefter
tørret. Der kan være tilsat forskellige enzymer efter ekstrudering.
Sojabønnen dyrkes hovedsagelig i USA, Brasilien og Kina.
Denne produkttype har i forhold til afskallet sojaskråfoder et højere proteinindhold og et lavere indhold af anti-nutritionelle forbindelser (ANF’er), fx trypsininhibitorer, og kan derfor være egnet i foder til fravænnede grise. Generelt er der meget divergerende resultater i forsøg, hvor effekterne af ANF’er vurderes. Der kan således ikke uddrages generelle konklusioner på effekten af ANF’er i sojaproteinprodukter [174].
Et fordøjelighedsforsøg med smågrise har dannet baggrund for opdatering af fodermiddeltabellen med protein- og aminosyrefordøjeligheder [175]. Som følge af ændringen af proteinfordøjeligheden i "Sojaskråfoder, afskallet, toastet" i november 2016 fra 88 til 89,5 procent har proteinfodermidler til smågrise, der fik ændret proteinfordøjelighed med baggrund i førnævnte forsøg [175], fået et tillæg på 1,5 procentenheder proteinfordøjelighed for at bevare balancen mellem disse og "Sojaskråfoder, afskallet, toastet".
Indholdet af opløselige og uopløselige fibre er beregnet, se versionsbeskrivelsen for 3. juni 2016</t>
  </si>
  <si>
    <t xml:space="preserve">Sojabønner indeholder stoffer, der hæmmer virkningen af trypsin, hvilket er et af de enzymer, der nedbryder protein. Disse væksthæmmende stoffer ødelægges dog ved toastning.
</t>
  </si>
  <si>
    <t>Produktet bør opbevares tørt.
Der er ingen problemer ved håndtering og transport af produktet, hvilket dog ofte sker i form af sækkevarer.</t>
  </si>
  <si>
    <t>SOJASKRÅFODER, afskallet toastet ekstruderet, AlphaSoy PIG 530</t>
  </si>
  <si>
    <t>SOJASKRÅFODER, afskallet toastet ekstruderet, ProviSoy</t>
  </si>
  <si>
    <t>SOJASKRÅFODER, toastet</t>
  </si>
  <si>
    <t>2.18.13</t>
  </si>
  <si>
    <t>Sojaskråfoder, toasted, er et biprodukt fra olieudvinding ved ekstraktion af olien fra valsede sojabønner fra sojaplanten (Glycine max.). Bønnen dyrkes hovedsagelig i USA, Brasilien og Kina.
Danmark importerer sojaskrå, som fortrinsvis forarbejdes i Tyskland, Norge og Argentina.
Sojaskråfoder har god proteinkvalitet, men indholdet af råprotein varierer fra parti til parti. 
Ud fra forsøg og generel erfaring vurderes, at sojaskrå, toasted, kan bruges i henhold til følgende kilder: [47], [48], [4], [64], [65], [26], [58], [66].
Indholdet af opløselige og uopløselige fibre er beregnet, se versionsbeskrivelsen for 3. juni 2016</t>
  </si>
  <si>
    <t>Sojaskråfoder opbevares tørt.
Sojaskråfoder bør renses for urenheder inden formaling. Nogle kvaliteter (argentinsk) kan være kraftigt slidende på formalingsudstyret.
Der er ingen problemer ved transport af sojaskråfoder som løsvare.</t>
  </si>
  <si>
    <t>SOLSIKKEKAGE,  19 % træstof</t>
  </si>
  <si>
    <t>2.19.2</t>
  </si>
  <si>
    <t>Solsikke kage er et biprodukt fra olieudvinding fra solsikkefrø, men i modsætning til skrå er olien presset og ikke ekstraheret.
Indholdet af opløselige og uopløselige fibre er beregnet, se versionsbeskrivelsen for 3. juni 2016</t>
  </si>
  <si>
    <t xml:space="preserve">Produkter af solsikke har ofte et forholdsvis højt indhold af cadmium, dog sjældent højere end den tilladte størsteværdi. Ifølge bekendtgørelsen [1], må der maksimalt være 1 mg cadmium pr. kg råvare og maksimalt 0,5 mg cadmium pr. kg fuldfoderblanding. 
Der er ikke problemer med brug af solsikkeskråfoder, afskallet, i foder til slagtesvin og søer, når der tages højde for det varierende indhold af næringsstoffer i skråen.
Der er stor risiko for indhold af Salmonella i solsikkeskråfoder. Derudover har solsikkeskråfoder ikke givet årsag til problemer.
Solsikkeskråfoder opbevares tørt.
</t>
  </si>
  <si>
    <t>SOLSIKKEKAGE, 15 % træstof (Obs.: Gamle data)</t>
  </si>
  <si>
    <t>SOLSIKKESKRÅFODER,  afskallet</t>
  </si>
  <si>
    <t>2.19.7</t>
  </si>
  <si>
    <t xml:space="preserve">Solsikkeskrå, delvis afskallet, er et biprodukt fra olieudvinding ved ekstraktion af olien fra solsikkefrø fra solsikkeplanten (Helianthus annuus). Solsikkeplanten dyrkes hovedsagelig i USA, Argentina og i de europæiske lande.
Solsikkeskråfoder,  afskallet, har nr. 2.19.7 i  Forordning om fortegnelsen over fodermidler. EU kommissionens Forordning nr. 68/2013
Solsikkeskråfoder til svinefoder skal være helt eller delvist afskallet. 
Indholdet af opløselige og uopløselige fibre er beregnet, se versionsbeskrivelsen for 3. juni 2016
</t>
  </si>
  <si>
    <t>Solsikkeskråfoder bør ikke transporteres med flexsnegle. Ved transport med almindelige kornsnegle bør sneglevindingerne ved indløbet fræses ned. Formaling sker bedst i valser med ens periferihastighed. Ved formaling i hammermølle må stor slitage påregnes. Ved ifyldning i vådfoderblandekar opsuger solsikkeskrå en del vand og fylder dermed mere.</t>
  </si>
  <si>
    <t>SOLSIKKESKRÅFODER, afskallet 14 % træstof (Gl. data)</t>
  </si>
  <si>
    <t>Solsikkeskrå, delvis afskallet, er et biprodukt fra olieudvinding ved ekstraktion af olien fra solsikkefrø fra solsikkeplanten (Helianthus annuus). Solsikkeplanten dyrkes hovedsagelig i USA, Argentina og i de europæiske lande.
Solsikkeskråfoder til svinefoder skal være helt eller delvist afskallet. 
Ud fra forsøg og generel erfaring vurderes, at solsikkeskråfoder, afskallet, kan bruges i henhold til følgende kilder: [67], [68].
Indholdet af opløselige og uopløselige fibre er beregnet, se versionsbeskrivelsen for 3. juni 2016</t>
  </si>
  <si>
    <t>SOLSIKKESKRÅFODER, afskallet 22 % træstof (Gl. data)</t>
  </si>
  <si>
    <t>SUKKERROEMELASSE</t>
  </si>
  <si>
    <t>4.1.4</t>
  </si>
  <si>
    <t>Roemelasse er et sirupsagtig biprodukt fra fremstilling af sukker ud fra sukkerroe (Beta vulgaris).
Roemelasse har et meget højt indhold af kalium og natrium.
Der dyrkes store arealer med sukkerroer i Danmark. Roemelasse fremstilles af Danisco Sugar. Der importeres dog betydelige mængder af roemelasse fra Tyskland, Polen, de baltiske lande og Rusland.
Ud fra forsøg og generel erfaring vurderes det, at melasse kan bruges i henhold til følgende kilder: [99], [100], [101], [102].
Indholdet af opløselige og uopløselige fibre er beregnet, se versionsbeskrivelsen for 3. juni 2016</t>
  </si>
  <si>
    <t xml:space="preserve">Det høje indhold af kalium og natrium i roemelasse kan give problemer, hvis roemelasse udgør en stor andel af foderet til grise. Når foder har højt indhold af kalium og natrium øges grisenes vandbehov, idet grisene skal bruge vand for igen at udskille disse mineraler gennem nyrerne. Hvis grisene ikke har fri adgang til vand, således at de selv kan regulere vandoptagelsen, kan der opstå akut dødsfald [102]. Der skal derfor altid være fri adgang til vand. 
Roemelasse er et godt bindemiddel, og der bruges ofte 2-3 procent melasse i pelleteret foder for at styrke pillen og dermed reducere smuld i pelleteret foder.
Årsagen til akut dødsfald, som ofte er tegn på problemer, skyldes vandmangel som følge af, at grisene ikke kan udskille de høje koncentrationer af kalium og natrium i foderet. Det skal derfor altid sikres, at grisene har fri adgang til vand.
Roemelasse er en tung flydende masse, og der kræves derfor opbevaring i en tank, hvorfra det skal pumpes. Indholdet af vand i roemelasse skal være mindre end 30 procent, ellers er råvaren ikke lagerfast som følge af risiko for forgæring. </t>
  </si>
  <si>
    <t>Roemelasse kan opbevares i uisoleret opbevaringstank.
Melasse skal pumpes og bør kun bruges i tørfoder i meget begrænset omfang. I tørblandeanlæg bør der maksimalt anvendes 3 procent, i diagonalblandere dog maksimalt 8 procent.
Roemelasse er flydende og transporteres i tankvogn. Læs mere i afsnittet Opbevaring og håndtering af flydende råvarer.</t>
  </si>
  <si>
    <t>SUKKERROESNITTER, tørrede, (Roepiller) pulpetter</t>
  </si>
  <si>
    <t>4.1.10</t>
  </si>
  <si>
    <t>Tørrede sukkerroesnitter er et tørret biprodukt fra fremstilling af sukker ud fra ekstraheret sukkerroe (Beta vulgaris).
Pulpetter er det danske handelsnavn for tørrede sukkerroesnitter, hvortil der ikke er tilsat melasse. Kosetter er det danske handelsnavn for tørrede sukkerrosnitter, hvortil der er tilsat ca. 35 procent melasse.
Der dyrkes store arealer med sukkerroer i Danmark. Roepiller fremstilles af Danisco Sugar. Der importeres dog betydelige mængder af roepiller fra bl.a. Kina, Tyskland og Ægypten. Tørrede sukkeroesnitter (umelasserede), må maksimalt indeholde 10 procent sukker. 
Indholdet af sukker i melasserede, tørrede sukkerroesnitter er typisk ca. 20 procent, og det er noget højere end i tørrede sukkerroesnitter uden melasse som følge af den iblandede melasse. 
I Danmark sælges der også importerede tørrede sukkerroesntter, som ofte har en stor variation i indhold af aske og sukker sammenlignet med danske varer. Der ses ofte et indhold af 10-15 procent melasse i varer, som sælges som umelasserede.
Indholdet af opløselige og uopløselige fibre er beregnet, se versionsbeskrivelsen for 3. juni 2016</t>
  </si>
  <si>
    <t>SUKKERROESNITTER, tørrede, letmelasserede</t>
  </si>
  <si>
    <t>4.1.11</t>
  </si>
  <si>
    <t>SUKKERROESNITTER, tørrede, tilsalt melasse (Kosetter)</t>
  </si>
  <si>
    <t>SUKKERROESNITTER, våde, (sukkerroeaffald)</t>
  </si>
  <si>
    <t>4.1.7</t>
  </si>
  <si>
    <t xml:space="preserve">Våde sukkerroesnitter er et biprodukt fra fremstilling af sukker ud fra ekstraheret sukkerroe (Beta vulgaris). Der dyrkes store arealer med sukkerroer i Danmark.
Våde sukkerroesnitter leveres i perioden oktober-december. Almindeligt med et tørstofindhold på ca. 12 procent.
Våde sukkerroesnitter må maksimalt indeholde 1 procent sukker. Våde sukkerroesnitter kan udfodres friskt eller det kan ensileres.
</t>
  </si>
  <si>
    <t>Sukkerroeaffald er et godt strukturfoder til løsgående drægtige søer. Fra nogle besætninger er der erfaring med, at brug af store mængder sukkerroeaffald i foder kan være årsag til øgede problemer med diarré. Årsagen til diarré er formentlig en skæv sammensætning af fiber i foderet, idet sukkerroeaffald har et højt indhold af de opløselige fibre. Reducer iblandingen af sukkerroeaffald i foderet eller brug andre foderstoffer i blandingen med et højt indhold af uopløselige fibre.</t>
  </si>
  <si>
    <t>Sukkerroeaffald opbevares i plansilo eller ensileringssække.
Sukkerroeaffald skal håndteres med en frontskovl. Sukkerroeaffald kan indgå med små mængder i vådfoder, men anbefales udfodret med blandevogn eller hængebanevogn.</t>
  </si>
  <si>
    <t>SUKKERRØRSMELASSE</t>
  </si>
  <si>
    <t>7.6.1</t>
  </si>
  <si>
    <t>Sukkerrørsmelasse er et biprodukt bestående af det sirupsagtige restprodukt, der fremkommer ved fremstilling eller raffinering af sukker fra sukkerrør (Saccharum officinarum L.)
Ud fra forsøg og generel erfaring vurderes det, at melasse kan bruges i henhold til følgende kilder: [99], [100], [101], [102].</t>
  </si>
  <si>
    <t>Det høje indhold af kalium og natrium i melasse kan give problemer, hvis melasse udgør en stor andel af foderet til grise. Når foder har højt indhold af kalium og natrium øges grisenes vandbehov, idet grisene skal bruge vand for igen at udskille disse mineraler gennem nyrerne. Hvis grisene ikke har fri adgang til vand, således at de selv kan regulere vandoptagelsen, kan der opstå akut dødsfald [102]. Der skal derfor altid være fri adgang til vand. 
Melasse er et godt bindemiddel, og der bruges ofte 2-3 procent melasse i pelleteret foder for at styrke pillen og dermed reducere smuld i pelleteret foder.
Årsagen til akut dødsfald, som ofte er tegn på problemer, skyldes vandmangel som følge af, at grisene ikke kan udskille de høje koncentrationer af kalium og natrium i foderet. Det skal derfor altid sikres, at grisene har fri adgang til vand.
Melasse er en tung flydende masse, og der kræves derfor opbevaring i en tank, hvorfra det skal pumpes. Indholdet af vand i roemelasse skal være mindre end 30 procent, ellers er råvaren ikke lagerfast som følge af risiko for forgæring</t>
  </si>
  <si>
    <t>Melasse kan opbevares i uisoleret opbevaringstank 
Melasse skal pumpes og bør kun bruges i tørfoder i meget begrænset omfang. I tørblandeanlæg bør der maksimalt anvendes 3 procent, i diagonalblandere dog maksimalt 8 procent.
Melasse er flydende og transporteres i tankvogn. Læs mere i afsnittet Opbevaring og håndtering af flydende råvarer.</t>
  </si>
  <si>
    <t>SVINEFEDT (Obs.: Gamle data)</t>
  </si>
  <si>
    <t>9.2.1</t>
  </si>
  <si>
    <t>Std.  Færdig foderblanding,  6-9 kg, FRAVÆNNEDE GRISE</t>
  </si>
  <si>
    <t>Std.  Færdig foderblanding,  9-15 kg, SMÅGRISE</t>
  </si>
  <si>
    <t>Std.  Færdig foderblanding,  9-30 kg, SMÅGRISE</t>
  </si>
  <si>
    <t>Std.  Færdig foderblanding, 30-105 kg, SLAGTESVIN</t>
  </si>
  <si>
    <t>Std.  Færdig foderblanding, 30-55 kg, UNGSVIN</t>
  </si>
  <si>
    <t>Std.  Færdig foderblanding, SØER, DIEGIVENDE</t>
  </si>
  <si>
    <t>Std.  Færdig foderblanding, SØER, DRÆGTIGE</t>
  </si>
  <si>
    <t>Std.  Koncentrat, Fravænnede grise, 6-9 kg</t>
  </si>
  <si>
    <t>Std.  Mineralsk foderblanding,   Smågrise, 9-15 kg</t>
  </si>
  <si>
    <t>Std.  Mineralsk foderblanding,   Smågrise, 9-30 kg</t>
  </si>
  <si>
    <t>Std.  Mineralsk foderblanding,  Slagtesvin, 30-105 kg</t>
  </si>
  <si>
    <t>Std.  Mineralsk foderblanding, Diegivende søer</t>
  </si>
  <si>
    <t>Std.  Mineralsk foderblanding, Drægtige søer</t>
  </si>
  <si>
    <t>Std.  Mineralsk foderblanding, Vådfoder,  Slagtesvin, 30-105 kg</t>
  </si>
  <si>
    <t>Std.  Mineralsk foderblanding, Vådfoder, Diegivende søer</t>
  </si>
  <si>
    <t>Std.  Mineralsk foderblanding, Vådfoder, Drægtige søer</t>
  </si>
  <si>
    <t>Std.  Tilskudsfoderblanding,   Smågrise, 6-9 kg</t>
  </si>
  <si>
    <t>Std.  Tilskudsfoderblanding,   Smågrise, 9-15 kg</t>
  </si>
  <si>
    <t>Std.  Tilskudsfoderblanding,   Smågrise, 9-30 kg</t>
  </si>
  <si>
    <t>Std.  Tilskudsfoderblanding,  Slagtesvin, 30-100 kg</t>
  </si>
  <si>
    <t>Std.  Tilskudsfoderblanding, Diegivende søer</t>
  </si>
  <si>
    <t>Std.  Tilskudsfoderblanding, Drægtige søer</t>
  </si>
  <si>
    <t>Std. 0,2 % Vitamin- og mineralforblanding,  FRAV. GRISE</t>
  </si>
  <si>
    <t>Std. 0,2 % Vitamin- og mineralforblanding,  SMÅGRISE</t>
  </si>
  <si>
    <t>Std. 0,2 % Vitamin- og mineralforblanding, SL.SVIN</t>
  </si>
  <si>
    <t>Std. 0,2 % Vitamin- og mineralforblanding, SØER</t>
  </si>
  <si>
    <t>SØDMÆLK</t>
  </si>
  <si>
    <t>8.10.1</t>
  </si>
  <si>
    <t>SØDMÆLKSPULVER</t>
  </si>
  <si>
    <t>TAPIOKA (Obs.: Gamle data)</t>
  </si>
  <si>
    <t>4.6.1</t>
  </si>
  <si>
    <t xml:space="preserve">Tapioka er vaskede, formalede og tørrede rodknolde af cassavaplanten (Manihot esculenta), og benævnes også ofte som cassava eller maniok. Tapioka dyrkes hovedsagelig i Thailand, Indonesien, Afrika og Brasilien.
Det varierende indhold af næringsstoffer er ofte den mest begrænsende faktor for brug af tapiokamel. 
Tapioka kan være forurenet med sand.
</t>
  </si>
  <si>
    <t>Tapioka kan indeholde glykosider, som ved hydrolyse frigør blåsyre, der er et uønsket stof med en maksimumgrænse på 50 ppm (se Lovgivning vedrørende foder). Det er dog sjældent et problem, idet det blåsyredannende enzym ødelægges, som følge af soltørring af tapioka. Der er derudover ikke eksempler på problemer omkring brug eller opbevaring af tapioka.</t>
  </si>
  <si>
    <t>Tørret tapioka er hårde knolde/flager, og råvaren er årsag til hård slid af transport- og formalingsudstyr. Under håndtering kan der forventes væsentlige støvgener. Tapioka er generelt vanskelig at håndtere.</t>
  </si>
  <si>
    <t>TREONIN 30% (70%hv strømel)</t>
  </si>
  <si>
    <t>TREONIN 50%  (50%hv strømel)</t>
  </si>
  <si>
    <t>TREONIN,L  Vådfoder FK=75%</t>
  </si>
  <si>
    <t>TREONIN,L 98,5%</t>
  </si>
  <si>
    <t>TRITICALE,   flerårigt gns</t>
  </si>
  <si>
    <t>1.10.1</t>
  </si>
  <si>
    <t>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</si>
  <si>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I forsøg med brug af triticale i foder til grise, ses der ikke de samme problemer som med brug af rug. Derfor tyder det på, at de sorter af triticale, der i næringsstofindhold ligger tæt på hvede, kan erstatte op til 100 procent af korndelen til alle kategorier af svin.
Triticale kan have indhold af meldrøje.
Der er ingen specielle problemer omkring triticale, der bør tages hensyn til.</t>
  </si>
  <si>
    <t>Triticale opbevares tørt - triticale er lagerfast ved 86 procent tørstof.  Der er ingen problemer ved transport af triticale som løsvare.</t>
  </si>
  <si>
    <t>TRITICALE,   flerårigt gns + xylanase</t>
  </si>
  <si>
    <t>TRITICALE,   flerårigt gns, varmebehandlet</t>
  </si>
  <si>
    <t>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</si>
  <si>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TRITICALE,   flerårigt gns, varmebehandlet + xylanase</t>
  </si>
  <si>
    <t>TRITICALE,  2016</t>
  </si>
  <si>
    <t>TRITICALE,  2016 +xylanase</t>
  </si>
  <si>
    <t>TRITICALE,  2016, varmebehandlet</t>
  </si>
  <si>
    <t>TRITICALE,  2016, varmebehandlet +xylanase</t>
  </si>
  <si>
    <t>TRITICALE, 10,0 % råprotein, varmebehandlet + xylanase</t>
  </si>
  <si>
    <t>Tabelværdierne er dannet ved kopi af VSPs fodermiddelkode 56011 (gennemsnit af de seneste år i udgaven svarende til varmebehandlet foder tilsat xylanase), hvor eneste ændring er råproteinkoncentration med de afledte beregnede konsekvenser.
Triticale er frø fra dyrkede sorter af triticaleplanter, som er en krydsning mellem hvede og rug (Triticum × Secale hybrid). Triticale dyrkes i mindre omfang i Danmark.
Triticale har højere proteinværdi end hvede, men knap så høj som rug.
Der skelnes mellem varmebehandlet og ikke-varmebehandlet korn. Det skyldes, at der ved varmebehandling af korn (pelleteret foder) sker en nedbrydning af kornets naturlige indhold af fytase, og derfor skal der i korn, der indgår i pelleteret foder, regnes med en lavere fordøjelighed af fosfor end i ikke-varmebehandlet korn (hjemmeblandet foder).
Der er endvidere angivet kemisk indhold for korn tilsat det kulhydratspaltende enzym ”xylanase”. Det skyldes, at tilsætning af xylanase øger EFOSi-værdien og dermed kornets energiværdi. Læs mere om dette i afsnittet: Enzymer: kulhydratspaltende (xylanase).
Ud fra forsøg og generel erfaring vurderes, at triticale kan bruges i henhold til følgende kilder: [23], [24], [25], [20], [43].
Indholdet af opløselige og uopløselige fibre er beregnet, se versionsbeskrivelsen for 3. juni 2016</t>
  </si>
  <si>
    <t>TRITICALE, 11,5 % råprotein, varmebehandlet + xylanase</t>
  </si>
  <si>
    <t>TRYPTOFAN 40% (60%hv strømel)</t>
  </si>
  <si>
    <t>TRYPTOFAN, Vådfoder FK=75%</t>
  </si>
  <si>
    <t>TRYPTOFAN,L 98%</t>
  </si>
  <si>
    <t>TYROSIN,L98,5</t>
  </si>
  <si>
    <t>TØRGÆR</t>
  </si>
  <si>
    <t xml:space="preserve">Tørgær har et højt indhold af protein, men heraf udgør de ikke-livsnødvendige aminosyrer en stor andel af proteinet. Der er ofte stor variation i indhold af næringsstoffer, hvor især indholdet af mineraler varierer.
</t>
  </si>
  <si>
    <t xml:space="preserve">Afhængig af oprindelse varierer indholdet af næringsstoffer og mineraler i tørgær. Ved brug af tørgær i foder til grise, er det vigtigt at kende produktets kemiske indhold af næringsstoffer. 
Brug af tørgær i foder til smågrise kan betyde øget frekvens af diarré [2]. Afhjælp dette ved at reducere indholdet af tørgær i foderet. </t>
  </si>
  <si>
    <t>Tørgær opbevares tørt. 
Tørgær leveres ofte som sækkevare.</t>
  </si>
  <si>
    <t>VALIN, L 96,5 %</t>
  </si>
  <si>
    <t>VALLE, Gjesing, juni 13</t>
  </si>
  <si>
    <t>8.17.1</t>
  </si>
  <si>
    <t>Som biprodukt fra produktion af ost, kvark, kasein eller lignende hos Arla fås Perlac 5,5 (tidligere valle, kategori A) eller Perlac 7 (tidligere valle, kategori B, beriget permeat). Fra andre producenter hedder dette biprodukt dog stadig valle og beriget permeat.
Valle har nr. 8.17.1 i Forordning om fortegnelsen over fodermidler. EU kommissionens Forordning nr. 68/2013 [1].
Perlac 5,5 er et restprodukt af skummetmælk, hvor en del af proteinet er fjernet med enten osteløbe til produktion af gule oste, flødeoste og skimmel oste ("sød" valle), eller med saltsyre (HCl) til produktion af kasein ("sur" valle). Tørstoffet består af ca. 68 procent laktose, protein samt mineraler.
Perlac 7 er restproduktet fra forarbejdning af Perlac 5,5. Ved denne videre forarbejdning udvindes valleproteinkoncentrat ved hjælp af ultrafiltrering, og proteinindholdet i Perlac 7 er derfor lavere end i Perlac 5,5. Udover det lavere indhold af protein, er proteinets sammensætning og fordøjelighed også ændret, da det kun er visse proteiner, der fjernes. Indholdet af tørstof i Perlac 7 er opkoncentreret til 7 procent (± 5 pct.). Tørstoffet består af ca. 81 procent laktose, protein samt mineraler.
Perlac 14 er identisk med Perlac 7, men er opkoncentreret til et tørstofindhold på 14 procent. Begge valletyper distribueres af Arla Foods eller af lokale vognmænd. Enkelte svineproducenter afhenter selv vallen på mindre osteproducerende mejerier. Al valle distribueret af Arla Foods tilsættes 1,5-2,0 liter myresyre pr. ton til en pH-værdi på 4,0-4,5 for at øge holdbarheden.
Som hovedregel handles der med to kategorier valle; nemlig Perlac 5,5 og Perlac 7. Der er forskellige valletyper i hver kategori, og disse typer benævnes ud fra det mejeri, hvorfra vallen leveres. Indholdet af protein og mineraler varierer fra mejeri til mejeri, men er mere konstant fra levering til levering på de enkelte mejerier. Arla Foods analyserer en gang om måneden vallen på alle de mejerier, som de distribuerer valle fra. Der analyseres for tørstof, fedt, protein, pH, calcium, fosfor, klorid, magnesium, kalium og natrium.
Da indholdet af protein og mineraler som nævnt varierer i de forskellige typer valle, er det vigtigt at vide, hvorfra vallen leveres og også at anvende de korrekte og aktuelle analysetal ved optimering af foderet. Det anbefales at anvende gennemsnit af analyseværdier over det seneste år ved optimering af foderet. Oplysninger om aktuelle analyseværdier kan fås hos Arla Foods, Christian Lauridsen på telefon: 89 38 16 18. Der henvises i øvrigt til www.perlac.dk.
Valle produceres på ostemejerier i Danmark.
Det maksimale indhold af valle i foder kan ses i oversigten Maksimalt indhold af råvarer i foder</t>
  </si>
  <si>
    <t xml:space="preserve">I nogle typer valle er variationen i indholdet af mineraler (specielt natrium, fosfor og calcium) stor, og det kan derfor være nødvendigt at hæve indholdet af disse mineraler i optimeringen med fx 0,5 gram pr. foderenhed. For at undgå underforsyning med aminosyrer anbefales det at hæve normen for fordøjelige aminosyrer med 2 procent, når valle udgør mere end 10 procent af foderenhederne og 4 procent, når valle udgør mere end 20 procent af foderenhederne i en blanding. Dermed tages der højde for den variation, der trods alt er i valle leveret fra samme mejeri.
Perlac 7 fra kaseinproduktion har specielt et højt indhold af klorid. Det er vigtigt at vide, om man modtager en sådan type valle, så det øvrige foder kan optimeres i forhold hertil, så der ikke bliver et skævt indhold af elektrolytter. Det er vigtigt, at grisene altid har fri adgang til vand, så et eventuelt overskud af mineraler kan udskilles. Samtidig brug af store mængder valle og melasse bør undgås af hensyn til indhold af elektrolytter - jf afsnit om elektrolytbalance: http://vsp.lf.dk under Viden, Foder, Naeringsstoffer, Mineraler, Elektrolytter/elektrolytbalance
</t>
  </si>
  <si>
    <t xml:space="preserve">Valle og beriget permeat er flydende og bør opbevares i tanke af rustfrit stål eller glasfiber. Murede eller støbte tanke skal overfladebehandles med epoxy eller lignende. 
Hvis pH-værdien i valle ligger i intervallet 4,0-4,5 ved levering, kan valle holde sig i op til 3 døgn. Er pH-værdien i valle under 4,0, er der risiko for nedsat ædelyst hos grisene. Er pH-værdien i valle over 5,0, reduceres holdbarheden. 
Det anbefales at justere pH-værdien ved tilsætning af fx 2 l myresyre pr. 1.000 l valle (doseringen skal tilpasses valles pH-værdi), da denne syre er mere konserverende ved samme pH-værdi end fx saltsyre. De fleste mejerier tilsætter myresyre inden levering til landmanden.
Vær opmærksom på leveringsmønstret for valle. Hvis der fx leveres valle 3 gange om ugen betyder det, at vallen skal bruges over henholdsvis 2, 2 og 3 dage. Det medfører typisk risiko for, at vallen er brugt op på 3. dagen og det gør, at foderets smag ændres, hvilket kan reducere foderoptagelsen. Det anbefales at tilstræbe et fast antal dage mellem leveringerne eller at forbruge vallen, så foderet indeholder samme mængde valle hver dag.
Tanke til valle og beriget permeat bør skylles én gang om ugen.
 Eventuel grundigere rengøring kan foretages med varmt vand (min. 50 °C) og rengøringsmiddel, fx natriumhydroxid. Rengøring lettes, hvis der er 2 tanke, som tømmes på skift.
</t>
  </si>
  <si>
    <t>VALLE, KATEGORI A, gns. (Perlac 5,5)</t>
  </si>
  <si>
    <t>Som biprodukt fra produktion af ost, kvark, kasein eller lignende hos Arla fås Perlac 5,5 (tidligere valle, kategori A) eller Perlac 7 (tidligere valle, kategori B, beriget permeat). Fra andre producenter hedder dette biprodukt dog stadig valle og beriget permeat.
Perlac 5,5 er et restprodukt af skummetmælk, hvor en del af proteinet er fjernet med enten osteløbe til produktion af gule oste, flødeoste og skimmel oste ("sød" valle), eller med saltsyre (HCl) til produktion af kasein ("sur" valle). Tørstoffet består af ca. 68 procent laktose, protein samt mineraler.
Da indholdet af protein og mineraler som nævnt varierer i de forskellige typer valle, er det vigtigt at vide, hvorfra vallen leveres og også at anvende de korrekte og aktuelle analysetal ved optimering af foderet. Det anbefales at anvende gennemsnit af analyseværdier over det seneste år ved optimering af foderet. 
Valle produceres på ostemejerier i Danmark.
Ud fra forsøg og praktisk erfaring vurderes det, at Perlac 5,5 og Perlac 7 kan bruges i henhold til følgende kilder: [1], [114], [115], [116], [117], [118], [119], [120].</t>
  </si>
  <si>
    <t>VALLE, KATEGORI B, gns. (Perlac 7)</t>
  </si>
  <si>
    <t>Som biprodukt fra produktion af ost, kvark, kasein eller lignende hos Arla fås Perlac 5,5 (tidligere valle, kategori A) eller Perlac 7 (tidligere valle, kategori B, beriget permeat). Fra andre producenter hedder dette biprodukt dog stadig valle og beriget permeat.
Perlac 7 er restproduktet fra forarbejdning af Perlac 5,5. Ved denne videre forarbejdning udvindes valleproteinkoncentrat ved hjælp af ultrafiltrering, og proteinindholdet i Perlac 7 er derfor lavere end i Perlac 5,5. Udover det lavere indhold af protein, er proteinets sammensætning og fordøjelighed også ændret, da det kun er visse proteiner, der fjernes. Indholdet af tørstof i Perlac 7 er opkoncentreret til 7 procent (± 5 pct.). Tørstoffet består af ca. 81 procent laktose, protein samt mineraler.
Da indholdet af protein og mineraler som nævnt varierer i de forskellige typer valle, er det vigtigt at vide, hvorfra vallen leveres og også at anvende de korrekte og aktuelle analysetal ved optimering af foderet. Det anbefales at anvende gennemsnit af analyseværdier over det seneste år ved optimering af foderet. 
Valle produceres på ostemejerier i Danmark.
Ud fra forsøg og praktisk erfaring vurderes det, at Perlac 5,5 og Perlac 7 kan bruges i henhold til følgende kilder: [1], [114], [115], [116], [117], [118], [119], [120].</t>
  </si>
  <si>
    <t>VALLE, Lillebælt, april 13</t>
  </si>
  <si>
    <t>VALLE, Nr  Vium, okt. 2016</t>
  </si>
  <si>
    <t>VALLE, Perlac 14, Hoco, okt. 2016</t>
  </si>
  <si>
    <t xml:space="preserve">Som biprodukt fra produktion af ost, kvark, kasein eller lignende hos Arla fås Perlac 5,5 (tidligere valle, kategori A) eller Perlac 7 (tidligere valle, kategori B, beriget permeat). Fra andre producenter hedder dette biprodukt dog stadig valle og beriget permeat.
Perlac 14 er identisk med Perlac 7, men er opkoncentreret til et tørstofindhold på 14 procent. Begge valletyper distribueres af Arla Foods eller af lokale vognmænd. Enkelte svineproducenter afhenter selv vallen på mindre osteproducerende mejerier. Al valle distribueret af Arla Foods tilsættes 1,5-2,0 liter myresyre pr. ton til en pH-værdi på 4,0-4,5 for at øge holdbarheden.
Som hovedregel handles der med to kategorier valle; nemlig Perlac 5,5 og Perlac 7. Der er forskellige valletyper i hver kategori, og disse typer benævnes ud fra det mejeri, hvorfra vallen leveres. Indholdet af protein og mineraler varierer fra mejeri til mejeri, men er mere konstant fra levering til levering på de enkelte mejerier. Arla Foods analyserer en gang om måneden vallen på alle de mejerier, som de distribuerer valle fra. Der analyseres for tørstof, fedt, protein, pH, calcium, fosfor, klorid, magnesium, kalium og natrium.
Da indholdet af protein og mineraler som nævnt varierer i de forskellige typer valle, er det vigtigt at vide, hvorfra vallen leveres og også at anvende de korrekte og aktuelle analysetal ved optimering af foderet. Det anbefales at anvende gennemsnit af analyseværdier over det seneste år ved optimering af foderet. 
Valle produceres på ostemejerier i Danmark.
</t>
  </si>
  <si>
    <t>VALLE, Perlac 5,5, Brabrand, okt. 2016</t>
  </si>
  <si>
    <t>VALLE, Perlac 5,5, Høgelund, okt. 2016</t>
  </si>
  <si>
    <t>VALLE, Perlac 7, Bislev, okt. 2016</t>
  </si>
  <si>
    <t>VALLE, Perlac 7, Branderup, okt. 2016</t>
  </si>
  <si>
    <t>VALLE, Perlac 7, Hoco, okt. 2016</t>
  </si>
  <si>
    <t>VALLE, Perlac 7, Kruså, feb. 2015</t>
  </si>
  <si>
    <t>VALLE, Perlac 7, Rødkærsbro, sep. 2016</t>
  </si>
  <si>
    <t>VALLE, Perlac 7, Taulov, jan. 2015</t>
  </si>
  <si>
    <t>VALLE, Slagelse, marts 2015</t>
  </si>
  <si>
    <t>VALLE, Tholstrup, aug. 15</t>
  </si>
  <si>
    <t>VALLE, Troldhede, okt. 2016</t>
  </si>
  <si>
    <t>VALLEPULVER, SUR</t>
  </si>
  <si>
    <t>Vallepulver (vallegranulat) fremstilles ud fra valle, der er et biprodukt fra fremstilling af ost, kvark, kasein eller lignende. Produktionen af vallepulver er baseret på inddampning og tørring.
Der opnås forskellige valletyper afhængig af, hvorfra biproduktet stammer samt de anvendte metoder i fremstillingen. 
Sød vallepulver opnås, såfremt valle koaguleres med proteolytiske enzymer, såsom chymosin og pepsin. Sød vallepulver består af ca. 95 procent tørstof og indeholder 70-72 procent lactose. Produktet har desuden et højt indhold af protein og mineralstoffer.
I vallepulver af højere kvalitet indgår en krystallisation af laktose. Krystallisationen giver et lavere vandindhold i det færdige produkt og modvirker på den måde, at produktet klumper sammen.
Vallepulver fremstilles primært med henblik på tilsætning i mælkeerstatninger, men produceres også med henblik på tilsætning i svinefoderblandinger.
Det maksimale indhold af vallepulver i foder kan ses i oversigten Maksimalt indhold af råvarer i foder.</t>
  </si>
  <si>
    <t>Vallepulver har en høj fordøjelighed og er derfor velegnet i somælkserstatninger og i foder til tidligt fravænnede grise. 
En kendt og god kvalitet vallepulver giver ingen problemer.</t>
  </si>
  <si>
    <t>Vallepulver suger let fugt, og skal derfor opbevares tørt. Produktet er holdbart i 12 måneder i rene og tørre omgivelser.
Der er ingen problemer ved håndtering og transport af vallepulver, hvilket dog ofte sker i form af sækkevare</t>
  </si>
  <si>
    <t>VALLEPULVER, SØD</t>
  </si>
  <si>
    <t>Vallepulver (vallegranulat) fremstilles ud fra valle, der er et biprodukt fra fremstilling af ost, kvark, kasein eller lignende. Produktionen af vallepulver er baseret på inddampning og tørring.
Der opnås forskellige valletyper afhængig af, hvorfra biproduktet stammer samt de anvendte metoder i fremstillingen. 
Sød vallepulver opnås, såfremt valle koaguleres med proteolytiske enzymer, såsom chymosin og pepsin. Sød vallepulver består af ca. 95 procent tørstof og indeholder 70-72 procent lactose. Produktet har desuden et højt indhold af protein og mineralstoffer.
I vallepulver af højere kvalitet indgår en krystallisation af laktose. Krystallisationen giver et lavere vandindhold i det færdige produkt og modvirker på den måde, at produktet klumper sammen.
Vallepulver fremstilles primært med henblik på tilsætning i mælkeerstatninger, men produceres også med henblik på tilsætning i svinefoderblandinger.
Det maksimale indhold af vallepulver i foder kan ses i oversigten Maksimalt indhold af råvarer i foder.</t>
  </si>
  <si>
    <t>VAND</t>
  </si>
  <si>
    <t>VEG.FEDT. 50 % palmeolie og 50 % PFAD (Foderblanding)</t>
  </si>
  <si>
    <t>(Reference: Kommissionens Forordning (EU) Nr. 767/2009 og Kommissionens Forordning (EU) Nr. 68/2013):
Tilskudsfoderblanding til husdyr bestående af vegetabilsk olie og fedtstof palme (nr. 2.20.1) og fedtsyredestillater fra fysisk raffinering palme (13.6.5) som er underkastet fuld sporbarhed og overvågning jfr. Kommissionens Forordning (EU) nr. 225/2012.
Læs udførlig beskrivelse vedr. foderfedt og fedtkvalitet her:
http://vsp.lf.dk/Viden/Foder/Raavarer/Foder_raavareliste/Foderfedt_fedtkvalitet.aspx?full=1 
(Klik på referencenr. 172 i fanen [Liste over referencer] )</t>
  </si>
  <si>
    <t>Dette foderstof anvendes fortrinsvis som koncentreret energikilde i hjemmeblandet foder til husdyr, herunder f.eks. svin og indgår som en del af det daglige foder til husdyr. Det kan ikke anbefales alene at fodre husdyr med dette foderstof.
Læs udførlig beskrivelse vedr. foderfedt og fedtkvalitet her:
http://vsp.lf.dk/Viden/Foder/Raavarer/Foder_raavareliste/Foderfedt_fedtkvalitet.aspx?full=1 
(Klik på referencenr. 172 i fanen [Liste over referencer] )</t>
  </si>
  <si>
    <t xml:space="preserve">Anbefales opbevaret i lukket isoleret tank med så lille overflade som mulig. Kontakt med ilt kan medføre forringelse af varen. 
Tank bør være udstyret med opvarmning, så en opbevaringstemperatur på 50 - 60 grader celsius kan opnås og bevares.
</t>
  </si>
  <si>
    <t>VEG.FEDT. 65 % palmeolie og 35 % PFAD (Foderblanding)</t>
  </si>
  <si>
    <t>VEGETABILSK OLIE OG FEDTSTOF, Kokos</t>
  </si>
  <si>
    <t>2.20.1</t>
  </si>
  <si>
    <t xml:space="preserve">   </t>
  </si>
  <si>
    <t>VEGETABILSK OLIE OG FEDTSTOF, Palme</t>
  </si>
  <si>
    <t>VEGETABILSK OLIE OG FEDTSTOF, Raps</t>
  </si>
  <si>
    <t>VEGETABILSK OLIE OG FEDTSTOF, Soja</t>
  </si>
  <si>
    <t>VIKKER (Obs.: Gamle data)</t>
  </si>
  <si>
    <t>3.12.1</t>
  </si>
  <si>
    <t>Frø af Vicia sativa L. og andre arter</t>
  </si>
  <si>
    <t>VitaLys Dry (65%)</t>
  </si>
  <si>
    <t>VitaLys Dry i vådfoder FK=75 %</t>
  </si>
  <si>
    <t>XYLANASE Danisco 8000 G</t>
  </si>
  <si>
    <t>Deklareret indhold: 8.000 U (enheder) pr. gram. Firmaets anbefalede dosering til smågrise og slagtesvin: Minimum 2.000 U pr. kg foder.
Mere information kan fx fås på www.pig.dk</t>
  </si>
  <si>
    <t>XYLANASE Econase XT 25</t>
  </si>
  <si>
    <t>Deklareret indhold:  160.000 BXU pr. gram. Firmaets anbefalede dosering til smågrise og slagtesvin: Minimum 24.000 BXU pr. kg foder.
Mere information kan fx fås på www.pig.dk</t>
  </si>
  <si>
    <t>XYLANASE Porzyme 9302</t>
  </si>
  <si>
    <t>Deklareret indhold: 8.000 U (enheder) pr. gram. Firmaets anbefalede dosering til smågrise: Minimum 4.000 U pr. kg foder og slagtesvin: Minimum 1.000 U pr. kg foder.
Mere information kan fx fås på www.pig.dk</t>
  </si>
  <si>
    <t>XYLANASE Ronozyme WX (CT)</t>
  </si>
  <si>
    <t>Deklareret indhold: 1.000 FXU pr. gram. Firmaets anbefalede dosering til smågrise og slagtesvin: 100 - 400 FXU pr. kg foder.
Mere information kan fx fås på www.pig.dk</t>
  </si>
  <si>
    <t>ZINKOXID 1%-opløsning</t>
  </si>
  <si>
    <t>ÆRTER</t>
  </si>
  <si>
    <t>3.11.1</t>
  </si>
  <si>
    <t xml:space="preserve"> Ærter er frø af bælgplanten ært (Pisum sativum) og dyrkes i såval Danmark som udlandet.
Der kan være stor forskel mellem sorterne i næringsindhold. Ærter har generelt lavt indhold af aminosyren methionin. Brug kun hvidblomstrende sorter (kogeærter) i foder til svin, idet disse har lavt indhold af tanniner, glukosider og andre væksthæmmende stoffer.
Ud fra forsøg og generel erfaring vurderes, at ærter kan bruges i henhold til følgende kilder: [59], [69], [70], [71], [72], [73], [74], [75], [76], [77], [78], [79], [80], [81]. 
Indholdet af opløselige og uopløselige fibre er beregnet, se versionsbeskrivelsen for 3. juni 2016</t>
  </si>
  <si>
    <t>Store mængder ærter i foder til grise i vækst betyder ofte en lind gødning (tjæreagtig diarré) hos grisene, med øget svineri i stierne til følge. Flere forsøg har vist, at grise ikke havde ringere tilvækst, selvom de havde lind gødning. Der er ikke problemer med at bruge ærter i foder til søer. 
Der er ingen entydig forklaring på, hvorfor grise får en lind gødning og evt. tjæreagtig diarré med efterfølgende svineri i stien. Hvis der er store problemer med svineri, skal indholdet af ærter i foderet reduceres.
Brug kun hvidblomstrende sorter i foder til svin, idet de har lavt indhold af tanniner og glukosider. Brug af ærter i foder med højt indhold af tanniner eller glukosider betyder en lavere daglig foderoptagelse og et højere foderforbrug.
Ærter og rapsskrå og -kage supplerer hinanden godt med hensyn til indhold af aminosyrer.</t>
  </si>
  <si>
    <t>Ærter bør opbevares tørt, og er lagerfast ved 86 pct. tørstof. 
Ved transport af ærter med elevatorer bør ifyldningsmængden reguleres, for at undgå overbelastning som følge af ærters høje volumenvægt. Transport af fugtige ærter bør foretages med kæderedler og elevator fremfor med sneglerende, kornsnegl og flexsnegl.
Valsning og rivning af ærter kræver forknuser på udstyret.</t>
  </si>
  <si>
    <t>…………..</t>
  </si>
  <si>
    <t>Select………</t>
  </si>
  <si>
    <t>slurry</t>
  </si>
  <si>
    <t>gylle</t>
  </si>
  <si>
    <t>deep litter</t>
  </si>
  <si>
    <t>no cover</t>
  </si>
  <si>
    <t>select…</t>
  </si>
  <si>
    <t>Feed</t>
  </si>
  <si>
    <t>%</t>
  </si>
  <si>
    <t>barley</t>
  </si>
  <si>
    <t>triticale</t>
  </si>
  <si>
    <t>peas</t>
  </si>
  <si>
    <t>…………</t>
  </si>
  <si>
    <t xml:space="preserve">              </t>
  </si>
  <si>
    <t>total</t>
  </si>
  <si>
    <t>Type of input</t>
  </si>
  <si>
    <t>Unit</t>
  </si>
  <si>
    <t>GWP, kg CO2 eq.</t>
  </si>
  <si>
    <t>NRE, MJ</t>
  </si>
  <si>
    <t>LU, m2</t>
  </si>
  <si>
    <t>BD, PDF</t>
  </si>
  <si>
    <t>Reference</t>
  </si>
  <si>
    <t>growing</t>
  </si>
  <si>
    <t>processing</t>
  </si>
  <si>
    <t>transport</t>
  </si>
  <si>
    <t>sub-total</t>
  </si>
  <si>
    <t>ILUC</t>
  </si>
  <si>
    <t>kg DM</t>
  </si>
  <si>
    <t>Mogensen et al., 2015</t>
  </si>
  <si>
    <t>barley straw</t>
  </si>
  <si>
    <t>rapeseed cake</t>
  </si>
  <si>
    <t>grass clover silage</t>
  </si>
  <si>
    <t>grass clover grazed</t>
  </si>
  <si>
    <t>maize silage</t>
  </si>
  <si>
    <t>barley silage</t>
  </si>
  <si>
    <t>soy bean</t>
  </si>
  <si>
    <t>soy bean meal</t>
  </si>
  <si>
    <t>Chemicals</t>
  </si>
  <si>
    <t>N fertiliser (CAN)</t>
  </si>
  <si>
    <t>Agrifootprint 1</t>
  </si>
  <si>
    <t>N fertiliser (AN)</t>
  </si>
  <si>
    <t>Fossum, 2014</t>
  </si>
  <si>
    <t>P fertiliser (P2O5)</t>
  </si>
  <si>
    <t>kg P</t>
  </si>
  <si>
    <t>Ecoinvent 3</t>
  </si>
  <si>
    <t>K fertiliser (K2O)</t>
  </si>
  <si>
    <t>kg K</t>
  </si>
  <si>
    <t>lime (CaCO3)</t>
  </si>
  <si>
    <t>kg CaCO3</t>
  </si>
  <si>
    <t>pesticides, unspecified</t>
  </si>
  <si>
    <t>kg</t>
  </si>
  <si>
    <t>Seed</t>
  </si>
  <si>
    <t>seed</t>
  </si>
  <si>
    <t>Værdier for bygkerne</t>
  </si>
  <si>
    <t>Energy</t>
  </si>
  <si>
    <t>diesel</t>
  </si>
  <si>
    <t>l</t>
  </si>
  <si>
    <t>oil</t>
  </si>
  <si>
    <t>heat (oil or other not natural gas)</t>
  </si>
  <si>
    <t>MJ</t>
  </si>
  <si>
    <t>Ecoinvent 3, 2013</t>
  </si>
  <si>
    <t>heat (natural gas)</t>
  </si>
  <si>
    <t>electricity DK</t>
  </si>
  <si>
    <t>kWh</t>
  </si>
  <si>
    <t>electricity DE</t>
  </si>
  <si>
    <t>electricity BR</t>
  </si>
  <si>
    <t>Land</t>
  </si>
  <si>
    <t>agricultural land</t>
  </si>
  <si>
    <t>ha</t>
  </si>
  <si>
    <t>Audsley et al., 2009</t>
  </si>
  <si>
    <t xml:space="preserve">     annual crops, not grass, conventional systems</t>
  </si>
  <si>
    <t>Knudsen et al., 2016</t>
  </si>
  <si>
    <t xml:space="preserve">     annual crops, not grass, organic  systems</t>
  </si>
  <si>
    <t xml:space="preserve">     grass clover in rotation, conventional systems</t>
  </si>
  <si>
    <t xml:space="preserve">     grass clover in rotation, organic systems</t>
  </si>
  <si>
    <t>permanent pasture land</t>
  </si>
  <si>
    <t xml:space="preserve">     permanent pasture (grassland non-fertilized)</t>
  </si>
  <si>
    <t xml:space="preserve">     nature pasture (grassland, non-fertilized)</t>
  </si>
  <si>
    <t>Catch crops</t>
  </si>
  <si>
    <t>sandy soil</t>
  </si>
  <si>
    <t>Olesen et al., 2013</t>
  </si>
  <si>
    <t>loamy soils</t>
  </si>
  <si>
    <t xml:space="preserve">Transport </t>
  </si>
  <si>
    <t>ship, overseas transport</t>
  </si>
  <si>
    <t>tkm</t>
  </si>
  <si>
    <t>ship, Europe transport</t>
  </si>
  <si>
    <t>ship, inland transport</t>
  </si>
  <si>
    <t>lorry, &gt;20 t</t>
  </si>
  <si>
    <t>lorry, 10-20 t</t>
  </si>
  <si>
    <t>lorry, &lt;10 t</t>
  </si>
  <si>
    <t>train, Europe</t>
  </si>
  <si>
    <t>train, rest of the world</t>
  </si>
  <si>
    <t>Inputs used at farm level</t>
  </si>
  <si>
    <t>Factors for estimation of emissions in pig systems</t>
  </si>
  <si>
    <t>SOURCES OF EMISSIONS</t>
  </si>
  <si>
    <t>UNIT</t>
  </si>
  <si>
    <t>EF</t>
  </si>
  <si>
    <t>CO2</t>
  </si>
  <si>
    <t>CH4</t>
  </si>
  <si>
    <t>N2O</t>
  </si>
  <si>
    <t>NH3</t>
  </si>
  <si>
    <t>Nox</t>
  </si>
  <si>
    <t>NO3</t>
  </si>
  <si>
    <t>N2</t>
  </si>
  <si>
    <t>SWINE</t>
  </si>
  <si>
    <t xml:space="preserve">        enteric fermentation</t>
  </si>
  <si>
    <t xml:space="preserve">             Ym swine</t>
  </si>
  <si>
    <t>IPCC, 2006</t>
  </si>
  <si>
    <t xml:space="preserve">        manure</t>
  </si>
  <si>
    <t xml:space="preserve">             B0 swine</t>
  </si>
  <si>
    <t xml:space="preserve">             % ash</t>
  </si>
  <si>
    <t>SEGES, 2005</t>
  </si>
  <si>
    <t>LIMING</t>
  </si>
  <si>
    <t xml:space="preserve">        application of lime</t>
  </si>
  <si>
    <t>kg per kg lime</t>
  </si>
  <si>
    <t>TREES/ENERGY CROPS</t>
  </si>
  <si>
    <t xml:space="preserve">        harvested for bio-purposes every 3 years</t>
  </si>
  <si>
    <t>kg N/ha of trees</t>
  </si>
  <si>
    <t>Kongsted, A.G.,</t>
  </si>
  <si>
    <t xml:space="preserve">        annual harvest of branches and leaves</t>
  </si>
  <si>
    <t>Characterization factors</t>
  </si>
  <si>
    <t xml:space="preserve">        N2O</t>
  </si>
  <si>
    <t xml:space="preserve">        CH4</t>
  </si>
  <si>
    <t xml:space="preserve">        NO3</t>
  </si>
  <si>
    <t xml:space="preserve">        PO4</t>
  </si>
  <si>
    <t xml:space="preserve">        NH3</t>
  </si>
  <si>
    <t xml:space="preserve">        NOx</t>
  </si>
  <si>
    <r>
      <t xml:space="preserve">           </t>
    </r>
    <r>
      <rPr>
        <b/>
        <sz val="11"/>
        <color theme="1"/>
        <rFont val="Georgia"/>
        <family val="1"/>
      </rPr>
      <t xml:space="preserve"> Ym</t>
    </r>
    <r>
      <rPr>
        <sz val="11"/>
        <color theme="1"/>
        <rFont val="Georgia"/>
        <family val="1"/>
      </rPr>
      <t xml:space="preserve"> = methane conversion factor, % of gross energy of feed converted to methane;</t>
    </r>
    <r>
      <rPr>
        <b/>
        <sz val="11"/>
        <color theme="1"/>
        <rFont val="Georgia"/>
        <family val="1"/>
      </rPr>
      <t xml:space="preserve"> B0</t>
    </r>
    <r>
      <rPr>
        <sz val="11"/>
        <color theme="1"/>
        <rFont val="Georgia"/>
        <family val="1"/>
      </rPr>
      <t xml:space="preserve"> = maximum methane production capacity</t>
    </r>
  </si>
  <si>
    <t>Equations:</t>
  </si>
  <si>
    <t>CH4 enteric fermentation:</t>
  </si>
  <si>
    <t xml:space="preserve">           CH4=(GE*Ym/100*days)/55,65</t>
  </si>
  <si>
    <t>(IPCC, 2006)</t>
  </si>
  <si>
    <t xml:space="preserve">           CH4sows=kg feed*100*1340/55,65*10e6</t>
  </si>
  <si>
    <t>(Rigolot, 2010); 100= g digested fibre ingested per kg feed</t>
  </si>
  <si>
    <t xml:space="preserve">           CH4pigs=kg feed*90*670/55,65*10e6</t>
  </si>
  <si>
    <t>(Rigolot, 2010); 90= g digested fibre ingested per kg feed</t>
  </si>
  <si>
    <t>CH4 manure:</t>
  </si>
  <si>
    <t xml:space="preserve">           CH4=CH4 housing + CH4 grazing</t>
  </si>
  <si>
    <t xml:space="preserve">           CH4housing=VShousing*MCF*0,67*Bo</t>
  </si>
  <si>
    <t>VS=volatile solids, kg per animal per year</t>
  </si>
  <si>
    <t xml:space="preserve">            VShousing=m/365*DMm*VSdm*(365-g1)+s*DMs*(1-%ash/10)*(365-g2)</t>
  </si>
  <si>
    <t>m=amount of manure excreted , kg per animal per year</t>
  </si>
  <si>
    <t xml:space="preserve">           CH4grazing=VSgrazing*MCF*0,67*Bo</t>
  </si>
  <si>
    <t>DM = dry matter of manure m or s straw</t>
  </si>
  <si>
    <t xml:space="preserve">            VSgrazing=m/365*DMm*VSm*g1</t>
  </si>
  <si>
    <t>VSdm= volatile solids of dry matter, %</t>
  </si>
  <si>
    <t>g1=feeding days on grass, days per year</t>
  </si>
  <si>
    <t>g2 = actual days on grass, days per year</t>
  </si>
  <si>
    <t>s = amount of straw, kg per animal per year</t>
  </si>
  <si>
    <t>%ash = ash content in straw; (4,5% (SEGES, 2005))</t>
  </si>
  <si>
    <t>Andel 1. lægs x kuld per årso</t>
  </si>
  <si>
    <t>Overført værdi</t>
  </si>
  <si>
    <t>Produceret - Solgte ved fravænning</t>
  </si>
  <si>
    <t>Dødlighedsprocenten*Levendefødte per kuld*Kuld per årsso*Antal Årsøer</t>
  </si>
  <si>
    <t>Døde+solgte søer (ikke taget højde for polte der ikke bliver løbet)</t>
  </si>
  <si>
    <t>Diegivningsdage*Kuld per årsso</t>
  </si>
  <si>
    <t>Kuld per årso *116 (Drægtighedsperiode sat til 116 dage)</t>
  </si>
  <si>
    <t>Levendefødt x Kuld per årsso</t>
  </si>
  <si>
    <t>Overført værdi fra Flow sohold</t>
  </si>
  <si>
    <t>Overført værdi input-data</t>
  </si>
  <si>
    <t>Dødlighedsprocenten/100x(Overførte + Indkøbte)</t>
  </si>
  <si>
    <t>(Vægt 'overførte'*Overførte)+(Vægt 'købte'*Købte)/(Overførte+købte)</t>
  </si>
  <si>
    <t>Overført værdi fra Flow smågrise</t>
  </si>
  <si>
    <t>STANDARD</t>
  </si>
  <si>
    <t xml:space="preserve">N-BALANCEN </t>
  </si>
  <si>
    <t>Indhold</t>
  </si>
  <si>
    <t>tons</t>
  </si>
  <si>
    <t>220 kg iflg. Grundlag for den beregnede notering for økologiske smågrise - december 2013, notat nr. 1343</t>
  </si>
  <si>
    <r>
      <t>Rå-protein</t>
    </r>
    <r>
      <rPr>
        <sz val="6"/>
        <color theme="0"/>
        <rFont val="MS Sans Serif"/>
        <family val="2"/>
      </rPr>
      <t xml:space="preserve"> (standar-diseret)</t>
    </r>
  </si>
  <si>
    <r>
      <t xml:space="preserve">Fosfor, </t>
    </r>
    <r>
      <rPr>
        <sz val="7"/>
        <color theme="0"/>
        <rFont val="MS Sans Serif"/>
        <family val="2"/>
      </rPr>
      <t>ingen fytase tilsat</t>
    </r>
  </si>
  <si>
    <r>
      <t>Fosfor, 60</t>
    </r>
    <r>
      <rPr>
        <sz val="7"/>
        <color theme="0"/>
        <rFont val="MS Sans Serif"/>
        <family val="2"/>
      </rPr>
      <t>%</t>
    </r>
    <r>
      <rPr>
        <sz val="6"/>
        <color theme="0"/>
        <rFont val="MS Sans Serif"/>
        <family val="2"/>
      </rPr>
      <t xml:space="preserve"> std.dosis fytase tilsat</t>
    </r>
  </si>
  <si>
    <r>
      <t>Fosfor, 100</t>
    </r>
    <r>
      <rPr>
        <sz val="6"/>
        <color theme="0"/>
        <rFont val="MS Sans Serif"/>
        <family val="2"/>
      </rPr>
      <t>% std.dosis fytase tilsat</t>
    </r>
  </si>
  <si>
    <r>
      <t>Fosfor, 150</t>
    </r>
    <r>
      <rPr>
        <sz val="6"/>
        <color theme="0"/>
        <rFont val="MS Sans Serif"/>
        <family val="2"/>
      </rPr>
      <t>% std.dosis fytase tilsat</t>
    </r>
  </si>
  <si>
    <r>
      <t>Fosfor, 200</t>
    </r>
    <r>
      <rPr>
        <sz val="6"/>
        <color theme="0"/>
        <rFont val="MS Sans Serif"/>
        <family val="2"/>
      </rPr>
      <t>% std.dosis fytase tilsat</t>
    </r>
  </si>
  <si>
    <t>Råprotein/6,25</t>
  </si>
  <si>
    <t>Opstaldningsform</t>
  </si>
  <si>
    <t>Ude =&gt; Inde</t>
  </si>
  <si>
    <t>Inde hele smågriseperioden</t>
  </si>
  <si>
    <t>Ude hele smågriseperioden</t>
  </si>
  <si>
    <t>(råprotein g/kg*Fe per kg*((FE per dyr per dag (før faring)*dage) +(FE per dag (efter faring)*dage))*kuld per år )</t>
  </si>
  <si>
    <t>(Fosfor g/kg*Fe per  kg*(råprotein g/kg*Fe per kg*((FE per dyr per dag (før faring)*dage) +(FE per dag (efter faring)*dage))*kuld per år )</t>
  </si>
  <si>
    <t>Fe per kg tilvækst * (vægt ved 1. løbning-vægt ved indsættelse)  (FE per kg tilvækst sat til 2,9, jf. nøgletal økologi 2013)</t>
  </si>
  <si>
    <t>Indtast eget foder 13</t>
  </si>
  <si>
    <t>Indtast eget foder 14</t>
  </si>
  <si>
    <t>Indtast eget foder 15</t>
  </si>
  <si>
    <t>Indtast eget foder 16</t>
  </si>
  <si>
    <t>Indtast eget foder 17</t>
  </si>
  <si>
    <t>Indtast eget foder 18</t>
  </si>
  <si>
    <t>Indtast eget foder 19</t>
  </si>
  <si>
    <t>Indtast eget foder 20</t>
  </si>
  <si>
    <t>Antager døde grise dør midt i perioden</t>
  </si>
  <si>
    <t>(producerede*FE kg tilvækst*kg tilvækst)+ (døde*kg tilvækst /2)/producerede</t>
  </si>
  <si>
    <t>Indtast eget foder 21</t>
  </si>
  <si>
    <t>Indtast eget foder 22</t>
  </si>
  <si>
    <t>Indtast eget foder 23</t>
  </si>
  <si>
    <t>Indtast eget foder 24</t>
  </si>
  <si>
    <t>Indtast eget foder 25</t>
  </si>
  <si>
    <t>Indtast eget foder 26</t>
  </si>
  <si>
    <t>Indtast eget foder 27</t>
  </si>
  <si>
    <t>Indtast eget foder 28</t>
  </si>
  <si>
    <t>Indtast eget foder 29</t>
  </si>
  <si>
    <t>Indtast eget foder 30</t>
  </si>
  <si>
    <t>Inde hele året</t>
  </si>
  <si>
    <t>Ude hele året</t>
  </si>
  <si>
    <t>Ude en del af året</t>
  </si>
  <si>
    <t>Dage på fold per år:</t>
  </si>
  <si>
    <t>Flyttes på stald ved kg:</t>
  </si>
  <si>
    <t>Ude hele slagtesvineperioden</t>
  </si>
  <si>
    <t>Inde hele slagtesvineperioden</t>
  </si>
  <si>
    <t>Grovfoder polte ikke medtaget</t>
  </si>
  <si>
    <t>Diegiv.</t>
  </si>
  <si>
    <t>Dr.</t>
  </si>
  <si>
    <t>Smaa</t>
  </si>
  <si>
    <t>Sl.</t>
  </si>
  <si>
    <t>FE/dag</t>
  </si>
  <si>
    <t>English</t>
  </si>
  <si>
    <t>Dansk</t>
  </si>
  <si>
    <t>Feedstuff</t>
  </si>
  <si>
    <t>BENZOIC ACID (1% water)</t>
  </si>
  <si>
    <t>BIOLYS 70% Vådfoder,Dig=75%</t>
  </si>
  <si>
    <t>BARLEY,  winter,  2016</t>
  </si>
  <si>
    <t>BARLEY,  winter,  2016 + xylanase</t>
  </si>
  <si>
    <t>BARLEY,  winter,  2016, heated</t>
  </si>
  <si>
    <t>BARLEY,  winter,  2016, heated + xylanase</t>
  </si>
  <si>
    <t>BARLEY,  winter,  avg. 2014-2016 + xylanase</t>
  </si>
  <si>
    <t>BARLEY,  winter,  avg. 2014-2016, heated</t>
  </si>
  <si>
    <t>BARLEY,  winter,  avg. 2014-2016, heated + xylanas</t>
  </si>
  <si>
    <t>BARLEY,  winter,  2015+ xylanase</t>
  </si>
  <si>
    <t>BARLEY,  winter,  2015, heated</t>
  </si>
  <si>
    <t>BARLEY,  winter,  2015, heated + xylanase</t>
  </si>
  <si>
    <t>BARLEY,  spring,  2016</t>
  </si>
  <si>
    <t>BARLEY,  spring,  2016 + xylanase</t>
  </si>
  <si>
    <t>BARLEY,  spring,  2016, heated</t>
  </si>
  <si>
    <t>BARLEY,  spring,  2016, heated  + xylanase</t>
  </si>
  <si>
    <t>BARLEY,  spring,  avg. 2014-2016 + xylanase</t>
  </si>
  <si>
    <t>BARLEY,  spring,  avg. 2014-2016, heated</t>
  </si>
  <si>
    <t>BARLEY,  spring,  avg. 2014-2016, heated  + xylanase</t>
  </si>
  <si>
    <t>BARLEY,  spring,  2015 + xylanase</t>
  </si>
  <si>
    <t>BARLEY,  spring,  2015, heated</t>
  </si>
  <si>
    <t>BARLEY,  spring,  2015, heated  + xylanase</t>
  </si>
  <si>
    <t>BARLEY, 10,0 % protein, heated + xylanase</t>
  </si>
  <si>
    <t>BARLEY, 11,5 % protein, heated + xylanase</t>
  </si>
  <si>
    <t>BARLEY, spring, 10% protein</t>
  </si>
  <si>
    <t>CICHORY: chicory roots powder</t>
  </si>
  <si>
    <t>CITRIC ACID (1% WATER</t>
  </si>
  <si>
    <t>CITRUS PULP</t>
  </si>
  <si>
    <t>Ca-Na-FOSFAT+ P-Acid</t>
  </si>
  <si>
    <t>Ca-Na-FOSFAT+ P-acid, Nagel</t>
  </si>
  <si>
    <t>E-10 VITAMIN</t>
  </si>
  <si>
    <t>E-25 VITAMIN</t>
  </si>
  <si>
    <t xml:space="preserve">EP 100  fermented </t>
  </si>
  <si>
    <t>FISH MEAL</t>
  </si>
  <si>
    <t>FISHMEAL,  LT</t>
  </si>
  <si>
    <t xml:space="preserve">FISKEMEL, ISLAND </t>
  </si>
  <si>
    <t>FISH PROTEIN, hydrolysed, H-35 Lactose-protein concentrate</t>
  </si>
  <si>
    <t>FISH PROTEIN, hydrolysed, H-PRO Lactose-protein concentrate</t>
  </si>
  <si>
    <t>CHALK, 36 % calcium</t>
  </si>
  <si>
    <t>FODER RICE</t>
  </si>
  <si>
    <t>FODER SUGAR</t>
  </si>
  <si>
    <t>P ACID 75%</t>
  </si>
  <si>
    <t>Fatty acids distillates PFAD, rafinery of palm</t>
  </si>
  <si>
    <t xml:space="preserve">Mixed fats </t>
  </si>
  <si>
    <t>GRASS SILAGE 1ST CUT</t>
  </si>
  <si>
    <t>GRASS SILAGE 2ND CUT</t>
  </si>
  <si>
    <t>GRASS PILLS</t>
  </si>
  <si>
    <t>YEAST CREAM, alcohol</t>
  </si>
  <si>
    <t>YEAST CREAM, beer</t>
  </si>
  <si>
    <t>OATS, avg for several years, heated</t>
  </si>
  <si>
    <t>OATS, avg for several years</t>
  </si>
  <si>
    <t>OATS, 2016, heated</t>
  </si>
  <si>
    <t>OATS, 10,0 % protein, heated</t>
  </si>
  <si>
    <t>OATS, 11,5 % protein, heated</t>
  </si>
  <si>
    <t>OATS</t>
  </si>
  <si>
    <t>OATS  FLOUR</t>
  </si>
  <si>
    <t>BEANS, avg 2012</t>
  </si>
  <si>
    <t>BEANS, avg 2014</t>
  </si>
  <si>
    <t>BEANS, avg 2015</t>
  </si>
  <si>
    <t>BEANS,  2012, Columbo</t>
  </si>
  <si>
    <t>BEANS, 2012, Espresso</t>
  </si>
  <si>
    <t>BEANS, 2012, Fuego</t>
  </si>
  <si>
    <t>WHEAT,  2016 + xylanase</t>
  </si>
  <si>
    <t>WHEAT,  2016, heated</t>
  </si>
  <si>
    <t>WHEAT,  2016, heated  + xylanase</t>
  </si>
  <si>
    <t>WHEAT,  avg. 2014-2016 + xylanase</t>
  </si>
  <si>
    <t>WHEAT,  avg. 2014-2016, heated</t>
  </si>
  <si>
    <t>WHEAT,  avg. 2014-2016, heated  + xylanase</t>
  </si>
  <si>
    <t>WHEAT, 2015 + xylanase</t>
  </si>
  <si>
    <t>WHEAT, 2015, heated</t>
  </si>
  <si>
    <t>WHEAT, 2015, heated  + xylanase</t>
  </si>
  <si>
    <t>WHEAT, 10% protein</t>
  </si>
  <si>
    <t>WHEAT, 10,0 % protein, heated + xylanase</t>
  </si>
  <si>
    <t>WHEAT, 11,5 % protein, heated + xylanase</t>
  </si>
  <si>
    <t xml:space="preserve">WHEAT GLUTEN 80% protein </t>
  </si>
  <si>
    <t>WHEAT GLUTEN FODDER</t>
  </si>
  <si>
    <t>WHEAT BRAN</t>
  </si>
  <si>
    <t>WHEAT BRAN +xylanase</t>
  </si>
  <si>
    <t>WHEAT TAILINGS</t>
  </si>
  <si>
    <t>LINSEED</t>
  </si>
  <si>
    <t>IRON SULFAT,HEPT 1%</t>
  </si>
  <si>
    <t>KALIUMJODID 1%</t>
  </si>
  <si>
    <t>POTATOES PROTEIN</t>
  </si>
  <si>
    <t>POTATOES PROTEIN,  PROTASTAR</t>
  </si>
  <si>
    <t>Cu OXID 100%</t>
  </si>
  <si>
    <t>COPPERERSULFAT 100%</t>
  </si>
  <si>
    <t>MAIZE COBB</t>
  </si>
  <si>
    <t>MAIZE GLUTEN, dried, DDGS</t>
  </si>
  <si>
    <t>STRAW, barley</t>
  </si>
  <si>
    <t>STRAW, wheat</t>
  </si>
  <si>
    <t>WHOLE CROP SILAGE, barley</t>
  </si>
  <si>
    <t>WHOLE CROP SILAGE, barley-peas</t>
  </si>
  <si>
    <t>WHOLE CROP SILAGE, wheat</t>
  </si>
  <si>
    <t>WHOLE CROP SILAGE, wheat-peas</t>
  </si>
  <si>
    <t>WHOLE CROP SILAGE, peas</t>
  </si>
  <si>
    <t>BUTTERMILK POWDER</t>
  </si>
  <si>
    <t>BUTTERMILK POWDER, type B</t>
  </si>
  <si>
    <t>LUCERNE PILLS</t>
  </si>
  <si>
    <t>LUPINE, blue</t>
  </si>
  <si>
    <t>LUPINE, yelow</t>
  </si>
  <si>
    <t>LYSIN 40% (60%wheat bran)</t>
  </si>
  <si>
    <t>LYSIN 40% (60%chalk)</t>
  </si>
  <si>
    <t>LYSIN,L wet feeding, dig=75%</t>
  </si>
  <si>
    <t>LYSIN,L(sulfat) wet feeding, dig=75%</t>
  </si>
  <si>
    <t>LYSIN,LLB50 liquid</t>
  </si>
  <si>
    <t>LYSIN,LLB50 i wet feeding, dig=75%</t>
  </si>
  <si>
    <t>MAIZE</t>
  </si>
  <si>
    <t>MAIZE, heated</t>
  </si>
  <si>
    <t>MAJS, conserved wet</t>
  </si>
  <si>
    <t>MAIZE SILAGE, low dig.</t>
  </si>
  <si>
    <t>MAIZE SILAGE, high dig</t>
  </si>
  <si>
    <t>MAIZE middlings</t>
  </si>
  <si>
    <t>MAIZE GLUTEN 60% protein</t>
  </si>
  <si>
    <t>MAIZE GLUTEN FODDER</t>
  </si>
  <si>
    <t>MAIZE GERMS</t>
  </si>
  <si>
    <t>MANGANDIOXID 1%</t>
  </si>
  <si>
    <t>MANGANOXID 1%</t>
  </si>
  <si>
    <t>MANGANSULF,MONO 1%</t>
  </si>
  <si>
    <t>MANGANSULF,TETR 1%</t>
  </si>
  <si>
    <t>BREWERES GRAINS, wet</t>
  </si>
  <si>
    <t>BREWERES GRAINS, dried</t>
  </si>
  <si>
    <t xml:space="preserve">METHIONIN 30% </t>
  </si>
  <si>
    <t xml:space="preserve">METHIONIN 40% </t>
  </si>
  <si>
    <t>MILOKORN, low tannin content</t>
  </si>
  <si>
    <t>MYRESYRE (25% water)</t>
  </si>
  <si>
    <t>MILK PROTEIN POWDER</t>
  </si>
  <si>
    <t>MILK ACIDS (20% water)</t>
  </si>
  <si>
    <t>NATRIUMSELENIT 1%</t>
  </si>
  <si>
    <t>Natuphos, liqiud, Std. dose: 500 FTU</t>
  </si>
  <si>
    <t>Natuphos, dried, Std. dose: 500 FTU</t>
  </si>
  <si>
    <t>PALM CAKE</t>
  </si>
  <si>
    <t>PECTIN FODER</t>
  </si>
  <si>
    <t>Phyzyme XP liquid, Std. dose: 500 FTU</t>
  </si>
  <si>
    <t>Phyzyme XP dried,  Std. dose: 500 FTU</t>
  </si>
  <si>
    <t>RAPESEED, low glucose content</t>
  </si>
  <si>
    <t>RAPESEED CAKE, low glucose content</t>
  </si>
  <si>
    <t>PAPESEED CAKE, 5 % fat, low glucose content</t>
  </si>
  <si>
    <t>PAPESEED CAKE, 9 % fat, low glucose content</t>
  </si>
  <si>
    <t>PAPESEED CAKE, low glucose content</t>
  </si>
  <si>
    <t>RICE FODER</t>
  </si>
  <si>
    <t>RYE,  2016 + xylanase</t>
  </si>
  <si>
    <t>RYE,  2016, heated</t>
  </si>
  <si>
    <t>RYE,  2016, heated + xylanase</t>
  </si>
  <si>
    <t>RYE, 10,0 % protein, heated + xylanase</t>
  </si>
  <si>
    <t>RYE, 11,5 % protein, heated + xylanase</t>
  </si>
  <si>
    <t>RYE,   avg several years</t>
  </si>
  <si>
    <t>RYE,   avg several years + xylanase</t>
  </si>
  <si>
    <t>RYE,   avg several years, heated</t>
  </si>
  <si>
    <t>RYE,   avg several years  + xylanase</t>
  </si>
  <si>
    <t>SKIMMED MILK POWDER</t>
  </si>
  <si>
    <t>SKIMMED MILK</t>
  </si>
  <si>
    <t>SKIMMED MILK POWDER, DENAT  Formel A</t>
  </si>
  <si>
    <t>SOYBEANS, toastet</t>
  </si>
  <si>
    <t>SOYBEAN CAKE 8,1% fat</t>
  </si>
  <si>
    <t>SOYBEAN PROTEIN CONCENTRATE, Imcosoy</t>
  </si>
  <si>
    <t>SOYBEAN PROTEIN CONCENTRATE, fermented dried, Vilosoy</t>
  </si>
  <si>
    <t>SOYBEAN HULLS</t>
  </si>
  <si>
    <t>SOYBEAN MEAL,  husked,  toasted</t>
  </si>
  <si>
    <t>SOYBEAN MEAL,  husked,  toasted, AGB-Soya</t>
  </si>
  <si>
    <t>SOYBEAN MEAL,  husked,  toasted, ProviSoy</t>
  </si>
  <si>
    <t>SOYBEAN MEAL,  toasted,</t>
  </si>
  <si>
    <t>SUNFLOWER CAKE, 19% dry matter</t>
  </si>
  <si>
    <t>SUNFLOWER CAKE, 15% dry matter</t>
  </si>
  <si>
    <t>SUNFLOWER MEAL, husked</t>
  </si>
  <si>
    <t xml:space="preserve"> 'SUNFLOWER MEAL, husked, 14 % dry matter (Gl. data)</t>
  </si>
  <si>
    <t>SUNFLOWER MEAL, husked 22 % dry matter(Gl. data)</t>
  </si>
  <si>
    <t>MOLLASES, sugarbeet</t>
  </si>
  <si>
    <t>BEET PULP PELLETS, dried</t>
  </si>
  <si>
    <t>BEET PULP PELLETS, dried, added mollases</t>
  </si>
  <si>
    <t>BEET PULP PELLETS, dried, low input of molasses</t>
  </si>
  <si>
    <t>BEET PULP PELLETS, wet</t>
  </si>
  <si>
    <t>PORK FATS</t>
  </si>
  <si>
    <t>Std. mixture,  6-9 kg, WEANED PIGLETS</t>
  </si>
  <si>
    <t>Std. mixture,  9-15 kg, PIGLETS</t>
  </si>
  <si>
    <t>Std. mixture,  9-30 kg, PIGLETS</t>
  </si>
  <si>
    <t>Std. mixture, 30-105 kg, SLAUGHTER PIGS</t>
  </si>
  <si>
    <t>Std. mixture, 30-55 kg, FATTENING PIGS</t>
  </si>
  <si>
    <t>Std.  CONCENTRATES, weaned piglets, 6-9 kg</t>
  </si>
  <si>
    <t>Std. minerals mixture,   piglets, 9-15 kg</t>
  </si>
  <si>
    <t>Std. minerals mixture,   piglets, 9-30 kg</t>
  </si>
  <si>
    <t>Std. minerals mixture,  Slaaghter pigs, 30-105 kg</t>
  </si>
  <si>
    <t>Std. mixture, SØER, PREGNANT</t>
  </si>
  <si>
    <t>Std. mixture, SOWS, LACTATION</t>
  </si>
  <si>
    <t>Std. minerals mixture, liquid feeding,  Slaughter pigs, 30-105 kg</t>
  </si>
  <si>
    <t>Std. mixture,   piglets, 6-9 kg</t>
  </si>
  <si>
    <t>Std. mixture,   piglets, 9-15 kg</t>
  </si>
  <si>
    <t>Std. mixture,  piglets, 9-30 kg</t>
  </si>
  <si>
    <t>Std. mixture,  Slaughter pigs, 30-100 kg</t>
  </si>
  <si>
    <t>Std. mixture, lactating sows</t>
  </si>
  <si>
    <t>Std. mixture, pregnant sows</t>
  </si>
  <si>
    <t>Std. 0,2% Vitamin and minerals mixture,  weaned  piglets</t>
  </si>
  <si>
    <t>Std. 0,2% Vitamin and minerals mixture,  piglets</t>
  </si>
  <si>
    <t>Std. 0,2% Vitamin and minerals mixture, sows</t>
  </si>
  <si>
    <t>Std. 0,2% Vitamin and minerals mixture, slaughter pigs</t>
  </si>
  <si>
    <t>WHOLE MILK</t>
  </si>
  <si>
    <t>WHOLE MILK POWDER</t>
  </si>
  <si>
    <t xml:space="preserve">TAPIOKA </t>
  </si>
  <si>
    <t xml:space="preserve">TREONIN 30% </t>
  </si>
  <si>
    <t xml:space="preserve">TREONIN 50%  </t>
  </si>
  <si>
    <t>TREONIN,L  liquid feeding, dig =75%</t>
  </si>
  <si>
    <t>TRITICALE,   avg several years</t>
  </si>
  <si>
    <t>TRITICALE,   avg several years + xylanase</t>
  </si>
  <si>
    <t>TRITICALE,   avg several years, heated</t>
  </si>
  <si>
    <t>TRITICALE,   avg several years , heated + xylanase</t>
  </si>
  <si>
    <t>TRITICALE,  2016, heated</t>
  </si>
  <si>
    <t>TRITICALE,  2016, heated +xylanase</t>
  </si>
  <si>
    <t>TRITICALE, 10,0 % protein, heated+ xylanase</t>
  </si>
  <si>
    <t>TRITICALE, 11,5 % protein, heated + xylanase</t>
  </si>
  <si>
    <t xml:space="preserve">TRYPTOFAN 40% </t>
  </si>
  <si>
    <t>TRYPTOFAN, liquid feeding, dig=75%</t>
  </si>
  <si>
    <t>DRIED YEAST</t>
  </si>
  <si>
    <t>WHEY, A category avg. (Perlac 5,5)</t>
  </si>
  <si>
    <t>WHEY, B category, avg. (Perlac 7)</t>
  </si>
  <si>
    <t>WHEY POWDER, sour</t>
  </si>
  <si>
    <t>WHEY POWDER, sweet</t>
  </si>
  <si>
    <t>WATER</t>
  </si>
  <si>
    <t xml:space="preserve">VEG.FAT. 50 % palm oil, 50 % PFAD </t>
  </si>
  <si>
    <t xml:space="preserve">VEG.FAT. 65 % palm oil, 35 % PFAD </t>
  </si>
  <si>
    <t xml:space="preserve">VETCHES </t>
  </si>
  <si>
    <t>Veg oil and fats, coconut</t>
  </si>
  <si>
    <t>Veg oil and fats, Palm</t>
  </si>
  <si>
    <t>Veg oil and fats, Rapseed</t>
  </si>
  <si>
    <t>Veg oil and fats, Soybeans</t>
  </si>
  <si>
    <t>VitaLys Dry , liquid feeding, 75% dig</t>
  </si>
  <si>
    <t>PEAS</t>
  </si>
  <si>
    <t>Type in own foder/ mixture 13</t>
  </si>
  <si>
    <t>Type in own foder/ mixture 14</t>
  </si>
  <si>
    <t>Type in own foder/ mixture 15</t>
  </si>
  <si>
    <t>Type in own foder/ mixture 16</t>
  </si>
  <si>
    <t>Type in own foder/ mixture 17</t>
  </si>
  <si>
    <t>Type in own foder/ mixture 18</t>
  </si>
  <si>
    <t>Type in own foder/ mixture 19</t>
  </si>
  <si>
    <t>Type in own foder/ mixture 20</t>
  </si>
  <si>
    <t>Type in own foder/ mixture 21</t>
  </si>
  <si>
    <t>Type in own foder/ mixture 22</t>
  </si>
  <si>
    <t>Type in own foder/ mixture 23</t>
  </si>
  <si>
    <t>Type in own foder/ mixture 24</t>
  </si>
  <si>
    <t>Type in own foder/ mixture 25</t>
  </si>
  <si>
    <t>Type in own foder/ mixture 26</t>
  </si>
  <si>
    <t>Type in own foder/ mixture 27</t>
  </si>
  <si>
    <t>Type in own foder/ mixture 28</t>
  </si>
  <si>
    <t>Type in own foder/ mixture 29</t>
  </si>
  <si>
    <t>Type in own foder/ mixture 30</t>
  </si>
  <si>
    <t>Outdoor - whole year</t>
  </si>
  <si>
    <t>Indoor - whole year</t>
  </si>
  <si>
    <t>Outdoor - part of the year</t>
  </si>
  <si>
    <t>Indoor for whole period</t>
  </si>
  <si>
    <t>Outdoor for whole period</t>
  </si>
  <si>
    <t>Outdor =&gt; Indoor</t>
  </si>
  <si>
    <t>Housing type</t>
  </si>
  <si>
    <t>Opstaldningsform/Housing type</t>
  </si>
  <si>
    <t>Vælg……………………………..</t>
  </si>
  <si>
    <t>Delvis spaltegulv med 50-75% fast gulv</t>
  </si>
  <si>
    <t>Delvis spaltegulv med 25-49% fast gulv</t>
  </si>
  <si>
    <t>Drænet gulv + spalter (33/67)</t>
  </si>
  <si>
    <t>Fast gulv</t>
  </si>
  <si>
    <t>Dybstrøelse, opdelt lejeareal</t>
  </si>
  <si>
    <t>Dybstrøelse</t>
  </si>
  <si>
    <t>……………………………………</t>
  </si>
  <si>
    <t>…………………………………..</t>
  </si>
  <si>
    <t>GØDNINGSTYPE</t>
  </si>
  <si>
    <t>OPSTALDNINGSFORM</t>
  </si>
  <si>
    <t>Staldgødning + Ajle</t>
  </si>
  <si>
    <t>Dybstrøelse + Gylle</t>
  </si>
  <si>
    <t>Select……………………………..</t>
  </si>
  <si>
    <t>MANURE TYPE</t>
  </si>
  <si>
    <t>……………………………………………………………………………………..</t>
  </si>
  <si>
    <t>BLODPLASMA, Daka Sprayt  2501</t>
  </si>
  <si>
    <t>BARLEY,  winter,  2017</t>
  </si>
  <si>
    <t>BARLEY,  winter,  avg. 2014-2017</t>
  </si>
  <si>
    <t>BARLEY,  spring,  2017</t>
  </si>
  <si>
    <t>BARLEY,  spring,  avg. 2014-2017</t>
  </si>
  <si>
    <t>CYSTINE ,L98,6</t>
  </si>
  <si>
    <t>FENYLALANIN,L98,6</t>
  </si>
  <si>
    <t>FORBL  300 E-11</t>
  </si>
  <si>
    <t>FORBL  301 E-26</t>
  </si>
  <si>
    <t>OATS, 2017</t>
  </si>
  <si>
    <t>BEANS, avg 2012, 2014, 2016</t>
  </si>
  <si>
    <t>HISTIDIN,L98,6</t>
  </si>
  <si>
    <t>WHEAT,  2017</t>
  </si>
  <si>
    <t>WHEAT,  avg. 2014-2017</t>
  </si>
  <si>
    <t>WHEAT, 2016</t>
  </si>
  <si>
    <t>ISOLEUCIN,L98,6</t>
  </si>
  <si>
    <t>LEUCIN,L98,6</t>
  </si>
  <si>
    <t>Lactose, VarioLac 961</t>
  </si>
  <si>
    <t>MAIZE SILAGE, avg.  2003-2008</t>
  </si>
  <si>
    <t>METHIONIN,DL 100</t>
  </si>
  <si>
    <t>RESTMÆLK, Brabrand, maj 2014</t>
  </si>
  <si>
    <t>RYE,  2017</t>
  </si>
  <si>
    <t>SOYBEAN PROTEIN CONCENTRATE, AlphaSoy PIG 601</t>
  </si>
  <si>
    <t>SOYBEAN PROTEIN CONCENTRATE, HP 201</t>
  </si>
  <si>
    <t>SOYBEAN PROTEIN CONCENTRATE, fermentered dried, HP 301</t>
  </si>
  <si>
    <t>SOYBEAN MEAL,  husked,  toasted, AlphaSoy PIG 531</t>
  </si>
  <si>
    <t>TRITICALE,  2017</t>
  </si>
  <si>
    <t>TYROSIN,L98,6</t>
  </si>
  <si>
    <t>WHEY, Gjesing, juni 14</t>
  </si>
  <si>
    <t>WHEY, Lillebælt, april 14</t>
  </si>
  <si>
    <t>WHEY, Nr  Vium, oct. 2017</t>
  </si>
  <si>
    <t>WHEY, Perlac 14, Hoco, oct. 2017</t>
  </si>
  <si>
    <t>WHEY, Perlac 5,5, Brabrand, oct. 2017</t>
  </si>
  <si>
    <t>WHEY, Perlac 5,5, Høgelund, oct. 2017</t>
  </si>
  <si>
    <t>WHEY, Perlac 7, Bislev, oct. 2017</t>
  </si>
  <si>
    <t>WHEY, Perlac 7, Branderup, oct. 2017</t>
  </si>
  <si>
    <t>WHEY, Perlac 7, Hoco, oct. 2017</t>
  </si>
  <si>
    <t>WHEY, Perlac 7, Kruså, feb. 2016</t>
  </si>
  <si>
    <t>WHEY, Perlac 7, Rødkærsbro, sep. 2017</t>
  </si>
  <si>
    <t>WHEY, Perlac 7, Taulov, jan. 2016</t>
  </si>
  <si>
    <t>WHEY, Slagelse, marts 2016</t>
  </si>
  <si>
    <t>WHEY, Tholstrup, aug. 16</t>
  </si>
  <si>
    <t>WHEY, Troldhede, oct. 2017</t>
  </si>
  <si>
    <t>XYLANASE Econase XT 26</t>
  </si>
  <si>
    <t>XYLANASE Porzyme 9303</t>
  </si>
  <si>
    <t>Per kg product</t>
  </si>
  <si>
    <t>Digestibility, %</t>
  </si>
  <si>
    <t>Crude protein</t>
  </si>
  <si>
    <t>P</t>
  </si>
  <si>
    <t>Dry-matter</t>
  </si>
  <si>
    <t>Fat</t>
  </si>
  <si>
    <t>Ash</t>
  </si>
  <si>
    <t>Cu</t>
  </si>
  <si>
    <t>Zn</t>
  </si>
  <si>
    <t>Chemical composition, % of product</t>
  </si>
  <si>
    <t>mg pr. kg dry-matter</t>
  </si>
  <si>
    <t>Chemical composition, % of dry-matter</t>
  </si>
  <si>
    <t>Crude fiber</t>
  </si>
  <si>
    <t>per kg dry-matter</t>
  </si>
  <si>
    <t>g per kg dry-matter</t>
  </si>
  <si>
    <t>Organic matter</t>
  </si>
  <si>
    <t>Low digestible carbs.</t>
  </si>
  <si>
    <t>Soluble fibers</t>
  </si>
  <si>
    <t>Insoluble fibers</t>
  </si>
  <si>
    <t>g per kg product</t>
  </si>
  <si>
    <t>mg per kg product</t>
  </si>
  <si>
    <t>Fe</t>
  </si>
  <si>
    <t>Fusp</t>
  </si>
  <si>
    <t>Fusow</t>
  </si>
  <si>
    <t>g per Fusp</t>
  </si>
  <si>
    <t>SIF Crude protein per kg product</t>
  </si>
  <si>
    <t>SIF Crude protein</t>
  </si>
  <si>
    <t>Partly slatted floor with 50-75% solid floor</t>
  </si>
  <si>
    <t>Slurry</t>
  </si>
  <si>
    <t>Partly slatted floor with 25-49% solid floor</t>
  </si>
  <si>
    <t>Drained floor + slots (33/67)</t>
  </si>
  <si>
    <t>Solid floor</t>
  </si>
  <si>
    <t>Faeces + urine</t>
  </si>
  <si>
    <t>Deep litter</t>
  </si>
  <si>
    <t>Paddock - grass clover</t>
  </si>
  <si>
    <t>Paddock - grass clover + trees</t>
  </si>
  <si>
    <t>Deep litter + lying area</t>
  </si>
  <si>
    <t>Deep litter + slurry</t>
  </si>
  <si>
    <t>Dybstrøelse + spaltegulv</t>
  </si>
  <si>
    <t>GULVTYPE</t>
  </si>
  <si>
    <t>Deep litter + slatted floor</t>
  </si>
  <si>
    <t>FLOOR TYPE</t>
  </si>
  <si>
    <t>HOUSING TYPE</t>
  </si>
  <si>
    <t xml:space="preserve">kløvergræs </t>
  </si>
  <si>
    <t>Moved to stable at weight of, kg:</t>
  </si>
  <si>
    <t>Housing system</t>
  </si>
  <si>
    <t>vælg ……………………………</t>
  </si>
  <si>
    <t>treer, høst til biobrændsel hvert 3 år</t>
  </si>
  <si>
    <t>treer, høst af grene og blade hver år</t>
  </si>
  <si>
    <t>……………………………………….</t>
  </si>
  <si>
    <t>………………………………………..</t>
  </si>
  <si>
    <t>treer i folde</t>
  </si>
  <si>
    <t>paddocks with trees</t>
  </si>
  <si>
    <t>select……………………………..</t>
  </si>
  <si>
    <t>harvested for bio-purposes every 3 years</t>
  </si>
  <si>
    <t>harvest of branches and leaves every year</t>
  </si>
  <si>
    <t>Afgrøder/Crops</t>
  </si>
  <si>
    <t>Vælg……………………………………</t>
  </si>
  <si>
    <t>hvede</t>
  </si>
  <si>
    <t>havre</t>
  </si>
  <si>
    <t>rug</t>
  </si>
  <si>
    <t>ærter</t>
  </si>
  <si>
    <t>…………………………………………..</t>
  </si>
  <si>
    <t xml:space="preserve">Crops </t>
  </si>
  <si>
    <t>Select…………………………………</t>
  </si>
  <si>
    <t>uden overdækning</t>
  </si>
  <si>
    <t>Spaltegulv &amp; gyllekumme</t>
  </si>
  <si>
    <t>NH4-N emissionsfaktor gulve</t>
  </si>
  <si>
    <t>NH4-N emissionsfaktor kumme</t>
  </si>
  <si>
    <t>NH4-N emission factor for floor</t>
  </si>
  <si>
    <t>NH4-N emission factor for slurry pits</t>
  </si>
  <si>
    <t>-</t>
  </si>
  <si>
    <t>N2O emissionsfaktor stald</t>
  </si>
  <si>
    <t>NOx emissionsfaktor stald</t>
  </si>
  <si>
    <t>N2 emissionsfaktor stald</t>
  </si>
  <si>
    <t>CH4 emissionsfaktor stald</t>
  </si>
  <si>
    <t>Mikkelsen et al., 2016</t>
  </si>
  <si>
    <t>Liquid fraction, %</t>
  </si>
  <si>
    <t>Anders</t>
  </si>
  <si>
    <t>Vinther, F.P., 2005</t>
  </si>
  <si>
    <t>faba beans</t>
  </si>
  <si>
    <t>N2O emission factor stable</t>
  </si>
  <si>
    <t>N2 emission factor stable</t>
  </si>
  <si>
    <t>NOx emission factor stable</t>
  </si>
  <si>
    <t>CH4 emission factor stable</t>
  </si>
  <si>
    <t>Gødningstype</t>
  </si>
  <si>
    <t>Lagringstype</t>
  </si>
  <si>
    <t>teltkonstruktion/ betonlåg</t>
  </si>
  <si>
    <t>afgasset gylle</t>
  </si>
  <si>
    <t xml:space="preserve">ajle </t>
  </si>
  <si>
    <t xml:space="preserve">dybstrøelse </t>
  </si>
  <si>
    <t>fast staldgødning</t>
  </si>
  <si>
    <t>Hansen et al., 2008</t>
  </si>
  <si>
    <t>NH3-N tab,                % af NH4-N ab stald</t>
  </si>
  <si>
    <t>NH3-N tab,                     % af total N ab stald</t>
  </si>
  <si>
    <t>N2O-N tab,                     % af total N ab stald</t>
  </si>
  <si>
    <t>N2-N tab,                     % af total N ab stald</t>
  </si>
  <si>
    <t>forsyret gylle</t>
  </si>
  <si>
    <t>NOx tab,                     % af total N ab stald</t>
  </si>
  <si>
    <t>VERA, 2010</t>
  </si>
  <si>
    <t>Olesenet al.,2013</t>
  </si>
  <si>
    <t>Jensen, 2015</t>
  </si>
  <si>
    <t>assumption</t>
  </si>
  <si>
    <t>Vinther, FP, 2005</t>
  </si>
  <si>
    <t>Nemecek &amp; Kagi, 2007</t>
  </si>
  <si>
    <t>MCF, %</t>
  </si>
  <si>
    <t>3/17%</t>
  </si>
  <si>
    <t>gylle, reduceret HRT</t>
  </si>
  <si>
    <t>gylle, afkølet</t>
  </si>
  <si>
    <t>Manure type</t>
  </si>
  <si>
    <t>acidified slurry</t>
  </si>
  <si>
    <t>slurry, reduced HRT</t>
  </si>
  <si>
    <t>slurry, cooled in stable</t>
  </si>
  <si>
    <t>urine</t>
  </si>
  <si>
    <t>solid manure</t>
  </si>
  <si>
    <t>Storage technology</t>
  </si>
  <si>
    <t>tent construction, concrete building</t>
  </si>
  <si>
    <t>NH3-N loss,                % of NH4-N ex stable</t>
  </si>
  <si>
    <t>NH3-N loss,                     % of total N ex stable</t>
  </si>
  <si>
    <t>N2O-N loss,                     % of total N ex stable</t>
  </si>
  <si>
    <t>N2-N loss,                     % of total N ex stable</t>
  </si>
  <si>
    <t>NOx loss,                     % of total N ex stable</t>
  </si>
  <si>
    <t>NH3-N tab,                % af NH4-N ab lager</t>
  </si>
  <si>
    <t>NH3-N tab,                     % af total N ab lager</t>
  </si>
  <si>
    <t>N2O-N tab,                     % af total N ab lager</t>
  </si>
  <si>
    <t>N2-N tab,                     % af total N ab lager</t>
  </si>
  <si>
    <t>NOx tab,                     % af total N ab lager</t>
  </si>
  <si>
    <t>Nielsen et al., 2015</t>
  </si>
  <si>
    <t>Olesen et al., (2013)</t>
  </si>
  <si>
    <t>Olesen et al.,2013</t>
  </si>
  <si>
    <t>Dammgen &amp; Hutchings, 2008</t>
  </si>
  <si>
    <t>de-gassed slurry</t>
  </si>
  <si>
    <t>NH3-N loss,                % of NH4-N ex storage</t>
  </si>
  <si>
    <t>NH3-N loss,                     % of total N ex storage</t>
  </si>
  <si>
    <t>N2O-N loss,                     % of total N ex storage</t>
  </si>
  <si>
    <t>N2-N loss,                     % of total N ex storage</t>
  </si>
  <si>
    <t>NOx loss,                     % of total N ex storage</t>
  </si>
  <si>
    <r>
      <t xml:space="preserve">             VS</t>
    </r>
    <r>
      <rPr>
        <sz val="5"/>
        <color theme="1"/>
        <rFont val="Georgia"/>
        <family val="1"/>
      </rPr>
      <t xml:space="preserve">DM  </t>
    </r>
    <r>
      <rPr>
        <sz val="11"/>
        <color theme="1"/>
        <rFont val="Georgia"/>
        <family val="1"/>
      </rPr>
      <t>(volatile solids of dry matter)</t>
    </r>
  </si>
  <si>
    <r>
      <t xml:space="preserve">             DM</t>
    </r>
    <r>
      <rPr>
        <sz val="5"/>
        <color theme="1"/>
        <rFont val="Georgia"/>
        <family val="1"/>
      </rPr>
      <t>M</t>
    </r>
    <r>
      <rPr>
        <sz val="11"/>
        <color theme="1"/>
        <rFont val="Georgia"/>
        <family val="1"/>
      </rPr>
      <t xml:space="preserve"> (dry matter of manure)</t>
    </r>
  </si>
  <si>
    <t>Nielsen et al., 2016</t>
  </si>
  <si>
    <t xml:space="preserve">                  slurry</t>
  </si>
  <si>
    <t xml:space="preserve">                  deep litter</t>
  </si>
  <si>
    <t xml:space="preserve">                  solid manure</t>
  </si>
  <si>
    <t xml:space="preserve">                  urine</t>
  </si>
  <si>
    <t>TS/N, kg            (årssoer)</t>
  </si>
  <si>
    <t>TS/N, kg            (smågrise)</t>
  </si>
  <si>
    <t>TS/N, kg            (slagtesvin)</t>
  </si>
  <si>
    <t>a</t>
  </si>
  <si>
    <t>b</t>
  </si>
  <si>
    <t>kløvergræs ensilage</t>
  </si>
  <si>
    <t>c</t>
  </si>
  <si>
    <t>Total</t>
  </si>
  <si>
    <t>Input per ha</t>
  </si>
  <si>
    <t>Output per ha</t>
  </si>
  <si>
    <t>kg TS per kg</t>
  </si>
  <si>
    <t xml:space="preserve">kg DM per kg </t>
  </si>
  <si>
    <t>FE per kg</t>
  </si>
  <si>
    <t>FU per kg</t>
  </si>
  <si>
    <t>tab, % af TS</t>
  </si>
  <si>
    <t>losses, % of DM</t>
  </si>
  <si>
    <t>halm, % af TS</t>
  </si>
  <si>
    <t>straw, % of DM</t>
  </si>
  <si>
    <t>LU faktor</t>
  </si>
  <si>
    <t>tillage faktor</t>
  </si>
  <si>
    <t>LU factor</t>
  </si>
  <si>
    <t>tillage factor</t>
  </si>
  <si>
    <t>check LU, TILLAGE FACTORS</t>
  </si>
  <si>
    <t>CHEACK PEAS</t>
  </si>
  <si>
    <t>TOTAL LOSSES FOR GRAZED AREAS</t>
  </si>
  <si>
    <t>1. OPSTALDING INDENDØRS</t>
  </si>
  <si>
    <t>1.1.Indendørs areal</t>
  </si>
  <si>
    <t>1.2. Udendørs areal</t>
  </si>
  <si>
    <t>1. INDOOR HOUSING</t>
  </si>
  <si>
    <t>1.1.Indoor area</t>
  </si>
  <si>
    <t>1.2. Outdoor area</t>
  </si>
  <si>
    <t>2. OPSTALDING UDENDØRS</t>
  </si>
  <si>
    <t>foldetype</t>
  </si>
  <si>
    <t>2. OUTDOOR HOUSING</t>
  </si>
  <si>
    <t>paddock type</t>
  </si>
  <si>
    <t>protein in overjordiskerester, % af TS</t>
  </si>
  <si>
    <t>protein in underjordiske rester, % af TS</t>
  </si>
  <si>
    <t>Protein in AG crop residues, % of DM</t>
  </si>
  <si>
    <t>Protein in BG crop residues, % of DM</t>
  </si>
  <si>
    <t>NOx</t>
  </si>
  <si>
    <t>N input, kg N per ha</t>
  </si>
  <si>
    <t>P input, kg P per ha</t>
  </si>
  <si>
    <t xml:space="preserve"> EF is 1% (IPCC, 2006)</t>
  </si>
  <si>
    <t xml:space="preserve">  EF is 0,1% (Dammgen, Hutchings, 2008)</t>
  </si>
  <si>
    <t xml:space="preserve">  EF is 3% (Vinther, F.P., 2005)</t>
  </si>
  <si>
    <t xml:space="preserve">  0,45 kg C in dry matter</t>
  </si>
  <si>
    <t xml:space="preserve">   EF is 12% (IPCC, 2006)</t>
  </si>
  <si>
    <t>Protein i afgrøder, % af TS</t>
  </si>
  <si>
    <t>Protein in crop, % of DM</t>
  </si>
  <si>
    <t xml:space="preserve"> equation based on Kristensen et al, 2007</t>
  </si>
  <si>
    <t>Protein i halm, % of TS</t>
  </si>
  <si>
    <t>Protein in straw, % of DM</t>
  </si>
  <si>
    <t xml:space="preserve">   0,0009 kg per kg DM (NorFor database)</t>
  </si>
  <si>
    <t>P, % af TS</t>
  </si>
  <si>
    <t>P, % of DM</t>
  </si>
  <si>
    <t>SO2</t>
  </si>
  <si>
    <t>Impact 2002+</t>
  </si>
  <si>
    <t>PDF</t>
  </si>
  <si>
    <r>
      <rPr>
        <b/>
        <sz val="11"/>
        <color indexed="8"/>
        <rFont val="Georgia"/>
        <family val="1"/>
      </rPr>
      <t>BD</t>
    </r>
    <r>
      <rPr>
        <sz val="11"/>
        <color indexed="8"/>
        <rFont val="Georgia"/>
        <family val="1"/>
      </rPr>
      <t>, PDF per ha</t>
    </r>
  </si>
  <si>
    <t xml:space="preserve">with floating cover </t>
  </si>
  <si>
    <t>overdækket (flydelag)</t>
  </si>
  <si>
    <t xml:space="preserve">overdækket </t>
  </si>
  <si>
    <t>halmforbrug per dyr inde*(365-dage ude/365)+halmforbrug per dyr ude*(dage ude/365)</t>
  </si>
  <si>
    <t>Farefolden / Farestalden</t>
  </si>
  <si>
    <t>Slagtegris, g</t>
  </si>
  <si>
    <t>So, g</t>
  </si>
  <si>
    <t>Smågris (30 kg), g</t>
  </si>
  <si>
    <t>Pattegris (7,5 kg), g</t>
  </si>
  <si>
    <t>Smågris, 30 kg -&gt; slagtesvin, g</t>
  </si>
  <si>
    <t>N, P eller K per kg levende vægt:</t>
  </si>
  <si>
    <t>N, P eller K per kg tilvækst:</t>
  </si>
  <si>
    <t>Pattegris-&gt; smågris, g</t>
  </si>
  <si>
    <t>N per årsso, kg * antal årssøer</t>
  </si>
  <si>
    <t xml:space="preserve">      Søer</t>
  </si>
  <si>
    <t xml:space="preserve">      Pattegrise</t>
  </si>
  <si>
    <t>Parameter</t>
  </si>
  <si>
    <t>Gns. Indhold af næringsstoffer i halm, kg per kg tørstof</t>
  </si>
  <si>
    <t>Normtal for husdyrgødning, 2014</t>
  </si>
  <si>
    <t>N per fravænnet grise*antal fravænnet per årsso*antal årssøer</t>
  </si>
  <si>
    <t>Fravænnet per år*vægt afgang*N per kg pattegris</t>
  </si>
  <si>
    <t>Antal døde* 0,2*Vægt afgang*N per kg pattegris (Vægten ganget med 0,2 ud fra at ~85% af pattegrisene der dør vejere under 1.5 kg (Ph. D, Lena Rangstrup-Christensen, 2017)</t>
  </si>
  <si>
    <t xml:space="preserve"> Kraftfoder:</t>
  </si>
  <si>
    <t xml:space="preserve"> Grovfoder:</t>
  </si>
  <si>
    <t xml:space="preserve"> Strøelse:</t>
  </si>
  <si>
    <t xml:space="preserve">     Pattegrise, overførte/solgte</t>
  </si>
  <si>
    <t xml:space="preserve">     Pattegrise, døde</t>
  </si>
  <si>
    <t xml:space="preserve"> Dyr:</t>
  </si>
  <si>
    <t>Opdelt i inde og ude, da mængden tildelt variere mellem ude og inde</t>
  </si>
  <si>
    <t>Drægtighedsfolden / Drægtighedsstalden</t>
  </si>
  <si>
    <t>Bidrag fra orner:  0,04 årsorner * 50 kg per år</t>
  </si>
  <si>
    <t>Dyr:</t>
  </si>
  <si>
    <t>Svin baggrundsmatriale 2016-2017</t>
  </si>
  <si>
    <t>Bidrag fra soen: ((241 kg ved afgang - 135 kg ved 1. løbning) /3,9 kuld i gns )*antal kuld per år</t>
  </si>
  <si>
    <t>Bidrag fra polte: (135 kg ved 1 løbning - 105 kg normal slagtevægt)*antal kuld per år*andel førstelægs</t>
  </si>
  <si>
    <t>Tilvækst per årsso (konventionelle tal - hvordan i forhold til øko?)</t>
  </si>
  <si>
    <t>Den rullende afprøvning medd. Nr 686, 2015</t>
  </si>
  <si>
    <t>Vægtændring ved faring:  30 kg per kuld (sat til vægttab i farefolden og tilvækst i drægtighedsfolden)</t>
  </si>
  <si>
    <t xml:space="preserve">Vægt difference (indsættelse - afgang)*N per kg tilvækst* antal årssøer </t>
  </si>
  <si>
    <t>N, g</t>
  </si>
  <si>
    <t>P, g</t>
  </si>
  <si>
    <t>K, g</t>
  </si>
  <si>
    <t xml:space="preserve">     Søer, tilvækst</t>
  </si>
  <si>
    <t>Tager højde for vægtforskel mellem indsatte polt og afgået søer, samt orner</t>
  </si>
  <si>
    <t>Fordøjlighedskoefficienter for N,P og K (til beregning af TAN-N)</t>
  </si>
  <si>
    <t>Søer</t>
  </si>
  <si>
    <t>N, %</t>
  </si>
  <si>
    <t>P, %</t>
  </si>
  <si>
    <t>K, %</t>
  </si>
  <si>
    <t>TS, %</t>
  </si>
  <si>
    <t xml:space="preserve">N ab dyr, kg - (FE per årsso*råprotein per FE/6250*(1-fordøjlighedskoefficienten) (kilde: Svin baggrundsmatriale 2016-2017) </t>
  </si>
  <si>
    <t>Fravænnet per årsso*Antal årssøer</t>
  </si>
  <si>
    <t>Fravænnet per kuld*Antal årssøer</t>
  </si>
  <si>
    <t>(dr.dage+golddage-(foderdage bl. 1)-(dage i farefold før faring*kuld per år)</t>
  </si>
  <si>
    <t>(FE /dyr/dag bl. 1* foderdage per årsso bl. 1) + FE / dyr /dag bl. 2* foderdage per årsso bl. 2</t>
  </si>
  <si>
    <t>kg per dyr</t>
  </si>
  <si>
    <t>kg per årsso</t>
  </si>
  <si>
    <t>Standardtal anvendt for polte</t>
  </si>
  <si>
    <t>Vægt ved indsættelse i soholdet</t>
  </si>
  <si>
    <t>Vægt ved første løbning</t>
  </si>
  <si>
    <t>Foderenheder per dag</t>
  </si>
  <si>
    <t>Fe per dag</t>
  </si>
  <si>
    <t>Søerne</t>
  </si>
  <si>
    <t>kg per dag</t>
  </si>
  <si>
    <t>Standardtal anvendt for græsoptag (maks 180 dage per år)</t>
  </si>
  <si>
    <t>(Fosfor g/kg*Fe per 100 kg*FE per dyr per dag (bl. 1)*foderdage per årsso bl. 1 + (fosfor g/kg*Fe per 100 kg*FE per dyr per dag (bl. 2)*Foderdage per årsso bl. 2)</t>
  </si>
  <si>
    <t>(Vægt 'fravænnet'*Overførte)+(Vægt 'købte'*Købte)/(Overførte+købte)</t>
  </si>
  <si>
    <t>Dage ude med græsoptag / days out with grass intake</t>
  </si>
  <si>
    <t>Days on paddock per year:</t>
  </si>
  <si>
    <t>Søer/sows</t>
  </si>
  <si>
    <t>Slagtesvin / growing pigs</t>
  </si>
  <si>
    <t>Smågrise / Piglets</t>
  </si>
  <si>
    <t>Opdelt i ude og inden da blandinger afh. af alder på grise</t>
  </si>
  <si>
    <t xml:space="preserve">    Blanding 1</t>
  </si>
  <si>
    <t xml:space="preserve">    Blanding 2</t>
  </si>
  <si>
    <t xml:space="preserve">    Blanding 3</t>
  </si>
  <si>
    <t xml:space="preserve">      Dyr, indsat</t>
  </si>
  <si>
    <t xml:space="preserve">      Tildelt ude</t>
  </si>
  <si>
    <t xml:space="preserve">      Tildelt inde</t>
  </si>
  <si>
    <t xml:space="preserve">     Tildelt ude</t>
  </si>
  <si>
    <t xml:space="preserve">     Tildelt inde</t>
  </si>
  <si>
    <t xml:space="preserve">     Slagtesvin, overførte/solgte</t>
  </si>
  <si>
    <t xml:space="preserve">    Slagtesvin, døde</t>
  </si>
  <si>
    <t>Slagtesvinefolden / Slagtesvinestalden</t>
  </si>
  <si>
    <t>Vægt ind*N per kg tilvækst* antal overførte</t>
  </si>
  <si>
    <t>N per produceret, kg * antal produceret</t>
  </si>
  <si>
    <t>Antal døde* 0,2*Vægt afgang*N per kg slagtesvin</t>
  </si>
  <si>
    <t>Produceret per år*vægt afgang*N per kg slagtesvin</t>
  </si>
  <si>
    <t xml:space="preserve">     Folden</t>
  </si>
  <si>
    <t xml:space="preserve">     Stalden</t>
  </si>
  <si>
    <t>TAN-N, kg</t>
  </si>
  <si>
    <t xml:space="preserve">N ab dyr, kg - (FE per kg tilvækst*råprotein g per FE/6250*(1-fordøjlighedskoefficienten) (kilde: Svin baggrundsmatriale 2016-2017) </t>
  </si>
  <si>
    <t>Totalammonium (indholdet i urin)</t>
  </si>
  <si>
    <t>Fordøjlighedskoefficienterne er baseret på typisk foder - hvad med grovfodret (antager de ikke æder halm)</t>
  </si>
  <si>
    <t>per prod</t>
  </si>
  <si>
    <t>Ammoniak-emission fra produktion af økologisk slagtesvin</t>
  </si>
  <si>
    <t>NH4-N udskilt</t>
  </si>
  <si>
    <t>kg SP-1 år-1</t>
  </si>
  <si>
    <t>Økologisk produktion</t>
  </si>
  <si>
    <t>TAN-N per stiplads</t>
  </si>
  <si>
    <t>Konventionel produktion</t>
  </si>
  <si>
    <t>Inde/ude</t>
  </si>
  <si>
    <t xml:space="preserve">Areal </t>
  </si>
  <si>
    <t>Afsætning af urin</t>
  </si>
  <si>
    <t>Areal
m2 gris-1</t>
  </si>
  <si>
    <t>Emissionsfak-tor gulv NH4-N</t>
  </si>
  <si>
    <t>Emissionsfak-tor kumme
NH4-N</t>
  </si>
  <si>
    <t>Arealkorr. emissions-faktor kumme
NH4-N</t>
  </si>
  <si>
    <t>Teknologi reduktion af emission kumme
NH4-</t>
  </si>
  <si>
    <t>Emission kumme NH4-N</t>
  </si>
  <si>
    <t>Emission gulve
kg NH3-N SP-1 år-1</t>
  </si>
  <si>
    <t>Emission kumme
kg NH3-N SP-1 år-1</t>
  </si>
  <si>
    <t>Emission total
kg NH3-N SP-1 år-1</t>
  </si>
  <si>
    <t>Emission total
kg NH3-N m-2 år-1</t>
  </si>
  <si>
    <t>Inde</t>
  </si>
  <si>
    <t>Ude</t>
  </si>
  <si>
    <t>Emission fra sostalden</t>
  </si>
  <si>
    <t xml:space="preserve">  Spalter eller drænet gulv</t>
  </si>
  <si>
    <t>Arealkrav øko,  m2</t>
  </si>
  <si>
    <t xml:space="preserve">  Heraf fast/drænet gulv, min</t>
  </si>
  <si>
    <t>Fordeling af gødning i procent af afsat gødning (forudsættes ens for fæces og urin)</t>
  </si>
  <si>
    <t>Case 1</t>
  </si>
  <si>
    <t>Case 2</t>
  </si>
  <si>
    <t>Fordeling på de forskellige gulvtyper i stien. Andel af total afsat gødning</t>
  </si>
  <si>
    <t>Lejeareal</t>
  </si>
  <si>
    <t>Spaltegulv og kumme</t>
  </si>
  <si>
    <t>i alt</t>
  </si>
  <si>
    <t>Ude, i alt</t>
  </si>
  <si>
    <t>Fast gulv med strøelse</t>
  </si>
  <si>
    <t>Spaltegulv incl. gyllekumme</t>
  </si>
  <si>
    <t xml:space="preserve">  Heraf leje med strøelse, min</t>
  </si>
  <si>
    <t xml:space="preserve">  Ekstra fast gulv, min</t>
  </si>
  <si>
    <r>
      <t>Inde, i alt</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</si>
  <si>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 kilde: Regler vedr. opstaldning af økologiske svin fra  "Vejledning om økologisk jordbrugsproduktion - april 2017"</t>
    </r>
  </si>
  <si>
    <t>Emission total
kg NH3-N prod. Sl. svin-1 år-1</t>
  </si>
  <si>
    <t>Emission fra slagtesvinestalden</t>
  </si>
  <si>
    <t>Emission total
kg NH3-N prod. smågris-1 år-1</t>
  </si>
  <si>
    <t>Emission fra smågrisestalden</t>
  </si>
  <si>
    <r>
      <rPr>
        <vertAlign val="superscript"/>
        <sz val="11"/>
        <color theme="1"/>
        <rFont val="Calibri"/>
        <family val="2"/>
        <scheme val="minor"/>
      </rPr>
      <t>1)</t>
    </r>
    <r>
      <rPr>
        <sz val="11"/>
        <color theme="1"/>
        <rFont val="Calibri"/>
        <family val="2"/>
        <scheme val="minor"/>
      </rPr>
      <t xml:space="preserve"> kilde: Regler vedr. opstaldning af økologiske svin fra  "Vejledning om økologisk jordbrugsproduktion - april 2017" (indtil 30 kg)</t>
    </r>
  </si>
  <si>
    <r>
      <rPr>
        <vertAlign val="superscript"/>
        <sz val="11"/>
        <color theme="1"/>
        <rFont val="Calibri"/>
        <family val="2"/>
        <scheme val="minor"/>
      </rPr>
      <t>1)</t>
    </r>
    <r>
      <rPr>
        <sz val="11"/>
        <color theme="1"/>
        <rFont val="Calibri"/>
        <family val="2"/>
        <scheme val="minor"/>
      </rPr>
      <t xml:space="preserve"> kilde: Regler vedr. opstaldning af økologiske svin fra  "Vejledning om økologisk jordbrugsproduktion - april 2017" (indtil 110 kg)</t>
    </r>
  </si>
  <si>
    <t xml:space="preserve">   NH3-N</t>
  </si>
  <si>
    <t xml:space="preserve">   N2O-N Denitrifikation</t>
  </si>
  <si>
    <t xml:space="preserve">   N2</t>
  </si>
  <si>
    <t xml:space="preserve">   Nox</t>
  </si>
  <si>
    <t>AP regneark, tager højde for fordelingen ude inde + forskellige gulvtyper ude inde</t>
  </si>
  <si>
    <t>N ab dyr * emissionfaktor fanblad "opstaldning…." (summeret for ude og inde areal, mht. fordelingen af gødning ude/inde)</t>
  </si>
  <si>
    <t>Arealkrav økogrise ( kilde: Regler vedr. opstaldning af økologiske svin fra  "Vejledning om økologisk jordbrugsproduktion - april 2017")</t>
  </si>
  <si>
    <t>indtil</t>
  </si>
  <si>
    <t>Indtil</t>
  </si>
  <si>
    <t>over</t>
  </si>
  <si>
    <t>Alvssvin, hundyr</t>
  </si>
  <si>
    <t>Avlssvin, handyr</t>
  </si>
  <si>
    <t>Vægtinterval,kg</t>
  </si>
  <si>
    <t>Indendørsareal, m2/dyr</t>
  </si>
  <si>
    <t>Udendørsareal,  m2/dyr</t>
  </si>
  <si>
    <t xml:space="preserve">   Min. andel fast gulv m2/dyr</t>
  </si>
  <si>
    <t xml:space="preserve">   Lejeareale, min. m2/dyr</t>
  </si>
  <si>
    <t xml:space="preserve">   Min. Andel fast eller drænet</t>
  </si>
  <si>
    <t>Diegivende søer</t>
  </si>
  <si>
    <t>Inde areal</t>
  </si>
  <si>
    <t>Ude areal</t>
  </si>
  <si>
    <t>Søerne, Case 1</t>
  </si>
  <si>
    <t>Søerne, Case 2</t>
  </si>
  <si>
    <t>Slagtesvin, Case 1</t>
  </si>
  <si>
    <t>Slagtesvin, Case 2</t>
  </si>
  <si>
    <t>Smågrisene, Case 1</t>
  </si>
  <si>
    <t>Smågrisene, Case 2</t>
  </si>
  <si>
    <t>Aktivitet/gøde</t>
  </si>
  <si>
    <t>TAN bruges ved beregning af gylle / alje mens N ab dyr bruges ved beregning af total N</t>
  </si>
  <si>
    <t>Smågrisefolden / Smågrisestalden</t>
  </si>
  <si>
    <t xml:space="preserve">     Smågrise, overførte/solgte</t>
  </si>
  <si>
    <t xml:space="preserve">    Smågrise, døde</t>
  </si>
  <si>
    <t>Fordøjlighedskoefficienterne er baseret på typisk foder - hvad med grovfodret? (antager de ikke æder halm)</t>
  </si>
  <si>
    <t>Org-N, kg</t>
  </si>
  <si>
    <t>Organisk N fæces + N strøelse, Dämmgen and Hutchings, 2008</t>
  </si>
  <si>
    <t>N dyr og N foder</t>
  </si>
  <si>
    <t xml:space="preserve">      Søer, vægtændring</t>
  </si>
  <si>
    <t>Emission, stalden:</t>
  </si>
  <si>
    <t>N ab, stald, kg</t>
  </si>
  <si>
    <t>Emission, folden:</t>
  </si>
  <si>
    <t>N ab fold, kg</t>
  </si>
  <si>
    <t>N ab lager, kg</t>
  </si>
  <si>
    <t>Skelne mellem TAN-N og Org-N??</t>
  </si>
  <si>
    <t>Org-N, kg  (incl. strøelse)</t>
  </si>
  <si>
    <t xml:space="preserve">   N2-N</t>
  </si>
  <si>
    <t xml:space="preserve">   Nox-N</t>
  </si>
  <si>
    <t xml:space="preserve">   N2O-N</t>
  </si>
  <si>
    <t xml:space="preserve">   N2O-N </t>
  </si>
  <si>
    <t>N ab fold / stald, kg</t>
  </si>
  <si>
    <t>TAN bruges ved beregning af gylle / alje mens Tan + Org. N bruges ved beregning ved dybstrøelse</t>
  </si>
  <si>
    <t>(TAN-N + Org-N) * emissionfaktor fanblad "opstaldning…." (summeret for ude og inde areal, mht. fordelingen af gødning ude/inde)</t>
  </si>
  <si>
    <t>N ab fold /  stald, kg</t>
  </si>
  <si>
    <t>Lager, biogas:</t>
  </si>
  <si>
    <t>Lager, forsuringstank:</t>
  </si>
  <si>
    <t>N ab lager, biogas</t>
  </si>
  <si>
    <t>N ab lager, forsuringstank</t>
  </si>
  <si>
    <t>vælg…………</t>
  </si>
  <si>
    <t>…………………………</t>
  </si>
  <si>
    <t>forsuret gylle</t>
  </si>
  <si>
    <t>…………………………..</t>
  </si>
  <si>
    <t>select…………….</t>
  </si>
  <si>
    <t>N ab mark, kg</t>
  </si>
  <si>
    <t>overdækket</t>
  </si>
  <si>
    <t xml:space="preserve">with cover </t>
  </si>
  <si>
    <t>Lager, gylletank:</t>
  </si>
  <si>
    <t>Lager, dybstrøelse:</t>
  </si>
  <si>
    <t>N ab lager, gylletank:</t>
  </si>
  <si>
    <t>50% fast gulv &amp; 50 % spalter</t>
  </si>
  <si>
    <t>50% spaltegulv &amp; 50% spalter med gylletragter</t>
  </si>
  <si>
    <t>Solid floor, lying areas with straw</t>
  </si>
  <si>
    <t>Fast gulv, strøet leje</t>
  </si>
  <si>
    <t xml:space="preserve">NH4-N til brug, hvis gulv deles op i to </t>
  </si>
  <si>
    <t>Total N bruges ved N20, N2 og Noxc</t>
  </si>
  <si>
    <t>N ab lager, dybstrøelse:</t>
  </si>
  <si>
    <t xml:space="preserve">       N ab stald gylle, kg</t>
  </si>
  <si>
    <t xml:space="preserve">  Heraf:</t>
  </si>
  <si>
    <t>Alm, gylle</t>
  </si>
  <si>
    <t>Afgasset gylle</t>
  </si>
  <si>
    <t>Forsuret gylle</t>
  </si>
  <si>
    <t xml:space="preserve">       N ab stald dybstrøelse, kg</t>
  </si>
  <si>
    <t>Antager forsuret gylle ikke kommer i biogas</t>
  </si>
  <si>
    <t>N ab mark, gylle:</t>
  </si>
  <si>
    <t>plus direkte udbragt</t>
  </si>
  <si>
    <t>N ab mark, dybstrøelse:</t>
  </si>
  <si>
    <t>N ab mark, afgassetgylle</t>
  </si>
  <si>
    <t>Language/Sprog</t>
  </si>
  <si>
    <t>50% fast gulv, strøget leje &amp; 50 % spalter</t>
  </si>
  <si>
    <t>50% fast gulv, strøget leje &amp; 50% spalter med gylletragter</t>
  </si>
  <si>
    <r>
      <t>50 % solid floor +</t>
    </r>
    <r>
      <rPr>
        <sz val="11"/>
        <color rgb="FFFF0000"/>
        <rFont val="Georgia"/>
        <family val="1"/>
      </rPr>
      <t>straw</t>
    </r>
    <r>
      <rPr>
        <sz val="11"/>
        <color theme="1"/>
        <rFont val="Georgia"/>
        <family val="1"/>
      </rPr>
      <t>, 50 % Slatted floor</t>
    </r>
  </si>
  <si>
    <r>
      <t xml:space="preserve">50 % solid floor + </t>
    </r>
    <r>
      <rPr>
        <sz val="11"/>
        <color rgb="FFFF0000"/>
        <rFont val="Georgia"/>
        <family val="1"/>
      </rPr>
      <t>straw</t>
    </r>
    <r>
      <rPr>
        <sz val="11"/>
        <color theme="1"/>
        <rFont val="Georgia"/>
        <family val="1"/>
      </rPr>
      <t xml:space="preserve">, 50% Slatted floor </t>
    </r>
    <r>
      <rPr>
        <sz val="11"/>
        <color rgb="FFFF0000"/>
        <rFont val="Georgia"/>
        <family val="1"/>
      </rPr>
      <t>+ hoppers</t>
    </r>
  </si>
  <si>
    <t>50 % solid floor, 50 % Slatted floor</t>
  </si>
  <si>
    <r>
      <t xml:space="preserve">50 % solid floor, 50% Slatted floor </t>
    </r>
    <r>
      <rPr>
        <sz val="11"/>
        <color rgb="FFFF0000"/>
        <rFont val="Georgia"/>
        <family val="1"/>
      </rPr>
      <t>+ hoppers</t>
    </r>
  </si>
  <si>
    <t>per ha</t>
  </si>
  <si>
    <t>NH3-N</t>
  </si>
  <si>
    <t>N2-N</t>
  </si>
  <si>
    <t>Deposition</t>
  </si>
  <si>
    <t>based on (Normtal, 2017)</t>
  </si>
  <si>
    <t>scaling factor from Mogensen et al., 2018</t>
  </si>
  <si>
    <t>EP, kg NO3 eq.</t>
  </si>
  <si>
    <t>Environmental impact per kg DM</t>
  </si>
  <si>
    <t>soil C</t>
  </si>
  <si>
    <t xml:space="preserve">              N2O, kg</t>
  </si>
  <si>
    <t xml:space="preserve">              NH3, kg</t>
  </si>
  <si>
    <t xml:space="preserve">     OUTPUT</t>
  </si>
  <si>
    <t xml:space="preserve">      TOTAL INPUT</t>
  </si>
  <si>
    <t>Environmental impact per kg TS</t>
  </si>
  <si>
    <t>GWP,                 kg CO2 eq.</t>
  </si>
  <si>
    <t>soil C,                 kg CO2 eq.</t>
  </si>
  <si>
    <t>iLUC,                 kg CO2 eq.</t>
  </si>
  <si>
    <t>EP,                 kg NO3 eq.</t>
  </si>
  <si>
    <t>AP,                 kg SO2 eq.</t>
  </si>
  <si>
    <t>NRE,                 MJ</t>
  </si>
  <si>
    <t>LU,                        m2</t>
  </si>
  <si>
    <t>as soybean cake</t>
  </si>
  <si>
    <t>AP, kg SO2</t>
  </si>
  <si>
    <t>as grass clover silage</t>
  </si>
  <si>
    <t>as barley</t>
  </si>
  <si>
    <t>as maize silage</t>
  </si>
  <si>
    <t>as barley straw</t>
  </si>
  <si>
    <t>as barley silage</t>
  </si>
  <si>
    <t>as grass silage</t>
  </si>
  <si>
    <t>as faba beans</t>
  </si>
  <si>
    <t>as rapeseed cake</t>
  </si>
  <si>
    <t>as conventional (Flysjo, 2011)</t>
  </si>
  <si>
    <t>as soybean meal</t>
  </si>
  <si>
    <t>as conventional (Mogensen et al., 2018)</t>
  </si>
  <si>
    <t>Comments</t>
  </si>
  <si>
    <t>Crop</t>
  </si>
  <si>
    <t>offfarm</t>
  </si>
  <si>
    <t>onfarm</t>
  </si>
  <si>
    <t>paddock</t>
  </si>
  <si>
    <t>folde</t>
  </si>
  <si>
    <t>byg - fra gaard</t>
  </si>
  <si>
    <t>hvede - fra gaard</t>
  </si>
  <si>
    <t>havre - fra gaard</t>
  </si>
  <si>
    <t>rug - fra gaard</t>
  </si>
  <si>
    <t>triticale - fra gaard</t>
  </si>
  <si>
    <t>ærter - fra gaard</t>
  </si>
  <si>
    <t>kløvergræs ensilage - fra gaard</t>
  </si>
  <si>
    <t>græs ensilage - fra gaard</t>
  </si>
  <si>
    <t>barley - onfarm</t>
  </si>
  <si>
    <t>wheat - on farm</t>
  </si>
  <si>
    <t>oats - on farm</t>
  </si>
  <si>
    <t>rye - on farm</t>
  </si>
  <si>
    <t xml:space="preserve">triticale - on farm </t>
  </si>
  <si>
    <t xml:space="preserve">peas - on farm </t>
  </si>
  <si>
    <t>grass-clover silage - on farm</t>
  </si>
  <si>
    <t>grass silage - on farm</t>
  </si>
  <si>
    <t xml:space="preserve">     TOTAL </t>
  </si>
  <si>
    <t xml:space="preserve">      INPUT</t>
  </si>
  <si>
    <t>365-(Diegivningsdage+Drægtighedsdage per årsso)</t>
  </si>
  <si>
    <t>Maks dage med græsoptag per år</t>
  </si>
  <si>
    <t>Anders Peter Adamsen, Seges</t>
  </si>
  <si>
    <t>Foderdage ude * græsoptag per dag*andel af året ude</t>
  </si>
  <si>
    <t>Foderdage i alt * grovfoderoptag per dag * andel af året med grovfodertildeling</t>
  </si>
  <si>
    <t xml:space="preserve">tjek </t>
  </si>
  <si>
    <t>Antagelse altid grovfoder inde, så er andel af foderdage ude / total foderdage &lt; dage med grovfoder/365, gives alt inde</t>
  </si>
  <si>
    <t xml:space="preserve">ellers tildeles ude: ((foderdage ude- total foderdage)-(dage med grovfoder/365))*kg grovfoder </t>
  </si>
  <si>
    <t>IKKE TAGET HØJDE FOR AT NOGET SÆLGES - skal tages fra den samlede bedrift</t>
  </si>
  <si>
    <t>inkl. direkte udbragt</t>
  </si>
  <si>
    <t>TAN bruges ved beregning af gylle / alje mens TAN N + Org-N bruges ved beregning af total N</t>
  </si>
  <si>
    <t>(TAN N+Org N) * emissionfaktor fanblad "opstaldning…." (summeret for ude og inde areal, mht. fordelingen af gødning ude/inde)</t>
  </si>
  <si>
    <t>TAN bruges ved beregning af gylle / alje mens TAN-N+Org N dyr bruges ved beregning af total N</t>
  </si>
  <si>
    <t>(TAN-N+Org N ab dyr) * emissionfaktor fanblad "opstaldning…." (summeret for ude og inde areal, mht. fordelingen af gødning ude/inde)</t>
  </si>
  <si>
    <t xml:space="preserve">     Tildelt ude inkl. Græs</t>
  </si>
  <si>
    <t xml:space="preserve">     Tildelt ude inkl græs</t>
  </si>
  <si>
    <t>inkl.  direkte udbragt</t>
  </si>
  <si>
    <t>Folden / The paddock</t>
  </si>
  <si>
    <t>kløvergræs + træer</t>
  </si>
  <si>
    <t>(råprotein g/kg*Fe per 100 kg*FE per dyr per dag (blanding 1)*foderdage blanding 1 )+ (råprotein g/kg*Fe per 100 kg*FE per dyr per dag (blanding 2)*Dage blanding 2)</t>
  </si>
  <si>
    <t>(råprotein g/kg*kg tildelt) +(råprotein g/kg *forventet græsoptag,kg )</t>
  </si>
  <si>
    <t>Fe per fravænnet gris*fravænnet grise per årsso*(fravæningsalder-dag start tildeling)</t>
  </si>
  <si>
    <t xml:space="preserve">N og P BALANCEN </t>
  </si>
  <si>
    <t>Ind, kg:</t>
  </si>
  <si>
    <t>N</t>
  </si>
  <si>
    <t>Ud, kg</t>
  </si>
  <si>
    <t>Ab dyr, kg</t>
  </si>
  <si>
    <t>p</t>
  </si>
  <si>
    <t xml:space="preserve">N og P-BALANCEN </t>
  </si>
  <si>
    <t xml:space="preserve">N og P: Svin baggrundsmateriale 2016-2017; K: Poulsen et al. 2001 (N, P and K content in animals) DJF rapport nr 36 </t>
  </si>
  <si>
    <t>N og P: Svin baggrundsmateriale 2016-2017;</t>
  </si>
  <si>
    <t>N dyr og N foder; P dyr, P foder, P strøelse</t>
  </si>
  <si>
    <t>N ab mark, forsuringstank</t>
  </si>
  <si>
    <t xml:space="preserve">kg </t>
  </si>
  <si>
    <t>kg VS</t>
  </si>
  <si>
    <t>kg CH4</t>
  </si>
  <si>
    <t xml:space="preserve">                  paddock</t>
  </si>
  <si>
    <t>Normtal, 2017</t>
  </si>
  <si>
    <t>sows</t>
  </si>
  <si>
    <t>piglets</t>
  </si>
  <si>
    <t>sl. pigs</t>
  </si>
  <si>
    <t>emission</t>
  </si>
  <si>
    <t>kg CAN</t>
  </si>
  <si>
    <t>kg P2O5</t>
  </si>
  <si>
    <t>kg K2O</t>
  </si>
  <si>
    <t>kg N2O-N</t>
  </si>
  <si>
    <t>kg NH3-N</t>
  </si>
  <si>
    <t>kg Nox-N</t>
  </si>
  <si>
    <t>kg N2-N</t>
  </si>
  <si>
    <t>kg NO3-N</t>
  </si>
  <si>
    <t xml:space="preserve">      TRANSPORT, tkm</t>
  </si>
  <si>
    <t xml:space="preserve">      TOTAL </t>
  </si>
  <si>
    <t>Data</t>
  </si>
  <si>
    <t xml:space="preserve">Housing </t>
  </si>
  <si>
    <t>Storage</t>
  </si>
  <si>
    <t>Application</t>
  </si>
  <si>
    <t>Backgroung data</t>
  </si>
  <si>
    <t>Other Efs</t>
  </si>
  <si>
    <t>Topdown tables</t>
  </si>
  <si>
    <t>NPK tal</t>
  </si>
  <si>
    <t>Emission stable -paddock</t>
  </si>
  <si>
    <t>Background data</t>
  </si>
  <si>
    <t>Input data</t>
  </si>
  <si>
    <t>Feed table</t>
  </si>
  <si>
    <t>Fields</t>
  </si>
  <si>
    <t>Feed overview</t>
  </si>
  <si>
    <t>Flow sows</t>
  </si>
  <si>
    <t>Flow piglets</t>
  </si>
  <si>
    <t>Flow slaughter pigs</t>
  </si>
  <si>
    <t>N-P balance sows</t>
  </si>
  <si>
    <t>N-P balance slaughter pigs</t>
  </si>
  <si>
    <t>N-P balance piglets</t>
  </si>
  <si>
    <t>Intermediary results</t>
  </si>
  <si>
    <t>Total feed use at farm</t>
  </si>
  <si>
    <t>N balance</t>
  </si>
  <si>
    <t>Environmental impact results</t>
  </si>
  <si>
    <t>Results</t>
  </si>
  <si>
    <t xml:space="preserve">Feed rations </t>
  </si>
  <si>
    <t>Std. minerals mixture, wet feeding, lactating sows</t>
  </si>
  <si>
    <t>Std. minerals mixture, wet feeding, pregnant sows</t>
  </si>
  <si>
    <t>Std. minerals mixture, pregnant sows</t>
  </si>
  <si>
    <t>Std. minerals mixture, lactating sows</t>
  </si>
  <si>
    <t>total net emission</t>
  </si>
  <si>
    <t>Tan-N</t>
  </si>
  <si>
    <t>Org-N</t>
  </si>
  <si>
    <t>TAN-N</t>
  </si>
  <si>
    <t>per produceret slagtesvin</t>
  </si>
  <si>
    <t>(dage bl. 1*kuld per år)+(golddage)</t>
  </si>
  <si>
    <r>
      <t xml:space="preserve"> (Fe per dag efter faring*diegivningsdage)+(FE per dyr per dag før faring*dage ind før faring*antal kuld per</t>
    </r>
    <r>
      <rPr>
        <sz val="11"/>
        <rFont val="Georgia"/>
        <family val="1"/>
      </rPr>
      <t xml:space="preserve"> år) (incl dage før faring i folden)</t>
    </r>
  </si>
  <si>
    <t>Hvis dyrene er opstaldet udendørs antages det at de optage 1 kg græs per dag ude, dog maks 180 dage om året (Se NPK tal)</t>
  </si>
  <si>
    <t>hestebønner - fra gaard</t>
  </si>
  <si>
    <t>faba beans - on farm</t>
  </si>
  <si>
    <t xml:space="preserve">Total </t>
  </si>
  <si>
    <t>production place</t>
  </si>
  <si>
    <t>crop</t>
  </si>
  <si>
    <t>vitaminer og mineraler</t>
  </si>
  <si>
    <t>byg</t>
  </si>
  <si>
    <t>citruskvas</t>
  </si>
  <si>
    <t>fiskemel</t>
  </si>
  <si>
    <t>fiskeprotein</t>
  </si>
  <si>
    <t>foderkridt</t>
  </si>
  <si>
    <t>foderris</t>
  </si>
  <si>
    <t>fodersukker</t>
  </si>
  <si>
    <t>PFAD</t>
  </si>
  <si>
    <t>blandingsfedt</t>
  </si>
  <si>
    <t>græsensilage</t>
  </si>
  <si>
    <t>grønpiller</t>
  </si>
  <si>
    <t>gærfløde</t>
  </si>
  <si>
    <t>havreskalmel</t>
  </si>
  <si>
    <t>hestebønner</t>
  </si>
  <si>
    <t>hvedegluten</t>
  </si>
  <si>
    <t>hvedeglutenfoder</t>
  </si>
  <si>
    <t>hvedeklid</t>
  </si>
  <si>
    <t>hvedestrømel</t>
  </si>
  <si>
    <t>hørfrø</t>
  </si>
  <si>
    <t>kartoffelprotein</t>
  </si>
  <si>
    <t>kokoskage</t>
  </si>
  <si>
    <t>kolbemajs</t>
  </si>
  <si>
    <t>kornbærme, tørret</t>
  </si>
  <si>
    <t>halm</t>
  </si>
  <si>
    <t>kornplanter, helsæd af byg</t>
  </si>
  <si>
    <t>kornplanter, helsæd af byg-ært</t>
  </si>
  <si>
    <t>kornplanter, helsæd af hvede</t>
  </si>
  <si>
    <t>kornplanter, helsæd af hvede-ært</t>
  </si>
  <si>
    <t>kornplanter, helsæd af ært</t>
  </si>
  <si>
    <t>kærnemælkspulver</t>
  </si>
  <si>
    <t>lupin</t>
  </si>
  <si>
    <t>laktoseprodukt</t>
  </si>
  <si>
    <t>majs</t>
  </si>
  <si>
    <t>majsensilage</t>
  </si>
  <si>
    <t>majsfodermel</t>
  </si>
  <si>
    <t>majsgluten</t>
  </si>
  <si>
    <t>majsglutenfoder</t>
  </si>
  <si>
    <t>majskim</t>
  </si>
  <si>
    <t>mask</t>
  </si>
  <si>
    <t>mælkeproteinpulver</t>
  </si>
  <si>
    <t>mælkesyre</t>
  </si>
  <si>
    <t>palmekage</t>
  </si>
  <si>
    <t>rapsfrø</t>
  </si>
  <si>
    <t>rapskagefoder</t>
  </si>
  <si>
    <t>restmælk</t>
  </si>
  <si>
    <t>risfodermel</t>
  </si>
  <si>
    <t>skummetmælk</t>
  </si>
  <si>
    <t>skummetpulver</t>
  </si>
  <si>
    <t>sojabønner</t>
  </si>
  <si>
    <t>sojakage</t>
  </si>
  <si>
    <t>sojaproteinkoncentrat</t>
  </si>
  <si>
    <t>sojaskaller</t>
  </si>
  <si>
    <t>sojaskåfoder</t>
  </si>
  <si>
    <t>solsikkekage</t>
  </si>
  <si>
    <t>solsikkeskråfoder</t>
  </si>
  <si>
    <t>sukkerroemelasse</t>
  </si>
  <si>
    <t>sukkerroesnitter</t>
  </si>
  <si>
    <t>svinefedt</t>
  </si>
  <si>
    <t>sødmælk</t>
  </si>
  <si>
    <t>sødmælkspulver</t>
  </si>
  <si>
    <t>tapioka</t>
  </si>
  <si>
    <t>tørgær</t>
  </si>
  <si>
    <t>valle</t>
  </si>
  <si>
    <t>vallepulver</t>
  </si>
  <si>
    <t>vand</t>
  </si>
  <si>
    <t>veg fedt</t>
  </si>
  <si>
    <t>vegetabilsk olie og fedtstof</t>
  </si>
  <si>
    <t>kløvergræs</t>
  </si>
  <si>
    <t xml:space="preserve">byg </t>
  </si>
  <si>
    <t xml:space="preserve">hvede </t>
  </si>
  <si>
    <t xml:space="preserve">havre </t>
  </si>
  <si>
    <t xml:space="preserve">rug </t>
  </si>
  <si>
    <t xml:space="preserve">ærter </t>
  </si>
  <si>
    <t xml:space="preserve">græs ensilage </t>
  </si>
  <si>
    <t xml:space="preserve">hestebønner </t>
  </si>
  <si>
    <t xml:space="preserve">barley </t>
  </si>
  <si>
    <t xml:space="preserve">wheat </t>
  </si>
  <si>
    <t xml:space="preserve">oats </t>
  </si>
  <si>
    <t xml:space="preserve">rye </t>
  </si>
  <si>
    <t xml:space="preserve">triticale </t>
  </si>
  <si>
    <t xml:space="preserve">peas </t>
  </si>
  <si>
    <t xml:space="preserve">grass-clover silage </t>
  </si>
  <si>
    <t xml:space="preserve">grass silage </t>
  </si>
  <si>
    <t xml:space="preserve">faba beans </t>
  </si>
  <si>
    <t>Tildelt grovfoder</t>
  </si>
  <si>
    <t>TOTAL</t>
  </si>
  <si>
    <t>vitamins and minerals</t>
  </si>
  <si>
    <t>citric acid</t>
  </si>
  <si>
    <t>citrus pulp</t>
  </si>
  <si>
    <t>cikorie</t>
  </si>
  <si>
    <t>cichory</t>
  </si>
  <si>
    <t>fish meal</t>
  </si>
  <si>
    <t>fish protein</t>
  </si>
  <si>
    <t>chalk</t>
  </si>
  <si>
    <t>foder rice</t>
  </si>
  <si>
    <t>foder sugar</t>
  </si>
  <si>
    <t>mixed fats</t>
  </si>
  <si>
    <t>grass silage</t>
  </si>
  <si>
    <t>grass pills</t>
  </si>
  <si>
    <t>yeast cream</t>
  </si>
  <si>
    <t>oats</t>
  </si>
  <si>
    <t>oats flour</t>
  </si>
  <si>
    <t>wheat</t>
  </si>
  <si>
    <t>wheat gluten</t>
  </si>
  <si>
    <t>wheat gluten foder</t>
  </si>
  <si>
    <t>wheat bran</t>
  </si>
  <si>
    <t xml:space="preserve">wheat bran </t>
  </si>
  <si>
    <t>wheat tailings</t>
  </si>
  <si>
    <t>linseed</t>
  </si>
  <si>
    <t>potatoes protein</t>
  </si>
  <si>
    <t>coconut meal</t>
  </si>
  <si>
    <t>COCONUT MEAL</t>
  </si>
  <si>
    <t>maize cob</t>
  </si>
  <si>
    <t>maize gluten, dried</t>
  </si>
  <si>
    <t>straw</t>
  </si>
  <si>
    <t>whole crop silage, barley</t>
  </si>
  <si>
    <t>whole crop silage, barley-peas</t>
  </si>
  <si>
    <t>whole crop silage, wheat</t>
  </si>
  <si>
    <t>whole crop silage, wheat-peas</t>
  </si>
  <si>
    <t>whole crop silage, peas</t>
  </si>
  <si>
    <t>buttermilk powder</t>
  </si>
  <si>
    <t>lupine</t>
  </si>
  <si>
    <t>lactose</t>
  </si>
  <si>
    <t>maize</t>
  </si>
  <si>
    <t>maize middlings</t>
  </si>
  <si>
    <t>maize gluten</t>
  </si>
  <si>
    <t>maize germs</t>
  </si>
  <si>
    <t>brewers grains</t>
  </si>
  <si>
    <t>milk protein powder</t>
  </si>
  <si>
    <t>milk acids</t>
  </si>
  <si>
    <t>palm cake</t>
  </si>
  <si>
    <t>rapeseed</t>
  </si>
  <si>
    <t>milk rest</t>
  </si>
  <si>
    <t>rice foder</t>
  </si>
  <si>
    <t>rye</t>
  </si>
  <si>
    <t>skimmed milk</t>
  </si>
  <si>
    <t>skimmed milk powder</t>
  </si>
  <si>
    <t>soybeans</t>
  </si>
  <si>
    <t>soybeans cake</t>
  </si>
  <si>
    <t>soybeans protein concentrate</t>
  </si>
  <si>
    <t>soybeans hulls</t>
  </si>
  <si>
    <t>soybean meal</t>
  </si>
  <si>
    <t>sunflower cake</t>
  </si>
  <si>
    <t>mollases</t>
  </si>
  <si>
    <t>beet pulp pellets</t>
  </si>
  <si>
    <t>pork fats</t>
  </si>
  <si>
    <t>whole milk</t>
  </si>
  <si>
    <t>whole milk powder</t>
  </si>
  <si>
    <t>dried yeast</t>
  </si>
  <si>
    <t>whey</t>
  </si>
  <si>
    <t>whey powder</t>
  </si>
  <si>
    <t>water</t>
  </si>
  <si>
    <t>veg fat</t>
  </si>
  <si>
    <t>veg oil and fats</t>
  </si>
  <si>
    <t>grass-clover</t>
  </si>
  <si>
    <t xml:space="preserve">              NOx, kg</t>
  </si>
  <si>
    <t>Økologisk svineproduktions miljøpåvirkninger</t>
  </si>
  <si>
    <t>Beslutningsstøttemodel til estimering af miljøpåvirkninger på bedriftniveau</t>
  </si>
  <si>
    <t>Heidi Mai-Lis Andersen, Teodora Dorca-Preda, John Hermansen</t>
  </si>
  <si>
    <t>as conventional (roer (rod) - Mogensen et al., 2018)</t>
  </si>
  <si>
    <t>NOx-N</t>
  </si>
  <si>
    <t>total emission</t>
  </si>
  <si>
    <t xml:space="preserve">   NOx-N</t>
  </si>
  <si>
    <t xml:space="preserve">   NOx</t>
  </si>
  <si>
    <t>version 01; 19/09/2018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</si>
</sst>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0.000"/>
    <numFmt numFmtId="166" formatCode="0.0%"/>
    <numFmt numFmtId="167" formatCode="0.00000"/>
    <numFmt numFmtId="168" formatCode="0.000000000"/>
  </numFmts>
  <fonts count="103" x14ac:knownFonts="1">
    <font>
      <sz val="11"/>
      <color theme="1"/>
      <name val="Calibri"/>
      <family val="2"/>
      <scheme val="minor"/>
    </font>
    <font>
      <b/>
      <sz val="11"/>
      <color theme="1"/>
      <name val="Calibri"/>
      <family val="2"/>
      <scheme val="minor"/>
    </font>
    <font>
      <i/>
      <sz val="11"/>
      <color theme="1"/>
      <name val="Calibri"/>
      <family val="2"/>
      <scheme val="minor"/>
    </font>
    <font>
      <b/>
      <sz val="9"/>
      <color indexed="81"/>
      <name val="Tahoma"/>
      <family val="2"/>
    </font>
    <font>
      <sz val="9"/>
      <color indexed="81"/>
      <name val="Tahoma"/>
      <family val="2"/>
    </font>
    <font>
      <sz val="10"/>
      <name val="MS Sans Serif"/>
      <family val="2"/>
    </font>
    <font>
      <sz val="10"/>
      <color theme="1"/>
      <name val="Arial"/>
      <family val="2"/>
    </font>
    <font>
      <sz val="11"/>
      <color theme="1"/>
      <name val="Calibri"/>
      <family val="2"/>
      <scheme val="minor"/>
    </font>
    <font>
      <sz val="10"/>
      <name val="MS Sans Serif"/>
    </font>
    <font>
      <sz val="7"/>
      <name val="MS Sans Serif"/>
      <family val="2"/>
    </font>
    <font>
      <sz val="8.5"/>
      <name val="MS Sans Serif"/>
      <family val="2"/>
    </font>
    <font>
      <sz val="10"/>
      <name val="Arial"/>
      <family val="2"/>
    </font>
    <font>
      <u/>
      <sz val="11"/>
      <color theme="10"/>
      <name val="Calibri"/>
      <family val="2"/>
    </font>
    <font>
      <sz val="11"/>
      <name val="Arial"/>
      <family val="2"/>
    </font>
    <font>
      <sz val="10"/>
      <name val="System"/>
      <family val="2"/>
    </font>
    <font>
      <u/>
      <sz val="10"/>
      <color theme="10"/>
      <name val="System"/>
      <family val="2"/>
    </font>
    <font>
      <sz val="11"/>
      <name val="Calibri"/>
      <family val="2"/>
      <scheme val="minor"/>
    </font>
    <font>
      <sz val="11"/>
      <color rgb="FFFF0000"/>
      <name val="Calibri"/>
      <family val="2"/>
      <scheme val="minor"/>
    </font>
    <font>
      <i/>
      <sz val="11"/>
      <color theme="0" tint="-0.34998626667073579"/>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b/>
      <sz val="11"/>
      <color theme="3"/>
      <name val="Georgia"/>
      <family val="1"/>
    </font>
    <font>
      <i/>
      <sz val="11"/>
      <color theme="0" tint="-0.34998626667073579"/>
      <name val="Georgia"/>
      <family val="1"/>
    </font>
    <font>
      <sz val="11"/>
      <color theme="1"/>
      <name val="Georgia"/>
      <family val="1"/>
    </font>
    <font>
      <sz val="11"/>
      <color rgb="FF000000"/>
      <name val="Georgia"/>
      <family val="1"/>
    </font>
    <font>
      <i/>
      <sz val="11"/>
      <name val="Georgia"/>
      <family val="1"/>
    </font>
    <font>
      <sz val="11"/>
      <color rgb="FFFF0000"/>
      <name val="Georgia"/>
      <family val="1"/>
    </font>
    <font>
      <i/>
      <sz val="11"/>
      <color rgb="FFFF0000"/>
      <name val="Georgia"/>
      <family val="1"/>
    </font>
    <font>
      <sz val="11"/>
      <color theme="0"/>
      <name val="Georgia"/>
      <family val="1"/>
    </font>
    <font>
      <sz val="11"/>
      <color theme="0" tint="-0.499984740745262"/>
      <name val="Georgia"/>
      <family val="1"/>
    </font>
    <font>
      <sz val="11"/>
      <name val="Georgia"/>
      <family val="1"/>
    </font>
    <font>
      <b/>
      <sz val="9"/>
      <color indexed="81"/>
      <name val="Calibri"/>
      <family val="2"/>
    </font>
    <font>
      <sz val="9"/>
      <color indexed="81"/>
      <name val="Calibri"/>
      <family val="2"/>
    </font>
    <font>
      <b/>
      <sz val="11"/>
      <color theme="1"/>
      <name val="Georgia"/>
      <family val="1"/>
    </font>
    <font>
      <b/>
      <sz val="14"/>
      <color theme="1"/>
      <name val="Georgia"/>
      <family val="1"/>
    </font>
    <font>
      <b/>
      <sz val="11"/>
      <color theme="4" tint="-0.249977111117893"/>
      <name val="Georgia"/>
      <family val="1"/>
    </font>
    <font>
      <sz val="11"/>
      <color theme="0" tint="-0.34998626667073579"/>
      <name val="Georgia"/>
      <family val="1"/>
    </font>
    <font>
      <b/>
      <i/>
      <sz val="11"/>
      <color theme="1"/>
      <name val="Georgia"/>
      <family val="1"/>
    </font>
    <font>
      <b/>
      <i/>
      <sz val="11"/>
      <name val="Georgia"/>
      <family val="1"/>
    </font>
    <font>
      <b/>
      <i/>
      <u/>
      <sz val="11"/>
      <color theme="1"/>
      <name val="Georgia"/>
      <family val="1"/>
    </font>
    <font>
      <u/>
      <sz val="11"/>
      <color theme="1"/>
      <name val="Georgia"/>
      <family val="1"/>
    </font>
    <font>
      <sz val="10"/>
      <color theme="0"/>
      <name val="MS Sans Serif"/>
      <family val="2"/>
    </font>
    <font>
      <sz val="6"/>
      <color theme="0"/>
      <name val="MS Sans Serif"/>
      <family val="2"/>
    </font>
    <font>
      <sz val="7"/>
      <color theme="0"/>
      <name val="MS Sans Serif"/>
      <family val="2"/>
    </font>
    <font>
      <b/>
      <sz val="10"/>
      <color theme="0"/>
      <name val="MS Sans Serif"/>
      <family val="2"/>
    </font>
    <font>
      <b/>
      <sz val="8.5"/>
      <color theme="0"/>
      <name val="MS Sans Serif"/>
      <family val="2"/>
    </font>
    <font>
      <b/>
      <sz val="8"/>
      <color theme="0"/>
      <name val="MS Sans Serif"/>
      <family val="2"/>
    </font>
    <font>
      <sz val="8.5"/>
      <color theme="0"/>
      <name val="MS Sans Serif"/>
      <family val="2"/>
    </font>
    <font>
      <b/>
      <sz val="7"/>
      <color theme="0"/>
      <name val="MS Sans Serif"/>
      <family val="2"/>
    </font>
    <font>
      <b/>
      <sz val="11"/>
      <color theme="0"/>
      <name val="MS Sans Serif"/>
      <family val="2"/>
    </font>
    <font>
      <sz val="11"/>
      <color theme="0"/>
      <name val="Calibri"/>
      <family val="2"/>
      <scheme val="minor"/>
    </font>
    <font>
      <b/>
      <i/>
      <sz val="12"/>
      <color theme="3" tint="-0.249977111117893"/>
      <name val="Georgia"/>
      <family val="1"/>
    </font>
    <font>
      <b/>
      <i/>
      <sz val="14"/>
      <color theme="3" tint="-0.249977111117893"/>
      <name val="Georgia"/>
      <family val="1"/>
    </font>
    <font>
      <i/>
      <sz val="11"/>
      <color theme="6"/>
      <name val="Georgia"/>
      <family val="1"/>
    </font>
    <font>
      <i/>
      <u/>
      <sz val="11"/>
      <color theme="4" tint="-0.249977111117893"/>
      <name val="Georgia"/>
      <family val="1"/>
    </font>
    <font>
      <sz val="11"/>
      <color theme="4" tint="-0.499984740745262"/>
      <name val="Georgia"/>
      <family val="1"/>
    </font>
    <font>
      <i/>
      <u/>
      <sz val="11"/>
      <color theme="1"/>
      <name val="Georgia"/>
      <family val="1"/>
    </font>
    <font>
      <sz val="11"/>
      <color rgb="FFC00000"/>
      <name val="Georgia"/>
      <family val="1"/>
    </font>
    <font>
      <sz val="10"/>
      <color rgb="FFC00000"/>
      <name val="MS Sans Serif"/>
      <family val="2"/>
    </font>
    <font>
      <sz val="12"/>
      <color rgb="FFFF0000"/>
      <name val="Georgia"/>
      <family val="1"/>
    </font>
    <font>
      <b/>
      <sz val="11"/>
      <color rgb="FFFF0000"/>
      <name val="Georgia"/>
      <family val="1"/>
    </font>
    <font>
      <b/>
      <u/>
      <sz val="11"/>
      <color theme="1"/>
      <name val="Georgia"/>
      <family val="1"/>
    </font>
    <font>
      <i/>
      <sz val="11"/>
      <color theme="1"/>
      <name val="Georgia"/>
      <family val="1"/>
    </font>
    <font>
      <sz val="10"/>
      <name val="Georgia"/>
      <family val="1"/>
    </font>
    <font>
      <sz val="7"/>
      <name val="Georgia"/>
      <family val="1"/>
    </font>
    <font>
      <sz val="8.5"/>
      <name val="Georgia"/>
      <family val="1"/>
    </font>
    <font>
      <b/>
      <sz val="9"/>
      <color theme="1"/>
      <name val="Georgia"/>
      <family val="1"/>
    </font>
    <font>
      <sz val="9"/>
      <color theme="1"/>
      <name val="Georgia"/>
      <family val="1"/>
    </font>
    <font>
      <sz val="5"/>
      <color theme="1"/>
      <name val="Georgia"/>
      <family val="1"/>
    </font>
    <font>
      <sz val="10"/>
      <color theme="1"/>
      <name val="Georgia"/>
      <family val="1"/>
    </font>
    <font>
      <sz val="11"/>
      <color rgb="FFFFF8EB"/>
      <name val="Georgia"/>
      <family val="1"/>
    </font>
    <font>
      <i/>
      <sz val="11"/>
      <color rgb="FF000000"/>
      <name val="Georgia"/>
      <family val="1"/>
    </font>
    <font>
      <b/>
      <sz val="11"/>
      <color indexed="8"/>
      <name val="Georgia"/>
      <family val="1"/>
    </font>
    <font>
      <sz val="11"/>
      <color indexed="8"/>
      <name val="Georgia"/>
      <family val="1"/>
    </font>
    <font>
      <b/>
      <sz val="11"/>
      <color theme="0"/>
      <name val="Calibri"/>
      <family val="2"/>
      <scheme val="minor"/>
    </font>
    <font>
      <b/>
      <sz val="11"/>
      <name val="Calibri"/>
      <family val="2"/>
      <scheme val="minor"/>
    </font>
    <font>
      <sz val="9"/>
      <color rgb="FF00B050"/>
      <name val="Arial"/>
      <family val="2"/>
    </font>
    <font>
      <vertAlign val="superscript"/>
      <sz val="11"/>
      <color theme="1"/>
      <name val="Calibri"/>
      <family val="2"/>
      <scheme val="minor"/>
    </font>
    <font>
      <i/>
      <sz val="11"/>
      <color rgb="FFFF0000"/>
      <name val="Calibri"/>
      <family val="2"/>
      <scheme val="minor"/>
    </font>
    <font>
      <sz val="11"/>
      <color rgb="FF0070C0"/>
      <name val="Calibri"/>
      <family val="2"/>
      <scheme val="minor"/>
    </font>
    <font>
      <b/>
      <sz val="11"/>
      <color theme="5" tint="-0.249977111117893"/>
      <name val="Georgia"/>
      <family val="1"/>
    </font>
    <font>
      <b/>
      <i/>
      <sz val="11"/>
      <color theme="4" tint="-0.249977111117893"/>
      <name val="Georgia"/>
      <family val="1"/>
    </font>
    <font>
      <sz val="11"/>
      <color theme="6"/>
      <name val="Georgia"/>
      <family val="1"/>
    </font>
    <font>
      <b/>
      <i/>
      <sz val="14"/>
      <color theme="4" tint="-0.249977111117893"/>
      <name val="Georgia"/>
      <family val="1"/>
    </font>
    <font>
      <b/>
      <i/>
      <sz val="11"/>
      <color theme="3" tint="-0.249977111117893"/>
      <name val="Georgia"/>
      <family val="1"/>
    </font>
    <font>
      <sz val="11"/>
      <color theme="4" tint="-0.249977111117893"/>
      <name val="Georgia"/>
      <family val="1"/>
    </font>
    <font>
      <i/>
      <u/>
      <sz val="11"/>
      <color theme="3" tint="-0.249977111117893"/>
      <name val="Georgia"/>
      <family val="1"/>
    </font>
    <font>
      <b/>
      <i/>
      <sz val="11"/>
      <color rgb="FFFF0000"/>
      <name val="Georgia"/>
      <family val="1"/>
    </font>
    <font>
      <b/>
      <i/>
      <sz val="11"/>
      <color theme="0" tint="-0.34998626667073579"/>
      <name val="Georgia"/>
      <family val="1"/>
    </font>
    <font>
      <sz val="11"/>
      <color theme="3" tint="-0.249977111117893"/>
      <name val="Georgia"/>
      <family val="1"/>
    </font>
    <font>
      <sz val="11"/>
      <color theme="9"/>
      <name val="Georgia"/>
      <family val="1"/>
    </font>
    <font>
      <sz val="10"/>
      <color rgb="FFFF0000"/>
      <name val="MS Sans Serif"/>
      <family val="2"/>
    </font>
    <font>
      <sz val="11"/>
      <color rgb="FF0070C0"/>
      <name val="Georgia"/>
      <family val="1"/>
    </font>
    <font>
      <u/>
      <sz val="11"/>
      <color theme="11"/>
      <name val="Calibri"/>
      <family val="2"/>
      <scheme val="minor"/>
    </font>
    <font>
      <b/>
      <sz val="11"/>
      <name val="Georgia"/>
      <family val="1"/>
    </font>
    <font>
      <i/>
      <sz val="11"/>
      <color theme="5" tint="-0.249977111117893"/>
      <name val="Georgia"/>
      <family val="1"/>
    </font>
    <font>
      <b/>
      <sz val="11"/>
      <color theme="0"/>
      <name val="Georgia"/>
      <family val="1"/>
    </font>
    <font>
      <b/>
      <sz val="11"/>
      <color theme="0" tint="-0.34998626667073579"/>
      <name val="Georgia"/>
      <family val="1"/>
    </font>
    <font>
      <sz val="11"/>
      <color theme="6" tint="-0.249977111117893"/>
      <name val="Georgia"/>
      <family val="1"/>
    </font>
    <font>
      <b/>
      <sz val="14"/>
      <color theme="6" tint="-0.249977111117893"/>
      <name val="Georgia"/>
      <family val="1"/>
    </font>
  </fonts>
  <fills count="23">
    <fill>
      <patternFill patternType="none"/>
    </fill>
    <fill>
      <patternFill patternType="gray125"/>
    </fill>
    <fill>
      <patternFill patternType="solid">
        <fgColor rgb="FFD6EDBD"/>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6"/>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9"/>
        <bgColor indexed="64"/>
      </patternFill>
    </fill>
    <fill>
      <patternFill patternType="solid">
        <fgColor rgb="FF74913B"/>
        <bgColor indexed="64"/>
      </patternFill>
    </fill>
    <fill>
      <patternFill patternType="solid">
        <fgColor theme="6" tint="-0.249977111117893"/>
        <bgColor indexed="64"/>
      </patternFill>
    </fill>
    <fill>
      <patternFill patternType="solid">
        <fgColor theme="0"/>
        <bgColor rgb="FF000000"/>
      </patternFill>
    </fill>
    <fill>
      <patternFill patternType="solid">
        <fgColor theme="6" tint="0.59999389629810485"/>
        <bgColor rgb="FF000000"/>
      </patternFill>
    </fill>
    <fill>
      <patternFill patternType="solid">
        <fgColor rgb="FFFFCC99"/>
      </patternFill>
    </fill>
    <fill>
      <patternFill patternType="solid">
        <fgColor rgb="FFFF0000"/>
        <bgColor indexed="64"/>
      </patternFill>
    </fill>
    <fill>
      <patternFill patternType="solid">
        <fgColor rgb="FFFFF8EB"/>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79998168889431442"/>
        <bgColor indexed="64"/>
      </patternFill>
    </fill>
  </fills>
  <borders count="91">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ck">
        <color theme="6" tint="-0.24994659260841701"/>
      </left>
      <right/>
      <top style="thick">
        <color theme="6" tint="-0.24994659260841701"/>
      </top>
      <bottom/>
      <diagonal/>
    </border>
    <border>
      <left/>
      <right/>
      <top style="thick">
        <color theme="6" tint="-0.24994659260841701"/>
      </top>
      <bottom/>
      <diagonal/>
    </border>
    <border>
      <left/>
      <right style="thick">
        <color theme="6" tint="-0.24994659260841701"/>
      </right>
      <top style="thick">
        <color theme="6" tint="-0.24994659260841701"/>
      </top>
      <bottom/>
      <diagonal/>
    </border>
    <border>
      <left style="thick">
        <color theme="6" tint="-0.24994659260841701"/>
      </left>
      <right/>
      <top/>
      <bottom/>
      <diagonal/>
    </border>
    <border>
      <left/>
      <right style="thick">
        <color theme="6" tint="-0.24994659260841701"/>
      </right>
      <top/>
      <bottom/>
      <diagonal/>
    </border>
    <border>
      <left style="thick">
        <color theme="6" tint="-0.24994659260841701"/>
      </left>
      <right/>
      <top/>
      <bottom style="thick">
        <color theme="6" tint="-0.24994659260841701"/>
      </bottom>
      <diagonal/>
    </border>
    <border>
      <left/>
      <right/>
      <top/>
      <bottom style="thick">
        <color theme="6" tint="-0.24994659260841701"/>
      </bottom>
      <diagonal/>
    </border>
    <border>
      <left/>
      <right style="thick">
        <color theme="6" tint="-0.24994659260841701"/>
      </right>
      <top/>
      <bottom style="thick">
        <color theme="6" tint="-0.24994659260841701"/>
      </bottom>
      <diagonal/>
    </border>
    <border>
      <left style="thick">
        <color theme="6" tint="0.39994506668294322"/>
      </left>
      <right/>
      <top style="thick">
        <color theme="6" tint="0.39994506668294322"/>
      </top>
      <bottom/>
      <diagonal/>
    </border>
    <border>
      <left style="thick">
        <color theme="6" tint="0.39991454817346722"/>
      </left>
      <right style="thick">
        <color theme="6" tint="0.39991454817346722"/>
      </right>
      <top style="thick">
        <color theme="6" tint="0.39994506668294322"/>
      </top>
      <bottom/>
      <diagonal/>
    </border>
    <border>
      <left/>
      <right/>
      <top style="thick">
        <color theme="6" tint="0.39994506668294322"/>
      </top>
      <bottom/>
      <diagonal/>
    </border>
    <border>
      <left/>
      <right style="thick">
        <color theme="6" tint="0.39994506668294322"/>
      </right>
      <top style="thick">
        <color theme="6" tint="0.39994506668294322"/>
      </top>
      <bottom/>
      <diagonal/>
    </border>
    <border>
      <left style="thick">
        <color theme="6" tint="0.39994506668294322"/>
      </left>
      <right/>
      <top/>
      <bottom/>
      <diagonal/>
    </border>
    <border>
      <left style="thick">
        <color theme="6" tint="0.39991454817346722"/>
      </left>
      <right style="thick">
        <color theme="6" tint="0.39991454817346722"/>
      </right>
      <top/>
      <bottom/>
      <diagonal/>
    </border>
    <border>
      <left/>
      <right style="thick">
        <color theme="6" tint="0.39994506668294322"/>
      </right>
      <top/>
      <bottom/>
      <diagonal/>
    </border>
    <border>
      <left style="thick">
        <color theme="6" tint="0.39994506668294322"/>
      </left>
      <right/>
      <top/>
      <bottom style="thick">
        <color theme="6" tint="0.39994506668294322"/>
      </bottom>
      <diagonal/>
    </border>
    <border>
      <left style="thick">
        <color theme="6" tint="0.39991454817346722"/>
      </left>
      <right style="thick">
        <color theme="6" tint="0.39991454817346722"/>
      </right>
      <top/>
      <bottom style="thick">
        <color theme="6" tint="0.39994506668294322"/>
      </bottom>
      <diagonal/>
    </border>
    <border>
      <left/>
      <right/>
      <top/>
      <bottom style="thick">
        <color theme="6" tint="0.39994506668294322"/>
      </bottom>
      <diagonal/>
    </border>
    <border>
      <left/>
      <right style="thick">
        <color theme="6" tint="0.39994506668294322"/>
      </right>
      <top/>
      <bottom style="thick">
        <color theme="6" tint="0.39994506668294322"/>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top/>
      <bottom style="medium">
        <color theme="6" tint="-0.499984740745262"/>
      </bottom>
      <diagonal/>
    </border>
    <border>
      <left/>
      <right style="medium">
        <color theme="6" tint="-0.499984740745262"/>
      </right>
      <top/>
      <bottom style="medium">
        <color theme="6" tint="-0.4999847407452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theme="6" tint="-0.499984740745262"/>
      </left>
      <right style="thin">
        <color auto="1"/>
      </right>
      <top style="thin">
        <color theme="6" tint="-0.499984740745262"/>
      </top>
      <bottom style="thin">
        <color theme="6" tint="-0.499984740745262"/>
      </bottom>
      <diagonal/>
    </border>
    <border>
      <left style="thin">
        <color auto="1"/>
      </left>
      <right style="thin">
        <color theme="6" tint="-0.499984740745262"/>
      </right>
      <top style="thin">
        <color theme="6" tint="-0.499984740745262"/>
      </top>
      <bottom style="thin">
        <color theme="6" tint="-0.4999847407452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theme="6" tint="-0.249977111117893"/>
      </left>
      <right/>
      <top style="medium">
        <color theme="6" tint="-0.249977111117893"/>
      </top>
      <bottom/>
      <diagonal/>
    </border>
    <border>
      <left/>
      <right/>
      <top style="medium">
        <color theme="6" tint="-0.249977111117893"/>
      </top>
      <bottom/>
      <diagonal/>
    </border>
    <border>
      <left/>
      <right style="medium">
        <color theme="6" tint="-0.249977111117893"/>
      </right>
      <top style="medium">
        <color theme="6" tint="-0.249977111117893"/>
      </top>
      <bottom/>
      <diagonal/>
    </border>
    <border>
      <left style="medium">
        <color theme="6" tint="-0.249977111117893"/>
      </left>
      <right/>
      <top/>
      <bottom/>
      <diagonal/>
    </border>
    <border>
      <left/>
      <right style="medium">
        <color theme="6" tint="-0.249977111117893"/>
      </right>
      <top/>
      <bottom/>
      <diagonal/>
    </border>
    <border>
      <left style="medium">
        <color theme="6" tint="-0.249977111117893"/>
      </left>
      <right/>
      <top/>
      <bottom style="medium">
        <color theme="6" tint="-0.249977111117893"/>
      </bottom>
      <diagonal/>
    </border>
    <border>
      <left/>
      <right/>
      <top/>
      <bottom style="medium">
        <color theme="6" tint="-0.249977111117893"/>
      </bottom>
      <diagonal/>
    </border>
    <border>
      <left/>
      <right style="medium">
        <color theme="6" tint="-0.249977111117893"/>
      </right>
      <top/>
      <bottom style="medium">
        <color theme="6" tint="-0.249977111117893"/>
      </bottom>
      <diagonal/>
    </border>
    <border>
      <left/>
      <right/>
      <top style="medium">
        <color theme="6" tint="-0.249977111117893"/>
      </top>
      <bottom style="medium">
        <color theme="6" tint="-0.249977111117893"/>
      </bottom>
      <diagonal/>
    </border>
    <border>
      <left style="medium">
        <color rgb="FF314B15"/>
      </left>
      <right/>
      <top style="medium">
        <color rgb="FF314B15"/>
      </top>
      <bottom/>
      <diagonal/>
    </border>
    <border>
      <left/>
      <right/>
      <top style="medium">
        <color rgb="FF314B15"/>
      </top>
      <bottom/>
      <diagonal/>
    </border>
    <border>
      <left/>
      <right style="medium">
        <color rgb="FF314B15"/>
      </right>
      <top style="medium">
        <color rgb="FF314B15"/>
      </top>
      <bottom/>
      <diagonal/>
    </border>
    <border>
      <left style="medium">
        <color rgb="FF314B15"/>
      </left>
      <right/>
      <top/>
      <bottom/>
      <diagonal/>
    </border>
    <border>
      <left/>
      <right style="medium">
        <color rgb="FF314B15"/>
      </right>
      <top/>
      <bottom/>
      <diagonal/>
    </border>
    <border>
      <left style="medium">
        <color rgb="FF314B15"/>
      </left>
      <right/>
      <top/>
      <bottom style="medium">
        <color rgb="FF314B15"/>
      </bottom>
      <diagonal/>
    </border>
    <border>
      <left/>
      <right/>
      <top/>
      <bottom style="medium">
        <color rgb="FF314B15"/>
      </bottom>
      <diagonal/>
    </border>
    <border>
      <left/>
      <right style="medium">
        <color rgb="FF314B15"/>
      </right>
      <top/>
      <bottom style="medium">
        <color rgb="FF314B15"/>
      </bottom>
      <diagonal/>
    </border>
    <border>
      <left/>
      <right style="medium">
        <color theme="6" tint="-0.499984740745262"/>
      </right>
      <top/>
      <bottom style="medium">
        <color rgb="FF314B15"/>
      </bottom>
      <diagonal/>
    </border>
    <border>
      <left/>
      <right/>
      <top style="thin">
        <color auto="1"/>
      </top>
      <bottom style="medium">
        <color auto="1"/>
      </bottom>
      <diagonal/>
    </border>
    <border>
      <left style="medium">
        <color indexed="64"/>
      </left>
      <right/>
      <top style="medium">
        <color indexed="64"/>
      </top>
      <bottom style="thin">
        <color rgb="FF314B15"/>
      </bottom>
      <diagonal/>
    </border>
    <border>
      <left/>
      <right/>
      <top style="medium">
        <color indexed="64"/>
      </top>
      <bottom style="thin">
        <color rgb="FF314B15"/>
      </bottom>
      <diagonal/>
    </border>
    <border>
      <left/>
      <right/>
      <top/>
      <bottom style="medium">
        <color rgb="FF74913B"/>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2">
    <xf numFmtId="0" fontId="0" fillId="0" borderId="0"/>
    <xf numFmtId="0" fontId="5" fillId="0" borderId="0"/>
    <xf numFmtId="0" fontId="6" fillId="0" borderId="0"/>
    <xf numFmtId="0" fontId="8" fillId="0" borderId="0"/>
    <xf numFmtId="0" fontId="11" fillId="0" borderId="0"/>
    <xf numFmtId="9" fontId="5" fillId="0" borderId="0" applyFont="0" applyFill="0" applyBorder="0" applyAlignment="0" applyProtection="0"/>
    <xf numFmtId="0" fontId="7" fillId="0" borderId="0"/>
    <xf numFmtId="0" fontId="12" fillId="0" borderId="0" applyNumberFormat="0" applyFill="0" applyBorder="0" applyAlignment="0" applyProtection="0">
      <alignment vertical="top"/>
      <protection locked="0"/>
    </xf>
    <xf numFmtId="43" fontId="5" fillId="0" borderId="0" applyFont="0" applyFill="0" applyBorder="0" applyAlignment="0" applyProtection="0"/>
    <xf numFmtId="0" fontId="13" fillId="0" borderId="0"/>
    <xf numFmtId="43" fontId="13" fillId="0" borderId="0" applyFont="0" applyFill="0" applyBorder="0" applyAlignment="0" applyProtection="0"/>
    <xf numFmtId="0" fontId="14" fillId="0" borderId="0"/>
    <xf numFmtId="0" fontId="15" fillId="0" borderId="0" applyNumberFormat="0" applyFill="0" applyBorder="0" applyAlignment="0" applyProtection="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3" fillId="9" borderId="7" applyNumberFormat="0" applyAlignment="0" applyProtection="0"/>
    <xf numFmtId="43" fontId="7" fillId="0" borderId="0" applyFont="0" applyFill="0" applyBorder="0" applyAlignment="0" applyProtection="0"/>
    <xf numFmtId="9" fontId="7" fillId="0" borderId="0" applyFont="0" applyFill="0" applyBorder="0" applyAlignment="0" applyProtection="0"/>
    <xf numFmtId="0" fontId="79" fillId="16" borderId="7"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cellStyleXfs>
  <cellXfs count="964">
    <xf numFmtId="0" fontId="0" fillId="0" borderId="0" xfId="0"/>
    <xf numFmtId="0" fontId="0" fillId="0" borderId="0" xfId="0" applyBorder="1"/>
    <xf numFmtId="0" fontId="1" fillId="0" borderId="0" xfId="0" applyFont="1"/>
    <xf numFmtId="0" fontId="0" fillId="2" borderId="0" xfId="0" applyFill="1" applyBorder="1"/>
    <xf numFmtId="0" fontId="0" fillId="2" borderId="0" xfId="0" applyFill="1"/>
    <xf numFmtId="0" fontId="1" fillId="2" borderId="0" xfId="0" applyFont="1" applyFill="1"/>
    <xf numFmtId="0" fontId="0" fillId="2" borderId="0" xfId="0" applyFill="1" applyAlignment="1">
      <alignment horizontal="center"/>
    </xf>
    <xf numFmtId="164" fontId="0" fillId="0" borderId="0" xfId="0" applyNumberFormat="1" applyAlignment="1">
      <alignment horizontal="center"/>
    </xf>
    <xf numFmtId="0" fontId="0" fillId="0" borderId="0" xfId="0" applyAlignment="1">
      <alignment horizontal="center"/>
    </xf>
    <xf numFmtId="0" fontId="0" fillId="4" borderId="0" xfId="0" applyFill="1" applyBorder="1"/>
    <xf numFmtId="0" fontId="0" fillId="4" borderId="0" xfId="0" applyFill="1"/>
    <xf numFmtId="0" fontId="0" fillId="0" borderId="0" xfId="0" applyFill="1"/>
    <xf numFmtId="1" fontId="0" fillId="0" borderId="0" xfId="0" applyNumberFormat="1" applyAlignment="1">
      <alignment horizontal="center"/>
    </xf>
    <xf numFmtId="0" fontId="0" fillId="4" borderId="0" xfId="0" applyFont="1" applyFill="1" applyBorder="1"/>
    <xf numFmtId="14" fontId="9" fillId="0" borderId="0" xfId="3" applyNumberFormat="1" applyFont="1" applyAlignment="1">
      <alignment horizontal="center"/>
    </xf>
    <xf numFmtId="0" fontId="10" fillId="0" borderId="0" xfId="3" quotePrefix="1" applyNumberFormat="1" applyFont="1" applyAlignment="1">
      <alignment horizontal="center"/>
    </xf>
    <xf numFmtId="0" fontId="5" fillId="0" borderId="0" xfId="3" applyFont="1"/>
    <xf numFmtId="2" fontId="10" fillId="0" borderId="0" xfId="3" applyNumberFormat="1" applyFont="1" applyAlignment="1">
      <alignment horizontal="center" wrapText="1"/>
    </xf>
    <xf numFmtId="2" fontId="10" fillId="0" borderId="0" xfId="3" quotePrefix="1" applyNumberFormat="1" applyFont="1" applyAlignment="1">
      <alignment horizontal="center"/>
    </xf>
    <xf numFmtId="2" fontId="10" fillId="0" borderId="0" xfId="3" applyNumberFormat="1" applyFont="1"/>
    <xf numFmtId="0" fontId="5" fillId="0" borderId="0" xfId="3" quotePrefix="1" applyNumberFormat="1" applyFont="1"/>
    <xf numFmtId="164" fontId="10" fillId="0" borderId="0" xfId="3" quotePrefix="1" applyNumberFormat="1" applyFont="1" applyAlignment="1">
      <alignment horizontal="center"/>
    </xf>
    <xf numFmtId="2" fontId="10" fillId="0" borderId="0" xfId="3" applyNumberFormat="1" applyFont="1" applyAlignment="1">
      <alignment wrapText="1"/>
    </xf>
    <xf numFmtId="2" fontId="9" fillId="0" borderId="0" xfId="3" applyNumberFormat="1" applyFont="1"/>
    <xf numFmtId="3" fontId="9" fillId="0" borderId="0" xfId="3" applyNumberFormat="1" applyFont="1"/>
    <xf numFmtId="1" fontId="9" fillId="0" borderId="0" xfId="3" quotePrefix="1" applyNumberFormat="1" applyFont="1" applyAlignment="1">
      <alignment horizontal="center"/>
    </xf>
    <xf numFmtId="1" fontId="9" fillId="0" borderId="0" xfId="3" quotePrefix="1" applyNumberFormat="1" applyFont="1" applyAlignment="1">
      <alignment horizontal="right"/>
    </xf>
    <xf numFmtId="0" fontId="5" fillId="0" borderId="0" xfId="3" applyNumberFormat="1" applyFont="1" applyFill="1"/>
    <xf numFmtId="0" fontId="0" fillId="7" borderId="0" xfId="0" applyFill="1"/>
    <xf numFmtId="0" fontId="0" fillId="4" borderId="0" xfId="0" applyFont="1" applyFill="1" applyBorder="1" applyAlignment="1">
      <alignment horizontal="center"/>
    </xf>
    <xf numFmtId="0" fontId="18" fillId="4" borderId="0" xfId="0" applyFont="1" applyFill="1" applyBorder="1" applyAlignment="1">
      <alignment horizontal="center"/>
    </xf>
    <xf numFmtId="0" fontId="24" fillId="7" borderId="8" xfId="13" applyFont="1" applyFill="1" applyBorder="1"/>
    <xf numFmtId="0" fontId="24" fillId="7" borderId="9" xfId="13" applyFont="1" applyFill="1" applyBorder="1"/>
    <xf numFmtId="0" fontId="24" fillId="7" borderId="8" xfId="13" applyFont="1" applyFill="1" applyBorder="1" applyAlignment="1">
      <alignment horizontal="left"/>
    </xf>
    <xf numFmtId="0" fontId="24" fillId="7" borderId="9" xfId="13" applyFont="1" applyFill="1" applyBorder="1" applyAlignment="1">
      <alignment horizontal="center"/>
    </xf>
    <xf numFmtId="0" fontId="25" fillId="7" borderId="9" xfId="13" applyFont="1" applyFill="1" applyBorder="1" applyAlignment="1">
      <alignment horizontal="center"/>
    </xf>
    <xf numFmtId="0" fontId="24" fillId="7" borderId="10" xfId="13" applyFont="1" applyFill="1" applyBorder="1"/>
    <xf numFmtId="0" fontId="0" fillId="0" borderId="0" xfId="0" applyFont="1" applyFill="1" applyBorder="1"/>
    <xf numFmtId="0" fontId="24" fillId="7" borderId="11" xfId="13" applyFont="1" applyFill="1" applyBorder="1"/>
    <xf numFmtId="0" fontId="24" fillId="7" borderId="0" xfId="13" applyFont="1" applyFill="1" applyBorder="1"/>
    <xf numFmtId="0" fontId="24" fillId="7" borderId="11" xfId="13" applyFont="1" applyFill="1" applyBorder="1" applyAlignment="1">
      <alignment horizontal="left"/>
    </xf>
    <xf numFmtId="0" fontId="24" fillId="7" borderId="0" xfId="13" applyFont="1" applyFill="1" applyBorder="1" applyAlignment="1">
      <alignment horizontal="center"/>
    </xf>
    <xf numFmtId="0" fontId="25" fillId="7" borderId="0" xfId="13" applyFont="1" applyFill="1" applyBorder="1" applyAlignment="1">
      <alignment horizontal="center"/>
    </xf>
    <xf numFmtId="0" fontId="24" fillId="7" borderId="12" xfId="13" applyFont="1" applyFill="1" applyBorder="1"/>
    <xf numFmtId="0" fontId="26" fillId="7" borderId="11" xfId="0" applyFont="1" applyFill="1" applyBorder="1" applyAlignment="1">
      <alignment horizontal="center"/>
    </xf>
    <xf numFmtId="0" fontId="26" fillId="7" borderId="0" xfId="0" applyFont="1" applyFill="1" applyBorder="1" applyAlignment="1">
      <alignment horizontal="center"/>
    </xf>
    <xf numFmtId="0" fontId="25" fillId="7" borderId="0" xfId="0" applyFont="1" applyFill="1" applyBorder="1" applyAlignment="1">
      <alignment horizontal="center"/>
    </xf>
    <xf numFmtId="0" fontId="26" fillId="7" borderId="11" xfId="0" applyFont="1" applyFill="1" applyBorder="1"/>
    <xf numFmtId="0" fontId="26" fillId="7" borderId="0" xfId="0" applyFont="1" applyFill="1" applyBorder="1"/>
    <xf numFmtId="0" fontId="26" fillId="7" borderId="12" xfId="0" applyFont="1" applyFill="1" applyBorder="1"/>
    <xf numFmtId="0" fontId="24" fillId="10" borderId="11" xfId="14" applyFont="1" applyFill="1" applyBorder="1"/>
    <xf numFmtId="0" fontId="22" fillId="10" borderId="0" xfId="14" applyFont="1" applyFill="1" applyBorder="1"/>
    <xf numFmtId="0" fontId="22" fillId="10" borderId="11" xfId="14" applyFont="1" applyFill="1" applyBorder="1" applyAlignment="1">
      <alignment horizontal="center"/>
    </xf>
    <xf numFmtId="0" fontId="22" fillId="10" borderId="0" xfId="14" applyFont="1" applyFill="1" applyBorder="1" applyAlignment="1">
      <alignment horizontal="center"/>
    </xf>
    <xf numFmtId="0" fontId="18" fillId="10" borderId="0" xfId="14" applyFont="1" applyFill="1" applyBorder="1" applyAlignment="1">
      <alignment horizontal="center"/>
    </xf>
    <xf numFmtId="0" fontId="22" fillId="10" borderId="12" xfId="14" applyFont="1" applyFill="1" applyBorder="1"/>
    <xf numFmtId="0" fontId="26" fillId="10" borderId="11" xfId="0" applyFont="1" applyFill="1" applyBorder="1"/>
    <xf numFmtId="0" fontId="26" fillId="10" borderId="0" xfId="0" applyFont="1" applyFill="1" applyBorder="1"/>
    <xf numFmtId="0" fontId="26" fillId="10" borderId="11" xfId="0" applyFont="1" applyFill="1" applyBorder="1" applyAlignment="1">
      <alignment horizontal="center"/>
    </xf>
    <xf numFmtId="0" fontId="26" fillId="10" borderId="0" xfId="0" applyFont="1" applyFill="1" applyBorder="1" applyAlignment="1">
      <alignment horizontal="center"/>
    </xf>
    <xf numFmtId="0" fontId="25" fillId="10" borderId="0" xfId="0" applyFont="1" applyFill="1" applyBorder="1" applyAlignment="1">
      <alignment horizontal="center"/>
    </xf>
    <xf numFmtId="0" fontId="26" fillId="10" borderId="12" xfId="0" applyFont="1" applyFill="1" applyBorder="1"/>
    <xf numFmtId="0" fontId="26" fillId="4" borderId="11" xfId="0" applyFont="1" applyFill="1" applyBorder="1"/>
    <xf numFmtId="0" fontId="26" fillId="4" borderId="0" xfId="0" applyFont="1" applyFill="1" applyBorder="1"/>
    <xf numFmtId="0" fontId="26" fillId="4" borderId="11" xfId="0" applyFont="1" applyFill="1" applyBorder="1" applyAlignment="1">
      <alignment horizontal="center"/>
    </xf>
    <xf numFmtId="0" fontId="26" fillId="4" borderId="0" xfId="0" applyFont="1" applyFill="1" applyBorder="1" applyAlignment="1">
      <alignment horizontal="center"/>
    </xf>
    <xf numFmtId="0" fontId="25" fillId="4" borderId="0" xfId="0" applyFont="1" applyFill="1" applyBorder="1" applyAlignment="1">
      <alignment horizontal="center"/>
    </xf>
    <xf numFmtId="2" fontId="23" fillId="9" borderId="7" xfId="16" applyNumberFormat="1" applyAlignment="1">
      <alignment horizontal="center"/>
    </xf>
    <xf numFmtId="0" fontId="26" fillId="4" borderId="12" xfId="0" applyFont="1" applyFill="1" applyBorder="1"/>
    <xf numFmtId="0" fontId="27" fillId="4" borderId="12" xfId="0" applyFont="1" applyFill="1" applyBorder="1"/>
    <xf numFmtId="0" fontId="28" fillId="4" borderId="0" xfId="0" applyFont="1" applyFill="1" applyBorder="1" applyAlignment="1">
      <alignment horizontal="center"/>
    </xf>
    <xf numFmtId="0" fontId="29" fillId="4" borderId="11" xfId="0" applyFont="1" applyFill="1" applyBorder="1"/>
    <xf numFmtId="0" fontId="29" fillId="4" borderId="0" xfId="0" applyFont="1" applyFill="1" applyBorder="1"/>
    <xf numFmtId="0" fontId="29" fillId="4" borderId="11" xfId="0" applyFont="1" applyFill="1" applyBorder="1" applyAlignment="1">
      <alignment horizontal="center"/>
    </xf>
    <xf numFmtId="0" fontId="29" fillId="4" borderId="0" xfId="0" applyFont="1" applyFill="1" applyBorder="1" applyAlignment="1">
      <alignment horizontal="center"/>
    </xf>
    <xf numFmtId="0" fontId="30" fillId="4" borderId="0" xfId="0" applyFont="1" applyFill="1" applyBorder="1" applyAlignment="1">
      <alignment horizontal="center"/>
    </xf>
    <xf numFmtId="0" fontId="29" fillId="4" borderId="12" xfId="0" applyFont="1" applyFill="1" applyBorder="1"/>
    <xf numFmtId="0" fontId="31" fillId="4" borderId="11" xfId="0" applyFont="1" applyFill="1" applyBorder="1"/>
    <xf numFmtId="0" fontId="31" fillId="4" borderId="0" xfId="0" applyFont="1" applyFill="1" applyBorder="1"/>
    <xf numFmtId="0" fontId="31" fillId="4" borderId="11" xfId="0" applyFont="1" applyFill="1" applyBorder="1" applyAlignment="1">
      <alignment horizontal="center"/>
    </xf>
    <xf numFmtId="0" fontId="31" fillId="4" borderId="0" xfId="0" applyFont="1" applyFill="1" applyBorder="1" applyAlignment="1">
      <alignment horizontal="center"/>
    </xf>
    <xf numFmtId="164" fontId="31" fillId="4" borderId="0" xfId="0" applyNumberFormat="1" applyFont="1" applyFill="1" applyBorder="1" applyAlignment="1">
      <alignment horizontal="center"/>
    </xf>
    <xf numFmtId="0" fontId="31" fillId="4" borderId="12" xfId="0" applyFont="1" applyFill="1" applyBorder="1"/>
    <xf numFmtId="164" fontId="26" fillId="10" borderId="0" xfId="0" applyNumberFormat="1" applyFont="1" applyFill="1" applyBorder="1" applyAlignment="1">
      <alignment horizontal="center"/>
    </xf>
    <xf numFmtId="0" fontId="0" fillId="10" borderId="0" xfId="0" applyFont="1" applyFill="1" applyBorder="1"/>
    <xf numFmtId="0" fontId="0" fillId="10" borderId="11" xfId="0" applyFont="1" applyFill="1" applyBorder="1" applyAlignment="1">
      <alignment horizontal="center"/>
    </xf>
    <xf numFmtId="0" fontId="0" fillId="10" borderId="0" xfId="0" applyFont="1" applyFill="1" applyBorder="1" applyAlignment="1">
      <alignment horizontal="center"/>
    </xf>
    <xf numFmtId="0" fontId="18" fillId="10" borderId="0" xfId="0" applyFont="1" applyFill="1" applyBorder="1" applyAlignment="1">
      <alignment horizontal="center"/>
    </xf>
    <xf numFmtId="0" fontId="0" fillId="10" borderId="12" xfId="0" applyFont="1" applyFill="1" applyBorder="1"/>
    <xf numFmtId="2" fontId="28" fillId="4" borderId="0" xfId="0" applyNumberFormat="1" applyFont="1" applyFill="1" applyBorder="1" applyAlignment="1">
      <alignment horizontal="center"/>
    </xf>
    <xf numFmtId="2" fontId="26" fillId="4" borderId="0" xfId="0" applyNumberFormat="1" applyFont="1" applyFill="1" applyBorder="1" applyAlignment="1">
      <alignment horizontal="center"/>
    </xf>
    <xf numFmtId="0" fontId="24" fillId="10" borderId="11" xfId="15" applyFont="1" applyFill="1" applyBorder="1"/>
    <xf numFmtId="0" fontId="32" fillId="4" borderId="11" xfId="0" applyFont="1" applyFill="1" applyBorder="1"/>
    <xf numFmtId="0" fontId="32" fillId="4" borderId="0" xfId="0" applyFont="1" applyFill="1" applyBorder="1"/>
    <xf numFmtId="0" fontId="32" fillId="4" borderId="11" xfId="0" applyFont="1" applyFill="1" applyBorder="1" applyAlignment="1">
      <alignment horizontal="center"/>
    </xf>
    <xf numFmtId="0" fontId="32" fillId="4" borderId="0" xfId="0" applyFont="1" applyFill="1" applyBorder="1" applyAlignment="1">
      <alignment horizontal="center"/>
    </xf>
    <xf numFmtId="0" fontId="23" fillId="9" borderId="7" xfId="16" applyAlignment="1">
      <alignment horizontal="center"/>
    </xf>
    <xf numFmtId="0" fontId="33" fillId="4" borderId="0" xfId="0" applyFont="1" applyFill="1" applyBorder="1" applyAlignment="1">
      <alignment horizontal="center"/>
    </xf>
    <xf numFmtId="0" fontId="33" fillId="4" borderId="12" xfId="0" applyFont="1" applyFill="1" applyBorder="1"/>
    <xf numFmtId="0" fontId="27" fillId="4" borderId="11" xfId="0" applyFont="1" applyFill="1" applyBorder="1"/>
    <xf numFmtId="0" fontId="26" fillId="4" borderId="13" xfId="0" applyFont="1" applyFill="1" applyBorder="1"/>
    <xf numFmtId="0" fontId="26" fillId="4" borderId="14" xfId="0" applyFont="1" applyFill="1" applyBorder="1"/>
    <xf numFmtId="0" fontId="26" fillId="4" borderId="13" xfId="0" applyFont="1" applyFill="1" applyBorder="1" applyAlignment="1">
      <alignment horizontal="center"/>
    </xf>
    <xf numFmtId="0" fontId="26" fillId="4" borderId="14" xfId="0" applyFont="1" applyFill="1" applyBorder="1" applyAlignment="1">
      <alignment horizontal="center"/>
    </xf>
    <xf numFmtId="0" fontId="25" fillId="4" borderId="14" xfId="0" applyFont="1" applyFill="1" applyBorder="1" applyAlignment="1">
      <alignment horizontal="center"/>
    </xf>
    <xf numFmtId="0" fontId="28" fillId="4" borderId="14" xfId="0" applyFont="1" applyFill="1" applyBorder="1" applyAlignment="1">
      <alignment horizontal="center"/>
    </xf>
    <xf numFmtId="0" fontId="26" fillId="4" borderId="15" xfId="0" applyFont="1" applyFill="1" applyBorder="1"/>
    <xf numFmtId="0" fontId="0" fillId="0" borderId="0" xfId="0" applyFont="1" applyFill="1" applyBorder="1" applyAlignment="1">
      <alignment horizontal="center"/>
    </xf>
    <xf numFmtId="0" fontId="18" fillId="0" borderId="0" xfId="0" applyFont="1" applyFill="1" applyBorder="1" applyAlignment="1">
      <alignment horizontal="center"/>
    </xf>
    <xf numFmtId="0" fontId="37" fillId="4" borderId="0" xfId="0" applyFont="1" applyFill="1" applyBorder="1"/>
    <xf numFmtId="0" fontId="26" fillId="4" borderId="0" xfId="0" applyFont="1" applyFill="1"/>
    <xf numFmtId="0" fontId="26" fillId="4" borderId="0" xfId="0" applyFont="1" applyFill="1" applyAlignment="1">
      <alignment horizontal="center"/>
    </xf>
    <xf numFmtId="0" fontId="39" fillId="7" borderId="19" xfId="0" applyFont="1" applyFill="1" applyBorder="1"/>
    <xf numFmtId="0" fontId="24" fillId="7" borderId="22" xfId="13" applyFont="1" applyFill="1" applyBorder="1"/>
    <xf numFmtId="0" fontId="24" fillId="7" borderId="20" xfId="13" applyFont="1" applyFill="1" applyBorder="1" applyAlignment="1">
      <alignment horizontal="left"/>
    </xf>
    <xf numFmtId="0" fontId="24" fillId="7" borderId="21" xfId="13" applyFont="1" applyFill="1" applyBorder="1" applyAlignment="1">
      <alignment horizontal="center"/>
    </xf>
    <xf numFmtId="0" fontId="40" fillId="10" borderId="20" xfId="0" applyFont="1" applyFill="1" applyBorder="1"/>
    <xf numFmtId="0" fontId="26" fillId="10" borderId="21" xfId="0" applyFont="1" applyFill="1" applyBorder="1"/>
    <xf numFmtId="0" fontId="26" fillId="10" borderId="22" xfId="0" applyFont="1" applyFill="1" applyBorder="1"/>
    <xf numFmtId="0" fontId="26" fillId="4" borderId="20" xfId="0" applyFont="1" applyFill="1" applyBorder="1"/>
    <xf numFmtId="0" fontId="26" fillId="4" borderId="21" xfId="0" applyFont="1" applyFill="1" applyBorder="1"/>
    <xf numFmtId="0" fontId="26" fillId="4" borderId="22" xfId="0" applyFont="1" applyFill="1" applyBorder="1"/>
    <xf numFmtId="0" fontId="26" fillId="0" borderId="0" xfId="0" applyFont="1" applyAlignment="1">
      <alignment horizontal="center"/>
    </xf>
    <xf numFmtId="0" fontId="26" fillId="4" borderId="21" xfId="0" applyFont="1" applyFill="1" applyBorder="1" applyAlignment="1">
      <alignment horizontal="center"/>
    </xf>
    <xf numFmtId="0" fontId="41" fillId="10" borderId="20" xfId="14" applyFont="1" applyFill="1" applyBorder="1"/>
    <xf numFmtId="0" fontId="22" fillId="10" borderId="21" xfId="14" applyFont="1" applyFill="1" applyBorder="1"/>
    <xf numFmtId="0" fontId="26" fillId="4" borderId="23" xfId="0" applyFont="1" applyFill="1" applyBorder="1"/>
    <xf numFmtId="0" fontId="26" fillId="4" borderId="24" xfId="0" applyFont="1" applyFill="1" applyBorder="1"/>
    <xf numFmtId="0" fontId="26" fillId="4" borderId="25" xfId="0" applyFont="1" applyFill="1" applyBorder="1" applyAlignment="1">
      <alignment horizontal="center"/>
    </xf>
    <xf numFmtId="0" fontId="26" fillId="4" borderId="26" xfId="0" applyFont="1" applyFill="1" applyBorder="1"/>
    <xf numFmtId="0" fontId="26" fillId="4" borderId="18" xfId="0" applyFont="1" applyFill="1" applyBorder="1"/>
    <xf numFmtId="0" fontId="42" fillId="4" borderId="16" xfId="0" applyFont="1" applyFill="1" applyBorder="1"/>
    <xf numFmtId="0" fontId="26" fillId="4" borderId="18" xfId="0" applyFont="1" applyFill="1" applyBorder="1" applyAlignment="1">
      <alignment horizontal="center"/>
    </xf>
    <xf numFmtId="0" fontId="26" fillId="4" borderId="19" xfId="0" applyFont="1" applyFill="1" applyBorder="1"/>
    <xf numFmtId="0" fontId="40" fillId="4" borderId="20" xfId="0" applyFont="1" applyFill="1" applyBorder="1"/>
    <xf numFmtId="0" fontId="43" fillId="4" borderId="20" xfId="0" applyFont="1" applyFill="1" applyBorder="1"/>
    <xf numFmtId="0" fontId="26" fillId="4" borderId="0" xfId="0" applyFont="1" applyFill="1" applyBorder="1" applyAlignment="1">
      <alignment horizontal="left"/>
    </xf>
    <xf numFmtId="0" fontId="39" fillId="4" borderId="0" xfId="0" applyFont="1" applyFill="1" applyBorder="1" applyAlignment="1">
      <alignment horizontal="left"/>
    </xf>
    <xf numFmtId="0" fontId="39" fillId="4" borderId="0" xfId="0" applyFont="1" applyFill="1" applyBorder="1" applyAlignment="1">
      <alignment horizontal="center"/>
    </xf>
    <xf numFmtId="0" fontId="39" fillId="4" borderId="20" xfId="0" applyFont="1" applyFill="1" applyBorder="1"/>
    <xf numFmtId="0" fontId="39" fillId="4" borderId="0" xfId="0" applyFont="1" applyFill="1" applyBorder="1"/>
    <xf numFmtId="0" fontId="26" fillId="4" borderId="25" xfId="0" applyFont="1" applyFill="1" applyBorder="1"/>
    <xf numFmtId="0" fontId="39" fillId="4" borderId="25" xfId="0" applyFont="1" applyFill="1" applyBorder="1" applyAlignment="1">
      <alignment horizontal="left"/>
    </xf>
    <xf numFmtId="0" fontId="39" fillId="4" borderId="25" xfId="0" applyFont="1" applyFill="1" applyBorder="1" applyAlignment="1">
      <alignment horizontal="center"/>
    </xf>
    <xf numFmtId="0" fontId="16" fillId="0" borderId="0" xfId="0" applyFont="1" applyFill="1" applyBorder="1"/>
    <xf numFmtId="0" fontId="5" fillId="0" borderId="0" xfId="3" applyFont="1" applyFill="1"/>
    <xf numFmtId="0" fontId="44" fillId="0" borderId="0" xfId="3" applyFont="1" applyFill="1"/>
    <xf numFmtId="0" fontId="44" fillId="12" borderId="0" xfId="3" applyFont="1" applyFill="1"/>
    <xf numFmtId="0" fontId="47" fillId="12" borderId="1" xfId="3" applyFont="1" applyFill="1" applyBorder="1"/>
    <xf numFmtId="0" fontId="44" fillId="12" borderId="1" xfId="3" applyFont="1" applyFill="1" applyBorder="1"/>
    <xf numFmtId="2" fontId="44" fillId="12" borderId="0" xfId="3" applyNumberFormat="1" applyFont="1" applyFill="1"/>
    <xf numFmtId="0" fontId="44" fillId="12" borderId="0" xfId="3" applyFont="1" applyFill="1" applyBorder="1"/>
    <xf numFmtId="2" fontId="48" fillId="12" borderId="1" xfId="3" applyNumberFormat="1" applyFont="1" applyFill="1" applyBorder="1"/>
    <xf numFmtId="2" fontId="44" fillId="12" borderId="1" xfId="3" applyNumberFormat="1" applyFont="1" applyFill="1" applyBorder="1"/>
    <xf numFmtId="0" fontId="49" fillId="12" borderId="1" xfId="3" applyFont="1" applyFill="1" applyBorder="1"/>
    <xf numFmtId="0" fontId="47" fillId="12" borderId="0" xfId="3" applyFont="1" applyFill="1" applyBorder="1"/>
    <xf numFmtId="0" fontId="48" fillId="12" borderId="1" xfId="3" applyFont="1" applyFill="1" applyBorder="1"/>
    <xf numFmtId="0" fontId="50" fillId="12" borderId="4" xfId="3" quotePrefix="1" applyNumberFormat="1" applyFont="1" applyFill="1" applyBorder="1" applyAlignment="1">
      <alignment horizontal="center" wrapText="1"/>
    </xf>
    <xf numFmtId="0" fontId="46" fillId="12" borderId="4" xfId="3" quotePrefix="1" applyNumberFormat="1" applyFont="1" applyFill="1" applyBorder="1" applyAlignment="1">
      <alignment horizontal="center" wrapText="1"/>
    </xf>
    <xf numFmtId="0" fontId="47" fillId="12" borderId="4" xfId="3" quotePrefix="1" applyNumberFormat="1" applyFont="1" applyFill="1" applyBorder="1" applyAlignment="1">
      <alignment wrapText="1"/>
    </xf>
    <xf numFmtId="0" fontId="51" fillId="12" borderId="4" xfId="3" quotePrefix="1" applyNumberFormat="1" applyFont="1" applyFill="1" applyBorder="1" applyAlignment="1">
      <alignment horizontal="center" wrapText="1"/>
    </xf>
    <xf numFmtId="0" fontId="52" fillId="12" borderId="4" xfId="3" quotePrefix="1" applyNumberFormat="1" applyFont="1" applyFill="1" applyBorder="1" applyAlignment="1">
      <alignment horizontal="center" wrapText="1"/>
    </xf>
    <xf numFmtId="0" fontId="48" fillId="12" borderId="4" xfId="3" quotePrefix="1" applyNumberFormat="1" applyFont="1" applyFill="1" applyBorder="1" applyAlignment="1">
      <alignment horizontal="center" wrapText="1"/>
    </xf>
    <xf numFmtId="0" fontId="47" fillId="12" borderId="4" xfId="3" quotePrefix="1" applyNumberFormat="1" applyFont="1" applyFill="1" applyBorder="1" applyAlignment="1">
      <alignment horizontal="center" wrapText="1"/>
    </xf>
    <xf numFmtId="2" fontId="51" fillId="12" borderId="4" xfId="3" applyNumberFormat="1" applyFont="1" applyFill="1" applyBorder="1" applyAlignment="1">
      <alignment horizontal="center" wrapText="1"/>
    </xf>
    <xf numFmtId="0" fontId="48" fillId="12" borderId="4" xfId="3" applyNumberFormat="1" applyFont="1" applyFill="1" applyBorder="1" applyAlignment="1">
      <alignment horizontal="center" wrapText="1"/>
    </xf>
    <xf numFmtId="0" fontId="44" fillId="12" borderId="4" xfId="3" applyFont="1" applyFill="1" applyBorder="1"/>
    <xf numFmtId="0" fontId="50" fillId="12" borderId="4" xfId="3" applyNumberFormat="1" applyFont="1" applyFill="1" applyBorder="1" applyAlignment="1">
      <alignment horizontal="center" wrapText="1"/>
    </xf>
    <xf numFmtId="2" fontId="50" fillId="12" borderId="4" xfId="3" applyNumberFormat="1" applyFont="1" applyFill="1" applyBorder="1" applyAlignment="1">
      <alignment horizontal="center" wrapText="1"/>
    </xf>
    <xf numFmtId="0" fontId="50" fillId="12" borderId="4" xfId="3" applyFont="1" applyFill="1" applyBorder="1"/>
    <xf numFmtId="0" fontId="46" fillId="12" borderId="4" xfId="3" applyNumberFormat="1" applyFont="1" applyFill="1" applyBorder="1" applyAlignment="1">
      <alignment horizontal="center" wrapText="1"/>
    </xf>
    <xf numFmtId="2" fontId="46" fillId="12" borderId="4" xfId="3" applyNumberFormat="1" applyFont="1" applyFill="1" applyBorder="1" applyAlignment="1">
      <alignment wrapText="1"/>
    </xf>
    <xf numFmtId="1" fontId="50" fillId="12" borderId="0" xfId="3" applyNumberFormat="1" applyFont="1" applyFill="1" applyAlignment="1">
      <alignment wrapText="1"/>
    </xf>
    <xf numFmtId="0" fontId="50" fillId="12" borderId="0" xfId="3" applyFont="1" applyFill="1" applyAlignment="1"/>
    <xf numFmtId="0" fontId="50" fillId="12" borderId="0" xfId="3" applyFont="1" applyFill="1"/>
    <xf numFmtId="0" fontId="5" fillId="0" borderId="0" xfId="3" applyNumberFormat="1" applyFont="1" applyFill="1" applyBorder="1"/>
    <xf numFmtId="0" fontId="17" fillId="0" borderId="0" xfId="0" applyFont="1"/>
    <xf numFmtId="0" fontId="36" fillId="4" borderId="0" xfId="0" applyFont="1" applyFill="1" applyBorder="1"/>
    <xf numFmtId="0" fontId="54" fillId="4" borderId="0" xfId="0" applyFont="1" applyFill="1"/>
    <xf numFmtId="0" fontId="55" fillId="8" borderId="0" xfId="0" applyFont="1" applyFill="1"/>
    <xf numFmtId="0" fontId="56" fillId="8" borderId="0" xfId="0" applyFont="1" applyFill="1"/>
    <xf numFmtId="0" fontId="57" fillId="4" borderId="0" xfId="0" applyFont="1" applyFill="1"/>
    <xf numFmtId="0" fontId="58" fillId="4" borderId="0" xfId="0" applyFont="1" applyFill="1"/>
    <xf numFmtId="0" fontId="59" fillId="4" borderId="0" xfId="0" applyFont="1" applyFill="1"/>
    <xf numFmtId="0" fontId="60" fillId="4" borderId="0" xfId="0" applyFont="1" applyFill="1"/>
    <xf numFmtId="0" fontId="61" fillId="0" borderId="0" xfId="3" quotePrefix="1" applyNumberFormat="1" applyFont="1"/>
    <xf numFmtId="0" fontId="0" fillId="0" borderId="2" xfId="0" applyBorder="1"/>
    <xf numFmtId="49" fontId="0" fillId="0" borderId="0" xfId="0" applyNumberFormat="1" applyBorder="1"/>
    <xf numFmtId="0" fontId="17" fillId="0" borderId="0" xfId="0" applyFont="1" applyBorder="1"/>
    <xf numFmtId="0" fontId="0" fillId="0" borderId="1" xfId="0" applyBorder="1"/>
    <xf numFmtId="1" fontId="0" fillId="0" borderId="0" xfId="0" applyNumberFormat="1" applyBorder="1"/>
    <xf numFmtId="0" fontId="0" fillId="2" borderId="45" xfId="0" applyFill="1" applyBorder="1"/>
    <xf numFmtId="0" fontId="0" fillId="0" borderId="46" xfId="0" applyBorder="1"/>
    <xf numFmtId="0" fontId="17" fillId="0" borderId="46" xfId="0" applyFont="1"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0" xfId="0" applyFill="1" applyBorder="1"/>
    <xf numFmtId="0" fontId="0" fillId="0" borderId="52" xfId="0" applyBorder="1"/>
    <xf numFmtId="0" fontId="0" fillId="0" borderId="4" xfId="0" applyBorder="1"/>
    <xf numFmtId="0" fontId="17" fillId="0" borderId="4" xfId="0" applyFont="1" applyBorder="1"/>
    <xf numFmtId="0" fontId="0" fillId="0" borderId="53" xfId="0" applyBorder="1"/>
    <xf numFmtId="0" fontId="0" fillId="0" borderId="4" xfId="0" applyFill="1" applyBorder="1"/>
    <xf numFmtId="0" fontId="0" fillId="0" borderId="54" xfId="0" applyBorder="1"/>
    <xf numFmtId="0" fontId="0" fillId="0" borderId="2" xfId="0" applyFill="1" applyBorder="1"/>
    <xf numFmtId="0" fontId="0" fillId="0" borderId="55" xfId="0" applyBorder="1"/>
    <xf numFmtId="49" fontId="16" fillId="0" borderId="46" xfId="0" quotePrefix="1" applyNumberFormat="1" applyFont="1" applyBorder="1"/>
    <xf numFmtId="49" fontId="16" fillId="0" borderId="0" xfId="0" quotePrefix="1" applyNumberFormat="1" applyFont="1" applyBorder="1"/>
    <xf numFmtId="0" fontId="0" fillId="2" borderId="48" xfId="0" applyFill="1" applyBorder="1"/>
    <xf numFmtId="0" fontId="26" fillId="7" borderId="0" xfId="0" applyFont="1" applyFill="1"/>
    <xf numFmtId="49" fontId="53" fillId="0" borderId="46" xfId="0" quotePrefix="1" applyNumberFormat="1" applyFont="1" applyBorder="1"/>
    <xf numFmtId="49" fontId="53" fillId="0" borderId="0" xfId="0" quotePrefix="1" applyNumberFormat="1" applyFont="1" applyBorder="1"/>
    <xf numFmtId="0" fontId="0" fillId="0" borderId="0" xfId="0" quotePrefix="1" applyBorder="1"/>
    <xf numFmtId="49" fontId="0" fillId="0" borderId="46" xfId="0" quotePrefix="1" applyNumberFormat="1" applyBorder="1"/>
    <xf numFmtId="49" fontId="0" fillId="0" borderId="0" xfId="0" quotePrefix="1" applyNumberFormat="1" applyBorder="1"/>
    <xf numFmtId="0" fontId="0" fillId="0" borderId="2" xfId="0" quotePrefix="1" applyBorder="1"/>
    <xf numFmtId="0" fontId="62" fillId="0" borderId="0" xfId="0" applyFont="1"/>
    <xf numFmtId="0" fontId="63" fillId="4" borderId="3" xfId="0" applyFont="1" applyFill="1" applyBorder="1"/>
    <xf numFmtId="0" fontId="0" fillId="7" borderId="48" xfId="0" applyFill="1" applyBorder="1"/>
    <xf numFmtId="0" fontId="0" fillId="7" borderId="45" xfId="0" applyFill="1" applyBorder="1"/>
    <xf numFmtId="0" fontId="2" fillId="0" borderId="0" xfId="0" applyFont="1" applyBorder="1"/>
    <xf numFmtId="0" fontId="2" fillId="0" borderId="46" xfId="0" applyFont="1" applyBorder="1"/>
    <xf numFmtId="0" fontId="0" fillId="7" borderId="54" xfId="0" applyFill="1" applyBorder="1"/>
    <xf numFmtId="0" fontId="36" fillId="4" borderId="0" xfId="0" applyFont="1" applyFill="1"/>
    <xf numFmtId="0" fontId="36" fillId="4" borderId="0" xfId="0" applyFont="1" applyFill="1" applyBorder="1" applyAlignment="1">
      <alignment horizontal="center"/>
    </xf>
    <xf numFmtId="0" fontId="64" fillId="4" borderId="0" xfId="0" applyFont="1" applyFill="1"/>
    <xf numFmtId="0" fontId="26" fillId="0" borderId="0" xfId="0" applyFont="1"/>
    <xf numFmtId="0" fontId="26" fillId="0" borderId="0" xfId="0" applyFont="1" applyBorder="1"/>
    <xf numFmtId="0" fontId="36" fillId="6" borderId="27" xfId="0" applyFont="1" applyFill="1" applyBorder="1"/>
    <xf numFmtId="0" fontId="31" fillId="6" borderId="28" xfId="0" applyFont="1" applyFill="1" applyBorder="1"/>
    <xf numFmtId="0" fontId="36" fillId="6" borderId="29" xfId="0" applyFont="1" applyFill="1" applyBorder="1" applyAlignment="1">
      <alignment horizontal="center"/>
    </xf>
    <xf numFmtId="164" fontId="26" fillId="4" borderId="0" xfId="0" applyNumberFormat="1" applyFont="1" applyFill="1" applyAlignment="1">
      <alignment horizontal="center"/>
    </xf>
    <xf numFmtId="0" fontId="65" fillId="2" borderId="30" xfId="0" applyFont="1" applyFill="1" applyBorder="1"/>
    <xf numFmtId="0" fontId="26" fillId="2" borderId="0" xfId="0" applyFont="1" applyFill="1" applyBorder="1"/>
    <xf numFmtId="0" fontId="36" fillId="2" borderId="31" xfId="0" applyFont="1" applyFill="1" applyBorder="1" applyAlignment="1">
      <alignment horizontal="center"/>
    </xf>
    <xf numFmtId="0" fontId="65" fillId="4" borderId="30" xfId="0" applyFont="1" applyFill="1" applyBorder="1"/>
    <xf numFmtId="0" fontId="36" fillId="4" borderId="31" xfId="0" applyFont="1" applyFill="1" applyBorder="1" applyAlignment="1">
      <alignment horizontal="center"/>
    </xf>
    <xf numFmtId="0" fontId="26" fillId="4" borderId="30" xfId="0" applyFont="1" applyFill="1" applyBorder="1"/>
    <xf numFmtId="164" fontId="26" fillId="4" borderId="31" xfId="0" applyNumberFormat="1" applyFont="1" applyFill="1" applyBorder="1" applyAlignment="1">
      <alignment horizontal="center"/>
    </xf>
    <xf numFmtId="0" fontId="26" fillId="4" borderId="31" xfId="0" applyFont="1" applyFill="1" applyBorder="1" applyAlignment="1">
      <alignment horizontal="center"/>
    </xf>
    <xf numFmtId="1" fontId="26" fillId="4" borderId="31" xfId="0" applyNumberFormat="1" applyFont="1" applyFill="1" applyBorder="1" applyAlignment="1">
      <alignment horizontal="center"/>
    </xf>
    <xf numFmtId="1" fontId="26" fillId="4" borderId="0" xfId="0" applyNumberFormat="1" applyFont="1" applyFill="1" applyAlignment="1">
      <alignment horizontal="center"/>
    </xf>
    <xf numFmtId="0" fontId="26" fillId="2" borderId="31" xfId="0" applyFont="1" applyFill="1" applyBorder="1" applyAlignment="1">
      <alignment horizontal="center"/>
    </xf>
    <xf numFmtId="1" fontId="36" fillId="4" borderId="31" xfId="0" applyNumberFormat="1" applyFont="1" applyFill="1" applyBorder="1" applyAlignment="1">
      <alignment horizontal="center"/>
    </xf>
    <xf numFmtId="0" fontId="26" fillId="4" borderId="32" xfId="0" applyFont="1" applyFill="1" applyBorder="1"/>
    <xf numFmtId="0" fontId="26" fillId="4" borderId="33" xfId="0" applyFont="1" applyFill="1" applyBorder="1"/>
    <xf numFmtId="1" fontId="26" fillId="4" borderId="34" xfId="0" applyNumberFormat="1" applyFont="1" applyFill="1" applyBorder="1" applyAlignment="1">
      <alignment horizontal="center"/>
    </xf>
    <xf numFmtId="0" fontId="42" fillId="6" borderId="28" xfId="0" applyFont="1" applyFill="1" applyBorder="1"/>
    <xf numFmtId="0" fontId="26" fillId="6" borderId="29" xfId="0" applyFont="1" applyFill="1" applyBorder="1"/>
    <xf numFmtId="0" fontId="36" fillId="4" borderId="0" xfId="0" applyFont="1" applyFill="1" applyAlignment="1">
      <alignment horizontal="center"/>
    </xf>
    <xf numFmtId="164" fontId="26" fillId="4" borderId="0" xfId="0" applyNumberFormat="1" applyFont="1" applyFill="1" applyAlignment="1">
      <alignment horizontal="left"/>
    </xf>
    <xf numFmtId="164" fontId="26" fillId="2" borderId="31" xfId="0" applyNumberFormat="1" applyFont="1" applyFill="1" applyBorder="1" applyAlignment="1">
      <alignment horizontal="center"/>
    </xf>
    <xf numFmtId="0" fontId="40" fillId="4" borderId="30" xfId="0" applyFont="1" applyFill="1" applyBorder="1"/>
    <xf numFmtId="0" fontId="40" fillId="2" borderId="0" xfId="0" applyFont="1" applyFill="1" applyBorder="1"/>
    <xf numFmtId="0" fontId="59" fillId="4" borderId="0" xfId="0" applyFont="1" applyFill="1" applyBorder="1"/>
    <xf numFmtId="1" fontId="26" fillId="4" borderId="0" xfId="0" applyNumberFormat="1" applyFont="1" applyFill="1"/>
    <xf numFmtId="2" fontId="26" fillId="4" borderId="0" xfId="0" applyNumberFormat="1" applyFont="1" applyFill="1"/>
    <xf numFmtId="2" fontId="26" fillId="4" borderId="31" xfId="0" applyNumberFormat="1" applyFont="1" applyFill="1" applyBorder="1" applyAlignment="1">
      <alignment horizontal="center"/>
    </xf>
    <xf numFmtId="0" fontId="59" fillId="4" borderId="0" xfId="0" applyFont="1" applyFill="1" applyAlignment="1"/>
    <xf numFmtId="164" fontId="26" fillId="4" borderId="0" xfId="0" applyNumberFormat="1" applyFont="1" applyFill="1" applyBorder="1" applyAlignment="1">
      <alignment horizontal="left"/>
    </xf>
    <xf numFmtId="164" fontId="26" fillId="4" borderId="34" xfId="0" applyNumberFormat="1" applyFont="1" applyFill="1" applyBorder="1" applyAlignment="1">
      <alignment horizontal="center"/>
    </xf>
    <xf numFmtId="0" fontId="42" fillId="4" borderId="0" xfId="0" applyFont="1" applyFill="1" applyBorder="1"/>
    <xf numFmtId="0" fontId="65" fillId="4" borderId="0" xfId="0" applyFont="1" applyFill="1" applyBorder="1"/>
    <xf numFmtId="1" fontId="26" fillId="4" borderId="0" xfId="0" applyNumberFormat="1" applyFont="1" applyFill="1" applyBorder="1" applyAlignment="1">
      <alignment horizontal="center"/>
    </xf>
    <xf numFmtId="164" fontId="26" fillId="4" borderId="0" xfId="0" applyNumberFormat="1" applyFont="1" applyFill="1" applyBorder="1" applyAlignment="1">
      <alignment horizontal="center"/>
    </xf>
    <xf numFmtId="0" fontId="40" fillId="4" borderId="0" xfId="0" applyFont="1" applyFill="1" applyBorder="1"/>
    <xf numFmtId="1" fontId="0" fillId="0" borderId="4" xfId="0" applyNumberFormat="1" applyBorder="1"/>
    <xf numFmtId="0" fontId="36" fillId="4" borderId="0" xfId="0" applyFont="1" applyFill="1" applyAlignment="1">
      <alignment horizontal="left"/>
    </xf>
    <xf numFmtId="0" fontId="26" fillId="0" borderId="0" xfId="0" applyFont="1" applyFill="1"/>
    <xf numFmtId="0" fontId="36" fillId="6" borderId="28" xfId="0" applyFont="1" applyFill="1" applyBorder="1"/>
    <xf numFmtId="0" fontId="26" fillId="4" borderId="0" xfId="0" applyFont="1" applyFill="1" applyAlignment="1">
      <alignment horizontal="left"/>
    </xf>
    <xf numFmtId="0" fontId="36" fillId="2" borderId="0" xfId="0" applyFont="1" applyFill="1" applyBorder="1"/>
    <xf numFmtId="0" fontId="26" fillId="2" borderId="31" xfId="0" applyFont="1" applyFill="1" applyBorder="1"/>
    <xf numFmtId="0" fontId="26" fillId="6" borderId="28" xfId="0" applyFont="1" applyFill="1" applyBorder="1"/>
    <xf numFmtId="164" fontId="26" fillId="6" borderId="29" xfId="0" applyNumberFormat="1" applyFont="1" applyFill="1" applyBorder="1" applyAlignment="1">
      <alignment horizontal="center"/>
    </xf>
    <xf numFmtId="0" fontId="36" fillId="4" borderId="30" xfId="0" applyFont="1" applyFill="1" applyBorder="1"/>
    <xf numFmtId="0" fontId="26" fillId="0" borderId="0" xfId="0" applyFont="1" applyAlignment="1">
      <alignment horizontal="left"/>
    </xf>
    <xf numFmtId="0" fontId="65" fillId="2" borderId="31" xfId="0" applyFont="1" applyFill="1" applyBorder="1"/>
    <xf numFmtId="2" fontId="26" fillId="4" borderId="0" xfId="0" applyNumberFormat="1" applyFont="1" applyFill="1" applyAlignment="1">
      <alignment horizontal="left"/>
    </xf>
    <xf numFmtId="0" fontId="65" fillId="4" borderId="0" xfId="0" applyFont="1" applyFill="1"/>
    <xf numFmtId="0" fontId="40" fillId="4" borderId="0" xfId="0" applyFont="1" applyFill="1"/>
    <xf numFmtId="2" fontId="26" fillId="4" borderId="0" xfId="0" applyNumberFormat="1" applyFont="1" applyFill="1" applyAlignment="1">
      <alignment horizontal="center"/>
    </xf>
    <xf numFmtId="165" fontId="26" fillId="4" borderId="0" xfId="0" applyNumberFormat="1" applyFont="1" applyFill="1" applyAlignment="1">
      <alignment horizontal="center"/>
    </xf>
    <xf numFmtId="164" fontId="26" fillId="4" borderId="3" xfId="0" applyNumberFormat="1" applyFont="1" applyFill="1" applyBorder="1" applyAlignment="1">
      <alignment horizontal="center"/>
    </xf>
    <xf numFmtId="0" fontId="66" fillId="4" borderId="0" xfId="3" quotePrefix="1" applyNumberFormat="1" applyFont="1" applyFill="1"/>
    <xf numFmtId="14" fontId="67" fillId="4" borderId="0" xfId="3" applyNumberFormat="1" applyFont="1" applyFill="1" applyAlignment="1">
      <alignment horizontal="center"/>
    </xf>
    <xf numFmtId="2" fontId="68" fillId="4" borderId="0" xfId="3" quotePrefix="1" applyNumberFormat="1" applyFont="1" applyFill="1" applyAlignment="1">
      <alignment horizontal="center"/>
    </xf>
    <xf numFmtId="2" fontId="68" fillId="4" borderId="0" xfId="3" quotePrefix="1" applyNumberFormat="1" applyFont="1" applyFill="1" applyAlignment="1">
      <alignment horizontal="left"/>
    </xf>
    <xf numFmtId="164" fontId="68" fillId="4" borderId="0" xfId="3" quotePrefix="1" applyNumberFormat="1" applyFont="1" applyFill="1" applyAlignment="1">
      <alignment horizontal="center"/>
    </xf>
    <xf numFmtId="1" fontId="26" fillId="4" borderId="33" xfId="0" applyNumberFormat="1" applyFont="1" applyFill="1" applyBorder="1" applyAlignment="1">
      <alignment horizontal="left"/>
    </xf>
    <xf numFmtId="164" fontId="26" fillId="4" borderId="33" xfId="0" applyNumberFormat="1" applyFont="1" applyFill="1" applyBorder="1" applyAlignment="1">
      <alignment horizontal="left"/>
    </xf>
    <xf numFmtId="14" fontId="0" fillId="0" borderId="0" xfId="0" applyNumberFormat="1"/>
    <xf numFmtId="0" fontId="26" fillId="6" borderId="29" xfId="0" applyFont="1" applyFill="1" applyBorder="1" applyAlignment="1">
      <alignment horizontal="center"/>
    </xf>
    <xf numFmtId="0" fontId="65" fillId="4" borderId="31" xfId="0" applyFont="1" applyFill="1" applyBorder="1"/>
    <xf numFmtId="1" fontId="26" fillId="4" borderId="31" xfId="0" applyNumberFormat="1" applyFont="1" applyFill="1" applyBorder="1" applyAlignment="1">
      <alignment horizontal="center" vertical="center"/>
    </xf>
    <xf numFmtId="164" fontId="26" fillId="4" borderId="31" xfId="0" applyNumberFormat="1" applyFont="1" applyFill="1" applyBorder="1" applyAlignment="1">
      <alignment horizontal="center" vertical="center"/>
    </xf>
    <xf numFmtId="0" fontId="36" fillId="7" borderId="2" xfId="0" applyFont="1" applyFill="1" applyBorder="1" applyAlignment="1">
      <alignment horizontal="center"/>
    </xf>
    <xf numFmtId="0" fontId="26" fillId="7" borderId="1" xfId="0" applyFont="1" applyFill="1" applyBorder="1"/>
    <xf numFmtId="0" fontId="36" fillId="0" borderId="0" xfId="0" applyFont="1" applyFill="1"/>
    <xf numFmtId="0" fontId="65" fillId="0" borderId="0" xfId="0" applyFont="1"/>
    <xf numFmtId="9" fontId="29" fillId="0" borderId="0" xfId="0" applyNumberFormat="1" applyFont="1" applyAlignment="1">
      <alignment horizontal="center"/>
    </xf>
    <xf numFmtId="10" fontId="26" fillId="0" borderId="0" xfId="0" applyNumberFormat="1" applyFont="1" applyAlignment="1">
      <alignment horizontal="center"/>
    </xf>
    <xf numFmtId="10" fontId="29" fillId="0" borderId="0" xfId="0" applyNumberFormat="1" applyFont="1" applyAlignment="1">
      <alignment horizontal="center"/>
    </xf>
    <xf numFmtId="0" fontId="36" fillId="0" borderId="0" xfId="0" applyFont="1"/>
    <xf numFmtId="9" fontId="26" fillId="0" borderId="0" xfId="0" applyNumberFormat="1" applyFont="1" applyAlignment="1">
      <alignment horizontal="center"/>
    </xf>
    <xf numFmtId="9" fontId="26" fillId="0" borderId="0" xfId="0" applyNumberFormat="1" applyFont="1" applyAlignment="1">
      <alignment horizontal="left"/>
    </xf>
    <xf numFmtId="0" fontId="29" fillId="0" borderId="0" xfId="0" applyFont="1"/>
    <xf numFmtId="9" fontId="33" fillId="0" borderId="0" xfId="0" applyNumberFormat="1" applyFont="1" applyAlignment="1">
      <alignment horizontal="center"/>
    </xf>
    <xf numFmtId="0" fontId="36" fillId="7" borderId="2" xfId="0" applyFont="1" applyFill="1" applyBorder="1" applyAlignment="1">
      <alignment horizontal="left" vertical="top"/>
    </xf>
    <xf numFmtId="0" fontId="26" fillId="7" borderId="2" xfId="0" applyFont="1" applyFill="1" applyBorder="1"/>
    <xf numFmtId="0" fontId="36" fillId="7" borderId="1" xfId="0" applyFont="1" applyFill="1" applyBorder="1" applyAlignment="1">
      <alignment horizontal="left" vertical="top"/>
    </xf>
    <xf numFmtId="0" fontId="70" fillId="7" borderId="0" xfId="0" applyFont="1" applyFill="1" applyBorder="1"/>
    <xf numFmtId="0" fontId="70" fillId="7" borderId="1" xfId="0" applyFont="1" applyFill="1" applyBorder="1"/>
    <xf numFmtId="166" fontId="26" fillId="0" borderId="0" xfId="0" applyNumberFormat="1" applyFont="1" applyAlignment="1">
      <alignment horizontal="center"/>
    </xf>
    <xf numFmtId="0" fontId="36" fillId="7" borderId="2" xfId="0" applyFont="1" applyFill="1" applyBorder="1" applyAlignment="1">
      <alignment horizontal="left"/>
    </xf>
    <xf numFmtId="166" fontId="29" fillId="0" borderId="0" xfId="0" applyNumberFormat="1" applyFont="1" applyAlignment="1">
      <alignment horizontal="center"/>
    </xf>
    <xf numFmtId="10" fontId="33" fillId="0" borderId="0" xfId="0" applyNumberFormat="1" applyFont="1" applyAlignment="1">
      <alignment horizontal="center"/>
    </xf>
    <xf numFmtId="0" fontId="26" fillId="13" borderId="0" xfId="0" applyFont="1" applyFill="1"/>
    <xf numFmtId="0" fontId="26" fillId="13" borderId="0" xfId="0" applyFont="1" applyFill="1" applyAlignment="1">
      <alignment horizontal="left" vertical="top"/>
    </xf>
    <xf numFmtId="0" fontId="26" fillId="13" borderId="0" xfId="0" applyFont="1" applyFill="1" applyAlignment="1">
      <alignment horizontal="left" vertical="top" wrapText="1"/>
    </xf>
    <xf numFmtId="0" fontId="26" fillId="13" borderId="0" xfId="0" applyFont="1" applyFill="1" applyAlignment="1">
      <alignment vertical="top" wrapText="1"/>
    </xf>
    <xf numFmtId="0" fontId="36" fillId="13" borderId="0" xfId="0" applyFont="1" applyFill="1" applyAlignment="1">
      <alignment horizontal="center"/>
    </xf>
    <xf numFmtId="0" fontId="36" fillId="13" borderId="0" xfId="0" applyFont="1" applyFill="1"/>
    <xf numFmtId="0" fontId="33" fillId="0" borderId="0" xfId="0" applyFont="1"/>
    <xf numFmtId="164" fontId="26" fillId="0" borderId="0" xfId="0" applyNumberFormat="1" applyFont="1" applyAlignment="1">
      <alignment horizontal="center"/>
    </xf>
    <xf numFmtId="2" fontId="0" fillId="0" borderId="0" xfId="0" applyNumberFormat="1" applyBorder="1"/>
    <xf numFmtId="2" fontId="17" fillId="0" borderId="0" xfId="0" applyNumberFormat="1" applyFont="1" applyBorder="1"/>
    <xf numFmtId="0" fontId="17" fillId="0" borderId="0" xfId="0" applyFont="1" applyFill="1" applyBorder="1"/>
    <xf numFmtId="0" fontId="0" fillId="0" borderId="0" xfId="0" applyAlignment="1"/>
    <xf numFmtId="0" fontId="26" fillId="13" borderId="27" xfId="0" applyFont="1" applyFill="1" applyBorder="1"/>
    <xf numFmtId="0" fontId="26" fillId="13" borderId="28" xfId="0" applyFont="1" applyFill="1" applyBorder="1"/>
    <xf numFmtId="0" fontId="26" fillId="13" borderId="29" xfId="0" applyFont="1" applyFill="1" applyBorder="1"/>
    <xf numFmtId="0" fontId="36" fillId="13" borderId="27" xfId="0" applyFont="1" applyFill="1" applyBorder="1"/>
    <xf numFmtId="0" fontId="26" fillId="13" borderId="28" xfId="0" applyFont="1" applyFill="1" applyBorder="1" applyAlignment="1">
      <alignment horizontal="left"/>
    </xf>
    <xf numFmtId="0" fontId="26" fillId="13" borderId="29" xfId="0" applyFont="1" applyFill="1" applyBorder="1" applyAlignment="1">
      <alignment horizontal="left"/>
    </xf>
    <xf numFmtId="1" fontId="26" fillId="4" borderId="0" xfId="0" applyNumberFormat="1" applyFont="1" applyFill="1" applyBorder="1" applyAlignment="1">
      <alignment horizontal="left"/>
    </xf>
    <xf numFmtId="0" fontId="29" fillId="4" borderId="0" xfId="0" applyFont="1" applyFill="1"/>
    <xf numFmtId="0" fontId="69" fillId="4" borderId="30" xfId="0" applyFont="1" applyFill="1" applyBorder="1"/>
    <xf numFmtId="0" fontId="72" fillId="4" borderId="32" xfId="0" applyFont="1" applyFill="1" applyBorder="1"/>
    <xf numFmtId="0" fontId="33" fillId="4" borderId="30" xfId="0" applyFont="1" applyFill="1" applyBorder="1"/>
    <xf numFmtId="0" fontId="33" fillId="4" borderId="32" xfId="0" applyFont="1" applyFill="1" applyBorder="1"/>
    <xf numFmtId="0" fontId="36" fillId="7" borderId="30" xfId="0" applyFont="1" applyFill="1" applyBorder="1"/>
    <xf numFmtId="0" fontId="36" fillId="4" borderId="32" xfId="0" applyFont="1" applyFill="1" applyBorder="1"/>
    <xf numFmtId="0" fontId="73" fillId="13" borderId="0" xfId="0" applyFont="1" applyFill="1"/>
    <xf numFmtId="0" fontId="73" fillId="13" borderId="28" xfId="0" applyFont="1" applyFill="1" applyBorder="1"/>
    <xf numFmtId="0" fontId="73" fillId="13" borderId="29" xfId="0" applyFont="1" applyFill="1" applyBorder="1"/>
    <xf numFmtId="0" fontId="26" fillId="7" borderId="0" xfId="0" applyFont="1" applyFill="1" applyBorder="1" applyAlignment="1">
      <alignment horizontal="left"/>
    </xf>
    <xf numFmtId="0" fontId="38" fillId="7" borderId="18" xfId="0" applyFont="1" applyFill="1" applyBorder="1" applyAlignment="1">
      <alignment horizontal="center"/>
    </xf>
    <xf numFmtId="0" fontId="74" fillId="14" borderId="0" xfId="0" applyFont="1" applyFill="1" applyBorder="1"/>
    <xf numFmtId="0" fontId="26" fillId="4" borderId="61" xfId="0" applyFont="1" applyFill="1" applyBorder="1"/>
    <xf numFmtId="0" fontId="26" fillId="4" borderId="63" xfId="0" applyFont="1" applyFill="1" applyBorder="1"/>
    <xf numFmtId="0" fontId="26" fillId="10" borderId="58" xfId="0" applyFont="1" applyFill="1" applyBorder="1"/>
    <xf numFmtId="0" fontId="26" fillId="10" borderId="59" xfId="0" applyFont="1" applyFill="1" applyBorder="1"/>
    <xf numFmtId="0" fontId="26" fillId="10" borderId="60" xfId="0" applyFont="1" applyFill="1" applyBorder="1"/>
    <xf numFmtId="0" fontId="36" fillId="13" borderId="58" xfId="0" applyFont="1" applyFill="1" applyBorder="1"/>
    <xf numFmtId="0" fontId="26" fillId="13" borderId="59" xfId="0" applyFont="1" applyFill="1" applyBorder="1"/>
    <xf numFmtId="0" fontId="26" fillId="13" borderId="60" xfId="0" applyFont="1" applyFill="1" applyBorder="1"/>
    <xf numFmtId="0" fontId="36" fillId="10" borderId="61" xfId="0" applyFont="1" applyFill="1" applyBorder="1"/>
    <xf numFmtId="0" fontId="36" fillId="4" borderId="61" xfId="0" applyFont="1" applyFill="1" applyBorder="1"/>
    <xf numFmtId="0" fontId="74" fillId="14" borderId="61" xfId="0" applyFont="1" applyFill="1" applyBorder="1"/>
    <xf numFmtId="0" fontId="74" fillId="15" borderId="61" xfId="0" applyFont="1" applyFill="1" applyBorder="1"/>
    <xf numFmtId="0" fontId="27" fillId="14" borderId="61" xfId="0" applyFont="1" applyFill="1" applyBorder="1"/>
    <xf numFmtId="0" fontId="27" fillId="14" borderId="63" xfId="0" applyFont="1" applyFill="1" applyBorder="1"/>
    <xf numFmtId="0" fontId="65" fillId="4" borderId="61" xfId="0" applyFont="1" applyFill="1" applyBorder="1"/>
    <xf numFmtId="0" fontId="65" fillId="4" borderId="63" xfId="0" applyFont="1" applyFill="1" applyBorder="1"/>
    <xf numFmtId="0" fontId="75" fillId="4" borderId="61" xfId="0" applyFont="1" applyFill="1" applyBorder="1"/>
    <xf numFmtId="0" fontId="76" fillId="4" borderId="61" xfId="0" applyFont="1" applyFill="1" applyBorder="1"/>
    <xf numFmtId="0" fontId="65" fillId="4" borderId="66" xfId="0" applyFont="1" applyFill="1" applyBorder="1"/>
    <xf numFmtId="0" fontId="26" fillId="4" borderId="66" xfId="0" applyFont="1" applyFill="1" applyBorder="1"/>
    <xf numFmtId="1" fontId="26" fillId="13" borderId="31" xfId="0" applyNumberFormat="1" applyFont="1" applyFill="1" applyBorder="1" applyAlignment="1">
      <alignment horizontal="left"/>
    </xf>
    <xf numFmtId="1" fontId="26" fillId="13" borderId="34" xfId="0" applyNumberFormat="1" applyFont="1" applyFill="1" applyBorder="1" applyAlignment="1">
      <alignment horizontal="left"/>
    </xf>
    <xf numFmtId="0" fontId="77" fillId="12" borderId="0" xfId="0" applyFont="1" applyFill="1"/>
    <xf numFmtId="0" fontId="77" fillId="12" borderId="0" xfId="0" applyFont="1" applyFill="1" applyAlignment="1">
      <alignment horizontal="center"/>
    </xf>
    <xf numFmtId="0" fontId="1" fillId="2" borderId="0" xfId="0" applyFont="1" applyFill="1" applyAlignment="1">
      <alignment horizontal="center"/>
    </xf>
    <xf numFmtId="164" fontId="0" fillId="2" borderId="0" xfId="0" applyNumberFormat="1" applyFill="1" applyAlignment="1">
      <alignment horizontal="center"/>
    </xf>
    <xf numFmtId="167" fontId="0" fillId="0" borderId="0" xfId="0" applyNumberFormat="1" applyAlignment="1">
      <alignment horizontal="center"/>
    </xf>
    <xf numFmtId="1" fontId="40" fillId="4" borderId="0" xfId="0" applyNumberFormat="1" applyFont="1" applyFill="1" applyAlignment="1">
      <alignment horizontal="center"/>
    </xf>
    <xf numFmtId="0" fontId="40" fillId="4" borderId="32" xfId="0" applyFont="1" applyFill="1" applyBorder="1"/>
    <xf numFmtId="1" fontId="40" fillId="4" borderId="34" xfId="0" applyNumberFormat="1" applyFont="1" applyFill="1" applyBorder="1" applyAlignment="1">
      <alignment horizontal="center"/>
    </xf>
    <xf numFmtId="1" fontId="40" fillId="4" borderId="0" xfId="0" applyNumberFormat="1" applyFont="1" applyFill="1" applyBorder="1" applyAlignment="1">
      <alignment horizontal="center"/>
    </xf>
    <xf numFmtId="0" fontId="36" fillId="2" borderId="30" xfId="0" applyFont="1" applyFill="1" applyBorder="1"/>
    <xf numFmtId="1" fontId="36" fillId="2" borderId="31" xfId="0" applyNumberFormat="1" applyFont="1" applyFill="1" applyBorder="1" applyAlignment="1">
      <alignment horizontal="center"/>
    </xf>
    <xf numFmtId="0" fontId="40" fillId="2" borderId="30" xfId="0" applyFont="1" applyFill="1" applyBorder="1"/>
    <xf numFmtId="0" fontId="78" fillId="2" borderId="0" xfId="0" applyFont="1" applyFill="1"/>
    <xf numFmtId="0" fontId="78" fillId="2" borderId="0" xfId="0" applyFont="1" applyFill="1" applyAlignment="1">
      <alignment horizontal="center"/>
    </xf>
    <xf numFmtId="0" fontId="1" fillId="0" borderId="0" xfId="0" applyFont="1" applyFill="1"/>
    <xf numFmtId="164" fontId="1" fillId="2" borderId="0" xfId="0" applyNumberFormat="1" applyFont="1" applyFill="1" applyAlignment="1">
      <alignment horizontal="center"/>
    </xf>
    <xf numFmtId="1" fontId="33" fillId="4" borderId="34" xfId="0" applyNumberFormat="1" applyFont="1" applyFill="1" applyBorder="1" applyAlignment="1">
      <alignment horizontal="center"/>
    </xf>
    <xf numFmtId="1" fontId="1" fillId="2" borderId="0" xfId="0" applyNumberFormat="1" applyFont="1" applyFill="1" applyAlignment="1">
      <alignment horizontal="center"/>
    </xf>
    <xf numFmtId="165" fontId="26" fillId="4" borderId="0" xfId="0" applyNumberFormat="1" applyFont="1" applyFill="1"/>
    <xf numFmtId="1" fontId="29" fillId="4" borderId="0" xfId="0" applyNumberFormat="1" applyFont="1" applyFill="1"/>
    <xf numFmtId="1" fontId="33" fillId="4" borderId="31" xfId="0" applyNumberFormat="1" applyFont="1" applyFill="1" applyBorder="1" applyAlignment="1">
      <alignment horizontal="center"/>
    </xf>
    <xf numFmtId="49" fontId="1" fillId="0" borderId="0" xfId="0" applyNumberFormat="1" applyFont="1" applyBorder="1"/>
    <xf numFmtId="1" fontId="26" fillId="4" borderId="0" xfId="0" applyNumberFormat="1" applyFont="1" applyFill="1" applyAlignment="1">
      <alignment horizontal="left"/>
    </xf>
    <xf numFmtId="1" fontId="33" fillId="4" borderId="0" xfId="0" applyNumberFormat="1" applyFont="1" applyFill="1"/>
    <xf numFmtId="164" fontId="26" fillId="4" borderId="0" xfId="0" applyNumberFormat="1" applyFont="1" applyFill="1"/>
    <xf numFmtId="9" fontId="0" fillId="0" borderId="0" xfId="18" applyFont="1"/>
    <xf numFmtId="43" fontId="79" fillId="0" borderId="0" xfId="19" applyNumberFormat="1" applyFill="1" applyBorder="1"/>
    <xf numFmtId="0" fontId="0" fillId="0" borderId="37" xfId="0" applyBorder="1"/>
    <xf numFmtId="0" fontId="0" fillId="0" borderId="37" xfId="0" applyBorder="1" applyAlignment="1">
      <alignment wrapText="1"/>
    </xf>
    <xf numFmtId="9" fontId="0" fillId="0" borderId="37" xfId="18" applyFont="1" applyBorder="1" applyAlignment="1">
      <alignment wrapText="1"/>
    </xf>
    <xf numFmtId="9" fontId="79" fillId="0" borderId="0" xfId="19" applyNumberFormat="1" applyFill="1" applyBorder="1"/>
    <xf numFmtId="43" fontId="0" fillId="0" borderId="0" xfId="17" applyFont="1"/>
    <xf numFmtId="43" fontId="0" fillId="0" borderId="0" xfId="0" applyNumberFormat="1"/>
    <xf numFmtId="9" fontId="0" fillId="0" borderId="37" xfId="0" applyNumberFormat="1" applyBorder="1"/>
    <xf numFmtId="43" fontId="0" fillId="0" borderId="37" xfId="17" applyFont="1" applyBorder="1"/>
    <xf numFmtId="9" fontId="0" fillId="0" borderId="37" xfId="18" applyFont="1" applyBorder="1"/>
    <xf numFmtId="43" fontId="0" fillId="0" borderId="37" xfId="0" applyNumberFormat="1" applyBorder="1"/>
    <xf numFmtId="0" fontId="79" fillId="0" borderId="0" xfId="19" applyFill="1" applyBorder="1"/>
    <xf numFmtId="0" fontId="36" fillId="0" borderId="0" xfId="0" applyFont="1" applyFill="1" applyBorder="1" applyAlignment="1">
      <alignment horizontal="left" vertical="top"/>
    </xf>
    <xf numFmtId="0" fontId="36" fillId="0" borderId="0" xfId="0" applyFont="1" applyFill="1" applyBorder="1" applyAlignment="1">
      <alignment horizontal="left" vertical="top" wrapText="1"/>
    </xf>
    <xf numFmtId="0" fontId="69" fillId="0" borderId="0" xfId="0" applyFont="1" applyFill="1" applyBorder="1" applyAlignment="1">
      <alignment horizontal="left" vertical="top" wrapText="1"/>
    </xf>
    <xf numFmtId="0" fontId="69" fillId="0" borderId="0" xfId="0" applyFont="1" applyFill="1" applyBorder="1" applyAlignment="1">
      <alignment horizontal="left" vertical="top"/>
    </xf>
    <xf numFmtId="0" fontId="26" fillId="0" borderId="0" xfId="0" applyFont="1" applyFill="1" applyBorder="1"/>
    <xf numFmtId="9" fontId="0" fillId="0" borderId="0" xfId="0" applyNumberFormat="1"/>
    <xf numFmtId="2" fontId="0" fillId="0" borderId="0" xfId="0" applyNumberFormat="1"/>
    <xf numFmtId="0" fontId="78" fillId="0" borderId="0" xfId="0" applyFont="1" applyFill="1"/>
    <xf numFmtId="0" fontId="78" fillId="2" borderId="37" xfId="0" applyFont="1" applyFill="1" applyBorder="1"/>
    <xf numFmtId="0" fontId="77" fillId="0" borderId="0" xfId="0" applyFont="1" applyFill="1"/>
    <xf numFmtId="9" fontId="78" fillId="0" borderId="0" xfId="0" applyNumberFormat="1" applyFont="1" applyFill="1"/>
    <xf numFmtId="9" fontId="0" fillId="0" borderId="0" xfId="0" applyNumberFormat="1" applyBorder="1"/>
    <xf numFmtId="43" fontId="0" fillId="0" borderId="0" xfId="17" applyFont="1" applyBorder="1"/>
    <xf numFmtId="9" fontId="0" fillId="0" borderId="0" xfId="18" applyFont="1" applyBorder="1"/>
    <xf numFmtId="43" fontId="0" fillId="0" borderId="0" xfId="0" applyNumberFormat="1" applyBorder="1"/>
    <xf numFmtId="0" fontId="0" fillId="0" borderId="0" xfId="0" applyAlignment="1">
      <alignment vertical="center"/>
    </xf>
    <xf numFmtId="0" fontId="0" fillId="0" borderId="0" xfId="0" applyFont="1" applyAlignment="1">
      <alignment vertical="center"/>
    </xf>
    <xf numFmtId="0" fontId="77" fillId="18" borderId="0" xfId="0" applyFont="1" applyFill="1"/>
    <xf numFmtId="0" fontId="0" fillId="18" borderId="0" xfId="0" applyFill="1"/>
    <xf numFmtId="0" fontId="78" fillId="18" borderId="37" xfId="0" applyFont="1" applyFill="1" applyBorder="1"/>
    <xf numFmtId="0" fontId="78" fillId="18" borderId="0" xfId="0" applyFont="1" applyFill="1"/>
    <xf numFmtId="9" fontId="78" fillId="18" borderId="0" xfId="0" applyNumberFormat="1" applyFont="1" applyFill="1"/>
    <xf numFmtId="0" fontId="0" fillId="18" borderId="37" xfId="0" applyFill="1" applyBorder="1" applyAlignment="1">
      <alignment wrapText="1"/>
    </xf>
    <xf numFmtId="43" fontId="0" fillId="18" borderId="0" xfId="0" applyNumberFormat="1" applyFill="1"/>
    <xf numFmtId="43" fontId="0" fillId="18" borderId="0" xfId="17" applyFont="1" applyFill="1"/>
    <xf numFmtId="43" fontId="0" fillId="18" borderId="37" xfId="0" applyNumberFormat="1" applyFill="1" applyBorder="1"/>
    <xf numFmtId="43" fontId="0" fillId="18" borderId="37" xfId="17" applyFont="1" applyFill="1" applyBorder="1"/>
    <xf numFmtId="43" fontId="0" fillId="18" borderId="0" xfId="0" applyNumberFormat="1" applyFill="1" applyBorder="1"/>
    <xf numFmtId="43" fontId="0" fillId="18" borderId="0" xfId="17" applyFont="1" applyFill="1" applyBorder="1"/>
    <xf numFmtId="43" fontId="0" fillId="0" borderId="0" xfId="0" applyNumberFormat="1" applyFill="1" applyBorder="1"/>
    <xf numFmtId="43" fontId="0" fillId="0" borderId="0" xfId="17" applyFont="1" applyFill="1" applyBorder="1"/>
    <xf numFmtId="0" fontId="0" fillId="17" borderId="37" xfId="0" applyFill="1" applyBorder="1" applyAlignment="1">
      <alignment wrapText="1"/>
    </xf>
    <xf numFmtId="0" fontId="78" fillId="0" borderId="0" xfId="0" applyFont="1" applyFill="1" applyBorder="1"/>
    <xf numFmtId="0" fontId="0" fillId="0" borderId="0" xfId="0" applyFill="1" applyBorder="1" applyAlignment="1">
      <alignment wrapText="1"/>
    </xf>
    <xf numFmtId="9" fontId="0" fillId="0" borderId="0" xfId="18" applyFont="1" applyFill="1" applyBorder="1" applyAlignment="1">
      <alignment wrapText="1"/>
    </xf>
    <xf numFmtId="9" fontId="0" fillId="0" borderId="0" xfId="18" applyFont="1" applyFill="1" applyBorder="1"/>
    <xf numFmtId="9" fontId="0" fillId="0" borderId="0" xfId="0" applyNumberFormat="1" applyFill="1" applyBorder="1"/>
    <xf numFmtId="0" fontId="17" fillId="0" borderId="37" xfId="0" applyFont="1" applyBorder="1" applyAlignment="1">
      <alignment wrapText="1"/>
    </xf>
    <xf numFmtId="2" fontId="17" fillId="0" borderId="0" xfId="0" applyNumberFormat="1" applyFont="1"/>
    <xf numFmtId="1" fontId="0" fillId="0" borderId="0" xfId="0" applyNumberFormat="1"/>
    <xf numFmtId="164" fontId="0" fillId="0" borderId="0" xfId="0" applyNumberFormat="1"/>
    <xf numFmtId="164" fontId="0" fillId="0" borderId="0" xfId="0" applyNumberFormat="1" applyFill="1"/>
    <xf numFmtId="0" fontId="1" fillId="2" borderId="0" xfId="0" applyFont="1" applyFill="1" applyAlignment="1">
      <alignment horizontal="left"/>
    </xf>
    <xf numFmtId="0" fontId="69" fillId="7" borderId="1" xfId="0" applyFont="1" applyFill="1" applyBorder="1" applyAlignment="1">
      <alignment horizontal="left" vertical="top" wrapText="1"/>
    </xf>
    <xf numFmtId="0" fontId="36" fillId="7" borderId="2" xfId="0" applyFont="1" applyFill="1" applyBorder="1" applyAlignment="1">
      <alignment horizontal="left" vertical="top" wrapText="1"/>
    </xf>
    <xf numFmtId="0" fontId="36" fillId="7" borderId="1" xfId="0" applyFont="1" applyFill="1" applyBorder="1" applyAlignment="1">
      <alignment horizontal="left" vertical="top" wrapText="1"/>
    </xf>
    <xf numFmtId="0" fontId="69" fillId="7" borderId="0" xfId="0" applyFont="1" applyFill="1" applyBorder="1" applyAlignment="1">
      <alignment horizontal="left" vertical="top" wrapText="1"/>
    </xf>
    <xf numFmtId="0" fontId="36" fillId="0" borderId="0" xfId="0" applyFont="1" applyFill="1" applyBorder="1" applyAlignment="1">
      <alignment vertical="top"/>
    </xf>
    <xf numFmtId="0" fontId="36" fillId="0" borderId="0" xfId="0" applyFont="1" applyFill="1" applyBorder="1" applyAlignment="1">
      <alignment horizontal="left" vertical="top" wrapText="1"/>
    </xf>
    <xf numFmtId="0" fontId="1" fillId="0" borderId="0" xfId="0" applyFont="1" applyFill="1" applyBorder="1"/>
    <xf numFmtId="0" fontId="0" fillId="4" borderId="0" xfId="0" applyNumberFormat="1" applyFill="1"/>
    <xf numFmtId="0" fontId="81" fillId="0" borderId="0" xfId="0" applyFont="1" applyAlignment="1">
      <alignment vertical="center"/>
    </xf>
    <xf numFmtId="1" fontId="0" fillId="4" borderId="0" xfId="0" applyNumberFormat="1" applyFill="1"/>
    <xf numFmtId="1" fontId="65" fillId="4" borderId="31" xfId="0" applyNumberFormat="1" applyFont="1" applyFill="1" applyBorder="1" applyAlignment="1">
      <alignment horizontal="center"/>
    </xf>
    <xf numFmtId="0" fontId="82" fillId="0" borderId="0" xfId="0" applyFont="1" applyAlignment="1">
      <alignment vertical="center"/>
    </xf>
    <xf numFmtId="0" fontId="26" fillId="2" borderId="2" xfId="0" applyFont="1" applyFill="1" applyBorder="1"/>
    <xf numFmtId="0" fontId="83" fillId="2" borderId="2" xfId="0" applyFont="1" applyFill="1" applyBorder="1"/>
    <xf numFmtId="0" fontId="36" fillId="2" borderId="2" xfId="0" applyFont="1" applyFill="1" applyBorder="1" applyAlignment="1">
      <alignment horizontal="center"/>
    </xf>
    <xf numFmtId="0" fontId="26" fillId="2" borderId="0" xfId="0" applyFont="1" applyFill="1"/>
    <xf numFmtId="0" fontId="26" fillId="2" borderId="0" xfId="0" applyFont="1" applyFill="1" applyBorder="1" applyAlignment="1"/>
    <xf numFmtId="0" fontId="36" fillId="2" borderId="0" xfId="0" applyFont="1" applyFill="1" applyBorder="1" applyAlignment="1">
      <alignment horizontal="center"/>
    </xf>
    <xf numFmtId="0" fontId="26" fillId="2" borderId="2" xfId="0" applyFont="1" applyFill="1" applyBorder="1" applyAlignment="1"/>
    <xf numFmtId="0" fontId="36" fillId="2" borderId="2" xfId="0" applyFont="1" applyFill="1" applyBorder="1"/>
    <xf numFmtId="1" fontId="26" fillId="2" borderId="2" xfId="0" applyNumberFormat="1" applyFont="1" applyFill="1" applyBorder="1" applyAlignment="1">
      <alignment horizontal="left"/>
    </xf>
    <xf numFmtId="0" fontId="26" fillId="2" borderId="2" xfId="0" applyFont="1" applyFill="1" applyBorder="1" applyAlignment="1">
      <alignment horizontal="left"/>
    </xf>
    <xf numFmtId="1" fontId="26" fillId="2" borderId="0" xfId="0" applyNumberFormat="1" applyFont="1" applyFill="1" applyBorder="1" applyAlignment="1">
      <alignment horizontal="left"/>
    </xf>
    <xf numFmtId="0" fontId="26" fillId="2" borderId="0" xfId="0" applyFont="1" applyFill="1" applyBorder="1" applyAlignment="1">
      <alignment horizontal="left"/>
    </xf>
    <xf numFmtId="0" fontId="26" fillId="0" borderId="0" xfId="0" applyFont="1" applyFill="1" applyBorder="1" applyAlignment="1">
      <alignment horizontal="left"/>
    </xf>
    <xf numFmtId="0" fontId="26" fillId="2" borderId="37" xfId="0" applyFont="1" applyFill="1" applyBorder="1"/>
    <xf numFmtId="0" fontId="36" fillId="2" borderId="37" xfId="0" applyFont="1" applyFill="1" applyBorder="1"/>
    <xf numFmtId="1" fontId="26" fillId="2" borderId="37" xfId="0" applyNumberFormat="1" applyFont="1" applyFill="1" applyBorder="1" applyAlignment="1">
      <alignment horizontal="left"/>
    </xf>
    <xf numFmtId="0" fontId="26" fillId="2" borderId="37" xfId="0" applyFont="1" applyFill="1" applyBorder="1" applyAlignment="1">
      <alignment horizontal="left"/>
    </xf>
    <xf numFmtId="0" fontId="26" fillId="2" borderId="1" xfId="0" applyFont="1" applyFill="1" applyBorder="1"/>
    <xf numFmtId="1" fontId="26" fillId="2" borderId="1" xfId="0" applyNumberFormat="1" applyFont="1" applyFill="1" applyBorder="1" applyAlignment="1">
      <alignment horizontal="left"/>
    </xf>
    <xf numFmtId="0" fontId="83" fillId="2" borderId="37" xfId="0" applyFont="1" applyFill="1" applyBorder="1"/>
    <xf numFmtId="0" fontId="36" fillId="2" borderId="1" xfId="0" applyFont="1" applyFill="1" applyBorder="1"/>
    <xf numFmtId="0" fontId="83" fillId="2" borderId="0" xfId="0" applyFont="1" applyFill="1" applyBorder="1"/>
    <xf numFmtId="1" fontId="33" fillId="2" borderId="2" xfId="0" applyNumberFormat="1" applyFont="1" applyFill="1" applyBorder="1" applyAlignment="1">
      <alignment horizontal="left"/>
    </xf>
    <xf numFmtId="1" fontId="33" fillId="2" borderId="0" xfId="0" applyNumberFormat="1" applyFont="1" applyFill="1" applyBorder="1" applyAlignment="1">
      <alignment horizontal="left"/>
    </xf>
    <xf numFmtId="0" fontId="55" fillId="8" borderId="0" xfId="0" applyFont="1" applyFill="1" applyAlignment="1">
      <alignment horizontal="left"/>
    </xf>
    <xf numFmtId="0" fontId="32" fillId="2" borderId="0" xfId="0" applyFont="1" applyFill="1" applyBorder="1"/>
    <xf numFmtId="1" fontId="32" fillId="2" borderId="0" xfId="0" applyNumberFormat="1" applyFont="1" applyFill="1" applyBorder="1" applyAlignment="1">
      <alignment horizontal="left"/>
    </xf>
    <xf numFmtId="0" fontId="32" fillId="2" borderId="0" xfId="0" applyFont="1" applyFill="1" applyBorder="1" applyAlignment="1">
      <alignment horizontal="left"/>
    </xf>
    <xf numFmtId="0" fontId="26" fillId="2" borderId="0" xfId="0" applyFont="1" applyFill="1" applyBorder="1" applyAlignment="1">
      <alignment horizontal="center"/>
    </xf>
    <xf numFmtId="0" fontId="84" fillId="4" borderId="0" xfId="0" applyFont="1" applyFill="1"/>
    <xf numFmtId="0" fontId="85" fillId="8" borderId="0" xfId="0" applyFont="1" applyFill="1"/>
    <xf numFmtId="0" fontId="86" fillId="8" borderId="0" xfId="0" applyFont="1" applyFill="1"/>
    <xf numFmtId="0" fontId="86" fillId="4" borderId="0" xfId="0" applyFont="1" applyFill="1"/>
    <xf numFmtId="0" fontId="86" fillId="4" borderId="0" xfId="0" applyFont="1" applyFill="1" applyAlignment="1">
      <alignment horizontal="center"/>
    </xf>
    <xf numFmtId="0" fontId="87" fillId="4" borderId="0" xfId="0" applyFont="1" applyFill="1"/>
    <xf numFmtId="0" fontId="84" fillId="4" borderId="0" xfId="0" applyFont="1" applyFill="1" applyAlignment="1">
      <alignment horizontal="center"/>
    </xf>
    <xf numFmtId="0" fontId="84" fillId="4" borderId="0" xfId="0" applyFont="1" applyFill="1" applyAlignment="1">
      <alignment horizontal="left"/>
    </xf>
    <xf numFmtId="0" fontId="57" fillId="4" borderId="0" xfId="0" applyFont="1" applyFill="1" applyAlignment="1">
      <alignment horizontal="left"/>
    </xf>
    <xf numFmtId="0" fontId="26" fillId="4" borderId="3" xfId="0" applyFont="1" applyFill="1" applyBorder="1" applyAlignment="1">
      <alignment horizontal="left"/>
    </xf>
    <xf numFmtId="0" fontId="33" fillId="4" borderId="0" xfId="0" applyFont="1" applyFill="1"/>
    <xf numFmtId="0" fontId="88" fillId="4" borderId="0" xfId="0" applyFont="1" applyFill="1"/>
    <xf numFmtId="0" fontId="88" fillId="4" borderId="0" xfId="0" applyFont="1" applyFill="1" applyAlignment="1">
      <alignment horizontal="left"/>
    </xf>
    <xf numFmtId="0" fontId="88" fillId="4" borderId="3" xfId="0" applyFont="1" applyFill="1" applyBorder="1" applyAlignment="1">
      <alignment horizontal="left"/>
    </xf>
    <xf numFmtId="0" fontId="88" fillId="4" borderId="3" xfId="0" applyFont="1" applyFill="1" applyBorder="1" applyAlignment="1">
      <alignment horizontal="center"/>
    </xf>
    <xf numFmtId="0" fontId="89" fillId="4" borderId="0" xfId="0" applyFont="1" applyFill="1"/>
    <xf numFmtId="0" fontId="26" fillId="4" borderId="40" xfId="0" applyFont="1" applyFill="1" applyBorder="1"/>
    <xf numFmtId="0" fontId="26" fillId="2" borderId="3" xfId="0" applyFont="1" applyFill="1" applyBorder="1" applyAlignment="1">
      <alignment horizontal="center"/>
    </xf>
    <xf numFmtId="0" fontId="26" fillId="4" borderId="1" xfId="0" applyFont="1" applyFill="1" applyBorder="1"/>
    <xf numFmtId="0" fontId="36" fillId="6" borderId="3" xfId="0" applyFont="1" applyFill="1" applyBorder="1" applyAlignment="1">
      <alignment horizontal="center"/>
    </xf>
    <xf numFmtId="0" fontId="26" fillId="4" borderId="39" xfId="0" applyFont="1" applyFill="1" applyBorder="1" applyAlignment="1">
      <alignment horizontal="center"/>
    </xf>
    <xf numFmtId="0" fontId="26" fillId="4" borderId="3" xfId="0" applyFont="1" applyFill="1" applyBorder="1" applyAlignment="1">
      <alignment horizontal="center"/>
    </xf>
    <xf numFmtId="0" fontId="90" fillId="4" borderId="0" xfId="0" applyFont="1" applyFill="1" applyBorder="1" applyAlignment="1"/>
    <xf numFmtId="0" fontId="91" fillId="4" borderId="0" xfId="0" applyFont="1" applyFill="1" applyBorder="1" applyAlignment="1"/>
    <xf numFmtId="0" fontId="33" fillId="3" borderId="2" xfId="0" applyFont="1" applyFill="1" applyBorder="1" applyAlignment="1">
      <alignment horizontal="center"/>
    </xf>
    <xf numFmtId="0" fontId="33" fillId="4" borderId="0" xfId="0" applyFont="1" applyFill="1" applyBorder="1"/>
    <xf numFmtId="0" fontId="29" fillId="4" borderId="0" xfId="0" quotePrefix="1" applyFont="1" applyFill="1"/>
    <xf numFmtId="0" fontId="28" fillId="4" borderId="0" xfId="0" applyFont="1" applyFill="1"/>
    <xf numFmtId="0" fontId="26" fillId="4" borderId="38" xfId="0" applyFont="1" applyFill="1" applyBorder="1" applyAlignment="1">
      <alignment horizontal="center"/>
    </xf>
    <xf numFmtId="0" fontId="25" fillId="4" borderId="0" xfId="0" applyFont="1" applyFill="1"/>
    <xf numFmtId="0" fontId="26" fillId="3" borderId="42" xfId="0" applyFont="1" applyFill="1" applyBorder="1"/>
    <xf numFmtId="0" fontId="26" fillId="3" borderId="37" xfId="0" applyFont="1" applyFill="1" applyBorder="1" applyAlignment="1">
      <alignment horizontal="center"/>
    </xf>
    <xf numFmtId="0" fontId="26" fillId="2" borderId="36" xfId="0" applyFont="1" applyFill="1" applyBorder="1" applyAlignment="1">
      <alignment horizontal="center"/>
    </xf>
    <xf numFmtId="1" fontId="26" fillId="5" borderId="37" xfId="0" applyNumberFormat="1" applyFont="1" applyFill="1" applyBorder="1" applyAlignment="1">
      <alignment horizontal="center"/>
    </xf>
    <xf numFmtId="1" fontId="26" fillId="4" borderId="37" xfId="0" applyNumberFormat="1" applyFont="1" applyFill="1" applyBorder="1" applyAlignment="1">
      <alignment horizontal="center"/>
    </xf>
    <xf numFmtId="0" fontId="26" fillId="4" borderId="41" xfId="0" applyFont="1" applyFill="1" applyBorder="1" applyAlignment="1">
      <alignment horizontal="left"/>
    </xf>
    <xf numFmtId="0" fontId="90" fillId="4" borderId="0" xfId="0" applyFont="1" applyFill="1" applyBorder="1" applyAlignment="1">
      <alignment horizontal="right"/>
    </xf>
    <xf numFmtId="1" fontId="26" fillId="5" borderId="3" xfId="0" applyNumberFormat="1" applyFont="1" applyFill="1" applyBorder="1" applyAlignment="1">
      <alignment horizontal="center"/>
    </xf>
    <xf numFmtId="0" fontId="26" fillId="4" borderId="37" xfId="0" applyFont="1" applyFill="1" applyBorder="1" applyAlignment="1">
      <alignment horizontal="center"/>
    </xf>
    <xf numFmtId="0" fontId="26" fillId="4" borderId="40" xfId="0" applyFont="1" applyFill="1" applyBorder="1" applyAlignment="1">
      <alignment horizontal="left"/>
    </xf>
    <xf numFmtId="0" fontId="33" fillId="0" borderId="0" xfId="0" applyFont="1" applyFill="1" applyBorder="1"/>
    <xf numFmtId="1" fontId="26" fillId="5" borderId="35" xfId="0" applyNumberFormat="1" applyFont="1" applyFill="1" applyBorder="1" applyAlignment="1">
      <alignment horizontal="center"/>
    </xf>
    <xf numFmtId="1" fontId="26" fillId="5" borderId="36" xfId="0" applyNumberFormat="1" applyFont="1" applyFill="1" applyBorder="1" applyAlignment="1">
      <alignment horizontal="center"/>
    </xf>
    <xf numFmtId="0" fontId="26" fillId="4" borderId="35" xfId="0" applyFont="1" applyFill="1" applyBorder="1" applyAlignment="1">
      <alignment horizontal="center"/>
    </xf>
    <xf numFmtId="0" fontId="33" fillId="11" borderId="2" xfId="0" applyFont="1" applyFill="1" applyBorder="1" applyAlignment="1">
      <alignment horizontal="center"/>
    </xf>
    <xf numFmtId="0" fontId="36" fillId="6" borderId="3" xfId="0" applyFont="1" applyFill="1" applyBorder="1" applyAlignment="1">
      <alignment horizontal="left"/>
    </xf>
    <xf numFmtId="0" fontId="26" fillId="4" borderId="38" xfId="0" applyFont="1" applyFill="1" applyBorder="1" applyAlignment="1">
      <alignment horizontal="left"/>
    </xf>
    <xf numFmtId="0" fontId="33" fillId="11" borderId="2" xfId="0" applyFont="1" applyFill="1" applyBorder="1"/>
    <xf numFmtId="0" fontId="26" fillId="5" borderId="3" xfId="0" applyFont="1" applyFill="1" applyBorder="1" applyAlignment="1">
      <alignment horizontal="center"/>
    </xf>
    <xf numFmtId="0" fontId="26" fillId="4" borderId="3" xfId="0" applyFont="1" applyFill="1" applyBorder="1" applyAlignment="1"/>
    <xf numFmtId="0" fontId="26" fillId="4" borderId="40" xfId="0" applyFont="1" applyFill="1" applyBorder="1" applyAlignment="1"/>
    <xf numFmtId="0" fontId="26" fillId="4" borderId="1" xfId="0" applyFont="1" applyFill="1" applyBorder="1" applyAlignment="1">
      <alignment horizontal="center"/>
    </xf>
    <xf numFmtId="0" fontId="92" fillId="4" borderId="0" xfId="0" applyFont="1" applyFill="1"/>
    <xf numFmtId="0" fontId="26" fillId="4" borderId="2" xfId="0" applyFont="1" applyFill="1" applyBorder="1"/>
    <xf numFmtId="0" fontId="26" fillId="4" borderId="37" xfId="0" applyFont="1" applyFill="1" applyBorder="1"/>
    <xf numFmtId="0" fontId="26" fillId="4" borderId="35" xfId="0" applyFont="1" applyFill="1" applyBorder="1" applyAlignment="1">
      <alignment horizontal="left"/>
    </xf>
    <xf numFmtId="0" fontId="26" fillId="4" borderId="37" xfId="0" applyFont="1" applyFill="1" applyBorder="1" applyAlignment="1">
      <alignment horizontal="left"/>
    </xf>
    <xf numFmtId="0" fontId="93" fillId="4" borderId="0" xfId="0" applyFont="1" applyFill="1"/>
    <xf numFmtId="0" fontId="26" fillId="4" borderId="0" xfId="0" applyFont="1" applyFill="1" applyBorder="1" applyAlignment="1"/>
    <xf numFmtId="0" fontId="26" fillId="4" borderId="39" xfId="0" applyFont="1" applyFill="1" applyBorder="1" applyAlignment="1">
      <alignment horizontal="left"/>
    </xf>
    <xf numFmtId="0" fontId="26" fillId="4" borderId="0" xfId="0" applyNumberFormat="1" applyFont="1" applyFill="1" applyAlignment="1">
      <alignment horizontal="left"/>
    </xf>
    <xf numFmtId="0" fontId="26" fillId="0" borderId="3" xfId="0" applyFont="1" applyFill="1" applyBorder="1" applyAlignment="1">
      <alignment horizontal="left"/>
    </xf>
    <xf numFmtId="0" fontId="26" fillId="4" borderId="3" xfId="0" applyFont="1" applyFill="1" applyBorder="1"/>
    <xf numFmtId="0" fontId="26" fillId="3" borderId="35" xfId="0" applyFont="1" applyFill="1" applyBorder="1" applyAlignment="1">
      <alignment horizontal="left"/>
    </xf>
    <xf numFmtId="1" fontId="26" fillId="3" borderId="35" xfId="0" applyNumberFormat="1" applyFont="1" applyFill="1" applyBorder="1" applyAlignment="1">
      <alignment horizontal="left"/>
    </xf>
    <xf numFmtId="0" fontId="26" fillId="4" borderId="41" xfId="0" applyFont="1" applyFill="1" applyBorder="1" applyAlignment="1"/>
    <xf numFmtId="1" fontId="26" fillId="13" borderId="3" xfId="0" applyNumberFormat="1" applyFont="1" applyFill="1" applyBorder="1" applyAlignment="1">
      <alignment horizontal="left"/>
    </xf>
    <xf numFmtId="1" fontId="26" fillId="5" borderId="0" xfId="0" applyNumberFormat="1" applyFont="1" applyFill="1" applyBorder="1" applyAlignment="1">
      <alignment horizontal="left"/>
    </xf>
    <xf numFmtId="1" fontId="29" fillId="5" borderId="0" xfId="0" applyNumberFormat="1" applyFont="1" applyFill="1" applyBorder="1" applyAlignment="1">
      <alignment horizontal="left"/>
    </xf>
    <xf numFmtId="1" fontId="29" fillId="5" borderId="33" xfId="0" applyNumberFormat="1" applyFont="1" applyFill="1" applyBorder="1" applyAlignment="1">
      <alignment horizontal="left"/>
    </xf>
    <xf numFmtId="1" fontId="26" fillId="5" borderId="33" xfId="0" applyNumberFormat="1" applyFont="1" applyFill="1" applyBorder="1" applyAlignment="1">
      <alignment horizontal="left"/>
    </xf>
    <xf numFmtId="0" fontId="36" fillId="13" borderId="67" xfId="0" applyFont="1" applyFill="1" applyBorder="1"/>
    <xf numFmtId="0" fontId="26" fillId="13" borderId="68" xfId="0" applyFont="1" applyFill="1" applyBorder="1"/>
    <xf numFmtId="0" fontId="26" fillId="13" borderId="69" xfId="0" applyFont="1" applyFill="1" applyBorder="1"/>
    <xf numFmtId="0" fontId="26" fillId="4" borderId="70" xfId="0" applyFont="1" applyFill="1" applyBorder="1"/>
    <xf numFmtId="0" fontId="36" fillId="4" borderId="70" xfId="0" applyFont="1" applyFill="1" applyBorder="1"/>
    <xf numFmtId="1" fontId="26" fillId="5" borderId="73" xfId="0" applyNumberFormat="1" applyFont="1" applyFill="1" applyBorder="1" applyAlignment="1">
      <alignment horizontal="left"/>
    </xf>
    <xf numFmtId="0" fontId="26" fillId="13" borderId="71" xfId="0" applyFont="1" applyFill="1" applyBorder="1"/>
    <xf numFmtId="0" fontId="26" fillId="13" borderId="74" xfId="0" applyFont="1" applyFill="1" applyBorder="1"/>
    <xf numFmtId="1" fontId="36" fillId="5" borderId="0" xfId="0" applyNumberFormat="1" applyFont="1" applyFill="1" applyBorder="1" applyAlignment="1">
      <alignment horizontal="left"/>
    </xf>
    <xf numFmtId="0" fontId="26" fillId="5" borderId="0" xfId="0" applyFont="1" applyFill="1" applyBorder="1"/>
    <xf numFmtId="0" fontId="26" fillId="5" borderId="0" xfId="0" applyFont="1" applyFill="1" applyBorder="1" applyAlignment="1">
      <alignment horizontal="left"/>
    </xf>
    <xf numFmtId="0" fontId="29" fillId="5" borderId="0" xfId="0" applyFont="1" applyFill="1" applyBorder="1" applyAlignment="1">
      <alignment horizontal="left"/>
    </xf>
    <xf numFmtId="165" fontId="26" fillId="5" borderId="0" xfId="0" applyNumberFormat="1" applyFont="1" applyFill="1" applyBorder="1" applyAlignment="1">
      <alignment horizontal="left"/>
    </xf>
    <xf numFmtId="164" fontId="26" fillId="5" borderId="0" xfId="0" applyNumberFormat="1" applyFont="1" applyFill="1" applyBorder="1" applyAlignment="1">
      <alignment horizontal="left"/>
    </xf>
    <xf numFmtId="2" fontId="26" fillId="5" borderId="0" xfId="0" applyNumberFormat="1" applyFont="1" applyFill="1" applyBorder="1" applyAlignment="1">
      <alignment horizontal="left"/>
    </xf>
    <xf numFmtId="0" fontId="26" fillId="5" borderId="33" xfId="0" applyFont="1" applyFill="1" applyBorder="1" applyAlignment="1">
      <alignment horizontal="left"/>
    </xf>
    <xf numFmtId="1" fontId="26" fillId="13" borderId="71" xfId="0" applyNumberFormat="1" applyFont="1" applyFill="1" applyBorder="1" applyAlignment="1">
      <alignment horizontal="left"/>
    </xf>
    <xf numFmtId="1" fontId="26" fillId="13" borderId="74" xfId="0" applyNumberFormat="1" applyFont="1" applyFill="1" applyBorder="1" applyAlignment="1">
      <alignment horizontal="left"/>
    </xf>
    <xf numFmtId="0" fontId="26" fillId="13" borderId="31" xfId="0" applyFont="1" applyFill="1" applyBorder="1"/>
    <xf numFmtId="164" fontId="26" fillId="13" borderId="31" xfId="0" applyNumberFormat="1" applyFont="1" applyFill="1" applyBorder="1" applyAlignment="1">
      <alignment horizontal="left"/>
    </xf>
    <xf numFmtId="164" fontId="26" fillId="13" borderId="75" xfId="0" applyNumberFormat="1" applyFont="1" applyFill="1" applyBorder="1" applyAlignment="1">
      <alignment horizontal="left"/>
    </xf>
    <xf numFmtId="0" fontId="26" fillId="12" borderId="31" xfId="0" applyFont="1" applyFill="1" applyBorder="1"/>
    <xf numFmtId="164" fontId="26" fillId="5" borderId="33" xfId="0" applyNumberFormat="1" applyFont="1" applyFill="1" applyBorder="1" applyAlignment="1">
      <alignment horizontal="left"/>
    </xf>
    <xf numFmtId="164" fontId="36" fillId="5" borderId="0" xfId="0" applyNumberFormat="1" applyFont="1" applyFill="1" applyBorder="1" applyAlignment="1">
      <alignment horizontal="left"/>
    </xf>
    <xf numFmtId="1" fontId="26" fillId="13" borderId="69" xfId="0" applyNumberFormat="1" applyFont="1" applyFill="1" applyBorder="1"/>
    <xf numFmtId="164" fontId="26" fillId="12" borderId="31" xfId="0" applyNumberFormat="1" applyFont="1" applyFill="1" applyBorder="1" applyAlignment="1">
      <alignment horizontal="left"/>
    </xf>
    <xf numFmtId="164" fontId="26" fillId="12" borderId="34" xfId="0" applyNumberFormat="1" applyFont="1" applyFill="1" applyBorder="1" applyAlignment="1">
      <alignment horizontal="left"/>
    </xf>
    <xf numFmtId="0" fontId="26" fillId="5" borderId="64" xfId="0" applyFont="1" applyFill="1" applyBorder="1" applyAlignment="1">
      <alignment horizontal="left"/>
    </xf>
    <xf numFmtId="2" fontId="26" fillId="5" borderId="64" xfId="0" applyNumberFormat="1" applyFont="1" applyFill="1" applyBorder="1" applyAlignment="1">
      <alignment horizontal="left"/>
    </xf>
    <xf numFmtId="164" fontId="26" fillId="5" borderId="64" xfId="0" applyNumberFormat="1" applyFont="1" applyFill="1" applyBorder="1" applyAlignment="1">
      <alignment horizontal="left"/>
    </xf>
    <xf numFmtId="1" fontId="26" fillId="5" borderId="0" xfId="0" applyNumberFormat="1" applyFont="1" applyFill="1" applyBorder="1"/>
    <xf numFmtId="0" fontId="36" fillId="5" borderId="0" xfId="0" applyFont="1" applyFill="1" applyBorder="1" applyAlignment="1">
      <alignment horizontal="left"/>
    </xf>
    <xf numFmtId="0" fontId="26" fillId="12" borderId="62" xfId="0" applyFont="1" applyFill="1" applyBorder="1"/>
    <xf numFmtId="0" fontId="26" fillId="12" borderId="65" xfId="0" applyFont="1" applyFill="1" applyBorder="1"/>
    <xf numFmtId="0" fontId="26" fillId="5" borderId="64" xfId="0" applyFont="1" applyFill="1" applyBorder="1"/>
    <xf numFmtId="1" fontId="33" fillId="2" borderId="0" xfId="0" applyNumberFormat="1" applyFont="1" applyFill="1" applyAlignment="1">
      <alignment horizontal="left"/>
    </xf>
    <xf numFmtId="1" fontId="33" fillId="2" borderId="37" xfId="0" applyNumberFormat="1" applyFont="1" applyFill="1" applyBorder="1" applyAlignment="1">
      <alignment horizontal="left"/>
    </xf>
    <xf numFmtId="1" fontId="33" fillId="2" borderId="1" xfId="0" applyNumberFormat="1" applyFont="1" applyFill="1" applyBorder="1" applyAlignment="1">
      <alignment horizontal="left"/>
    </xf>
    <xf numFmtId="164" fontId="26" fillId="2" borderId="0" xfId="0" applyNumberFormat="1" applyFont="1" applyFill="1" applyBorder="1" applyAlignment="1">
      <alignment horizontal="left"/>
    </xf>
    <xf numFmtId="164" fontId="26" fillId="2" borderId="2" xfId="0" applyNumberFormat="1" applyFont="1" applyFill="1" applyBorder="1" applyAlignment="1">
      <alignment horizontal="left"/>
    </xf>
    <xf numFmtId="2" fontId="26" fillId="2" borderId="0" xfId="0" applyNumberFormat="1" applyFont="1" applyFill="1" applyBorder="1" applyAlignment="1">
      <alignment horizontal="left"/>
    </xf>
    <xf numFmtId="164" fontId="26" fillId="2" borderId="37" xfId="0" applyNumberFormat="1" applyFont="1" applyFill="1" applyBorder="1" applyAlignment="1">
      <alignment horizontal="left"/>
    </xf>
    <xf numFmtId="0" fontId="26" fillId="12" borderId="0" xfId="0" applyFont="1" applyFill="1"/>
    <xf numFmtId="0" fontId="65" fillId="5" borderId="3" xfId="0" applyFont="1" applyFill="1" applyBorder="1" applyAlignment="1"/>
    <xf numFmtId="1" fontId="26" fillId="12" borderId="0" xfId="0" applyNumberFormat="1" applyFont="1" applyFill="1"/>
    <xf numFmtId="0" fontId="36" fillId="12" borderId="0" xfId="0" applyFont="1" applyFill="1"/>
    <xf numFmtId="0" fontId="26" fillId="2" borderId="0" xfId="0" applyFont="1" applyFill="1" applyAlignment="1">
      <alignment horizontal="left"/>
    </xf>
    <xf numFmtId="1" fontId="26" fillId="2" borderId="0" xfId="0" applyNumberFormat="1" applyFont="1" applyFill="1" applyAlignment="1">
      <alignment horizontal="left"/>
    </xf>
    <xf numFmtId="2" fontId="26" fillId="2" borderId="0" xfId="0" applyNumberFormat="1" applyFont="1" applyFill="1" applyAlignment="1">
      <alignment horizontal="left"/>
    </xf>
    <xf numFmtId="165" fontId="26" fillId="2" borderId="0" xfId="0" applyNumberFormat="1" applyFont="1" applyFill="1" applyAlignment="1">
      <alignment horizontal="left"/>
    </xf>
    <xf numFmtId="1" fontId="33" fillId="5" borderId="0" xfId="0" applyNumberFormat="1" applyFont="1" applyFill="1" applyBorder="1" applyAlignment="1">
      <alignment horizontal="left"/>
    </xf>
    <xf numFmtId="0" fontId="45" fillId="12" borderId="0" xfId="3" applyFont="1" applyFill="1" applyAlignment="1">
      <alignment wrapText="1"/>
    </xf>
    <xf numFmtId="0" fontId="33" fillId="4" borderId="72" xfId="0" applyFont="1" applyFill="1" applyBorder="1"/>
    <xf numFmtId="1" fontId="36" fillId="12" borderId="0" xfId="0" applyNumberFormat="1" applyFont="1" applyFill="1"/>
    <xf numFmtId="0" fontId="5" fillId="0" borderId="0" xfId="3" applyFont="1" applyFill="1" applyAlignment="1">
      <alignment horizontal="center"/>
    </xf>
    <xf numFmtId="0" fontId="5" fillId="3" borderId="0" xfId="3" applyFont="1" applyFill="1" applyAlignment="1">
      <alignment horizontal="center"/>
    </xf>
    <xf numFmtId="0" fontId="94" fillId="0" borderId="0" xfId="3" applyFont="1" applyFill="1" applyAlignment="1">
      <alignment horizontal="center"/>
    </xf>
    <xf numFmtId="165" fontId="26" fillId="4" borderId="0" xfId="0" applyNumberFormat="1" applyFont="1" applyFill="1" applyBorder="1" applyAlignment="1">
      <alignment horizontal="center"/>
    </xf>
    <xf numFmtId="0" fontId="94" fillId="3" borderId="0" xfId="3" applyFont="1" applyFill="1" applyAlignment="1">
      <alignment horizontal="center"/>
    </xf>
    <xf numFmtId="1" fontId="36" fillId="4" borderId="0" xfId="0" applyNumberFormat="1" applyFont="1" applyFill="1"/>
    <xf numFmtId="2" fontId="46" fillId="12" borderId="76" xfId="3" applyNumberFormat="1" applyFont="1" applyFill="1" applyBorder="1" applyAlignment="1">
      <alignment wrapText="1"/>
    </xf>
    <xf numFmtId="0" fontId="26" fillId="4" borderId="0" xfId="0" applyFont="1" applyFill="1" applyBorder="1" applyAlignment="1">
      <alignment horizontal="left"/>
    </xf>
    <xf numFmtId="0" fontId="26" fillId="4" borderId="0" xfId="0" applyFont="1" applyFill="1" applyAlignment="1">
      <alignment horizontal="left"/>
    </xf>
    <xf numFmtId="2" fontId="10" fillId="0" borderId="0" xfId="3" applyNumberFormat="1" applyFont="1" applyFill="1" applyAlignment="1">
      <alignment horizontal="center"/>
    </xf>
    <xf numFmtId="2" fontId="5" fillId="0" borderId="0" xfId="3" applyNumberFormat="1" applyFont="1" applyFill="1" applyAlignment="1">
      <alignment horizontal="center"/>
    </xf>
    <xf numFmtId="165" fontId="5" fillId="0" borderId="0" xfId="3" applyNumberFormat="1" applyFont="1" applyFill="1" applyAlignment="1">
      <alignment horizontal="center"/>
    </xf>
    <xf numFmtId="2" fontId="10" fillId="0" borderId="0" xfId="3" quotePrefix="1" applyNumberFormat="1" applyFont="1" applyAlignment="1">
      <alignment horizontal="left"/>
    </xf>
    <xf numFmtId="2" fontId="26" fillId="4" borderId="0" xfId="0" applyNumberFormat="1" applyFont="1" applyFill="1" applyBorder="1" applyAlignment="1">
      <alignment horizontal="left"/>
    </xf>
    <xf numFmtId="0" fontId="95" fillId="4" borderId="77" xfId="0" applyFont="1" applyFill="1" applyBorder="1"/>
    <xf numFmtId="0" fontId="95" fillId="4" borderId="78" xfId="0" applyFont="1" applyFill="1" applyBorder="1"/>
    <xf numFmtId="0" fontId="26" fillId="4" borderId="48" xfId="0" applyFont="1" applyFill="1" applyBorder="1"/>
    <xf numFmtId="2" fontId="26" fillId="4" borderId="49" xfId="0" applyNumberFormat="1" applyFont="1" applyFill="1" applyBorder="1" applyAlignment="1">
      <alignment horizontal="left"/>
    </xf>
    <xf numFmtId="0" fontId="26" fillId="4" borderId="52" xfId="0" applyFont="1" applyFill="1" applyBorder="1"/>
    <xf numFmtId="0" fontId="26" fillId="4" borderId="4" xfId="0" applyFont="1" applyFill="1" applyBorder="1"/>
    <xf numFmtId="164" fontId="26" fillId="4" borderId="4" xfId="0" applyNumberFormat="1" applyFont="1" applyFill="1" applyBorder="1" applyAlignment="1">
      <alignment horizontal="left"/>
    </xf>
    <xf numFmtId="1" fontId="26" fillId="4" borderId="4" xfId="0" applyNumberFormat="1" applyFont="1" applyFill="1" applyBorder="1" applyAlignment="1">
      <alignment horizontal="left"/>
    </xf>
    <xf numFmtId="2" fontId="26" fillId="4" borderId="4" xfId="0" applyNumberFormat="1" applyFont="1" applyFill="1" applyBorder="1" applyAlignment="1">
      <alignment horizontal="left"/>
    </xf>
    <xf numFmtId="0" fontId="26" fillId="4" borderId="4" xfId="0" applyFont="1" applyFill="1" applyBorder="1" applyAlignment="1">
      <alignment horizontal="left"/>
    </xf>
    <xf numFmtId="2" fontId="26" fillId="4" borderId="53" xfId="0" applyNumberFormat="1" applyFont="1" applyFill="1" applyBorder="1" applyAlignment="1">
      <alignment horizontal="left"/>
    </xf>
    <xf numFmtId="0" fontId="29" fillId="12" borderId="0" xfId="0" applyFont="1" applyFill="1" applyAlignment="1">
      <alignment wrapText="1"/>
    </xf>
    <xf numFmtId="1" fontId="29" fillId="2" borderId="0" xfId="0" applyNumberFormat="1" applyFont="1" applyFill="1" applyAlignment="1">
      <alignment horizontal="left"/>
    </xf>
    <xf numFmtId="164" fontId="26" fillId="5" borderId="3" xfId="0" applyNumberFormat="1" applyFont="1" applyFill="1" applyBorder="1" applyAlignment="1">
      <alignment horizontal="left"/>
    </xf>
    <xf numFmtId="164" fontId="26" fillId="2" borderId="0" xfId="0" applyNumberFormat="1" applyFont="1" applyFill="1" applyAlignment="1">
      <alignment horizontal="left"/>
    </xf>
    <xf numFmtId="1" fontId="26" fillId="12" borderId="0" xfId="0" applyNumberFormat="1" applyFont="1" applyFill="1" applyAlignment="1">
      <alignment horizontal="left"/>
    </xf>
    <xf numFmtId="0" fontId="26" fillId="12" borderId="0" xfId="0" applyFont="1" applyFill="1" applyAlignment="1">
      <alignment horizontal="left"/>
    </xf>
    <xf numFmtId="2" fontId="26" fillId="12" borderId="0" xfId="0" applyNumberFormat="1" applyFont="1" applyFill="1" applyAlignment="1">
      <alignment horizontal="left"/>
    </xf>
    <xf numFmtId="164" fontId="26" fillId="12" borderId="0" xfId="0" applyNumberFormat="1" applyFont="1" applyFill="1" applyAlignment="1">
      <alignment horizontal="left"/>
    </xf>
    <xf numFmtId="0" fontId="26" fillId="4" borderId="0" xfId="0" applyFont="1" applyFill="1" applyAlignment="1">
      <alignment horizontal="left"/>
    </xf>
    <xf numFmtId="0" fontId="65" fillId="4" borderId="0" xfId="0" applyFont="1" applyFill="1" applyBorder="1" applyAlignment="1">
      <alignment horizontal="left" indent="1"/>
    </xf>
    <xf numFmtId="0" fontId="26" fillId="4" borderId="0" xfId="0" applyFont="1" applyFill="1" applyBorder="1" applyAlignment="1">
      <alignment horizontal="left" indent="1"/>
    </xf>
    <xf numFmtId="1" fontId="26" fillId="4" borderId="0" xfId="0" applyNumberFormat="1" applyFont="1" applyFill="1" applyBorder="1" applyAlignment="1">
      <alignment horizontal="left" indent="1"/>
    </xf>
    <xf numFmtId="1" fontId="1" fillId="2" borderId="0" xfId="0" applyNumberFormat="1" applyFont="1" applyFill="1" applyAlignment="1">
      <alignment horizontal="left"/>
    </xf>
    <xf numFmtId="168" fontId="26" fillId="4" borderId="0" xfId="0" applyNumberFormat="1" applyFont="1" applyFill="1" applyAlignment="1">
      <alignment horizontal="left"/>
    </xf>
    <xf numFmtId="1" fontId="26" fillId="0" borderId="31" xfId="0" applyNumberFormat="1" applyFont="1" applyFill="1" applyBorder="1" applyAlignment="1">
      <alignment horizontal="center"/>
    </xf>
    <xf numFmtId="164" fontId="26" fillId="4" borderId="0" xfId="0" applyNumberFormat="1" applyFont="1" applyFill="1" applyAlignment="1">
      <alignment horizontal="right"/>
    </xf>
    <xf numFmtId="0" fontId="36" fillId="6" borderId="39" xfId="0" applyFont="1" applyFill="1" applyBorder="1" applyAlignment="1"/>
    <xf numFmtId="0" fontId="36" fillId="6" borderId="3" xfId="0" applyFont="1" applyFill="1" applyBorder="1" applyAlignment="1"/>
    <xf numFmtId="0" fontId="26" fillId="4" borderId="0" xfId="0" applyFont="1" applyFill="1" applyAlignment="1">
      <alignment horizontal="center"/>
    </xf>
    <xf numFmtId="0" fontId="26" fillId="4" borderId="3" xfId="0" applyFont="1" applyFill="1" applyBorder="1"/>
    <xf numFmtId="0" fontId="36" fillId="6" borderId="39" xfId="0" applyFont="1" applyFill="1" applyBorder="1" applyAlignment="1"/>
    <xf numFmtId="0" fontId="26" fillId="4" borderId="0" xfId="0" applyFont="1" applyFill="1" applyAlignment="1">
      <alignment horizontal="center"/>
    </xf>
    <xf numFmtId="164" fontId="33" fillId="4" borderId="31" xfId="0" applyNumberFormat="1" applyFont="1" applyFill="1" applyBorder="1" applyAlignment="1">
      <alignment horizontal="center"/>
    </xf>
    <xf numFmtId="0" fontId="36" fillId="6" borderId="42" xfId="0" applyFont="1" applyFill="1" applyBorder="1" applyAlignment="1"/>
    <xf numFmtId="0" fontId="36" fillId="4" borderId="0" xfId="0" applyFont="1" applyFill="1" applyBorder="1" applyAlignment="1"/>
    <xf numFmtId="0" fontId="36" fillId="6" borderId="36" xfId="0" applyFont="1" applyFill="1" applyBorder="1" applyAlignment="1"/>
    <xf numFmtId="1" fontId="28" fillId="4" borderId="0" xfId="0" applyNumberFormat="1" applyFont="1" applyFill="1" applyBorder="1" applyAlignment="1">
      <alignment horizontal="center"/>
    </xf>
    <xf numFmtId="1" fontId="28" fillId="4" borderId="0" xfId="0" applyNumberFormat="1" applyFont="1" applyFill="1" applyBorder="1" applyAlignment="1">
      <alignment horizontal="center" wrapText="1"/>
    </xf>
    <xf numFmtId="1" fontId="33" fillId="4" borderId="0" xfId="0" applyNumberFormat="1" applyFont="1" applyFill="1" applyBorder="1" applyAlignment="1">
      <alignment horizontal="center"/>
    </xf>
    <xf numFmtId="1" fontId="65" fillId="4" borderId="0" xfId="0" applyNumberFormat="1" applyFont="1" applyFill="1" applyBorder="1" applyAlignment="1">
      <alignment horizontal="center"/>
    </xf>
    <xf numFmtId="1" fontId="36" fillId="4" borderId="0" xfId="0" applyNumberFormat="1" applyFont="1" applyFill="1" applyBorder="1" applyAlignment="1">
      <alignment horizontal="center"/>
    </xf>
    <xf numFmtId="1" fontId="40" fillId="4" borderId="79" xfId="0" applyNumberFormat="1" applyFont="1" applyFill="1" applyBorder="1" applyAlignment="1">
      <alignment horizontal="center"/>
    </xf>
    <xf numFmtId="0" fontId="26" fillId="4" borderId="0" xfId="0" applyFont="1" applyFill="1" applyBorder="1" applyAlignment="1">
      <alignment horizontal="left"/>
    </xf>
    <xf numFmtId="0" fontId="26" fillId="4" borderId="0" xfId="0" applyFont="1" applyFill="1" applyAlignment="1">
      <alignment horizontal="left"/>
    </xf>
    <xf numFmtId="1" fontId="36" fillId="2" borderId="0" xfId="0" applyNumberFormat="1" applyFont="1" applyFill="1" applyBorder="1" applyAlignment="1">
      <alignment horizontal="center"/>
    </xf>
    <xf numFmtId="0" fontId="26" fillId="4" borderId="0" xfId="0" applyFont="1" applyFill="1" applyAlignment="1">
      <alignment horizontal="right"/>
    </xf>
    <xf numFmtId="0" fontId="26" fillId="4" borderId="33" xfId="0" applyFont="1" applyFill="1" applyBorder="1" applyAlignment="1">
      <alignment horizontal="center"/>
    </xf>
    <xf numFmtId="0" fontId="26" fillId="4" borderId="34" xfId="0" applyFont="1" applyFill="1" applyBorder="1" applyAlignment="1">
      <alignment horizontal="center"/>
    </xf>
    <xf numFmtId="0" fontId="36" fillId="6" borderId="80" xfId="0" applyFont="1" applyFill="1" applyBorder="1" applyAlignment="1"/>
    <xf numFmtId="0" fontId="26" fillId="2" borderId="81" xfId="0" applyFont="1" applyFill="1" applyBorder="1" applyAlignment="1">
      <alignment horizontal="center"/>
    </xf>
    <xf numFmtId="0" fontId="26" fillId="2" borderId="82" xfId="0" applyFont="1" applyFill="1" applyBorder="1" applyAlignment="1">
      <alignment horizontal="center"/>
    </xf>
    <xf numFmtId="0" fontId="36" fillId="12" borderId="0" xfId="0" applyFont="1" applyFill="1" applyAlignment="1">
      <alignment horizontal="left"/>
    </xf>
    <xf numFmtId="2" fontId="26" fillId="0" borderId="0" xfId="0" applyNumberFormat="1" applyFont="1" applyBorder="1" applyAlignment="1">
      <alignment horizontal="left"/>
    </xf>
    <xf numFmtId="0" fontId="26" fillId="0" borderId="0" xfId="0" applyFont="1" applyBorder="1" applyAlignment="1">
      <alignment horizontal="left"/>
    </xf>
    <xf numFmtId="0" fontId="29" fillId="4" borderId="0" xfId="0" applyFont="1" applyFill="1" applyAlignment="1">
      <alignment horizontal="center"/>
    </xf>
    <xf numFmtId="0" fontId="29" fillId="0" borderId="0" xfId="0" applyFont="1" applyAlignment="1">
      <alignment horizontal="center"/>
    </xf>
    <xf numFmtId="0" fontId="29" fillId="4" borderId="22" xfId="0" applyFont="1" applyFill="1" applyBorder="1"/>
    <xf numFmtId="0" fontId="26" fillId="4" borderId="45" xfId="0" applyFont="1" applyFill="1" applyBorder="1"/>
    <xf numFmtId="0" fontId="26" fillId="4" borderId="46" xfId="0" applyFont="1" applyFill="1" applyBorder="1"/>
    <xf numFmtId="1" fontId="26" fillId="4" borderId="48" xfId="0" applyNumberFormat="1" applyFont="1" applyFill="1" applyBorder="1" applyAlignment="1">
      <alignment horizontal="left"/>
    </xf>
    <xf numFmtId="1" fontId="26" fillId="4" borderId="49" xfId="0" applyNumberFormat="1" applyFont="1" applyFill="1" applyBorder="1" applyAlignment="1">
      <alignment horizontal="left"/>
    </xf>
    <xf numFmtId="1" fontId="26" fillId="4" borderId="52" xfId="0" applyNumberFormat="1" applyFont="1" applyFill="1" applyBorder="1" applyAlignment="1">
      <alignment horizontal="left"/>
    </xf>
    <xf numFmtId="1" fontId="26" fillId="4" borderId="53" xfId="0" applyNumberFormat="1" applyFont="1" applyFill="1" applyBorder="1" applyAlignment="1">
      <alignment horizontal="left"/>
    </xf>
    <xf numFmtId="0" fontId="95" fillId="4" borderId="45" xfId="0" applyFont="1" applyFill="1" applyBorder="1"/>
    <xf numFmtId="0" fontId="95" fillId="4" borderId="46" xfId="0" applyFont="1" applyFill="1" applyBorder="1"/>
    <xf numFmtId="0" fontId="95" fillId="4" borderId="47" xfId="0" applyFont="1" applyFill="1" applyBorder="1"/>
    <xf numFmtId="1" fontId="26" fillId="4" borderId="45" xfId="0" applyNumberFormat="1" applyFont="1" applyFill="1" applyBorder="1" applyAlignment="1">
      <alignment horizontal="left"/>
    </xf>
    <xf numFmtId="1" fontId="26" fillId="4" borderId="46" xfId="0" applyNumberFormat="1" applyFont="1" applyFill="1" applyBorder="1" applyAlignment="1">
      <alignment horizontal="left"/>
    </xf>
    <xf numFmtId="1" fontId="26" fillId="4" borderId="47" xfId="0" applyNumberFormat="1" applyFont="1" applyFill="1" applyBorder="1" applyAlignment="1">
      <alignment horizontal="left"/>
    </xf>
    <xf numFmtId="0" fontId="26" fillId="4" borderId="46" xfId="0" applyFont="1" applyFill="1" applyBorder="1" applyAlignment="1">
      <alignment horizontal="left"/>
    </xf>
    <xf numFmtId="164" fontId="26" fillId="4" borderId="46" xfId="0" applyNumberFormat="1" applyFont="1" applyFill="1" applyBorder="1" applyAlignment="1">
      <alignment horizontal="left"/>
    </xf>
    <xf numFmtId="2" fontId="26" fillId="4" borderId="46" xfId="0" applyNumberFormat="1" applyFont="1" applyFill="1" applyBorder="1" applyAlignment="1">
      <alignment horizontal="left"/>
    </xf>
    <xf numFmtId="2" fontId="26" fillId="4" borderId="47" xfId="0" applyNumberFormat="1" applyFont="1" applyFill="1" applyBorder="1" applyAlignment="1">
      <alignment horizontal="left"/>
    </xf>
    <xf numFmtId="0" fontId="36" fillId="2" borderId="2" xfId="0" applyFont="1" applyFill="1" applyBorder="1" applyAlignment="1">
      <alignment horizontal="center" wrapText="1"/>
    </xf>
    <xf numFmtId="0" fontId="26" fillId="4" borderId="0" xfId="0" applyFont="1" applyFill="1" applyAlignment="1">
      <alignment horizontal="center"/>
    </xf>
    <xf numFmtId="0" fontId="26" fillId="4" borderId="0" xfId="0" applyFont="1" applyFill="1" applyBorder="1" applyAlignment="1">
      <alignment horizontal="left"/>
    </xf>
    <xf numFmtId="0" fontId="26" fillId="4" borderId="0" xfId="0" applyFont="1" applyFill="1" applyAlignment="1">
      <alignment horizontal="left"/>
    </xf>
    <xf numFmtId="1" fontId="98" fillId="2" borderId="0" xfId="0" applyNumberFormat="1" applyFont="1" applyFill="1" applyAlignment="1">
      <alignment horizontal="left"/>
    </xf>
    <xf numFmtId="164" fontId="33" fillId="5" borderId="0" xfId="0" applyNumberFormat="1" applyFont="1" applyFill="1" applyBorder="1" applyAlignment="1">
      <alignment horizontal="left"/>
    </xf>
    <xf numFmtId="164" fontId="32" fillId="2" borderId="0" xfId="0" applyNumberFormat="1" applyFont="1" applyFill="1" applyBorder="1" applyAlignment="1">
      <alignment horizontal="left"/>
    </xf>
    <xf numFmtId="0" fontId="95" fillId="4" borderId="83" xfId="0" applyFont="1" applyFill="1" applyBorder="1"/>
    <xf numFmtId="0" fontId="36" fillId="12" borderId="0" xfId="0" applyFont="1" applyFill="1" applyAlignment="1">
      <alignment wrapText="1"/>
    </xf>
    <xf numFmtId="0" fontId="29" fillId="12" borderId="0" xfId="0" applyFont="1" applyFill="1"/>
    <xf numFmtId="0" fontId="83" fillId="4" borderId="0" xfId="0" applyFont="1" applyFill="1" applyBorder="1"/>
    <xf numFmtId="0" fontId="33" fillId="2" borderId="2" xfId="0" applyFont="1" applyFill="1" applyBorder="1" applyAlignment="1">
      <alignment horizontal="left"/>
    </xf>
    <xf numFmtId="0" fontId="33" fillId="2" borderId="0" xfId="0" applyFont="1" applyFill="1" applyBorder="1" applyAlignment="1">
      <alignment horizontal="left"/>
    </xf>
    <xf numFmtId="0" fontId="33" fillId="2" borderId="37" xfId="0" applyFont="1" applyFill="1" applyBorder="1" applyAlignment="1">
      <alignment horizontal="left"/>
    </xf>
    <xf numFmtId="0" fontId="26" fillId="2" borderId="1" xfId="0" applyFont="1" applyFill="1" applyBorder="1" applyAlignment="1">
      <alignment horizontal="left"/>
    </xf>
    <xf numFmtId="0" fontId="36" fillId="2" borderId="2" xfId="0" applyFont="1" applyFill="1" applyBorder="1" applyAlignment="1">
      <alignment horizontal="left"/>
    </xf>
    <xf numFmtId="0" fontId="36" fillId="2" borderId="0" xfId="0" applyFont="1" applyFill="1" applyBorder="1" applyAlignment="1">
      <alignment horizontal="left"/>
    </xf>
    <xf numFmtId="0" fontId="33" fillId="2" borderId="0" xfId="0" applyFont="1" applyFill="1" applyBorder="1"/>
    <xf numFmtId="0" fontId="36" fillId="2" borderId="37" xfId="0" applyFont="1" applyFill="1" applyBorder="1" applyAlignment="1">
      <alignment horizontal="left"/>
    </xf>
    <xf numFmtId="0" fontId="36" fillId="2" borderId="0" xfId="0" applyFont="1" applyFill="1"/>
    <xf numFmtId="0" fontId="97" fillId="2" borderId="2" xfId="0" applyFont="1" applyFill="1" applyBorder="1"/>
    <xf numFmtId="1" fontId="36" fillId="2" borderId="1" xfId="0" applyNumberFormat="1" applyFont="1" applyFill="1" applyBorder="1" applyAlignment="1">
      <alignment horizontal="left"/>
    </xf>
    <xf numFmtId="164" fontId="36" fillId="2" borderId="1" xfId="0" applyNumberFormat="1" applyFont="1" applyFill="1" applyBorder="1" applyAlignment="1">
      <alignment horizontal="left"/>
    </xf>
    <xf numFmtId="0" fontId="36" fillId="2" borderId="37" xfId="0" applyFont="1" applyFill="1" applyBorder="1" applyAlignment="1">
      <alignment horizontal="center"/>
    </xf>
    <xf numFmtId="164" fontId="36" fillId="2" borderId="0" xfId="0" applyNumberFormat="1" applyFont="1" applyFill="1" applyAlignment="1">
      <alignment horizontal="left"/>
    </xf>
    <xf numFmtId="1" fontId="36" fillId="2" borderId="0" xfId="0" applyNumberFormat="1" applyFont="1" applyFill="1" applyAlignment="1">
      <alignment horizontal="left"/>
    </xf>
    <xf numFmtId="164" fontId="33" fillId="2" borderId="0" xfId="0" applyNumberFormat="1" applyFont="1" applyFill="1" applyAlignment="1">
      <alignment horizontal="left"/>
    </xf>
    <xf numFmtId="0" fontId="36" fillId="2" borderId="0" xfId="0" applyFont="1" applyFill="1" applyAlignment="1">
      <alignment horizontal="left"/>
    </xf>
    <xf numFmtId="1" fontId="36" fillId="2" borderId="37" xfId="0" applyNumberFormat="1" applyFont="1" applyFill="1" applyBorder="1" applyAlignment="1">
      <alignment horizontal="left"/>
    </xf>
    <xf numFmtId="0" fontId="97" fillId="12" borderId="0" xfId="0" applyFont="1" applyFill="1"/>
    <xf numFmtId="0" fontId="33" fillId="12" borderId="0" xfId="0" applyFont="1" applyFill="1"/>
    <xf numFmtId="0" fontId="28" fillId="12" borderId="0" xfId="0" applyFont="1" applyFill="1"/>
    <xf numFmtId="1" fontId="28" fillId="2" borderId="0" xfId="0" applyNumberFormat="1" applyFont="1" applyFill="1" applyAlignment="1">
      <alignment horizontal="left"/>
    </xf>
    <xf numFmtId="0" fontId="28" fillId="2" borderId="0" xfId="0" applyFont="1" applyFill="1" applyAlignment="1">
      <alignment horizontal="left"/>
    </xf>
    <xf numFmtId="0" fontId="33" fillId="2" borderId="0" xfId="0" applyFont="1" applyFill="1" applyAlignment="1">
      <alignment horizontal="left"/>
    </xf>
    <xf numFmtId="0" fontId="55" fillId="4" borderId="0" xfId="0" applyFont="1" applyFill="1" applyAlignment="1">
      <alignment horizontal="left"/>
    </xf>
    <xf numFmtId="0" fontId="36" fillId="6" borderId="3" xfId="0" applyFont="1" applyFill="1" applyBorder="1" applyAlignment="1"/>
    <xf numFmtId="0" fontId="55" fillId="4" borderId="0" xfId="0" applyFont="1" applyFill="1" applyAlignment="1">
      <alignment horizontal="left"/>
    </xf>
    <xf numFmtId="0" fontId="86" fillId="4" borderId="0" xfId="0" applyFont="1" applyFill="1"/>
    <xf numFmtId="0" fontId="26" fillId="4" borderId="0" xfId="0" applyFont="1" applyFill="1" applyBorder="1" applyAlignment="1">
      <alignment horizontal="left"/>
    </xf>
    <xf numFmtId="0" fontId="26" fillId="4" borderId="3" xfId="0" applyFont="1" applyFill="1" applyBorder="1" applyAlignment="1">
      <alignment horizontal="left"/>
    </xf>
    <xf numFmtId="0" fontId="36" fillId="20" borderId="45" xfId="0" applyFont="1" applyFill="1" applyBorder="1"/>
    <xf numFmtId="0" fontId="36" fillId="20" borderId="46" xfId="0" applyFont="1" applyFill="1" applyBorder="1"/>
    <xf numFmtId="0" fontId="36" fillId="20" borderId="47" xfId="0" applyFont="1" applyFill="1" applyBorder="1"/>
    <xf numFmtId="0" fontId="36" fillId="20" borderId="48" xfId="0" applyFont="1" applyFill="1" applyBorder="1"/>
    <xf numFmtId="0" fontId="36" fillId="20" borderId="0" xfId="0" applyFont="1" applyFill="1" applyBorder="1"/>
    <xf numFmtId="0" fontId="36" fillId="20" borderId="49" xfId="0" applyFont="1" applyFill="1" applyBorder="1"/>
    <xf numFmtId="0" fontId="36" fillId="20" borderId="52" xfId="0" applyFont="1" applyFill="1" applyBorder="1"/>
    <xf numFmtId="0" fontId="36" fillId="20" borderId="4" xfId="0" applyFont="1" applyFill="1" applyBorder="1"/>
    <xf numFmtId="0" fontId="36" fillId="20" borderId="53" xfId="0" applyFont="1" applyFill="1" applyBorder="1"/>
    <xf numFmtId="0" fontId="36" fillId="20" borderId="57" xfId="0" applyFont="1" applyFill="1" applyBorder="1"/>
    <xf numFmtId="0" fontId="36" fillId="20" borderId="2" xfId="0" applyFont="1" applyFill="1" applyBorder="1"/>
    <xf numFmtId="0" fontId="36" fillId="20" borderId="56" xfId="0" applyFont="1" applyFill="1" applyBorder="1"/>
    <xf numFmtId="0" fontId="36" fillId="20" borderId="40" xfId="0" applyFont="1" applyFill="1" applyBorder="1"/>
    <xf numFmtId="0" fontId="36" fillId="20" borderId="0" xfId="0" applyFont="1" applyFill="1" applyBorder="1" applyAlignment="1">
      <alignment horizontal="center" textRotation="90" wrapText="1"/>
    </xf>
    <xf numFmtId="0" fontId="36" fillId="20" borderId="87" xfId="0" applyFont="1" applyFill="1" applyBorder="1"/>
    <xf numFmtId="0" fontId="36" fillId="20" borderId="41" xfId="0" applyFont="1" applyFill="1" applyBorder="1"/>
    <xf numFmtId="0" fontId="36" fillId="20" borderId="1" xfId="0" applyFont="1" applyFill="1" applyBorder="1"/>
    <xf numFmtId="0" fontId="36" fillId="20" borderId="42" xfId="0" applyFont="1" applyFill="1" applyBorder="1"/>
    <xf numFmtId="0" fontId="36" fillId="4" borderId="45" xfId="0" applyFont="1" applyFill="1" applyBorder="1"/>
    <xf numFmtId="0" fontId="36" fillId="4" borderId="46" xfId="0" applyFont="1" applyFill="1" applyBorder="1"/>
    <xf numFmtId="0" fontId="36" fillId="4" borderId="47" xfId="0" applyFont="1" applyFill="1" applyBorder="1"/>
    <xf numFmtId="0" fontId="36" fillId="4" borderId="48" xfId="0" applyFont="1" applyFill="1" applyBorder="1"/>
    <xf numFmtId="0" fontId="36" fillId="4" borderId="49" xfId="0" applyFont="1" applyFill="1" applyBorder="1"/>
    <xf numFmtId="0" fontId="36" fillId="4" borderId="52" xfId="0" applyFont="1" applyFill="1" applyBorder="1"/>
    <xf numFmtId="0" fontId="36" fillId="4" borderId="4" xfId="0" applyFont="1" applyFill="1" applyBorder="1"/>
    <xf numFmtId="0" fontId="36" fillId="4" borderId="53" xfId="0" applyFont="1" applyFill="1" applyBorder="1"/>
    <xf numFmtId="0" fontId="55" fillId="8" borderId="0" xfId="0" applyFont="1" applyFill="1" applyAlignment="1"/>
    <xf numFmtId="0" fontId="86" fillId="8" borderId="0" xfId="0" applyFont="1" applyFill="1" applyAlignment="1"/>
    <xf numFmtId="0" fontId="55" fillId="4" borderId="0" xfId="0" applyFont="1" applyFill="1" applyAlignment="1"/>
    <xf numFmtId="0" fontId="86" fillId="4" borderId="0" xfId="0" applyFont="1" applyFill="1" applyAlignment="1"/>
    <xf numFmtId="0" fontId="99" fillId="12" borderId="0" xfId="0" applyFont="1" applyFill="1"/>
    <xf numFmtId="0" fontId="26" fillId="4" borderId="37" xfId="0" applyFont="1" applyFill="1" applyBorder="1" applyAlignment="1"/>
    <xf numFmtId="165" fontId="26" fillId="4" borderId="0" xfId="0" applyNumberFormat="1" applyFont="1" applyFill="1" applyBorder="1" applyAlignment="1">
      <alignment horizontal="left"/>
    </xf>
    <xf numFmtId="165" fontId="26" fillId="12" borderId="0" xfId="0" applyNumberFormat="1" applyFont="1" applyFill="1" applyAlignment="1">
      <alignment horizontal="left"/>
    </xf>
    <xf numFmtId="165" fontId="26" fillId="12" borderId="0" xfId="0" applyNumberFormat="1" applyFont="1" applyFill="1"/>
    <xf numFmtId="0" fontId="26" fillId="4" borderId="0" xfId="0" applyFont="1" applyFill="1" applyAlignment="1">
      <alignment horizontal="center"/>
    </xf>
    <xf numFmtId="0" fontId="26" fillId="2" borderId="35" xfId="0" applyFont="1" applyFill="1" applyBorder="1" applyAlignment="1">
      <alignment horizontal="center"/>
    </xf>
    <xf numFmtId="0" fontId="26" fillId="4" borderId="0" xfId="0" applyFont="1" applyFill="1" applyAlignment="1">
      <alignment horizontal="center"/>
    </xf>
    <xf numFmtId="0" fontId="36" fillId="6" borderId="28" xfId="0" applyFont="1" applyFill="1" applyBorder="1" applyAlignment="1">
      <alignment horizontal="center"/>
    </xf>
    <xf numFmtId="0" fontId="36" fillId="6" borderId="30" xfId="0" applyFont="1" applyFill="1" applyBorder="1" applyAlignment="1">
      <alignment wrapText="1"/>
    </xf>
    <xf numFmtId="0" fontId="36" fillId="6" borderId="27" xfId="0" applyFont="1" applyFill="1" applyBorder="1" applyAlignment="1">
      <alignment wrapText="1"/>
    </xf>
    <xf numFmtId="1" fontId="26" fillId="4" borderId="79" xfId="0" applyNumberFormat="1" applyFont="1" applyFill="1" applyBorder="1" applyAlignment="1">
      <alignment horizontal="center"/>
    </xf>
    <xf numFmtId="1" fontId="40" fillId="4" borderId="33" xfId="0" applyNumberFormat="1" applyFont="1" applyFill="1" applyBorder="1" applyAlignment="1">
      <alignment horizontal="center"/>
    </xf>
    <xf numFmtId="1" fontId="26" fillId="4" borderId="33" xfId="0" applyNumberFormat="1" applyFont="1" applyFill="1" applyBorder="1" applyAlignment="1">
      <alignment horizontal="center"/>
    </xf>
    <xf numFmtId="0" fontId="40" fillId="4" borderId="79" xfId="0" applyFont="1" applyFill="1" applyBorder="1"/>
    <xf numFmtId="0" fontId="36" fillId="6" borderId="28" xfId="0" applyFont="1" applyFill="1" applyBorder="1" applyAlignment="1">
      <alignment horizontal="center" wrapText="1"/>
    </xf>
    <xf numFmtId="0" fontId="36" fillId="6" borderId="28" xfId="0" applyFont="1" applyFill="1" applyBorder="1" applyAlignment="1">
      <alignment horizontal="center" vertical="top"/>
    </xf>
    <xf numFmtId="0" fontId="36" fillId="6" borderId="29" xfId="0" applyFont="1" applyFill="1" applyBorder="1" applyAlignment="1">
      <alignment horizontal="center" wrapText="1"/>
    </xf>
    <xf numFmtId="164" fontId="36" fillId="2" borderId="0" xfId="0" applyNumberFormat="1" applyFont="1" applyFill="1" applyBorder="1" applyAlignment="1">
      <alignment horizontal="center"/>
    </xf>
    <xf numFmtId="164" fontId="36" fillId="2" borderId="31" xfId="0" applyNumberFormat="1" applyFont="1" applyFill="1" applyBorder="1" applyAlignment="1">
      <alignment horizontal="center"/>
    </xf>
    <xf numFmtId="2" fontId="36" fillId="2" borderId="0" xfId="0" applyNumberFormat="1" applyFont="1" applyFill="1" applyBorder="1" applyAlignment="1">
      <alignment horizontal="center"/>
    </xf>
    <xf numFmtId="2" fontId="36" fillId="2" borderId="31" xfId="0" applyNumberFormat="1" applyFont="1" applyFill="1" applyBorder="1" applyAlignment="1">
      <alignment horizontal="center"/>
    </xf>
    <xf numFmtId="2" fontId="33" fillId="4" borderId="31" xfId="0" applyNumberFormat="1" applyFont="1" applyFill="1" applyBorder="1" applyAlignment="1">
      <alignment horizontal="center"/>
    </xf>
    <xf numFmtId="0" fontId="36" fillId="6" borderId="27" xfId="0" applyFont="1" applyFill="1" applyBorder="1" applyAlignment="1">
      <alignment vertical="top" wrapText="1"/>
    </xf>
    <xf numFmtId="0" fontId="36" fillId="6" borderId="28" xfId="0" applyFont="1" applyFill="1" applyBorder="1" applyAlignment="1">
      <alignment horizontal="center" vertical="top" wrapText="1"/>
    </xf>
    <xf numFmtId="0" fontId="36" fillId="6" borderId="29" xfId="0" applyFont="1" applyFill="1" applyBorder="1" applyAlignment="1">
      <alignment horizontal="center" vertical="top" wrapText="1"/>
    </xf>
    <xf numFmtId="0" fontId="36" fillId="12" borderId="0" xfId="0" applyFont="1" applyFill="1" applyAlignment="1"/>
    <xf numFmtId="0" fontId="36" fillId="6" borderId="29" xfId="0" applyFont="1" applyFill="1" applyBorder="1" applyAlignment="1">
      <alignment horizontal="center" vertical="top"/>
    </xf>
    <xf numFmtId="0" fontId="36" fillId="4" borderId="40" xfId="0" applyFont="1" applyFill="1" applyBorder="1" applyAlignment="1"/>
    <xf numFmtId="0" fontId="26" fillId="6" borderId="3" xfId="0" applyFont="1" applyFill="1" applyBorder="1" applyAlignment="1">
      <alignment horizontal="left"/>
    </xf>
    <xf numFmtId="0" fontId="26" fillId="5" borderId="39" xfId="0" applyFont="1" applyFill="1" applyBorder="1" applyAlignment="1">
      <alignment horizontal="center"/>
    </xf>
    <xf numFmtId="164" fontId="33" fillId="2" borderId="0" xfId="0" applyNumberFormat="1" applyFont="1" applyFill="1" applyBorder="1" applyAlignment="1">
      <alignment horizontal="left"/>
    </xf>
    <xf numFmtId="164" fontId="26" fillId="2" borderId="1" xfId="0" applyNumberFormat="1" applyFont="1" applyFill="1" applyBorder="1" applyAlignment="1">
      <alignment horizontal="left"/>
    </xf>
    <xf numFmtId="0" fontId="26" fillId="4" borderId="0" xfId="0" applyFont="1" applyFill="1" applyProtection="1">
      <protection locked="0"/>
    </xf>
    <xf numFmtId="0" fontId="26" fillId="4" borderId="0" xfId="0" applyFont="1" applyFill="1" applyBorder="1" applyAlignment="1">
      <alignment horizontal="left"/>
    </xf>
    <xf numFmtId="0" fontId="26" fillId="4" borderId="88" xfId="0" applyFont="1" applyFill="1" applyBorder="1"/>
    <xf numFmtId="0" fontId="26" fillId="4" borderId="83" xfId="0" applyFont="1" applyFill="1" applyBorder="1"/>
    <xf numFmtId="0" fontId="26" fillId="4" borderId="83" xfId="0" applyFont="1" applyFill="1" applyBorder="1" applyAlignment="1">
      <alignment horizontal="left"/>
    </xf>
    <xf numFmtId="1" fontId="26" fillId="4" borderId="83" xfId="0" applyNumberFormat="1" applyFont="1" applyFill="1" applyBorder="1" applyAlignment="1">
      <alignment horizontal="left"/>
    </xf>
    <xf numFmtId="0" fontId="26" fillId="4" borderId="89" xfId="0" applyFont="1" applyFill="1" applyBorder="1"/>
    <xf numFmtId="0" fontId="0" fillId="0" borderId="0" xfId="0" applyBorder="1" applyProtection="1"/>
    <xf numFmtId="0" fontId="0" fillId="0" borderId="2" xfId="0" applyBorder="1" applyProtection="1"/>
    <xf numFmtId="0" fontId="2" fillId="0" borderId="0" xfId="0" applyFont="1" applyBorder="1" applyProtection="1"/>
    <xf numFmtId="0" fontId="0" fillId="0" borderId="4" xfId="0" applyBorder="1" applyProtection="1"/>
    <xf numFmtId="1" fontId="26" fillId="5" borderId="39" xfId="0" applyNumberFormat="1" applyFont="1" applyFill="1" applyBorder="1" applyAlignment="1">
      <alignment horizontal="center"/>
    </xf>
    <xf numFmtId="0" fontId="95" fillId="4" borderId="78" xfId="0" applyFont="1" applyFill="1" applyBorder="1" applyProtection="1"/>
    <xf numFmtId="2" fontId="10" fillId="0" borderId="0" xfId="3" applyNumberFormat="1" applyFont="1" applyFill="1"/>
    <xf numFmtId="1" fontId="26" fillId="4" borderId="83" xfId="0" applyNumberFormat="1" applyFont="1" applyFill="1" applyBorder="1" applyAlignment="1" applyProtection="1">
      <alignment horizontal="left"/>
    </xf>
    <xf numFmtId="2" fontId="10" fillId="0" borderId="0" xfId="3" applyNumberFormat="1" applyFont="1" applyFill="1" applyAlignment="1">
      <alignment wrapText="1"/>
    </xf>
    <xf numFmtId="0" fontId="26" fillId="4" borderId="86" xfId="0" applyFont="1" applyFill="1" applyBorder="1" applyAlignment="1">
      <alignment horizontal="left"/>
    </xf>
    <xf numFmtId="0" fontId="26" fillId="4" borderId="90" xfId="0" applyFont="1" applyFill="1" applyBorder="1"/>
    <xf numFmtId="0" fontId="26" fillId="4" borderId="84" xfId="0" applyFont="1" applyFill="1" applyBorder="1" applyAlignment="1">
      <alignment horizontal="left"/>
    </xf>
    <xf numFmtId="0" fontId="26" fillId="4" borderId="85" xfId="0" applyFont="1" applyFill="1" applyBorder="1" applyAlignment="1">
      <alignment horizontal="left"/>
    </xf>
    <xf numFmtId="0" fontId="36" fillId="19" borderId="0" xfId="0" applyFont="1" applyFill="1"/>
    <xf numFmtId="0" fontId="36" fillId="19" borderId="45" xfId="0" applyFont="1" applyFill="1" applyBorder="1"/>
    <xf numFmtId="0" fontId="36" fillId="19" borderId="46" xfId="0" applyFont="1" applyFill="1" applyBorder="1"/>
    <xf numFmtId="0" fontId="36" fillId="19" borderId="47" xfId="0" applyFont="1" applyFill="1" applyBorder="1"/>
    <xf numFmtId="0" fontId="36" fillId="4" borderId="48" xfId="0" applyFont="1" applyFill="1" applyBorder="1" applyAlignment="1">
      <alignment horizontal="left"/>
    </xf>
    <xf numFmtId="0" fontId="36" fillId="4" borderId="0" xfId="0" applyFont="1" applyFill="1" applyBorder="1" applyAlignment="1">
      <alignment horizontal="left"/>
    </xf>
    <xf numFmtId="0" fontId="36" fillId="4" borderId="49" xfId="0" applyFont="1" applyFill="1" applyBorder="1" applyAlignment="1">
      <alignment horizontal="left"/>
    </xf>
    <xf numFmtId="164" fontId="26" fillId="4" borderId="49" xfId="0" applyNumberFormat="1" applyFont="1" applyFill="1" applyBorder="1" applyAlignment="1">
      <alignment horizontal="left"/>
    </xf>
    <xf numFmtId="164" fontId="26" fillId="4" borderId="53" xfId="0" applyNumberFormat="1" applyFont="1" applyFill="1" applyBorder="1" applyAlignment="1">
      <alignment horizontal="left"/>
    </xf>
    <xf numFmtId="0" fontId="26" fillId="22" borderId="0" xfId="0" applyFont="1" applyFill="1"/>
    <xf numFmtId="0" fontId="25" fillId="4" borderId="0" xfId="0" applyFont="1" applyFill="1" applyBorder="1" applyAlignment="1">
      <alignment horizontal="left"/>
    </xf>
    <xf numFmtId="164" fontId="39" fillId="4" borderId="0" xfId="0" applyNumberFormat="1" applyFont="1" applyFill="1" applyBorder="1" applyAlignment="1">
      <alignment horizontal="left"/>
    </xf>
    <xf numFmtId="164" fontId="39" fillId="4" borderId="49" xfId="0" applyNumberFormat="1" applyFont="1" applyFill="1" applyBorder="1" applyAlignment="1">
      <alignment horizontal="left"/>
    </xf>
    <xf numFmtId="1" fontId="39" fillId="4" borderId="0" xfId="0" applyNumberFormat="1" applyFont="1" applyFill="1" applyBorder="1" applyAlignment="1">
      <alignment horizontal="left"/>
    </xf>
    <xf numFmtId="1" fontId="39" fillId="4" borderId="49" xfId="0" applyNumberFormat="1" applyFont="1" applyFill="1" applyBorder="1" applyAlignment="1">
      <alignment horizontal="left"/>
    </xf>
    <xf numFmtId="2" fontId="26" fillId="4" borderId="0" xfId="0" applyNumberFormat="1" applyFont="1" applyFill="1" applyBorder="1"/>
    <xf numFmtId="2" fontId="36" fillId="19" borderId="0" xfId="0" applyNumberFormat="1" applyFont="1" applyFill="1"/>
    <xf numFmtId="1" fontId="36" fillId="19" borderId="0" xfId="0" applyNumberFormat="1" applyFont="1" applyFill="1" applyAlignment="1">
      <alignment horizontal="left"/>
    </xf>
    <xf numFmtId="0" fontId="36" fillId="19" borderId="48" xfId="0" applyFont="1" applyFill="1" applyBorder="1"/>
    <xf numFmtId="0" fontId="36" fillId="19" borderId="0" xfId="0" applyFont="1" applyFill="1" applyBorder="1"/>
    <xf numFmtId="0" fontId="36" fillId="19" borderId="49" xfId="0" applyFont="1" applyFill="1" applyBorder="1"/>
    <xf numFmtId="1" fontId="36" fillId="19" borderId="0" xfId="0" applyNumberFormat="1" applyFont="1" applyFill="1" applyBorder="1" applyAlignment="1">
      <alignment horizontal="left"/>
    </xf>
    <xf numFmtId="0" fontId="91" fillId="22" borderId="52" xfId="0" applyFont="1" applyFill="1" applyBorder="1"/>
    <xf numFmtId="0" fontId="36" fillId="22" borderId="4" xfId="0" applyFont="1" applyFill="1" applyBorder="1"/>
    <xf numFmtId="1" fontId="100" fillId="22" borderId="4" xfId="0" applyNumberFormat="1" applyFont="1" applyFill="1" applyBorder="1" applyAlignment="1">
      <alignment horizontal="left"/>
    </xf>
    <xf numFmtId="2" fontId="39" fillId="4" borderId="0" xfId="0" applyNumberFormat="1" applyFont="1" applyFill="1" applyBorder="1"/>
    <xf numFmtId="0" fontId="101" fillId="4" borderId="0" xfId="0" applyFont="1" applyFill="1"/>
    <xf numFmtId="0" fontId="102" fillId="4" borderId="0" xfId="0" applyFont="1" applyFill="1"/>
    <xf numFmtId="0" fontId="5" fillId="4" borderId="0" xfId="3" applyFont="1" applyFill="1" applyAlignment="1">
      <alignment horizontal="center"/>
    </xf>
    <xf numFmtId="0" fontId="94" fillId="4" borderId="0" xfId="3" applyFont="1" applyFill="1" applyAlignment="1">
      <alignment horizontal="center"/>
    </xf>
    <xf numFmtId="1" fontId="97" fillId="12" borderId="0" xfId="0" applyNumberFormat="1" applyFont="1" applyFill="1"/>
    <xf numFmtId="1" fontId="97" fillId="12" borderId="0" xfId="0" applyNumberFormat="1" applyFont="1" applyFill="1" applyAlignment="1">
      <alignment horizontal="left"/>
    </xf>
    <xf numFmtId="0" fontId="97" fillId="12" borderId="0" xfId="0" applyFont="1" applyFill="1" applyAlignment="1">
      <alignment horizontal="left" vertical="top"/>
    </xf>
    <xf numFmtId="0" fontId="97" fillId="12" borderId="0" xfId="0" applyFont="1" applyFill="1" applyAlignment="1">
      <alignment horizontal="left"/>
    </xf>
    <xf numFmtId="0" fontId="97" fillId="12" borderId="0" xfId="0" applyFont="1" applyFill="1" applyAlignment="1">
      <alignment horizontal="left" vertical="center" wrapText="1"/>
    </xf>
    <xf numFmtId="0" fontId="97" fillId="12" borderId="0" xfId="0" applyFont="1" applyFill="1" applyAlignment="1">
      <alignment horizontal="left" vertical="center"/>
    </xf>
    <xf numFmtId="0" fontId="36" fillId="12" borderId="0" xfId="0" applyFont="1" applyFill="1" applyBorder="1" applyAlignment="1">
      <alignment horizontal="center" textRotation="90"/>
    </xf>
    <xf numFmtId="0" fontId="36" fillId="21" borderId="84" xfId="0" applyFont="1" applyFill="1" applyBorder="1" applyAlignment="1">
      <alignment horizontal="center" textRotation="90" wrapText="1"/>
    </xf>
    <xf numFmtId="0" fontId="36" fillId="21" borderId="86" xfId="0" applyFont="1" applyFill="1" applyBorder="1" applyAlignment="1">
      <alignment horizontal="center" textRotation="90" wrapText="1"/>
    </xf>
    <xf numFmtId="0" fontId="36" fillId="21" borderId="85" xfId="0" applyFont="1" applyFill="1" applyBorder="1" applyAlignment="1">
      <alignment horizontal="center" textRotation="90" wrapText="1"/>
    </xf>
    <xf numFmtId="0" fontId="36" fillId="19" borderId="84" xfId="0" applyFont="1" applyFill="1" applyBorder="1" applyAlignment="1">
      <alignment horizontal="center" textRotation="90" wrapText="1"/>
    </xf>
    <xf numFmtId="0" fontId="36" fillId="19" borderId="86" xfId="0" applyFont="1" applyFill="1" applyBorder="1" applyAlignment="1">
      <alignment horizontal="center" textRotation="90" wrapText="1"/>
    </xf>
    <xf numFmtId="0" fontId="36" fillId="19" borderId="85" xfId="0" applyFont="1" applyFill="1" applyBorder="1" applyAlignment="1">
      <alignment horizontal="center" textRotation="90" wrapText="1"/>
    </xf>
    <xf numFmtId="0" fontId="36" fillId="4" borderId="0" xfId="0" applyFont="1" applyFill="1" applyBorder="1" applyAlignment="1">
      <alignment horizontal="center" textRotation="90"/>
    </xf>
    <xf numFmtId="0" fontId="36" fillId="12" borderId="0" xfId="0" applyFont="1" applyFill="1" applyBorder="1" applyAlignment="1">
      <alignment horizontal="center" textRotation="90" wrapText="1"/>
    </xf>
    <xf numFmtId="0" fontId="36" fillId="21" borderId="84" xfId="0" applyFont="1" applyFill="1" applyBorder="1" applyAlignment="1">
      <alignment horizontal="center" textRotation="90"/>
    </xf>
    <xf numFmtId="0" fontId="36" fillId="21" borderId="86" xfId="0" applyFont="1" applyFill="1" applyBorder="1" applyAlignment="1">
      <alignment horizontal="center" textRotation="90"/>
    </xf>
    <xf numFmtId="0" fontId="36" fillId="21" borderId="85" xfId="0" applyFont="1" applyFill="1" applyBorder="1" applyAlignment="1">
      <alignment horizontal="center" textRotation="90"/>
    </xf>
    <xf numFmtId="0" fontId="36" fillId="20" borderId="0" xfId="0" applyFont="1" applyFill="1" applyBorder="1" applyAlignment="1">
      <alignment horizontal="center" textRotation="90" wrapText="1"/>
    </xf>
    <xf numFmtId="0" fontId="36" fillId="19" borderId="84" xfId="0" applyFont="1" applyFill="1" applyBorder="1" applyAlignment="1">
      <alignment horizontal="center" textRotation="90"/>
    </xf>
    <xf numFmtId="0" fontId="36" fillId="19" borderId="86" xfId="0" applyFont="1" applyFill="1" applyBorder="1" applyAlignment="1">
      <alignment horizontal="center" textRotation="90"/>
    </xf>
    <xf numFmtId="0" fontId="36" fillId="19" borderId="85" xfId="0" applyFont="1" applyFill="1" applyBorder="1" applyAlignment="1">
      <alignment horizontal="center" textRotation="90"/>
    </xf>
    <xf numFmtId="0" fontId="36" fillId="21" borderId="0" xfId="0" applyFont="1" applyFill="1" applyBorder="1" applyAlignment="1">
      <alignment horizontal="center" textRotation="90"/>
    </xf>
    <xf numFmtId="0" fontId="36" fillId="17" borderId="0" xfId="0" applyFont="1" applyFill="1" applyBorder="1" applyAlignment="1">
      <alignment horizontal="center" textRotation="90"/>
    </xf>
    <xf numFmtId="0" fontId="36" fillId="20" borderId="49" xfId="0" applyFont="1" applyFill="1" applyBorder="1" applyAlignment="1">
      <alignment horizontal="center" textRotation="90"/>
    </xf>
    <xf numFmtId="0" fontId="45" fillId="12" borderId="0" xfId="3" applyFont="1" applyFill="1" applyAlignment="1">
      <alignment wrapText="1"/>
    </xf>
    <xf numFmtId="0" fontId="36" fillId="6" borderId="39" xfId="0" applyFont="1" applyFill="1" applyBorder="1" applyAlignment="1"/>
    <xf numFmtId="0" fontId="36" fillId="6" borderId="3" xfId="0" applyFont="1" applyFill="1" applyBorder="1" applyAlignment="1"/>
    <xf numFmtId="0" fontId="26" fillId="4" borderId="2" xfId="0" applyFont="1" applyFill="1" applyBorder="1" applyAlignment="1">
      <alignment horizontal="left"/>
    </xf>
    <xf numFmtId="0" fontId="26" fillId="4" borderId="35" xfId="0" applyFont="1" applyFill="1" applyBorder="1" applyAlignment="1">
      <alignment horizontal="left"/>
    </xf>
    <xf numFmtId="0" fontId="26" fillId="4" borderId="36" xfId="0" applyFont="1" applyFill="1" applyBorder="1" applyAlignment="1">
      <alignment horizontal="left"/>
    </xf>
    <xf numFmtId="0" fontId="26" fillId="4" borderId="0" xfId="0" applyFont="1" applyFill="1" applyAlignment="1">
      <alignment horizontal="left"/>
    </xf>
    <xf numFmtId="0" fontId="26" fillId="5" borderId="3" xfId="0" applyFont="1" applyFill="1" applyBorder="1" applyAlignment="1">
      <alignment horizontal="left"/>
    </xf>
    <xf numFmtId="0" fontId="33" fillId="4" borderId="3" xfId="0" applyFont="1" applyFill="1" applyBorder="1" applyAlignment="1">
      <alignment horizontal="left"/>
    </xf>
    <xf numFmtId="0" fontId="33" fillId="5" borderId="3" xfId="0" applyFont="1" applyFill="1" applyBorder="1" applyAlignment="1">
      <alignment horizontal="left"/>
    </xf>
    <xf numFmtId="0" fontId="65" fillId="4" borderId="35" xfId="0" applyFont="1" applyFill="1" applyBorder="1" applyAlignment="1">
      <alignment horizontal="left"/>
    </xf>
    <xf numFmtId="0" fontId="65" fillId="4" borderId="36" xfId="0" applyFont="1" applyFill="1" applyBorder="1" applyAlignment="1">
      <alignment horizontal="left"/>
    </xf>
    <xf numFmtId="0" fontId="26" fillId="4" borderId="37" xfId="0" applyFont="1" applyFill="1" applyBorder="1" applyAlignment="1">
      <alignment horizontal="left"/>
    </xf>
    <xf numFmtId="0" fontId="26" fillId="4" borderId="1" xfId="0" applyFont="1" applyFill="1" applyBorder="1" applyAlignment="1">
      <alignment horizontal="left"/>
    </xf>
    <xf numFmtId="0" fontId="33" fillId="4" borderId="56" xfId="0" applyFont="1" applyFill="1" applyBorder="1" applyAlignment="1">
      <alignment horizontal="left"/>
    </xf>
    <xf numFmtId="0" fontId="33" fillId="4" borderId="57" xfId="0" applyFont="1" applyFill="1" applyBorder="1" applyAlignment="1">
      <alignment horizontal="left"/>
    </xf>
    <xf numFmtId="0" fontId="26" fillId="4" borderId="0" xfId="0" applyFont="1" applyFill="1" applyBorder="1" applyAlignment="1">
      <alignment horizontal="left"/>
    </xf>
    <xf numFmtId="0" fontId="26" fillId="4" borderId="0" xfId="0" applyFont="1" applyFill="1" applyAlignment="1">
      <alignment horizontal="center"/>
    </xf>
    <xf numFmtId="0" fontId="26" fillId="4" borderId="3" xfId="0" applyFont="1" applyFill="1" applyBorder="1" applyAlignment="1"/>
    <xf numFmtId="0" fontId="33" fillId="4" borderId="36" xfId="0" applyFont="1" applyFill="1" applyBorder="1" applyAlignment="1">
      <alignment horizontal="left"/>
    </xf>
    <xf numFmtId="0" fontId="33" fillId="4" borderId="35" xfId="0" applyFont="1" applyFill="1" applyBorder="1" applyAlignment="1">
      <alignment horizontal="left"/>
    </xf>
    <xf numFmtId="0" fontId="57" fillId="6" borderId="35" xfId="0" applyFont="1" applyFill="1" applyBorder="1" applyAlignment="1">
      <alignment horizontal="center"/>
    </xf>
    <xf numFmtId="0" fontId="57" fillId="6" borderId="36" xfId="0" applyFont="1" applyFill="1" applyBorder="1" applyAlignment="1">
      <alignment horizontal="center"/>
    </xf>
    <xf numFmtId="0" fontId="26" fillId="4" borderId="39" xfId="0" applyFont="1" applyFill="1" applyBorder="1"/>
    <xf numFmtId="0" fontId="26" fillId="4" borderId="41" xfId="0" applyFont="1" applyFill="1" applyBorder="1"/>
    <xf numFmtId="0" fontId="26" fillId="4" borderId="3" xfId="0" applyFont="1" applyFill="1" applyBorder="1"/>
    <xf numFmtId="0" fontId="26" fillId="4" borderId="35" xfId="0" applyFont="1" applyFill="1" applyBorder="1"/>
    <xf numFmtId="0" fontId="26" fillId="4" borderId="36" xfId="0" applyFont="1" applyFill="1" applyBorder="1"/>
    <xf numFmtId="0" fontId="26" fillId="4" borderId="3" xfId="0" applyFont="1" applyFill="1" applyBorder="1" applyAlignment="1">
      <alignment horizontal="left"/>
    </xf>
    <xf numFmtId="0" fontId="36" fillId="6" borderId="3" xfId="0" applyFont="1" applyFill="1" applyBorder="1" applyAlignment="1">
      <alignment horizontal="left"/>
    </xf>
    <xf numFmtId="0" fontId="26" fillId="4" borderId="3" xfId="0" applyFont="1" applyFill="1" applyBorder="1" applyAlignment="1" applyProtection="1"/>
    <xf numFmtId="0" fontId="26" fillId="4" borderId="38" xfId="0" applyFont="1" applyFill="1" applyBorder="1"/>
    <xf numFmtId="0" fontId="33" fillId="4" borderId="35" xfId="0" applyFont="1" applyFill="1" applyBorder="1" applyAlignment="1">
      <alignment horizontal="center"/>
    </xf>
    <xf numFmtId="0" fontId="33" fillId="4" borderId="36" xfId="0" applyFont="1" applyFill="1" applyBorder="1" applyAlignment="1">
      <alignment horizontal="center"/>
    </xf>
    <xf numFmtId="164" fontId="33" fillId="4" borderId="35" xfId="0" applyNumberFormat="1" applyFont="1" applyFill="1" applyBorder="1" applyAlignment="1">
      <alignment horizontal="center"/>
    </xf>
    <xf numFmtId="164" fontId="33" fillId="4" borderId="36" xfId="0" applyNumberFormat="1" applyFont="1" applyFill="1" applyBorder="1" applyAlignment="1">
      <alignment horizontal="center"/>
    </xf>
    <xf numFmtId="0" fontId="33" fillId="4" borderId="37" xfId="0" applyFont="1" applyFill="1" applyBorder="1" applyAlignment="1">
      <alignment horizontal="center"/>
    </xf>
    <xf numFmtId="1" fontId="33" fillId="4" borderId="35" xfId="0" applyNumberFormat="1" applyFont="1" applyFill="1" applyBorder="1" applyAlignment="1">
      <alignment horizontal="center" vertical="center"/>
    </xf>
    <xf numFmtId="1" fontId="33" fillId="4" borderId="36" xfId="0" applyNumberFormat="1" applyFont="1" applyFill="1" applyBorder="1" applyAlignment="1">
      <alignment horizontal="center" vertical="center"/>
    </xf>
    <xf numFmtId="2" fontId="33" fillId="4" borderId="35" xfId="0" applyNumberFormat="1" applyFont="1" applyFill="1" applyBorder="1" applyAlignment="1">
      <alignment horizontal="center" vertical="center"/>
    </xf>
    <xf numFmtId="2" fontId="33" fillId="4" borderId="36" xfId="0" applyNumberFormat="1" applyFont="1" applyFill="1" applyBorder="1" applyAlignment="1">
      <alignment horizontal="center" vertical="center"/>
    </xf>
    <xf numFmtId="0" fontId="36" fillId="6" borderId="41" xfId="0" applyFont="1" applyFill="1" applyBorder="1" applyAlignment="1"/>
    <xf numFmtId="0" fontId="55" fillId="4" borderId="0" xfId="0" applyFont="1" applyFill="1" applyAlignment="1">
      <alignment horizontal="left"/>
    </xf>
    <xf numFmtId="0" fontId="86" fillId="4" borderId="0" xfId="0" applyFont="1" applyFill="1"/>
    <xf numFmtId="0" fontId="26" fillId="4" borderId="43" xfId="0" applyFont="1" applyFill="1" applyBorder="1"/>
    <xf numFmtId="0" fontId="26" fillId="4" borderId="44" xfId="0" applyFont="1" applyFill="1" applyBorder="1"/>
    <xf numFmtId="0" fontId="26" fillId="4" borderId="35" xfId="0" applyFont="1" applyFill="1" applyBorder="1" applyAlignment="1">
      <alignment horizontal="center"/>
    </xf>
    <xf numFmtId="0" fontId="26" fillId="4" borderId="36" xfId="0" applyFont="1" applyFill="1" applyBorder="1" applyAlignment="1">
      <alignment horizontal="center"/>
    </xf>
    <xf numFmtId="164" fontId="26" fillId="3" borderId="35" xfId="0" applyNumberFormat="1" applyFont="1" applyFill="1" applyBorder="1" applyAlignment="1">
      <alignment horizontal="center"/>
    </xf>
    <xf numFmtId="164" fontId="26" fillId="3" borderId="36" xfId="0" applyNumberFormat="1" applyFont="1" applyFill="1" applyBorder="1" applyAlignment="1">
      <alignment horizontal="center"/>
    </xf>
    <xf numFmtId="1" fontId="33" fillId="4" borderId="35" xfId="0" applyNumberFormat="1" applyFont="1" applyFill="1" applyBorder="1" applyAlignment="1">
      <alignment horizontal="center"/>
    </xf>
    <xf numFmtId="1" fontId="33" fillId="4" borderId="36" xfId="0" applyNumberFormat="1" applyFont="1" applyFill="1" applyBorder="1" applyAlignment="1">
      <alignment horizontal="center"/>
    </xf>
    <xf numFmtId="0" fontId="36" fillId="2" borderId="2" xfId="0" applyFont="1" applyFill="1" applyBorder="1" applyAlignment="1">
      <alignment horizontal="center" wrapText="1"/>
    </xf>
    <xf numFmtId="0" fontId="36" fillId="2" borderId="0" xfId="0" applyFont="1" applyFill="1" applyBorder="1" applyAlignment="1">
      <alignment horizontal="center" wrapText="1"/>
    </xf>
    <xf numFmtId="0" fontId="97" fillId="12" borderId="0" xfId="0" applyFont="1" applyFill="1" applyAlignment="1">
      <alignment horizontal="left" vertical="center" wrapText="1"/>
    </xf>
    <xf numFmtId="0" fontId="36" fillId="12" borderId="0" xfId="0" applyFont="1" applyFill="1" applyAlignment="1">
      <alignment horizontal="center" wrapText="1"/>
    </xf>
    <xf numFmtId="0" fontId="69" fillId="7" borderId="2" xfId="0" applyFont="1" applyFill="1" applyBorder="1" applyAlignment="1">
      <alignment horizontal="left" vertical="top" wrapText="1"/>
    </xf>
    <xf numFmtId="0" fontId="69" fillId="7" borderId="1" xfId="0" applyFont="1" applyFill="1" applyBorder="1" applyAlignment="1">
      <alignment horizontal="left" vertical="top" wrapText="1"/>
    </xf>
    <xf numFmtId="0" fontId="36" fillId="7" borderId="2" xfId="0" applyFont="1" applyFill="1" applyBorder="1" applyAlignment="1">
      <alignment horizontal="left" vertical="top" wrapText="1"/>
    </xf>
    <xf numFmtId="0" fontId="36" fillId="7" borderId="0" xfId="0" applyFont="1" applyFill="1" applyBorder="1" applyAlignment="1">
      <alignment horizontal="left" vertical="top" wrapText="1"/>
    </xf>
    <xf numFmtId="0" fontId="36" fillId="7" borderId="1" xfId="0" applyFont="1" applyFill="1" applyBorder="1" applyAlignment="1">
      <alignment horizontal="left" vertical="top" wrapText="1"/>
    </xf>
    <xf numFmtId="0" fontId="69" fillId="7" borderId="2" xfId="0" applyFont="1" applyFill="1" applyBorder="1" applyAlignment="1">
      <alignment horizontal="left" vertical="top"/>
    </xf>
    <xf numFmtId="0" fontId="69" fillId="7" borderId="1" xfId="0" applyFont="1" applyFill="1" applyBorder="1" applyAlignment="1">
      <alignment horizontal="left" vertical="top"/>
    </xf>
    <xf numFmtId="0" fontId="69" fillId="7" borderId="0" xfId="0" applyFont="1" applyFill="1" applyBorder="1" applyAlignment="1">
      <alignment horizontal="left" vertical="top"/>
    </xf>
    <xf numFmtId="0" fontId="69" fillId="7" borderId="0" xfId="0" applyFont="1" applyFill="1" applyBorder="1" applyAlignment="1">
      <alignment horizontal="left" vertical="top" wrapText="1"/>
    </xf>
    <xf numFmtId="0" fontId="36" fillId="0" borderId="0" xfId="0" applyFont="1" applyFill="1" applyBorder="1" applyAlignment="1">
      <alignment horizontal="left" vertical="top"/>
    </xf>
    <xf numFmtId="0" fontId="36" fillId="0" borderId="0" xfId="0" applyFont="1" applyFill="1" applyBorder="1" applyAlignment="1">
      <alignment horizontal="left" vertical="top" wrapText="1"/>
    </xf>
    <xf numFmtId="0" fontId="36" fillId="7" borderId="0" xfId="0" applyFont="1" applyFill="1" applyBorder="1" applyAlignment="1">
      <alignment horizontal="left" vertical="top"/>
    </xf>
    <xf numFmtId="0" fontId="36" fillId="7" borderId="1" xfId="0" applyFont="1" applyFill="1" applyBorder="1" applyAlignment="1">
      <alignment horizontal="left" vertical="top"/>
    </xf>
    <xf numFmtId="0" fontId="36" fillId="7" borderId="2" xfId="0" applyFont="1" applyFill="1" applyBorder="1" applyAlignment="1">
      <alignment horizontal="left" vertical="top"/>
    </xf>
    <xf numFmtId="0" fontId="69" fillId="0" borderId="0" xfId="0" applyFont="1" applyFill="1" applyBorder="1" applyAlignment="1">
      <alignment horizontal="left" vertical="top" wrapText="1"/>
    </xf>
    <xf numFmtId="0" fontId="69" fillId="0" borderId="0" xfId="0" applyFont="1" applyFill="1" applyBorder="1" applyAlignment="1">
      <alignment horizontal="left" vertical="top"/>
    </xf>
    <xf numFmtId="0" fontId="24" fillId="7" borderId="16" xfId="13" applyFont="1" applyFill="1" applyBorder="1" applyAlignment="1">
      <alignment horizontal="left"/>
    </xf>
    <xf numFmtId="0" fontId="24" fillId="7" borderId="20" xfId="13" applyFont="1" applyFill="1" applyBorder="1" applyAlignment="1">
      <alignment horizontal="left"/>
    </xf>
    <xf numFmtId="0" fontId="24" fillId="7" borderId="17" xfId="13" applyFont="1" applyFill="1" applyBorder="1" applyAlignment="1">
      <alignment horizontal="center"/>
    </xf>
    <xf numFmtId="0" fontId="24" fillId="7" borderId="21" xfId="13" applyFont="1" applyFill="1" applyBorder="1" applyAlignment="1">
      <alignment horizontal="center"/>
    </xf>
    <xf numFmtId="0" fontId="38" fillId="7" borderId="18" xfId="0" applyFont="1" applyFill="1" applyBorder="1" applyAlignment="1">
      <alignment horizontal="center"/>
    </xf>
  </cellXfs>
  <cellStyles count="22">
    <cellStyle name="Calculation" xfId="16" builtinId="22"/>
    <cellStyle name="Comma" xfId="17" builtinId="3"/>
    <cellStyle name="Comma 2" xfId="8"/>
    <cellStyle name="Followed Hyperlink" xfId="20" builtinId="9" hidden="1"/>
    <cellStyle name="Followed Hyperlink" xfId="21" builtinId="9" hidden="1"/>
    <cellStyle name="Heading 1" xfId="14" builtinId="16"/>
    <cellStyle name="Heading 2" xfId="15" builtinId="17"/>
    <cellStyle name="Input 2" xfId="19"/>
    <cellStyle name="Komma 2" xfId="10"/>
    <cellStyle name="Link 2" xfId="7"/>
    <cellStyle name="Link 3" xfId="12"/>
    <cellStyle name="Normal" xfId="0" builtinId="0"/>
    <cellStyle name="Normal 2" xfId="1"/>
    <cellStyle name="Normal 2 2" xfId="2"/>
    <cellStyle name="Normal 3" xfId="6"/>
    <cellStyle name="Normal 4" xfId="9"/>
    <cellStyle name="Normal 5" xfId="4"/>
    <cellStyle name="Normal 6" xfId="11"/>
    <cellStyle name="Normal 7" xfId="3"/>
    <cellStyle name="Percent" xfId="18" builtinId="5"/>
    <cellStyle name="Percent 2" xfId="5"/>
    <cellStyle name="Title" xfId="13" builtinId="15"/>
  </cellStyles>
  <dxfs count="104">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
      <numFmt numFmtId="164" formatCode="0.0"/>
    </dxf>
    <dxf>
      <numFmt numFmtId="1" formatCode="0"/>
    </dxf>
  </dxfs>
  <tableStyles count="0" defaultTableStyle="TableStyleMedium2" defaultPivotStyle="PivotStyleLight16"/>
  <colors>
    <mruColors>
      <color rgb="FF74913B"/>
      <color rgb="FFD6EDBD"/>
      <color rgb="FF314B15"/>
      <color rgb="FFFFC000"/>
      <color rgb="FFFFF8EB"/>
      <color rgb="FFB5CD85"/>
      <color rgb="FFBCE292"/>
      <color rgb="FFB8E08C"/>
      <color rgb="FFE7E7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06/relationships/vbaProject" Target="vbaProject.bin"/></Relationships>
</file>

<file path=xl/drawings/drawing1.xml><?xml version="1.0" encoding="utf-8"?>
<xdr:wsDr xmlns:xdr="http://schemas.openxmlformats.org/drawingml/2006/spreadsheetDrawing" xmlns:a="http://schemas.openxmlformats.org/drawingml/2006/main">
  <xdr:twoCellAnchor>
    <xdr:from>
      <xdr:col>5</xdr:col>
      <xdr:colOff>419100</xdr:colOff>
      <xdr:row>16</xdr:row>
      <xdr:rowOff>9525</xdr:rowOff>
    </xdr:from>
    <xdr:to>
      <xdr:col>5</xdr:col>
      <xdr:colOff>419100</xdr:colOff>
      <xdr:row>17</xdr:row>
      <xdr:rowOff>142875</xdr:rowOff>
    </xdr:to>
    <xdr:cxnSp macro="">
      <xdr:nvCxnSpPr>
        <xdr:cNvPr id="3" name="Straight Arrow Connector 2"/>
        <xdr:cNvCxnSpPr/>
      </xdr:nvCxnSpPr>
      <xdr:spPr>
        <a:xfrm>
          <a:off x="2171700" y="1752600"/>
          <a:ext cx="0" cy="31432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400050</xdr:colOff>
      <xdr:row>25</xdr:row>
      <xdr:rowOff>9525</xdr:rowOff>
    </xdr:from>
    <xdr:to>
      <xdr:col>5</xdr:col>
      <xdr:colOff>400050</xdr:colOff>
      <xdr:row>27</xdr:row>
      <xdr:rowOff>66675</xdr:rowOff>
    </xdr:to>
    <xdr:cxnSp macro="">
      <xdr:nvCxnSpPr>
        <xdr:cNvPr id="5" name="Straight Arrow Connector 4"/>
        <xdr:cNvCxnSpPr/>
      </xdr:nvCxnSpPr>
      <xdr:spPr>
        <a:xfrm flipV="1">
          <a:off x="2152650" y="3324225"/>
          <a:ext cx="0" cy="41910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19</xdr:col>
      <xdr:colOff>504825</xdr:colOff>
      <xdr:row>15</xdr:row>
      <xdr:rowOff>171450</xdr:rowOff>
    </xdr:from>
    <xdr:to>
      <xdr:col>19</xdr:col>
      <xdr:colOff>504825</xdr:colOff>
      <xdr:row>18</xdr:row>
      <xdr:rowOff>38100</xdr:rowOff>
    </xdr:to>
    <xdr:cxnSp macro="">
      <xdr:nvCxnSpPr>
        <xdr:cNvPr id="10" name="Straight Arrow Connector 9"/>
        <xdr:cNvCxnSpPr/>
      </xdr:nvCxnSpPr>
      <xdr:spPr>
        <a:xfrm flipV="1">
          <a:off x="7181850" y="1724025"/>
          <a:ext cx="0" cy="41910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38100</xdr:colOff>
      <xdr:row>9</xdr:row>
      <xdr:rowOff>76200</xdr:rowOff>
    </xdr:from>
    <xdr:to>
      <xdr:col>16</xdr:col>
      <xdr:colOff>76200</xdr:colOff>
      <xdr:row>9</xdr:row>
      <xdr:rowOff>85725</xdr:rowOff>
    </xdr:to>
    <xdr:cxnSp macro="">
      <xdr:nvCxnSpPr>
        <xdr:cNvPr id="12" name="Straight Arrow Connector 11"/>
        <xdr:cNvCxnSpPr/>
      </xdr:nvCxnSpPr>
      <xdr:spPr>
        <a:xfrm flipV="1">
          <a:off x="3086100" y="590550"/>
          <a:ext cx="2809875" cy="952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u486490\Documents\pecosystem\workshop%20dronniglund\model-english-reference%20scenario%201106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Fodertabel"/>
      <sheetName val="input-data"/>
      <sheetName val="N-balance"/>
      <sheetName val="results"/>
      <sheetName val="Feed rations"/>
      <sheetName val="Total feed use at farm"/>
      <sheetName val="Mark-Fields"/>
      <sheetName val="Feed - overview"/>
      <sheetName val="Flow sohold"/>
      <sheetName val="Flow smågrise"/>
      <sheetName val="Flow slagtesvin"/>
      <sheetName val="N-P balance sohold"/>
      <sheetName val="N-P balance smågrise"/>
      <sheetName val="N-P balance slagtesvin"/>
      <sheetName val="Opstaldingsform-Housing "/>
      <sheetName val="Lagring-Storage"/>
      <sheetName val="Udbringning af gylleApplication"/>
      <sheetName val="background data"/>
      <sheetName val="øvrige EFS-other EFs"/>
      <sheetName val="Need for feed"/>
      <sheetName val="overview"/>
      <sheetName val="topdowntables"/>
      <sheetName val="NPK tal"/>
      <sheetName val="Emission Stald-fold"/>
    </sheetNames>
    <sheetDataSet>
      <sheetData sheetId="0"/>
      <sheetData sheetId="1"/>
      <sheetData sheetId="2">
        <row r="3">
          <cell r="B3" t="str">
            <v>Dansk</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X35"/>
  <sheetViews>
    <sheetView workbookViewId="0">
      <selection activeCell="B5" sqref="B5"/>
    </sheetView>
  </sheetViews>
  <sheetFormatPr defaultColWidth="9.140625" defaultRowHeight="14.25" x14ac:dyDescent="0.2"/>
  <cols>
    <col min="1" max="1" width="9.140625" style="110"/>
    <col min="2" max="2" width="3.7109375" style="110" customWidth="1"/>
    <col min="3" max="3" width="3.140625" style="110" customWidth="1"/>
    <col min="4" max="4" width="9.140625" style="110"/>
    <col min="5" max="5" width="1.140625" style="110" customWidth="1"/>
    <col min="6" max="6" width="9.140625" style="110"/>
    <col min="7" max="7" width="1.140625" style="110" customWidth="1"/>
    <col min="8" max="8" width="9.140625" style="110"/>
    <col min="9" max="9" width="1.140625" style="110" customWidth="1"/>
    <col min="10" max="10" width="9.140625" style="110"/>
    <col min="11" max="11" width="1.28515625" style="110" customWidth="1"/>
    <col min="12" max="12" width="9.140625" style="110"/>
    <col min="13" max="13" width="1.28515625" style="110" customWidth="1"/>
    <col min="14" max="14" width="9.140625" style="110"/>
    <col min="15" max="15" width="1.28515625" style="110" customWidth="1"/>
    <col min="16" max="16" width="9.140625" style="110"/>
    <col min="17" max="17" width="1.28515625" style="110" customWidth="1"/>
    <col min="18" max="18" width="10.140625" style="110" customWidth="1"/>
    <col min="19" max="19" width="1.42578125" style="110" customWidth="1"/>
    <col min="20" max="20" width="10" style="110" customWidth="1"/>
    <col min="21" max="21" width="1.85546875" style="110" customWidth="1"/>
    <col min="22" max="22" width="9.140625" style="110"/>
    <col min="23" max="23" width="3.7109375" style="110" customWidth="1"/>
    <col min="24" max="24" width="5.140625" style="110" customWidth="1"/>
    <col min="25" max="16384" width="9.140625" style="110"/>
  </cols>
  <sheetData>
    <row r="2" spans="2:24" ht="9.75" customHeight="1" x14ac:dyDescent="0.2"/>
    <row r="3" spans="2:24" ht="18" customHeight="1" x14ac:dyDescent="0.25">
      <c r="B3" s="859" t="s">
        <v>2083</v>
      </c>
    </row>
    <row r="4" spans="2:24" ht="16.5" customHeight="1" x14ac:dyDescent="0.2">
      <c r="B4" s="858" t="s">
        <v>2084</v>
      </c>
    </row>
    <row r="5" spans="2:24" ht="16.5" customHeight="1" x14ac:dyDescent="0.2">
      <c r="B5" s="858" t="s">
        <v>2091</v>
      </c>
    </row>
    <row r="6" spans="2:24" ht="11.25" customHeight="1" x14ac:dyDescent="0.2"/>
    <row r="7" spans="2:24" ht="16.5" customHeight="1" x14ac:dyDescent="0.2">
      <c r="B7" s="110" t="s">
        <v>2085</v>
      </c>
    </row>
    <row r="8" spans="2:24" ht="24.75" customHeight="1" thickBot="1" x14ac:dyDescent="0.25"/>
    <row r="9" spans="2:24" ht="16.5" customHeight="1" thickBot="1" x14ac:dyDescent="0.25">
      <c r="B9" s="767"/>
      <c r="C9" s="768"/>
      <c r="D9" s="768"/>
      <c r="E9" s="768"/>
      <c r="F9" s="768"/>
      <c r="G9" s="768"/>
      <c r="H9" s="768"/>
      <c r="I9" s="768"/>
      <c r="J9" s="768"/>
      <c r="K9" s="768"/>
      <c r="L9" s="768"/>
      <c r="M9" s="768"/>
      <c r="N9" s="768"/>
      <c r="O9" s="768"/>
      <c r="P9" s="768"/>
      <c r="Q9" s="768"/>
      <c r="R9" s="768"/>
      <c r="S9" s="768"/>
      <c r="T9" s="768"/>
      <c r="U9" s="768"/>
      <c r="V9" s="768"/>
      <c r="W9" s="768"/>
      <c r="X9" s="769"/>
    </row>
    <row r="10" spans="2:24" ht="9.75" customHeight="1" x14ac:dyDescent="0.2">
      <c r="B10" s="770"/>
      <c r="C10" s="749"/>
      <c r="D10" s="750"/>
      <c r="E10" s="750"/>
      <c r="F10" s="750"/>
      <c r="G10" s="750"/>
      <c r="H10" s="751"/>
      <c r="I10" s="177"/>
      <c r="J10" s="177"/>
      <c r="K10" s="177"/>
      <c r="L10" s="177"/>
      <c r="M10" s="177"/>
      <c r="N10" s="177"/>
      <c r="O10" s="177"/>
      <c r="P10" s="177"/>
      <c r="Q10" s="177"/>
      <c r="R10" s="749"/>
      <c r="S10" s="750"/>
      <c r="T10" s="750"/>
      <c r="U10" s="750"/>
      <c r="V10" s="750"/>
      <c r="W10" s="751"/>
      <c r="X10" s="771"/>
    </row>
    <row r="11" spans="2:24" ht="15" customHeight="1" x14ac:dyDescent="0.2">
      <c r="B11" s="770"/>
      <c r="C11" s="752"/>
      <c r="D11" s="884" t="s">
        <v>1894</v>
      </c>
      <c r="E11" s="753"/>
      <c r="F11" s="885" t="s">
        <v>1893</v>
      </c>
      <c r="G11" s="753"/>
      <c r="H11" s="886"/>
      <c r="I11" s="177"/>
      <c r="J11" s="875"/>
      <c r="K11" s="177"/>
      <c r="L11" s="875"/>
      <c r="M11" s="177"/>
      <c r="N11" s="875"/>
      <c r="O11" s="177"/>
      <c r="P11" s="875"/>
      <c r="Q11" s="177"/>
      <c r="R11" s="752"/>
      <c r="S11" s="753"/>
      <c r="T11" s="868" t="s">
        <v>1905</v>
      </c>
      <c r="U11" s="753"/>
      <c r="V11" s="876" t="s">
        <v>1906</v>
      </c>
      <c r="W11" s="754"/>
      <c r="X11" s="771"/>
    </row>
    <row r="12" spans="2:24" x14ac:dyDescent="0.2">
      <c r="B12" s="770"/>
      <c r="C12" s="752"/>
      <c r="D12" s="884"/>
      <c r="E12" s="753"/>
      <c r="F12" s="885"/>
      <c r="G12" s="753"/>
      <c r="H12" s="886"/>
      <c r="I12" s="177"/>
      <c r="J12" s="875"/>
      <c r="K12" s="177"/>
      <c r="L12" s="875"/>
      <c r="M12" s="177"/>
      <c r="N12" s="875"/>
      <c r="O12" s="177"/>
      <c r="P12" s="875"/>
      <c r="Q12" s="177"/>
      <c r="R12" s="752"/>
      <c r="S12" s="753"/>
      <c r="T12" s="868"/>
      <c r="U12" s="753"/>
      <c r="V12" s="876"/>
      <c r="W12" s="754"/>
      <c r="X12" s="771"/>
    </row>
    <row r="13" spans="2:24" x14ac:dyDescent="0.2">
      <c r="B13" s="770"/>
      <c r="C13" s="752"/>
      <c r="D13" s="884"/>
      <c r="E13" s="753"/>
      <c r="F13" s="885"/>
      <c r="G13" s="753"/>
      <c r="H13" s="886"/>
      <c r="I13" s="177"/>
      <c r="J13" s="875"/>
      <c r="K13" s="177"/>
      <c r="L13" s="875"/>
      <c r="M13" s="177"/>
      <c r="N13" s="875"/>
      <c r="O13" s="177"/>
      <c r="P13" s="875"/>
      <c r="Q13" s="177"/>
      <c r="R13" s="752"/>
      <c r="S13" s="753"/>
      <c r="T13" s="868"/>
      <c r="U13" s="753"/>
      <c r="V13" s="876"/>
      <c r="W13" s="754"/>
      <c r="X13" s="771"/>
    </row>
    <row r="14" spans="2:24" x14ac:dyDescent="0.2">
      <c r="B14" s="770"/>
      <c r="C14" s="752"/>
      <c r="D14" s="884"/>
      <c r="E14" s="753"/>
      <c r="F14" s="885"/>
      <c r="G14" s="753"/>
      <c r="H14" s="886"/>
      <c r="I14" s="177"/>
      <c r="J14" s="875"/>
      <c r="K14" s="177"/>
      <c r="L14" s="875"/>
      <c r="M14" s="177"/>
      <c r="N14" s="875"/>
      <c r="O14" s="177"/>
      <c r="P14" s="875"/>
      <c r="Q14" s="177"/>
      <c r="R14" s="752"/>
      <c r="S14" s="753"/>
      <c r="T14" s="868"/>
      <c r="U14" s="753"/>
      <c r="V14" s="876"/>
      <c r="W14" s="754"/>
      <c r="X14" s="771"/>
    </row>
    <row r="15" spans="2:24" x14ac:dyDescent="0.2">
      <c r="B15" s="770"/>
      <c r="C15" s="752"/>
      <c r="D15" s="884"/>
      <c r="E15" s="753"/>
      <c r="F15" s="885"/>
      <c r="G15" s="753"/>
      <c r="H15" s="886"/>
      <c r="I15" s="177"/>
      <c r="J15" s="875"/>
      <c r="K15" s="177"/>
      <c r="L15" s="875"/>
      <c r="M15" s="177"/>
      <c r="N15" s="875"/>
      <c r="O15" s="177"/>
      <c r="P15" s="875"/>
      <c r="Q15" s="177"/>
      <c r="R15" s="752"/>
      <c r="S15" s="753"/>
      <c r="T15" s="868"/>
      <c r="U15" s="753"/>
      <c r="V15" s="876"/>
      <c r="W15" s="754"/>
      <c r="X15" s="771"/>
    </row>
    <row r="16" spans="2:24" ht="15" thickBot="1" x14ac:dyDescent="0.25">
      <c r="B16" s="770"/>
      <c r="C16" s="755"/>
      <c r="D16" s="756"/>
      <c r="E16" s="756"/>
      <c r="F16" s="756" t="s">
        <v>1893</v>
      </c>
      <c r="G16" s="756"/>
      <c r="H16" s="757"/>
      <c r="I16" s="177"/>
      <c r="J16" s="177"/>
      <c r="K16" s="177"/>
      <c r="L16" s="177"/>
      <c r="M16" s="177"/>
      <c r="N16" s="177"/>
      <c r="O16" s="177"/>
      <c r="P16" s="177"/>
      <c r="Q16" s="177"/>
      <c r="R16" s="755"/>
      <c r="S16" s="756"/>
      <c r="T16" s="756"/>
      <c r="U16" s="756"/>
      <c r="V16" s="756" t="s">
        <v>1907</v>
      </c>
      <c r="W16" s="757"/>
      <c r="X16" s="771"/>
    </row>
    <row r="17" spans="2:24" x14ac:dyDescent="0.2">
      <c r="B17" s="770"/>
      <c r="C17" s="177"/>
      <c r="D17" s="177"/>
      <c r="E17" s="177"/>
      <c r="F17" s="177"/>
      <c r="G17" s="177"/>
      <c r="H17" s="177"/>
      <c r="I17" s="177"/>
      <c r="J17" s="177"/>
      <c r="K17" s="177"/>
      <c r="L17" s="177"/>
      <c r="M17" s="177"/>
      <c r="N17" s="177"/>
      <c r="O17" s="177"/>
      <c r="P17" s="177"/>
      <c r="Q17" s="177"/>
      <c r="R17" s="177"/>
      <c r="S17" s="177"/>
      <c r="T17" s="177"/>
      <c r="U17" s="177"/>
      <c r="V17" s="177"/>
      <c r="W17" s="177"/>
      <c r="X17" s="771"/>
    </row>
    <row r="18" spans="2:24" x14ac:dyDescent="0.2">
      <c r="B18" s="770"/>
      <c r="C18" s="177"/>
      <c r="D18" s="177"/>
      <c r="E18" s="177"/>
      <c r="F18" s="177"/>
      <c r="G18" s="177"/>
      <c r="H18" s="177"/>
      <c r="I18" s="177"/>
      <c r="J18" s="177"/>
      <c r="K18" s="177"/>
      <c r="L18" s="177"/>
      <c r="M18" s="177"/>
      <c r="N18" s="177"/>
      <c r="O18" s="177"/>
      <c r="P18" s="177"/>
      <c r="Q18" s="177"/>
      <c r="R18" s="177"/>
      <c r="S18" s="177"/>
      <c r="T18" s="177"/>
      <c r="U18" s="177"/>
      <c r="V18" s="177"/>
      <c r="W18" s="177"/>
      <c r="X18" s="771"/>
    </row>
    <row r="19" spans="2:24" ht="8.25" customHeight="1" thickBot="1" x14ac:dyDescent="0.25">
      <c r="B19" s="770"/>
      <c r="C19" s="758"/>
      <c r="D19" s="759"/>
      <c r="E19" s="759"/>
      <c r="F19" s="759"/>
      <c r="G19" s="759"/>
      <c r="H19" s="759"/>
      <c r="I19" s="759"/>
      <c r="J19" s="759"/>
      <c r="K19" s="759"/>
      <c r="L19" s="759"/>
      <c r="M19" s="759"/>
      <c r="N19" s="759"/>
      <c r="O19" s="759"/>
      <c r="P19" s="759"/>
      <c r="Q19" s="759"/>
      <c r="R19" s="759"/>
      <c r="S19" s="759"/>
      <c r="T19" s="759"/>
      <c r="U19" s="759"/>
      <c r="V19" s="759"/>
      <c r="W19" s="760"/>
      <c r="X19" s="771"/>
    </row>
    <row r="20" spans="2:24" ht="15" customHeight="1" x14ac:dyDescent="0.2">
      <c r="B20" s="770"/>
      <c r="C20" s="761"/>
      <c r="D20" s="881" t="s">
        <v>1895</v>
      </c>
      <c r="E20" s="753"/>
      <c r="F20" s="872" t="s">
        <v>1896</v>
      </c>
      <c r="G20" s="753"/>
      <c r="H20" s="881" t="s">
        <v>1897</v>
      </c>
      <c r="I20" s="753"/>
      <c r="J20" s="872" t="s">
        <v>1898</v>
      </c>
      <c r="K20" s="753"/>
      <c r="L20" s="872" t="s">
        <v>1899</v>
      </c>
      <c r="M20" s="753"/>
      <c r="N20" s="872" t="s">
        <v>1900</v>
      </c>
      <c r="O20" s="753"/>
      <c r="P20" s="872" t="s">
        <v>1902</v>
      </c>
      <c r="Q20" s="753"/>
      <c r="R20" s="872" t="s">
        <v>1901</v>
      </c>
      <c r="S20" s="762"/>
      <c r="T20" s="872" t="s">
        <v>1908</v>
      </c>
      <c r="U20" s="753"/>
      <c r="V20" s="872" t="s">
        <v>1904</v>
      </c>
      <c r="W20" s="763"/>
      <c r="X20" s="771"/>
    </row>
    <row r="21" spans="2:24" x14ac:dyDescent="0.2">
      <c r="B21" s="770"/>
      <c r="C21" s="761"/>
      <c r="D21" s="882"/>
      <c r="E21" s="753"/>
      <c r="F21" s="873"/>
      <c r="G21" s="753"/>
      <c r="H21" s="882"/>
      <c r="I21" s="753"/>
      <c r="J21" s="873"/>
      <c r="K21" s="753"/>
      <c r="L21" s="873"/>
      <c r="M21" s="753"/>
      <c r="N21" s="873"/>
      <c r="O21" s="753"/>
      <c r="P21" s="873"/>
      <c r="Q21" s="753"/>
      <c r="R21" s="873"/>
      <c r="S21" s="762"/>
      <c r="T21" s="873"/>
      <c r="U21" s="753"/>
      <c r="V21" s="873"/>
      <c r="W21" s="763"/>
      <c r="X21" s="771"/>
    </row>
    <row r="22" spans="2:24" x14ac:dyDescent="0.2">
      <c r="B22" s="770"/>
      <c r="C22" s="761"/>
      <c r="D22" s="882"/>
      <c r="E22" s="753"/>
      <c r="F22" s="873"/>
      <c r="G22" s="753"/>
      <c r="H22" s="882"/>
      <c r="I22" s="753"/>
      <c r="J22" s="873"/>
      <c r="K22" s="753"/>
      <c r="L22" s="873"/>
      <c r="M22" s="753"/>
      <c r="N22" s="873"/>
      <c r="O22" s="753"/>
      <c r="P22" s="873"/>
      <c r="Q22" s="753"/>
      <c r="R22" s="873"/>
      <c r="S22" s="762"/>
      <c r="T22" s="873"/>
      <c r="U22" s="753"/>
      <c r="V22" s="873"/>
      <c r="W22" s="763"/>
      <c r="X22" s="771"/>
    </row>
    <row r="23" spans="2:24" x14ac:dyDescent="0.2">
      <c r="B23" s="770"/>
      <c r="C23" s="761"/>
      <c r="D23" s="882"/>
      <c r="E23" s="753"/>
      <c r="F23" s="873"/>
      <c r="G23" s="753"/>
      <c r="H23" s="882"/>
      <c r="I23" s="753"/>
      <c r="J23" s="873"/>
      <c r="K23" s="753"/>
      <c r="L23" s="873"/>
      <c r="M23" s="753"/>
      <c r="N23" s="873"/>
      <c r="O23" s="753"/>
      <c r="P23" s="873"/>
      <c r="Q23" s="753"/>
      <c r="R23" s="873"/>
      <c r="S23" s="762"/>
      <c r="T23" s="873"/>
      <c r="U23" s="753"/>
      <c r="V23" s="873"/>
      <c r="W23" s="763"/>
      <c r="X23" s="771"/>
    </row>
    <row r="24" spans="2:24" ht="15" thickBot="1" x14ac:dyDescent="0.25">
      <c r="B24" s="770"/>
      <c r="C24" s="761"/>
      <c r="D24" s="883"/>
      <c r="E24" s="753"/>
      <c r="F24" s="874"/>
      <c r="G24" s="753"/>
      <c r="H24" s="883"/>
      <c r="I24" s="753"/>
      <c r="J24" s="874"/>
      <c r="K24" s="753"/>
      <c r="L24" s="874"/>
      <c r="M24" s="753"/>
      <c r="N24" s="874"/>
      <c r="O24" s="753"/>
      <c r="P24" s="874"/>
      <c r="Q24" s="753"/>
      <c r="R24" s="874"/>
      <c r="S24" s="762"/>
      <c r="T24" s="874"/>
      <c r="U24" s="753"/>
      <c r="V24" s="874"/>
      <c r="W24" s="763"/>
      <c r="X24" s="771"/>
    </row>
    <row r="25" spans="2:24" x14ac:dyDescent="0.2">
      <c r="B25" s="770"/>
      <c r="C25" s="764"/>
      <c r="D25" s="765"/>
      <c r="E25" s="765"/>
      <c r="F25" s="765"/>
      <c r="G25" s="765"/>
      <c r="H25" s="765"/>
      <c r="I25" s="765"/>
      <c r="J25" s="765"/>
      <c r="K25" s="765"/>
      <c r="L25" s="765"/>
      <c r="M25" s="765"/>
      <c r="N25" s="765"/>
      <c r="O25" s="765"/>
      <c r="P25" s="765"/>
      <c r="Q25" s="765"/>
      <c r="R25" s="765"/>
      <c r="S25" s="765"/>
      <c r="T25" s="765" t="s">
        <v>1903</v>
      </c>
      <c r="U25" s="765"/>
      <c r="V25" s="765"/>
      <c r="W25" s="766"/>
      <c r="X25" s="771"/>
    </row>
    <row r="26" spans="2:24" x14ac:dyDescent="0.2">
      <c r="B26" s="770"/>
      <c r="C26" s="177"/>
      <c r="D26" s="177"/>
      <c r="E26" s="177"/>
      <c r="F26" s="177"/>
      <c r="G26" s="177"/>
      <c r="H26" s="177"/>
      <c r="I26" s="177"/>
      <c r="J26" s="177"/>
      <c r="K26" s="177"/>
      <c r="L26" s="177"/>
      <c r="M26" s="177"/>
      <c r="N26" s="177"/>
      <c r="O26" s="177"/>
      <c r="P26" s="177"/>
      <c r="Q26" s="177"/>
      <c r="R26" s="177"/>
      <c r="S26" s="177"/>
      <c r="T26" s="177"/>
      <c r="U26" s="177"/>
      <c r="V26" s="177"/>
      <c r="W26" s="177"/>
      <c r="X26" s="771"/>
    </row>
    <row r="27" spans="2:24" x14ac:dyDescent="0.2">
      <c r="B27" s="770"/>
      <c r="C27" s="177"/>
      <c r="D27" s="177"/>
      <c r="E27" s="177"/>
      <c r="F27" s="177"/>
      <c r="G27" s="177"/>
      <c r="H27" s="177"/>
      <c r="I27" s="177"/>
      <c r="J27" s="177"/>
      <c r="K27" s="177"/>
      <c r="L27" s="177"/>
      <c r="M27" s="177"/>
      <c r="N27" s="177"/>
      <c r="O27" s="177"/>
      <c r="P27" s="177"/>
      <c r="Q27" s="177"/>
      <c r="R27" s="177"/>
      <c r="S27" s="177"/>
      <c r="T27" s="177"/>
      <c r="U27" s="177"/>
      <c r="V27" s="177"/>
      <c r="W27" s="177"/>
      <c r="X27" s="771"/>
    </row>
    <row r="28" spans="2:24" ht="8.25" customHeight="1" thickBot="1" x14ac:dyDescent="0.25">
      <c r="B28" s="770"/>
      <c r="C28" s="758"/>
      <c r="D28" s="759"/>
      <c r="E28" s="759"/>
      <c r="F28" s="759"/>
      <c r="G28" s="759"/>
      <c r="H28" s="759"/>
      <c r="I28" s="759"/>
      <c r="J28" s="759"/>
      <c r="K28" s="759"/>
      <c r="L28" s="759"/>
      <c r="M28" s="759"/>
      <c r="N28" s="759"/>
      <c r="O28" s="759"/>
      <c r="P28" s="759"/>
      <c r="Q28" s="759"/>
      <c r="R28" s="759"/>
      <c r="S28" s="759"/>
      <c r="T28" s="759"/>
      <c r="U28" s="759"/>
      <c r="V28" s="759"/>
      <c r="W28" s="760"/>
      <c r="X28" s="771"/>
    </row>
    <row r="29" spans="2:24" ht="15" customHeight="1" x14ac:dyDescent="0.2">
      <c r="B29" s="770"/>
      <c r="C29" s="761"/>
      <c r="D29" s="877" t="s">
        <v>1884</v>
      </c>
      <c r="E29" s="753"/>
      <c r="F29" s="877" t="s">
        <v>1885</v>
      </c>
      <c r="G29" s="753"/>
      <c r="H29" s="877" t="s">
        <v>1886</v>
      </c>
      <c r="I29" s="753"/>
      <c r="J29" s="869" t="s">
        <v>1887</v>
      </c>
      <c r="K29" s="753"/>
      <c r="L29" s="877" t="s">
        <v>1888</v>
      </c>
      <c r="M29" s="753"/>
      <c r="N29" s="869" t="s">
        <v>1889</v>
      </c>
      <c r="O29" s="753"/>
      <c r="P29" s="877" t="s">
        <v>1890</v>
      </c>
      <c r="Q29" s="753"/>
      <c r="R29" s="869" t="s">
        <v>1891</v>
      </c>
      <c r="S29" s="753"/>
      <c r="T29" s="753"/>
      <c r="U29" s="753"/>
      <c r="V29" s="880"/>
      <c r="W29" s="763"/>
      <c r="X29" s="771"/>
    </row>
    <row r="30" spans="2:24" x14ac:dyDescent="0.2">
      <c r="B30" s="770"/>
      <c r="C30" s="761"/>
      <c r="D30" s="878"/>
      <c r="E30" s="753"/>
      <c r="F30" s="878"/>
      <c r="G30" s="753"/>
      <c r="H30" s="878"/>
      <c r="I30" s="753"/>
      <c r="J30" s="870"/>
      <c r="K30" s="753"/>
      <c r="L30" s="878"/>
      <c r="M30" s="753"/>
      <c r="N30" s="870"/>
      <c r="O30" s="753"/>
      <c r="P30" s="878"/>
      <c r="Q30" s="753"/>
      <c r="R30" s="870"/>
      <c r="S30" s="753"/>
      <c r="T30" s="753"/>
      <c r="U30" s="753"/>
      <c r="V30" s="880"/>
      <c r="W30" s="763"/>
      <c r="X30" s="771"/>
    </row>
    <row r="31" spans="2:24" x14ac:dyDescent="0.2">
      <c r="B31" s="770"/>
      <c r="C31" s="761"/>
      <c r="D31" s="878"/>
      <c r="E31" s="753"/>
      <c r="F31" s="878"/>
      <c r="G31" s="753"/>
      <c r="H31" s="878"/>
      <c r="I31" s="753"/>
      <c r="J31" s="870"/>
      <c r="K31" s="753"/>
      <c r="L31" s="878"/>
      <c r="M31" s="753"/>
      <c r="N31" s="870"/>
      <c r="O31" s="753"/>
      <c r="P31" s="878"/>
      <c r="Q31" s="753"/>
      <c r="R31" s="870"/>
      <c r="S31" s="753"/>
      <c r="T31" s="753"/>
      <c r="U31" s="753"/>
      <c r="V31" s="880"/>
      <c r="W31" s="763"/>
      <c r="X31" s="771"/>
    </row>
    <row r="32" spans="2:24" x14ac:dyDescent="0.2">
      <c r="B32" s="770"/>
      <c r="C32" s="761"/>
      <c r="D32" s="878"/>
      <c r="E32" s="753"/>
      <c r="F32" s="878"/>
      <c r="G32" s="753"/>
      <c r="H32" s="878"/>
      <c r="I32" s="753"/>
      <c r="J32" s="870"/>
      <c r="K32" s="753"/>
      <c r="L32" s="878"/>
      <c r="M32" s="753"/>
      <c r="N32" s="870"/>
      <c r="O32" s="753"/>
      <c r="P32" s="878"/>
      <c r="Q32" s="753"/>
      <c r="R32" s="870"/>
      <c r="S32" s="753"/>
      <c r="T32" s="753"/>
      <c r="U32" s="753"/>
      <c r="V32" s="880"/>
      <c r="W32" s="763"/>
      <c r="X32" s="771"/>
    </row>
    <row r="33" spans="2:24" ht="15" thickBot="1" x14ac:dyDescent="0.25">
      <c r="B33" s="770"/>
      <c r="C33" s="761"/>
      <c r="D33" s="879"/>
      <c r="E33" s="753"/>
      <c r="F33" s="879"/>
      <c r="G33" s="753"/>
      <c r="H33" s="879"/>
      <c r="I33" s="753"/>
      <c r="J33" s="871"/>
      <c r="K33" s="753"/>
      <c r="L33" s="879"/>
      <c r="M33" s="753"/>
      <c r="N33" s="871"/>
      <c r="O33" s="753"/>
      <c r="P33" s="879"/>
      <c r="Q33" s="753"/>
      <c r="R33" s="871"/>
      <c r="S33" s="753"/>
      <c r="T33" s="753"/>
      <c r="U33" s="753"/>
      <c r="V33" s="880"/>
      <c r="W33" s="763"/>
      <c r="X33" s="771"/>
    </row>
    <row r="34" spans="2:24" x14ac:dyDescent="0.2">
      <c r="B34" s="770"/>
      <c r="C34" s="764"/>
      <c r="D34" s="765"/>
      <c r="E34" s="765"/>
      <c r="F34" s="765"/>
      <c r="G34" s="765"/>
      <c r="H34" s="765"/>
      <c r="I34" s="765"/>
      <c r="J34" s="765"/>
      <c r="K34" s="765"/>
      <c r="L34" s="765"/>
      <c r="M34" s="765"/>
      <c r="N34" s="765"/>
      <c r="O34" s="765" t="s">
        <v>1892</v>
      </c>
      <c r="P34" s="765"/>
      <c r="Q34" s="765"/>
      <c r="R34" s="765"/>
      <c r="S34" s="765"/>
      <c r="T34" s="765"/>
      <c r="U34" s="765"/>
      <c r="V34" s="765"/>
      <c r="W34" s="766"/>
      <c r="X34" s="771"/>
    </row>
    <row r="35" spans="2:24" ht="15" thickBot="1" x14ac:dyDescent="0.25">
      <c r="B35" s="772"/>
      <c r="C35" s="773"/>
      <c r="D35" s="773"/>
      <c r="E35" s="773"/>
      <c r="F35" s="773"/>
      <c r="G35" s="773"/>
      <c r="H35" s="773"/>
      <c r="I35" s="773"/>
      <c r="J35" s="773"/>
      <c r="K35" s="773"/>
      <c r="L35" s="773"/>
      <c r="M35" s="773"/>
      <c r="N35" s="773"/>
      <c r="O35" s="773"/>
      <c r="P35" s="773"/>
      <c r="Q35" s="773"/>
      <c r="R35" s="773"/>
      <c r="S35" s="773"/>
      <c r="T35" s="773"/>
      <c r="U35" s="773"/>
      <c r="V35" s="773"/>
      <c r="W35" s="773"/>
      <c r="X35" s="774"/>
    </row>
  </sheetData>
  <sheetProtection algorithmName="SHA-512" hashValue="zINGvjzmCQ6uurnaF+cJ+Bd7MkTa4jrZ1dO+1S4r2zlDieodulN22YoZMdhwOROgVnJ0bmARacdcW/XLrJfcJA==" saltValue="qWKoOBYrImNn8wyqyMv7Dg==" spinCount="100000" sheet="1" objects="1" scenarios="1"/>
  <mergeCells count="28">
    <mergeCell ref="D29:D33"/>
    <mergeCell ref="F29:F33"/>
    <mergeCell ref="H29:H33"/>
    <mergeCell ref="J29:J33"/>
    <mergeCell ref="L29:L33"/>
    <mergeCell ref="D11:D15"/>
    <mergeCell ref="F11:F15"/>
    <mergeCell ref="H11:H15"/>
    <mergeCell ref="J11:J15"/>
    <mergeCell ref="L11:L15"/>
    <mergeCell ref="D20:D24"/>
    <mergeCell ref="F20:F24"/>
    <mergeCell ref="H20:H24"/>
    <mergeCell ref="J20:J24"/>
    <mergeCell ref="L20:L24"/>
    <mergeCell ref="T11:T15"/>
    <mergeCell ref="R29:R33"/>
    <mergeCell ref="N20:N24"/>
    <mergeCell ref="P20:P24"/>
    <mergeCell ref="V20:V24"/>
    <mergeCell ref="R20:R24"/>
    <mergeCell ref="T20:T24"/>
    <mergeCell ref="N11:N15"/>
    <mergeCell ref="P11:P15"/>
    <mergeCell ref="V11:V15"/>
    <mergeCell ref="N29:N33"/>
    <mergeCell ref="P29:P33"/>
    <mergeCell ref="V29:V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G32"/>
  <sheetViews>
    <sheetView workbookViewId="0">
      <selection activeCell="F33" sqref="F33"/>
    </sheetView>
  </sheetViews>
  <sheetFormatPr defaultColWidth="8.85546875" defaultRowHeight="14.25" x14ac:dyDescent="0.2"/>
  <cols>
    <col min="1" max="1" width="8.85546875" style="110"/>
    <col min="2" max="2" width="17.28515625" style="110" customWidth="1"/>
    <col min="3" max="3" width="29" style="110" customWidth="1"/>
    <col min="4" max="4" width="17.7109375" style="110" customWidth="1"/>
    <col min="5" max="5" width="18.28515625" style="110" customWidth="1"/>
    <col min="6" max="6" width="16.28515625" style="110" customWidth="1"/>
    <col min="7" max="7" width="17.42578125" style="110" customWidth="1"/>
    <col min="8" max="16384" width="8.85546875" style="110"/>
  </cols>
  <sheetData>
    <row r="1" spans="2:7" ht="15" thickBot="1" x14ac:dyDescent="0.25"/>
    <row r="2" spans="2:7" ht="25.15" customHeight="1" x14ac:dyDescent="0.2">
      <c r="B2" s="833"/>
      <c r="C2" s="834" t="str">
        <f>'Feed - overview'!C16</f>
        <v>Foder type</v>
      </c>
      <c r="D2" s="834" t="str">
        <f>'Feed - overview'!H16</f>
        <v>kg per gård</v>
      </c>
      <c r="E2" s="834" t="str">
        <f>'Feed - overview'!J16</f>
        <v>kg TS per gård</v>
      </c>
      <c r="F2" s="834" t="str">
        <f>'Feed - overview'!K16</f>
        <v>kg N per gård</v>
      </c>
      <c r="G2" s="835" t="str">
        <f>'Feed - overview'!L16</f>
        <v>kg P per gård</v>
      </c>
    </row>
    <row r="3" spans="2:7" x14ac:dyDescent="0.2">
      <c r="B3" s="850"/>
      <c r="C3" s="851"/>
      <c r="D3" s="851"/>
      <c r="E3" s="851"/>
      <c r="F3" s="851"/>
      <c r="G3" s="852"/>
    </row>
    <row r="4" spans="2:7" x14ac:dyDescent="0.2">
      <c r="B4" s="636" t="str">
        <f>IF('input-data'!$B$3="Dansk", "Tildelt kraftfoder", "Concentrated feed")</f>
        <v>Tildelt kraftfoder</v>
      </c>
      <c r="C4" s="63" t="str">
        <f>IF('input-data'!$B$3="Dansk","byg", "barley")</f>
        <v>byg</v>
      </c>
      <c r="D4" s="337">
        <f>SUMIF('Feed - overview'!$X$17:$X$190,$C$4, 'Feed - overview'!$H$17:$H$190)</f>
        <v>0</v>
      </c>
      <c r="E4" s="337">
        <f>SUMIF('Feed - overview'!$X$17:$X$190,$C$4, 'Feed - overview'!$J$17:$J$190)</f>
        <v>0</v>
      </c>
      <c r="F4" s="337">
        <f>SUMIF('Feed - overview'!$X$17:$X$190,$C$4, 'Feed - overview'!$K$17:$K$190)</f>
        <v>0</v>
      </c>
      <c r="G4" s="695">
        <f>SUMIF('Feed - overview'!$X$17:$X$190,$C$4, 'Feed - overview'!$L$17:$L$190)</f>
        <v>0</v>
      </c>
    </row>
    <row r="5" spans="2:7" x14ac:dyDescent="0.2">
      <c r="B5" s="636"/>
      <c r="C5" s="842" t="str">
        <f>IF('input-data'!B3="Dansk", topdowntables!R5, topdowntables!R17)</f>
        <v>byg - fra gaard</v>
      </c>
      <c r="D5" s="843">
        <f>VLOOKUP(C5, feedavailability, 5, FALSE)</f>
        <v>0</v>
      </c>
      <c r="E5" s="843">
        <f>VLOOKUP(C5, feedavailability, 4, FALSE)</f>
        <v>0</v>
      </c>
      <c r="F5" s="843">
        <f>VLOOKUP(C5, feedavailability, 6, FALSE)</f>
        <v>0</v>
      </c>
      <c r="G5" s="844">
        <f>VLOOKUP(C5, feedavailability, 7, FALSE)</f>
        <v>0</v>
      </c>
    </row>
    <row r="6" spans="2:7" x14ac:dyDescent="0.2">
      <c r="B6" s="636"/>
      <c r="C6" s="63" t="str">
        <f>IF('input-data'!$B$3="Dansk","hvede", "wheat")</f>
        <v>hvede</v>
      </c>
      <c r="D6" s="337">
        <f>SUMIF('Feed - overview'!$X$17:$X$190,$C$6, 'Feed - overview'!$H$17:$H$190)</f>
        <v>0</v>
      </c>
      <c r="E6" s="337">
        <f>SUMIF('Feed - overview'!$X$17:$X$190,$C$6, 'Feed - overview'!$J$17:$J$190)</f>
        <v>0</v>
      </c>
      <c r="F6" s="337">
        <f>SUMIF('Feed - overview'!$X$17:$X$190,$C$6, 'Feed - overview'!$K$17:$K$190)</f>
        <v>0</v>
      </c>
      <c r="G6" s="695">
        <f>SUMIF('Feed - overview'!$X$17:$X$190,$C$6, 'Feed - overview'!$L$17:$L$190)</f>
        <v>0</v>
      </c>
    </row>
    <row r="7" spans="2:7" x14ac:dyDescent="0.2">
      <c r="B7" s="636"/>
      <c r="C7" s="842" t="str">
        <f>IF('input-data'!$B$3="Dansk", topdowntables!R6, topdowntables!R18)</f>
        <v>hvede - fra gaard</v>
      </c>
      <c r="D7" s="843">
        <f>VLOOKUP(C7, feedavailability, 5, FALSE)</f>
        <v>0</v>
      </c>
      <c r="E7" s="843">
        <f>VLOOKUP(C7, feedavailability, 4, FALSE)</f>
        <v>0</v>
      </c>
      <c r="F7" s="843">
        <f>VLOOKUP(C7, feedavailability, 6, FALSE)</f>
        <v>0</v>
      </c>
      <c r="G7" s="844">
        <f>VLOOKUP(C7, feedavailability, 7, FALSE)</f>
        <v>0</v>
      </c>
    </row>
    <row r="8" spans="2:7" x14ac:dyDescent="0.2">
      <c r="B8" s="636"/>
      <c r="C8" s="63" t="str">
        <f>IF('input-data'!$B$3="Dansk","rug", "rey")</f>
        <v>rug</v>
      </c>
      <c r="D8" s="337">
        <f>SUMIF('Feed - overview'!$X$17:$X$190,$C$8, 'Feed - overview'!$H$17:$H$190)</f>
        <v>0</v>
      </c>
      <c r="E8" s="337">
        <f>SUMIF('Feed - overview'!$X$17:$X$190,$C$8, 'Feed - overview'!$J$17:$J$190)</f>
        <v>0</v>
      </c>
      <c r="F8" s="337">
        <f>SUMIF('Feed - overview'!$X$17:$X$190,$C$8, 'Feed - overview'!$K$17:$K$190)</f>
        <v>0</v>
      </c>
      <c r="G8" s="695">
        <f>SUMIF('Feed - overview'!$X$17:$X$190,$C$8, 'Feed - overview'!$L$17:$L$190)</f>
        <v>0</v>
      </c>
    </row>
    <row r="9" spans="2:7" x14ac:dyDescent="0.2">
      <c r="B9" s="636"/>
      <c r="C9" s="842" t="str">
        <f>IF('input-data'!$B$3="Dansk", topdowntables!R8, topdowntables!R20)</f>
        <v>rug - fra gaard</v>
      </c>
      <c r="D9" s="843">
        <f>VLOOKUP(C9, feedavailability, 5, FALSE)</f>
        <v>0</v>
      </c>
      <c r="E9" s="843">
        <f>VLOOKUP(C9, feedavailability, 4, FALSE)</f>
        <v>0</v>
      </c>
      <c r="F9" s="843">
        <f>VLOOKUP(C9, feedavailability, 6, FALSE)</f>
        <v>0</v>
      </c>
      <c r="G9" s="844">
        <f>VLOOKUP(C9, feedavailability, 7, FALSE)</f>
        <v>0</v>
      </c>
    </row>
    <row r="10" spans="2:7" x14ac:dyDescent="0.2">
      <c r="B10" s="636"/>
      <c r="C10" s="63" t="str">
        <f>IF('input-data'!$B$3="Dansk","havre", "oats")</f>
        <v>havre</v>
      </c>
      <c r="D10" s="337">
        <f>SUMIF('Feed - overview'!$X$17:$X$190,$C$10, 'Feed - overview'!$H$17:$H$190)</f>
        <v>0</v>
      </c>
      <c r="E10" s="337">
        <f>SUMIF('Feed - overview'!$X$17:$X$190,$C$10, 'Feed - overview'!$J$17:$J$190)</f>
        <v>0</v>
      </c>
      <c r="F10" s="337">
        <f>SUMIF('Feed - overview'!$X$17:$X$190,$C$10, 'Feed - overview'!$K$17:$K$190)</f>
        <v>0</v>
      </c>
      <c r="G10" s="695">
        <f>SUMIF('Feed - overview'!$X$17:$X$190,$C$10, 'Feed - overview'!$L$17:$L$190)</f>
        <v>0</v>
      </c>
    </row>
    <row r="11" spans="2:7" x14ac:dyDescent="0.2">
      <c r="B11" s="636"/>
      <c r="C11" s="842" t="str">
        <f>IF('input-data'!$B$3="Dansk", topdowntables!R7, topdowntables!R19)</f>
        <v>havre - fra gaard</v>
      </c>
      <c r="D11" s="843">
        <f>VLOOKUP(C11, feedavailability, 5, FALSE)</f>
        <v>0</v>
      </c>
      <c r="E11" s="843">
        <f>VLOOKUP(C11, feedavailability, 4, FALSE)</f>
        <v>0</v>
      </c>
      <c r="F11" s="843">
        <f>VLOOKUP(C11, feedavailability, 6, FALSE)</f>
        <v>0</v>
      </c>
      <c r="G11" s="844">
        <f>VLOOKUP(C11, feedavailability, 7, FALSE)</f>
        <v>0</v>
      </c>
    </row>
    <row r="12" spans="2:7" x14ac:dyDescent="0.2">
      <c r="B12" s="636"/>
      <c r="C12" s="63" t="str">
        <f>IF('input-data'!$B$3="Dansk","triticale", "triticale")</f>
        <v>triticale</v>
      </c>
      <c r="D12" s="337">
        <f>SUMIF('Feed - overview'!$X$17:$X$190,$C$12, 'Feed - overview'!$H$17:$H$190)</f>
        <v>0</v>
      </c>
      <c r="E12" s="337">
        <f>SUMIF('Feed - overview'!$X$17:$X$190,$C$12, 'Feed - overview'!$J$17:$J$190)</f>
        <v>0</v>
      </c>
      <c r="F12" s="337">
        <f>SUMIF('Feed - overview'!$X$17:$X$190,$C$12, 'Feed - overview'!$K$17:$K$190)</f>
        <v>0</v>
      </c>
      <c r="G12" s="695">
        <f>SUMIF('Feed - overview'!$X$17:$X$190,$C$12, 'Feed - overview'!$L$17:$L$190)</f>
        <v>0</v>
      </c>
    </row>
    <row r="13" spans="2:7" x14ac:dyDescent="0.2">
      <c r="B13" s="636"/>
      <c r="C13" s="842" t="str">
        <f>IF('input-data'!$B$3="Dansk", topdowntables!R9, topdowntables!R21)</f>
        <v>triticale - fra gaard</v>
      </c>
      <c r="D13" s="843">
        <f>VLOOKUP(C13, feedavailability, 5, FALSE)</f>
        <v>0</v>
      </c>
      <c r="E13" s="843">
        <f>VLOOKUP(C13, feedavailability, 4, FALSE)</f>
        <v>0</v>
      </c>
      <c r="F13" s="843">
        <f>VLOOKUP(C13, feedavailability, 6, FALSE)</f>
        <v>0</v>
      </c>
      <c r="G13" s="844">
        <f>VLOOKUP(C13, feedavailability, 7, FALSE)</f>
        <v>0</v>
      </c>
    </row>
    <row r="14" spans="2:7" x14ac:dyDescent="0.2">
      <c r="B14" s="636"/>
      <c r="C14" s="63" t="str">
        <f>IF('input-data'!$B$3="Dansk","sojakage", "soybeans cake")</f>
        <v>sojakage</v>
      </c>
      <c r="D14" s="337">
        <f>SUMIF('Feed - overview'!$X$17:$X$190,$C$14, 'Feed - overview'!$H$17:$H$190)</f>
        <v>0</v>
      </c>
      <c r="E14" s="337">
        <f>SUMIF('Feed - overview'!$X$17:$X$190,$C$14, 'Feed - overview'!$J$17:$J$190)</f>
        <v>0</v>
      </c>
      <c r="F14" s="337">
        <f>SUMIF('Feed - overview'!$X$17:$X$190,$C$14, 'Feed - overview'!$K$17:$K$190)</f>
        <v>0</v>
      </c>
      <c r="G14" s="695">
        <f>SUMIF('Feed - overview'!$X$17:$X$190,$C$14, 'Feed - overview'!$L$17:$L$190)</f>
        <v>0</v>
      </c>
    </row>
    <row r="15" spans="2:7" x14ac:dyDescent="0.2">
      <c r="B15" s="636"/>
      <c r="C15" s="63" t="str">
        <f>IF('input-data'!$B$3="Dansk","fiskemel", "fish meal")</f>
        <v>fiskemel</v>
      </c>
      <c r="D15" s="337">
        <f>SUMIF('Feed - overview'!$X$17:$X$190,$C$15, 'Feed - overview'!$H$17:$H$190)</f>
        <v>0</v>
      </c>
      <c r="E15" s="337">
        <f>SUMIF('Feed - overview'!$X$17:$X$190,$C$15, 'Feed - overview'!$J$17:$J$190)</f>
        <v>0</v>
      </c>
      <c r="F15" s="337">
        <f>SUMIF('Feed - overview'!$X$17:$X$190,$C$15, 'Feed - overview'!$K$17:$K$190)</f>
        <v>0</v>
      </c>
      <c r="G15" s="695">
        <f>SUMIF('Feed - overview'!$X$17:$X$190,$C$15, 'Feed - overview'!$L$17:$L$190)</f>
        <v>0</v>
      </c>
    </row>
    <row r="16" spans="2:7" x14ac:dyDescent="0.2">
      <c r="B16" s="636"/>
      <c r="C16" s="63" t="str">
        <f>IF('input-data'!$B$3="Dansk","hestebønner", "faba beans")</f>
        <v>hestebønner</v>
      </c>
      <c r="D16" s="337">
        <f>SUMIF('Feed - overview'!$X$17:$X$190,$C$16, 'Feed - overview'!$H$17:$H$190)</f>
        <v>0</v>
      </c>
      <c r="E16" s="337">
        <f>SUMIF('Feed - overview'!$X$17:$X$190,$C$16, 'Feed - overview'!$J$17:$J$190)</f>
        <v>0</v>
      </c>
      <c r="F16" s="337">
        <f>SUMIF('Feed - overview'!$X$17:$X$190,$C$16, 'Feed - overview'!$K$17:$K$190)</f>
        <v>0</v>
      </c>
      <c r="G16" s="695">
        <f>SUMIF('Feed - overview'!$X$17:$X$190,$C$16, 'Feed - overview'!$L$17:$L$190)</f>
        <v>0</v>
      </c>
    </row>
    <row r="17" spans="2:7" x14ac:dyDescent="0.2">
      <c r="B17" s="636"/>
      <c r="C17" s="842" t="str">
        <f>IF('input-data'!$B$3="Dansk", topdowntables!R13, topdowntables!R25)</f>
        <v>hestebønner - fra gaard</v>
      </c>
      <c r="D17" s="843">
        <f>VLOOKUP(C17, feedavailability, 5, FALSE)</f>
        <v>0</v>
      </c>
      <c r="E17" s="843">
        <f>VLOOKUP(C17, feedavailability, 4, FALSE)</f>
        <v>0</v>
      </c>
      <c r="F17" s="843">
        <f>VLOOKUP(C17, feedavailability, 6, FALSE)</f>
        <v>0</v>
      </c>
      <c r="G17" s="844">
        <f>VLOOKUP(C17, feedavailability, 7, FALSE)</f>
        <v>0</v>
      </c>
    </row>
    <row r="18" spans="2:7" x14ac:dyDescent="0.2">
      <c r="B18" s="636"/>
      <c r="C18" s="63" t="str">
        <f>IF('input-data'!$B$3="Dansk","ærter", "peas")</f>
        <v>ærter</v>
      </c>
      <c r="D18" s="337">
        <f>SUMIF('Feed - overview'!$X$17:$X$190,$C$18, 'Feed - overview'!$H$17:$H$190)</f>
        <v>0</v>
      </c>
      <c r="E18" s="337">
        <f>SUMIF('Feed - overview'!$X$17:$X$190,$C$18, 'Feed - overview'!$J$17:$J$190)</f>
        <v>0</v>
      </c>
      <c r="F18" s="337">
        <f>SUMIF('Feed - overview'!$X$17:$X$190,$C$18, 'Feed - overview'!$K$17:$K$190)</f>
        <v>0</v>
      </c>
      <c r="G18" s="695">
        <f>SUMIF('Feed - overview'!$X$17:$X$190,$C$18, 'Feed - overview'!$L$17:$L$190)</f>
        <v>0</v>
      </c>
    </row>
    <row r="19" spans="2:7" x14ac:dyDescent="0.2">
      <c r="B19" s="636"/>
      <c r="C19" s="842" t="str">
        <f>IF('input-data'!$B$3="Dansk", topdowntables!R10, topdowntables!R22)</f>
        <v>ærter - fra gaard</v>
      </c>
      <c r="D19" s="843">
        <f>VLOOKUP(C19, feedavailability, 5, FALSE)</f>
        <v>0</v>
      </c>
      <c r="E19" s="843">
        <f>VLOOKUP(C19, feedavailability, 4, FALSE)</f>
        <v>0</v>
      </c>
      <c r="F19" s="843">
        <f>VLOOKUP(C19, feedavailability, 6, FALSE)</f>
        <v>0</v>
      </c>
      <c r="G19" s="844">
        <f>VLOOKUP(C19, feedavailability, 7, FALSE)</f>
        <v>0</v>
      </c>
    </row>
    <row r="20" spans="2:7" x14ac:dyDescent="0.2">
      <c r="B20" s="636"/>
      <c r="C20" s="63" t="str">
        <f>IF('input-data'!$B$3="Dansk","kartoffelprotein", "potatoes protein")</f>
        <v>kartoffelprotein</v>
      </c>
      <c r="D20" s="337">
        <f>SUMIF('Feed - overview'!$X$17:$X$190,$C$20, 'Feed - overview'!$H$17:$H$190)</f>
        <v>0</v>
      </c>
      <c r="E20" s="337">
        <f>SUMIF('Feed - overview'!$X$17:$X$190,$C$20, 'Feed - overview'!$J$17:$J$190)</f>
        <v>0</v>
      </c>
      <c r="F20" s="337">
        <f>SUMIF('Feed - overview'!$X$17:$X$190,$C$20, 'Feed - overview'!$K$17:$K$190)</f>
        <v>0</v>
      </c>
      <c r="G20" s="695">
        <f>SUMIF('Feed - overview'!$X$17:$X$190,$C$20, 'Feed - overview'!$L$17:$L$190)</f>
        <v>0</v>
      </c>
    </row>
    <row r="21" spans="2:7" x14ac:dyDescent="0.2">
      <c r="B21" s="636"/>
      <c r="C21" s="63" t="str">
        <f>IF('input-data'!$B$3="Dansk","vitaminer og mineraler", "vitamins and minerals")</f>
        <v>vitaminer og mineraler</v>
      </c>
      <c r="D21" s="337">
        <f>SUMIF('Feed - overview'!$X$17:$X$190,$C$21, 'Feed - overview'!$H$17:$H$190)</f>
        <v>0</v>
      </c>
      <c r="E21" s="337">
        <f>SUMIF('Feed - overview'!$X$17:$X$190,$C$21, 'Feed - overview'!$J$17:$J$190)</f>
        <v>0</v>
      </c>
      <c r="F21" s="337">
        <f>SUMIF('Feed - overview'!$X$17:$X$190,$C$21, 'Feed - overview'!$K$17:$K$190)</f>
        <v>0</v>
      </c>
      <c r="G21" s="695">
        <f>SUMIF('Feed - overview'!$X$17:$X$190,$C$21, 'Feed - overview'!$L$17:$L$190)</f>
        <v>0</v>
      </c>
    </row>
    <row r="22" spans="2:7" x14ac:dyDescent="0.2">
      <c r="B22" s="636"/>
      <c r="C22" s="847" t="str">
        <f>IF('input-data'!B3="Dansk", Fodertabel!HV184, Fodertabel!HV555)</f>
        <v>rapskagefoder</v>
      </c>
      <c r="D22" s="337">
        <f>SUMIF('Feed - overview'!$X$17:$X$190,$C$22, 'Feed - overview'!$H$17:$H$190)</f>
        <v>0</v>
      </c>
      <c r="E22" s="337">
        <f>SUMIF('Feed - overview'!$X$17:$X$190,$C$22, 'Feed - overview'!$J$17:$J$190)</f>
        <v>0</v>
      </c>
      <c r="F22" s="337">
        <f>SUMIF('Feed - overview'!$X$17:$X$190,$C$22, 'Feed - overview'!$K$17:$K$190)</f>
        <v>0</v>
      </c>
      <c r="G22" s="695">
        <f>SUMIF('Feed - overview'!$X$17:$X$190,$C$22, 'Feed - overview'!$L$17:$L$190)</f>
        <v>0</v>
      </c>
    </row>
    <row r="23" spans="2:7" x14ac:dyDescent="0.2">
      <c r="B23" s="636"/>
      <c r="C23" s="63" t="str">
        <f>IF('input-data'!$B$3="Dansk","øvrige", "others")</f>
        <v>øvrige</v>
      </c>
      <c r="D23" s="337">
        <f>'Feed - overview'!H191-D4-D6-D8-D10-D12-D14-D15-D16-D20-D18-D24-D26-D28-D21</f>
        <v>0</v>
      </c>
      <c r="E23" s="337">
        <f>'Feed - overview'!J191-E4-E6-E8-E10-E12-E14-E15-E16-E20-E18-E24-E26-E28-E21</f>
        <v>0</v>
      </c>
      <c r="F23" s="337">
        <f>'Feed - overview'!K191-F4-F6-F8-F10-F12-F14-F15-F16-F20-F18-F24-F26-F28-F21</f>
        <v>0</v>
      </c>
      <c r="G23" s="695">
        <f>'Feed - overview'!L191-G4-G6-G8-G10-G12-G14-G15-G16-G20-G18-G24-G26-G28-G21</f>
        <v>0</v>
      </c>
    </row>
    <row r="24" spans="2:7" x14ac:dyDescent="0.2">
      <c r="B24" s="636" t="s">
        <v>2011</v>
      </c>
      <c r="C24" s="63" t="str">
        <f>IF('input-data'!$B$3="Dansk","kløvergræs ensilage", "grass silage")</f>
        <v>kløvergræs ensilage</v>
      </c>
      <c r="D24" s="337">
        <f>SUMIF('Feed - overview'!$X$17:$X$190,$C$24, 'Feed - overview'!$H$17:$H$190)</f>
        <v>0</v>
      </c>
      <c r="E24" s="337">
        <f>SUMIF('Feed - overview'!$X$17:$X$190,$C$24, 'Feed - overview'!$J$17:$J$190)</f>
        <v>0</v>
      </c>
      <c r="F24" s="337">
        <f>SUMIF('Feed - overview'!$X$17:$X$190,$C$24, 'Feed - overview'!$K$17:$K$190)</f>
        <v>0</v>
      </c>
      <c r="G24" s="695">
        <f>SUMIF('Feed - overview'!$X$17:$X$190,$C$24, 'Feed - overview'!$L$17:$L$190)</f>
        <v>0</v>
      </c>
    </row>
    <row r="25" spans="2:7" x14ac:dyDescent="0.2">
      <c r="B25" s="636"/>
      <c r="C25" s="842" t="str">
        <f>IF('input-data'!$B$3="Dansk", topdowntables!R11, topdowntables!R23)</f>
        <v>kløvergræs ensilage - fra gaard</v>
      </c>
      <c r="D25" s="845">
        <f>VLOOKUP(C25, feedavailability, 5, FALSE)</f>
        <v>0</v>
      </c>
      <c r="E25" s="845">
        <f>VLOOKUP(C25, feedavailability, 4, FALSE)</f>
        <v>0</v>
      </c>
      <c r="F25" s="845">
        <f>VLOOKUP(C25, feedavailability, 6, FALSE)</f>
        <v>0</v>
      </c>
      <c r="G25" s="846">
        <f>VLOOKUP(C25, feedavailability, 7, FALSE)</f>
        <v>0</v>
      </c>
    </row>
    <row r="26" spans="2:7" x14ac:dyDescent="0.2">
      <c r="B26" s="636"/>
      <c r="C26" s="63" t="str">
        <f>IF('input-data'!$B$3="Dansk","græsensilage", "grass-clover silage")</f>
        <v>græsensilage</v>
      </c>
      <c r="D26" s="337">
        <f>SUMIF('Feed - overview'!$X$17:$X$190,$C$26, 'Feed - overview'!$H$17:$H$190)</f>
        <v>0</v>
      </c>
      <c r="E26" s="337">
        <f>SUMIF('Feed - overview'!$X$17:$X$190,$C$26, 'Feed - overview'!$J$17:$J$190)</f>
        <v>0</v>
      </c>
      <c r="F26" s="337">
        <f>SUMIF('Feed - overview'!$X$17:$X$190,$C$26, 'Feed - overview'!$K$17:$K$190)</f>
        <v>0</v>
      </c>
      <c r="G26" s="695">
        <f>SUMIF('Feed - overview'!$X$17:$X$190,$C$26, 'Feed - overview'!$L$17:$L$190)</f>
        <v>0</v>
      </c>
    </row>
    <row r="27" spans="2:7" x14ac:dyDescent="0.2">
      <c r="B27" s="636"/>
      <c r="C27" s="842" t="str">
        <f>IF('input-data'!$B$3="Dansk", topdowntables!R12, topdowntables!R24)</f>
        <v>græs ensilage - fra gaard</v>
      </c>
      <c r="D27" s="845">
        <f>VLOOKUP(C27, feedavailability, 5, FALSE)</f>
        <v>0</v>
      </c>
      <c r="E27" s="845">
        <f>VLOOKUP(C27, feedavailability, 4, FALSE)</f>
        <v>0</v>
      </c>
      <c r="F27" s="845">
        <f>VLOOKUP(C27, feedavailability, 6, FALSE)</f>
        <v>0</v>
      </c>
      <c r="G27" s="846">
        <f>VLOOKUP(C27, feedavailability, 7, FALSE)</f>
        <v>0</v>
      </c>
    </row>
    <row r="28" spans="2:7" x14ac:dyDescent="0.2">
      <c r="B28" s="636" t="str">
        <f>IF('input-data'!$B$3="Dansk", "Afgræsset foder", "Grazed ")</f>
        <v>Afgræsset foder</v>
      </c>
      <c r="C28" s="857" t="str">
        <f>'Feed - overview'!X37</f>
        <v>kløvergræs</v>
      </c>
      <c r="D28" s="845">
        <f>SUMIF('Feed - overview'!$X$17:$X$190, C28, 'Feed - overview'!$H$17:$H$190)</f>
        <v>0</v>
      </c>
      <c r="E28" s="845">
        <f>SUMIF('Feed - overview'!$X$17:$X$190, C28, 'Feed - overview'!J17:J190)</f>
        <v>0</v>
      </c>
      <c r="F28" s="845">
        <f>SUMIF('Feed - overview'!$X$17:$X$190, C28, 'Feed - overview'!K17:K190)</f>
        <v>0</v>
      </c>
      <c r="G28" s="844">
        <f>SUMIF('Feed - overview'!$X$17:$X$190, C28, 'Feed - overview'!L17:L190)</f>
        <v>0</v>
      </c>
    </row>
    <row r="29" spans="2:7" s="225" customFormat="1" x14ac:dyDescent="0.2">
      <c r="B29" s="850" t="s">
        <v>2012</v>
      </c>
      <c r="C29" s="851"/>
      <c r="D29" s="853">
        <f>D4+D6+D8+D10+D12+D14+D15+D16+D18+D20+D21+D22+D24+D26+D23</f>
        <v>0</v>
      </c>
      <c r="E29" s="853">
        <f t="shared" ref="E29:G29" si="0">E4+E6+E8+E10+E12+E14+E15+E16+E18+E20+E21+E22+E24+E26+E23</f>
        <v>0</v>
      </c>
      <c r="F29" s="853">
        <f t="shared" si="0"/>
        <v>0</v>
      </c>
      <c r="G29" s="853">
        <f t="shared" si="0"/>
        <v>0</v>
      </c>
    </row>
    <row r="30" spans="2:7" s="225" customFormat="1" ht="15" thickBot="1" x14ac:dyDescent="0.25">
      <c r="B30" s="854" t="str">
        <f>IF('input-data'!$B$3="Dansk", "heraf hjemmeproduceret", "hereof home-grown")</f>
        <v>heraf hjemmeproduceret</v>
      </c>
      <c r="C30" s="855"/>
      <c r="D30" s="856">
        <f>D5+D7+D9+D11+D13+D17+D19+D25+D27+D28</f>
        <v>0</v>
      </c>
      <c r="E30" s="856">
        <f t="shared" ref="E30:G30" si="1">E5+E7+E9+E11+E13+E17+E19+E25+E27+E28</f>
        <v>0</v>
      </c>
      <c r="F30" s="856">
        <f t="shared" si="1"/>
        <v>0</v>
      </c>
      <c r="G30" s="856">
        <f t="shared" si="1"/>
        <v>0</v>
      </c>
    </row>
    <row r="32" spans="2:7" x14ac:dyDescent="0.2">
      <c r="F32" s="257"/>
    </row>
  </sheetData>
  <sheetProtection algorithmName="SHA-512" hashValue="nKA74d+l4tYHaRr0oB5PDU4xfCfkEdxDir+hkGdwlXXS1f8J8yWy0Zti4loGDAlWcan0OaNLk74s2p0mpf1/qg==" saltValue="XpIaRrwa64KXpA5GRXlvMg=="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AD391"/>
  <sheetViews>
    <sheetView topLeftCell="A4" zoomScale="87" zoomScaleNormal="87" zoomScalePageLayoutView="87" workbookViewId="0">
      <selection activeCell="D7" sqref="D7"/>
    </sheetView>
  </sheetViews>
  <sheetFormatPr defaultColWidth="8.85546875" defaultRowHeight="14.25" x14ac:dyDescent="0.2"/>
  <cols>
    <col min="1" max="1" width="4.140625" style="110" customWidth="1"/>
    <col min="2" max="2" width="6.42578125" style="63" customWidth="1"/>
    <col min="3" max="3" width="46.140625" style="228" customWidth="1"/>
    <col min="4" max="4" width="12.85546875" style="228" customWidth="1"/>
    <col min="5" max="5" width="17.85546875" style="228" customWidth="1"/>
    <col min="6" max="6" width="16.28515625" style="122" customWidth="1"/>
    <col min="7" max="7" width="2.42578125" style="228" customWidth="1"/>
    <col min="8" max="8" width="12.140625" style="122" customWidth="1"/>
    <col min="9" max="9" width="2.42578125" style="228" customWidth="1"/>
    <col min="10" max="10" width="12.42578125" style="122" customWidth="1"/>
    <col min="11" max="11" width="2.7109375" style="228" customWidth="1"/>
    <col min="12" max="12" width="12.7109375" style="228" customWidth="1"/>
    <col min="13" max="16" width="8.85546875" style="228"/>
    <col min="17" max="19" width="8.85546875" style="110"/>
    <col min="20" max="20" width="7.140625" style="110" customWidth="1"/>
    <col min="21" max="30" width="8.85546875" style="110"/>
    <col min="31" max="16384" width="8.85546875" style="228"/>
  </cols>
  <sheetData>
    <row r="1" spans="1:16" x14ac:dyDescent="0.2">
      <c r="B1" s="225" t="str">
        <f>IF('input-data'!$B$3="Dansk", "SOHOLDET", "SOWS (HERD)")</f>
        <v>SOHOLDET</v>
      </c>
      <c r="C1" s="110"/>
      <c r="D1" s="226" t="s">
        <v>971</v>
      </c>
      <c r="E1" s="110"/>
      <c r="F1" s="227" t="s">
        <v>8</v>
      </c>
      <c r="G1" s="110"/>
      <c r="H1" s="110"/>
      <c r="I1" s="110"/>
      <c r="J1" s="110"/>
      <c r="K1" s="110"/>
      <c r="L1" s="110"/>
      <c r="M1" s="110"/>
      <c r="N1" s="110"/>
      <c r="O1" s="110"/>
      <c r="P1" s="110"/>
    </row>
    <row r="2" spans="1:16" ht="15" thickBot="1" x14ac:dyDescent="0.25">
      <c r="B2" s="177"/>
      <c r="C2" s="229"/>
      <c r="D2" s="226"/>
      <c r="E2" s="110"/>
      <c r="F2" s="227"/>
      <c r="G2" s="110"/>
      <c r="H2" s="110"/>
      <c r="I2" s="110"/>
      <c r="J2" s="110"/>
      <c r="K2" s="110"/>
      <c r="L2" s="110"/>
      <c r="M2" s="110"/>
      <c r="N2" s="110"/>
      <c r="O2" s="110"/>
      <c r="P2" s="110"/>
    </row>
    <row r="3" spans="1:16" x14ac:dyDescent="0.2">
      <c r="A3" s="63"/>
      <c r="B3" s="230" t="str">
        <f>IF('input-data'!B3="Dansk", "Dyre, flow:", "Animals' flow")</f>
        <v>Dyre, flow:</v>
      </c>
      <c r="C3" s="231"/>
      <c r="D3" s="232"/>
      <c r="E3" s="110"/>
      <c r="F3" s="233"/>
      <c r="G3" s="233"/>
      <c r="H3" s="110"/>
      <c r="I3" s="110"/>
      <c r="J3" s="110"/>
      <c r="K3" s="110"/>
      <c r="L3" s="110"/>
      <c r="M3" s="110"/>
      <c r="N3" s="110"/>
      <c r="O3" s="110"/>
      <c r="P3" s="110"/>
    </row>
    <row r="4" spans="1:16" x14ac:dyDescent="0.2">
      <c r="A4" s="63"/>
      <c r="B4" s="234" t="str">
        <f>IF('input-data'!B3="Dansk", "Søerne:", "Sows:")</f>
        <v>Søerne:</v>
      </c>
      <c r="C4" s="235"/>
      <c r="D4" s="236"/>
      <c r="E4" s="110"/>
      <c r="F4" s="227"/>
      <c r="G4" s="110"/>
      <c r="H4" s="110"/>
      <c r="I4" s="110"/>
      <c r="J4" s="110"/>
      <c r="K4" s="110"/>
      <c r="L4" s="110"/>
      <c r="M4" s="110"/>
      <c r="N4" s="110"/>
      <c r="O4" s="110"/>
      <c r="P4" s="110"/>
    </row>
    <row r="5" spans="1:16" x14ac:dyDescent="0.2">
      <c r="A5" s="63"/>
      <c r="B5" s="237"/>
      <c r="C5" s="229" t="str">
        <f>IF(topdowntables!N4=1, "Antal årssøer", "Total number of year sows")</f>
        <v>Antal årssøer</v>
      </c>
      <c r="D5" s="238">
        <f>'input-data'!E14</f>
        <v>0</v>
      </c>
      <c r="E5" s="110"/>
      <c r="F5" s="227"/>
      <c r="G5" s="110"/>
      <c r="H5" s="110"/>
      <c r="I5" s="110"/>
      <c r="J5" s="110"/>
      <c r="K5" s="110"/>
      <c r="L5" s="110"/>
      <c r="M5" s="110"/>
      <c r="N5" s="110"/>
      <c r="O5" s="110"/>
      <c r="P5" s="110"/>
    </row>
    <row r="6" spans="1:16" x14ac:dyDescent="0.2">
      <c r="A6" s="63"/>
      <c r="B6" s="239"/>
      <c r="C6" s="63" t="str">
        <f>IF(topdowntables!N4=1, "Udskiftningsprocent, %", "Replacement rate, %")</f>
        <v>Udskiftningsprocent, %</v>
      </c>
      <c r="D6" s="240">
        <f>'input-data'!E23*'input-data'!E15</f>
        <v>0</v>
      </c>
      <c r="E6" s="110"/>
      <c r="F6" s="110" t="s">
        <v>958</v>
      </c>
      <c r="G6" s="110"/>
      <c r="H6" s="110"/>
      <c r="I6" s="110"/>
      <c r="J6" s="110"/>
      <c r="K6" s="110"/>
      <c r="L6" s="110"/>
      <c r="M6" s="110"/>
      <c r="N6" s="110"/>
      <c r="O6" s="110"/>
      <c r="P6" s="110"/>
    </row>
    <row r="7" spans="1:16" x14ac:dyDescent="0.2">
      <c r="A7" s="63"/>
      <c r="B7" s="239"/>
      <c r="C7" s="63" t="str">
        <f>IF(topdowntables!N4=1, "Døde/aflivet, stk", "Dead animals, p.")</f>
        <v>Døde/aflivet, stk</v>
      </c>
      <c r="D7" s="241">
        <f>'input-data'!E24/100*'input-data'!E14</f>
        <v>0</v>
      </c>
      <c r="E7" s="110"/>
      <c r="F7" s="110" t="s">
        <v>11</v>
      </c>
      <c r="G7" s="110"/>
      <c r="H7" s="110"/>
      <c r="I7" s="110"/>
      <c r="J7" s="110"/>
      <c r="K7" s="110"/>
      <c r="L7" s="110"/>
      <c r="M7" s="110"/>
      <c r="N7" s="110"/>
      <c r="O7" s="110"/>
      <c r="P7" s="110"/>
    </row>
    <row r="8" spans="1:16" x14ac:dyDescent="0.2">
      <c r="A8" s="63"/>
      <c r="B8" s="239"/>
      <c r="C8" s="63" t="str">
        <f>IF(topdowntables!N4=1, "Solgte, stk", "Sold, p.")</f>
        <v>Solgte, stk</v>
      </c>
      <c r="D8" s="242">
        <f>D6/100*'input-data'!E14-D7</f>
        <v>0</v>
      </c>
      <c r="E8" s="110"/>
      <c r="F8" s="110" t="s">
        <v>15</v>
      </c>
      <c r="G8" s="110"/>
      <c r="H8" s="110"/>
      <c r="I8" s="110"/>
      <c r="J8" s="110"/>
      <c r="K8" s="110"/>
      <c r="L8" s="110"/>
      <c r="M8" s="110"/>
      <c r="N8" s="110"/>
      <c r="O8" s="110"/>
      <c r="P8" s="110"/>
    </row>
    <row r="9" spans="1:16" x14ac:dyDescent="0.2">
      <c r="A9" s="63"/>
      <c r="B9" s="239"/>
      <c r="C9" s="63" t="str">
        <f>IF(topdowntables!N4=1, "Vægt ved udsætning, kg", "Weight at culling, kg")</f>
        <v>Vægt ved udsætning, kg</v>
      </c>
      <c r="D9" s="241">
        <f>'input-data'!E25</f>
        <v>0</v>
      </c>
      <c r="E9" s="110"/>
      <c r="F9" s="227"/>
      <c r="G9" s="110"/>
      <c r="H9" s="110"/>
      <c r="I9" s="110"/>
      <c r="J9" s="110"/>
      <c r="K9" s="110"/>
      <c r="L9" s="110"/>
      <c r="M9" s="110"/>
      <c r="N9" s="110"/>
      <c r="O9" s="110"/>
      <c r="P9" s="110"/>
    </row>
    <row r="10" spans="1:16" x14ac:dyDescent="0.2">
      <c r="A10" s="63"/>
      <c r="B10" s="239"/>
      <c r="C10" s="63"/>
      <c r="D10" s="241"/>
      <c r="E10" s="110"/>
      <c r="F10" s="227"/>
      <c r="G10" s="110"/>
      <c r="H10" s="110"/>
      <c r="I10" s="110"/>
      <c r="J10" s="110"/>
      <c r="K10" s="110"/>
      <c r="L10" s="110"/>
      <c r="M10" s="110"/>
      <c r="N10" s="110"/>
      <c r="O10" s="110"/>
      <c r="P10" s="110"/>
    </row>
    <row r="11" spans="1:16" x14ac:dyDescent="0.2">
      <c r="A11" s="63"/>
      <c r="B11" s="239"/>
      <c r="C11" s="63" t="str">
        <f>IF(topdowntables!N4=1, "Indkøbte/overførte polte, stk", "Bought-in/Transfered gilts, p.")</f>
        <v>Indkøbte/overførte polte, stk</v>
      </c>
      <c r="D11" s="242">
        <f>D8+D7</f>
        <v>0</v>
      </c>
      <c r="E11" s="110"/>
      <c r="F11" s="110" t="s">
        <v>962</v>
      </c>
      <c r="G11" s="110"/>
      <c r="H11" s="110"/>
      <c r="I11" s="110"/>
      <c r="J11" s="110"/>
      <c r="K11" s="110"/>
      <c r="L11" s="110"/>
      <c r="M11" s="110"/>
      <c r="N11" s="110"/>
      <c r="O11" s="110"/>
      <c r="P11" s="110"/>
    </row>
    <row r="12" spans="1:16" x14ac:dyDescent="0.2">
      <c r="A12" s="63"/>
      <c r="B12" s="239"/>
      <c r="C12" s="63" t="str">
        <f>IF(topdowntables!N4=1, "Vægt ved indsættelse, kg", "Weight at insertion, kg")</f>
        <v>Vægt ved indsættelse, kg</v>
      </c>
      <c r="D12" s="242">
        <f>'NPK tal'!B22</f>
        <v>105</v>
      </c>
      <c r="E12" s="243"/>
      <c r="F12" s="110" t="s">
        <v>12</v>
      </c>
      <c r="G12" s="110"/>
      <c r="H12" s="110"/>
      <c r="I12" s="110"/>
      <c r="J12" s="110"/>
      <c r="K12" s="110"/>
      <c r="L12" s="110"/>
      <c r="M12" s="110"/>
      <c r="N12" s="110"/>
      <c r="O12" s="110"/>
      <c r="P12" s="110"/>
    </row>
    <row r="13" spans="1:16" x14ac:dyDescent="0.2">
      <c r="A13" s="63"/>
      <c r="B13" s="239"/>
      <c r="C13" s="63" t="str">
        <f>IF(topdowntables!N4=1, "Vægt ved 1. løbning, kg", "Weight at 1st mating, kg")</f>
        <v>Vægt ved 1. løbning, kg</v>
      </c>
      <c r="D13" s="242">
        <f>'NPK tal'!B23</f>
        <v>135</v>
      </c>
      <c r="E13" s="243"/>
      <c r="F13" s="110" t="s">
        <v>6</v>
      </c>
      <c r="G13" s="110"/>
      <c r="H13" s="110"/>
      <c r="I13" s="110"/>
      <c r="J13" s="110"/>
      <c r="K13" s="110"/>
      <c r="L13" s="110"/>
      <c r="M13" s="110"/>
      <c r="N13" s="110"/>
      <c r="O13" s="110"/>
      <c r="P13" s="110"/>
    </row>
    <row r="14" spans="1:16" s="110" customFormat="1" x14ac:dyDescent="0.2">
      <c r="A14" s="63"/>
      <c r="B14" s="239"/>
      <c r="C14" s="63"/>
      <c r="D14" s="242"/>
      <c r="E14" s="243"/>
    </row>
    <row r="15" spans="1:16" x14ac:dyDescent="0.2">
      <c r="A15" s="63"/>
      <c r="B15" s="234" t="str">
        <f>IF(topdowntables!N4=1, "Pattegrisene:", "Piglets")</f>
        <v>Pattegrisene:</v>
      </c>
      <c r="C15" s="235"/>
      <c r="D15" s="244"/>
      <c r="E15" s="110"/>
      <c r="F15" s="227"/>
      <c r="G15" s="110"/>
      <c r="H15" s="110"/>
      <c r="I15" s="110"/>
      <c r="J15" s="110"/>
      <c r="K15" s="110"/>
      <c r="L15" s="110"/>
      <c r="M15" s="110"/>
      <c r="N15" s="110"/>
      <c r="O15" s="110"/>
      <c r="P15" s="110"/>
    </row>
    <row r="16" spans="1:16" x14ac:dyDescent="0.2">
      <c r="A16" s="63"/>
      <c r="B16" s="237"/>
      <c r="C16" s="63" t="str">
        <f>IF(topdowntables!N4=1, "Levendefødte grise per årsso, stk.", "Live born piglets per yearsow, p.")</f>
        <v>Levendefødte grise per årsso, stk.</v>
      </c>
      <c r="D16" s="240">
        <f>'input-data'!E15*'input-data'!E16</f>
        <v>0</v>
      </c>
      <c r="E16" s="110"/>
      <c r="F16" s="110" t="s">
        <v>965</v>
      </c>
      <c r="G16" s="110"/>
      <c r="H16" s="110"/>
      <c r="I16" s="110"/>
      <c r="J16" s="110"/>
      <c r="K16" s="110"/>
      <c r="L16" s="110"/>
      <c r="M16" s="110"/>
      <c r="N16" s="110"/>
      <c r="O16" s="110"/>
      <c r="P16" s="110"/>
    </row>
    <row r="17" spans="1:22" x14ac:dyDescent="0.2">
      <c r="A17" s="63"/>
      <c r="B17" s="237"/>
      <c r="C17" s="63" t="str">
        <f>IF(topdowntables!N4=1, "Fravænnede grise per årsso, stk.", "Weaned piglets per yearsow, p.")</f>
        <v>Fravænnede grise per årsso, stk.</v>
      </c>
      <c r="D17" s="240">
        <f>'input-data'!E15*'input-data'!E18</f>
        <v>0</v>
      </c>
      <c r="E17" s="110"/>
      <c r="F17" s="110" t="s">
        <v>1593</v>
      </c>
      <c r="G17" s="110"/>
      <c r="H17" s="110"/>
      <c r="I17" s="110"/>
      <c r="J17" s="110"/>
      <c r="K17" s="110"/>
      <c r="L17" s="110"/>
      <c r="M17" s="110"/>
      <c r="N17" s="110"/>
      <c r="O17" s="110"/>
      <c r="P17" s="110"/>
    </row>
    <row r="18" spans="1:22" x14ac:dyDescent="0.2">
      <c r="A18" s="63"/>
      <c r="B18" s="239"/>
      <c r="C18" s="63" t="str">
        <f>IF(topdowntables!N4=1, "Produceret per år, stk.", "Produced per year, p.")</f>
        <v>Produceret per år, stk.</v>
      </c>
      <c r="D18" s="245">
        <f>D17*D5</f>
        <v>0</v>
      </c>
      <c r="E18" s="110"/>
      <c r="F18" s="110" t="s">
        <v>1592</v>
      </c>
      <c r="G18" s="110"/>
      <c r="H18" s="110"/>
      <c r="I18" s="110"/>
      <c r="J18" s="110"/>
      <c r="K18" s="110"/>
      <c r="L18" s="110"/>
      <c r="M18" s="110"/>
      <c r="N18" s="110"/>
      <c r="O18" s="110"/>
      <c r="P18" s="110"/>
      <c r="S18" s="63"/>
      <c r="T18" s="63"/>
      <c r="U18" s="63"/>
      <c r="V18" s="63"/>
    </row>
    <row r="19" spans="1:22" x14ac:dyDescent="0.2">
      <c r="A19" s="63"/>
      <c r="B19" s="239"/>
      <c r="C19" s="63" t="str">
        <f>IF(topdowntables!N4=1, "Solgt ved fravænning, stk", "Sold as weaners, p.")</f>
        <v>Solgt ved fravænning, stk</v>
      </c>
      <c r="D19" s="241">
        <f>'input-data'!E22</f>
        <v>0</v>
      </c>
      <c r="E19" s="110"/>
      <c r="F19" s="110" t="s">
        <v>959</v>
      </c>
      <c r="G19" s="110"/>
      <c r="H19" s="110"/>
      <c r="I19" s="110"/>
      <c r="J19" s="110"/>
      <c r="K19" s="110"/>
      <c r="L19" s="110"/>
      <c r="M19" s="110"/>
      <c r="N19" s="110"/>
      <c r="O19" s="110"/>
      <c r="P19" s="110"/>
      <c r="S19" s="63"/>
      <c r="T19" s="65"/>
      <c r="U19" s="63"/>
      <c r="V19" s="63"/>
    </row>
    <row r="20" spans="1:22" x14ac:dyDescent="0.2">
      <c r="A20" s="63"/>
      <c r="B20" s="239"/>
      <c r="C20" s="63" t="str">
        <f>IF(topdowntables!N4=1, "Overførte, stk", "Transferred, p.")</f>
        <v>Overførte, stk</v>
      </c>
      <c r="D20" s="242">
        <f>D18-D19</f>
        <v>0</v>
      </c>
      <c r="E20" s="110"/>
      <c r="F20" s="110" t="s">
        <v>960</v>
      </c>
      <c r="G20" s="110"/>
      <c r="H20" s="110"/>
      <c r="I20" s="110"/>
      <c r="J20" s="110"/>
      <c r="K20" s="110"/>
      <c r="L20" s="110"/>
      <c r="M20" s="110"/>
      <c r="N20" s="110"/>
      <c r="O20" s="110"/>
      <c r="P20" s="110"/>
      <c r="S20" s="65"/>
      <c r="T20" s="65"/>
      <c r="U20" s="63"/>
      <c r="V20" s="63"/>
    </row>
    <row r="21" spans="1:22" x14ac:dyDescent="0.2">
      <c r="A21" s="63"/>
      <c r="B21" s="239"/>
      <c r="C21" s="63" t="str">
        <f>IF(topdowntables!N4=1, "Vægt ved fravæning, kg", "Weight at weaning, kg")</f>
        <v>Vægt ved fravæning, kg</v>
      </c>
      <c r="D21" s="241">
        <f>'input-data'!E21</f>
        <v>0</v>
      </c>
      <c r="E21" s="110"/>
      <c r="F21" s="110" t="s">
        <v>959</v>
      </c>
      <c r="G21" s="110"/>
      <c r="H21" s="110"/>
      <c r="I21" s="110"/>
      <c r="J21" s="110"/>
      <c r="K21" s="110"/>
      <c r="L21" s="110"/>
      <c r="M21" s="110"/>
      <c r="N21" s="110"/>
      <c r="O21" s="110"/>
      <c r="P21" s="110"/>
      <c r="S21" s="65"/>
      <c r="T21" s="65"/>
      <c r="U21" s="63"/>
      <c r="V21" s="63"/>
    </row>
    <row r="22" spans="1:22" ht="15" thickBot="1" x14ac:dyDescent="0.25">
      <c r="A22" s="63"/>
      <c r="B22" s="246"/>
      <c r="C22" s="247" t="str">
        <f>IF(topdowntables!N4=1, "Døde, stk", "Dead piglets, p.")</f>
        <v>Døde, stk</v>
      </c>
      <c r="D22" s="248">
        <f>'input-data'!E19/100*('input-data'!E14*'input-data'!E15*'input-data'!E16)</f>
        <v>0</v>
      </c>
      <c r="E22" s="110"/>
      <c r="F22" s="110" t="s">
        <v>961</v>
      </c>
      <c r="G22" s="110"/>
      <c r="H22" s="110"/>
      <c r="I22" s="110"/>
      <c r="J22" s="110"/>
      <c r="K22" s="110"/>
      <c r="L22" s="110"/>
      <c r="M22" s="110"/>
      <c r="N22" s="110"/>
      <c r="O22" s="110"/>
      <c r="P22" s="110"/>
    </row>
    <row r="23" spans="1:22" ht="15" thickBot="1" x14ac:dyDescent="0.25">
      <c r="C23" s="110"/>
      <c r="D23" s="226"/>
      <c r="E23" s="110"/>
      <c r="F23" s="227"/>
      <c r="G23" s="110"/>
      <c r="H23" s="110"/>
      <c r="I23" s="110"/>
      <c r="J23" s="110"/>
      <c r="K23" s="110"/>
      <c r="L23" s="110"/>
      <c r="M23" s="110"/>
      <c r="N23" s="110"/>
      <c r="O23" s="110"/>
      <c r="P23" s="110"/>
    </row>
    <row r="24" spans="1:22" x14ac:dyDescent="0.2">
      <c r="B24" s="230" t="str">
        <f>IF(topdowntables!N4=1, "Foder og strøelse, flow:", "Feed and straw, flow:")</f>
        <v>Foder og strøelse, flow:</v>
      </c>
      <c r="C24" s="249"/>
      <c r="D24" s="250"/>
      <c r="E24" s="110"/>
      <c r="F24" s="110"/>
      <c r="G24" s="110"/>
      <c r="H24" s="110"/>
      <c r="I24" s="110"/>
      <c r="J24" s="110"/>
      <c r="K24" s="110"/>
      <c r="L24" s="110"/>
      <c r="M24" s="110"/>
      <c r="N24" s="110"/>
      <c r="O24" s="110"/>
      <c r="P24" s="110"/>
    </row>
    <row r="25" spans="1:22" x14ac:dyDescent="0.2">
      <c r="B25" s="234" t="str">
        <f>IF(topdowntables!N4=1, "Foderdage per årsso:", "Feeding days per yearsow:")</f>
        <v>Foderdage per årsso:</v>
      </c>
      <c r="C25" s="235"/>
      <c r="D25" s="236"/>
      <c r="E25" s="251"/>
      <c r="F25" s="225"/>
      <c r="G25" s="110"/>
      <c r="H25" s="110"/>
      <c r="I25" s="110"/>
      <c r="J25" s="110"/>
      <c r="K25" s="110"/>
      <c r="L25" s="110"/>
      <c r="M25" s="110"/>
      <c r="N25" s="110"/>
      <c r="O25" s="110"/>
      <c r="P25" s="110"/>
    </row>
    <row r="26" spans="1:22" x14ac:dyDescent="0.2">
      <c r="B26" s="239"/>
      <c r="C26" s="63" t="str">
        <f>IF(topdowntables!N4=1, "Diegivningsdage", "Lactation period, days")</f>
        <v>Diegivningsdage</v>
      </c>
      <c r="D26" s="242">
        <f>'input-data'!E20*'input-data'!E15</f>
        <v>0</v>
      </c>
      <c r="E26" s="243"/>
      <c r="F26" s="110" t="s">
        <v>963</v>
      </c>
      <c r="G26" s="110"/>
      <c r="H26" s="110"/>
      <c r="I26" s="110"/>
      <c r="J26" s="110"/>
      <c r="K26" s="110"/>
      <c r="L26" s="110"/>
      <c r="M26" s="110"/>
      <c r="N26" s="110"/>
      <c r="O26" s="110"/>
      <c r="P26" s="110"/>
    </row>
    <row r="27" spans="1:22" x14ac:dyDescent="0.2">
      <c r="B27" s="239"/>
      <c r="C27" s="63" t="str">
        <f>IF(topdowntables!N4=1, "Drægtighedsdage", "Gestation period, days")</f>
        <v>Drægtighedsdage</v>
      </c>
      <c r="D27" s="242">
        <f>'input-data'!E15*116</f>
        <v>0</v>
      </c>
      <c r="E27" s="243"/>
      <c r="F27" s="110" t="s">
        <v>964</v>
      </c>
      <c r="G27" s="110"/>
      <c r="H27" s="110"/>
      <c r="I27" s="252"/>
      <c r="J27" s="110"/>
      <c r="K27" s="110"/>
      <c r="L27" s="110"/>
      <c r="M27" s="110"/>
      <c r="N27" s="110"/>
      <c r="O27" s="110"/>
      <c r="P27" s="110"/>
    </row>
    <row r="28" spans="1:22" x14ac:dyDescent="0.2">
      <c r="B28" s="239"/>
      <c r="C28" s="63" t="str">
        <f>IF(topdowntables!N4=1, "Golddage", "Gold period, days")</f>
        <v>Golddage</v>
      </c>
      <c r="D28" s="242">
        <f>365-(D26+D27)</f>
        <v>365</v>
      </c>
      <c r="E28" s="243"/>
      <c r="F28" s="110" t="s">
        <v>1831</v>
      </c>
      <c r="G28" s="110"/>
      <c r="H28" s="110"/>
      <c r="I28" s="252"/>
      <c r="J28" s="110"/>
      <c r="K28" s="110"/>
      <c r="L28" s="110"/>
      <c r="M28" s="110"/>
      <c r="N28" s="110"/>
      <c r="O28" s="110"/>
      <c r="P28" s="110"/>
    </row>
    <row r="29" spans="1:22" x14ac:dyDescent="0.2">
      <c r="B29" s="239"/>
      <c r="C29" s="63"/>
      <c r="D29" s="242"/>
      <c r="E29" s="243"/>
      <c r="F29" s="110"/>
      <c r="G29" s="110"/>
      <c r="H29" s="110"/>
      <c r="I29" s="252"/>
      <c r="J29" s="110"/>
      <c r="K29" s="110"/>
      <c r="L29" s="110"/>
      <c r="M29" s="110"/>
      <c r="N29" s="110"/>
      <c r="O29" s="110"/>
      <c r="P29" s="110"/>
    </row>
    <row r="30" spans="1:22" x14ac:dyDescent="0.2">
      <c r="B30" s="234" t="str">
        <f>IF(topdowntables!N4=1, "Kraffoder per årsso, FE:", "Concentrated feed, FU per yearsow")</f>
        <v>Kraffoder per årsso, FE:</v>
      </c>
      <c r="C30" s="235"/>
      <c r="D30" s="253"/>
      <c r="E30" s="233"/>
      <c r="F30" s="110"/>
      <c r="G30" s="110"/>
      <c r="H30" s="110"/>
      <c r="I30" s="110"/>
      <c r="J30" s="110"/>
      <c r="K30" s="110"/>
      <c r="L30" s="110"/>
      <c r="M30" s="110"/>
      <c r="N30" s="110"/>
      <c r="O30" s="110"/>
      <c r="P30" s="110"/>
    </row>
    <row r="31" spans="1:22" s="110" customFormat="1" x14ac:dyDescent="0.2">
      <c r="B31" s="254"/>
      <c r="C31" s="63" t="str">
        <f>IF(topdowntables!N4=1, "Diegivningsfoder", "per lactation period")</f>
        <v>Diegivningsfoder</v>
      </c>
      <c r="D31" s="242">
        <f>('input-data'!$E$47*D26)+('input-data'!E46*'input-data'!F48*'input-data'!$E$15)</f>
        <v>0</v>
      </c>
      <c r="E31" s="243"/>
      <c r="F31" s="110" t="s">
        <v>1919</v>
      </c>
      <c r="I31" s="252"/>
    </row>
    <row r="32" spans="1:22" s="110" customFormat="1" x14ac:dyDescent="0.2">
      <c r="B32" s="254"/>
      <c r="C32" s="63" t="str">
        <f>IF(topdowntables!N4=1, "Drægtighedsfoder", "per gestation period")</f>
        <v>Drægtighedsfoder</v>
      </c>
      <c r="D32" s="242">
        <f>('input-data'!$E$101*D82)+('input-data'!E122*D89)</f>
        <v>0</v>
      </c>
      <c r="E32" s="243"/>
      <c r="F32" s="110" t="s">
        <v>1595</v>
      </c>
      <c r="I32" s="252"/>
    </row>
    <row r="33" spans="2:26" s="110" customFormat="1" x14ac:dyDescent="0.2">
      <c r="B33" s="254"/>
      <c r="C33" s="63" t="str">
        <f>IF(topdowntables!N4=1, "Poltefoder", "per gilts")</f>
        <v>Poltefoder</v>
      </c>
      <c r="D33" s="242">
        <f>'NPK tal'!C24*(D13-D12)</f>
        <v>87</v>
      </c>
      <c r="E33" s="243"/>
      <c r="F33" s="110" t="s">
        <v>989</v>
      </c>
      <c r="I33" s="252"/>
    </row>
    <row r="34" spans="2:26" s="110" customFormat="1" x14ac:dyDescent="0.2">
      <c r="B34" s="254"/>
      <c r="C34" s="63" t="str">
        <f>IF(topdowntables!N4=1, "Pattegrisefoder", "per piglet")</f>
        <v>Pattegrisefoder</v>
      </c>
      <c r="D34" s="242">
        <f>'input-data'!F79*'Flow sohold'!D17*('input-data'!E20-'input-data'!H79)</f>
        <v>0</v>
      </c>
      <c r="E34" s="243"/>
      <c r="F34" s="110" t="s">
        <v>1852</v>
      </c>
      <c r="I34" s="252"/>
    </row>
    <row r="35" spans="2:26" s="110" customFormat="1" x14ac:dyDescent="0.2">
      <c r="B35" s="254"/>
      <c r="C35" s="63" t="str">
        <f>IF(topdowntables!N4=1, "Foderforbrug per årsso eksklusiv polte", "Concentrated feed use per yearsow excluding gilts")</f>
        <v>Foderforbrug per årsso eksklusiv polte</v>
      </c>
      <c r="D35" s="242">
        <f>D32+D31+D34</f>
        <v>0</v>
      </c>
      <c r="E35" s="243"/>
      <c r="I35" s="252"/>
    </row>
    <row r="36" spans="2:26" x14ac:dyDescent="0.2">
      <c r="B36" s="239"/>
      <c r="C36" s="63" t="str">
        <f>IF(topdowntables!N4=1, "Foderforbrug per årsso inklusiv polte", "Concentrated feed intake per yearsow including gilts")</f>
        <v>Foderforbrug per årsso inklusiv polte</v>
      </c>
      <c r="D36" s="242">
        <f>D35+D33</f>
        <v>87</v>
      </c>
      <c r="E36" s="243"/>
      <c r="F36" s="110" t="s">
        <v>7</v>
      </c>
      <c r="G36" s="110"/>
      <c r="H36" s="110"/>
      <c r="I36" s="252"/>
      <c r="J36" s="110"/>
      <c r="K36" s="110"/>
      <c r="L36" s="110"/>
      <c r="M36" s="110"/>
      <c r="N36" s="110"/>
      <c r="O36" s="110"/>
      <c r="P36" s="110"/>
    </row>
    <row r="37" spans="2:26" x14ac:dyDescent="0.2">
      <c r="B37" s="239"/>
      <c r="C37" s="63"/>
      <c r="D37" s="242"/>
      <c r="E37" s="243"/>
      <c r="F37" s="110"/>
      <c r="G37" s="110"/>
      <c r="H37" s="110"/>
      <c r="I37" s="252"/>
      <c r="J37" s="110"/>
      <c r="K37" s="110"/>
      <c r="L37" s="110"/>
      <c r="M37" s="110"/>
      <c r="N37" s="110"/>
      <c r="O37" s="110"/>
      <c r="P37" s="110"/>
    </row>
    <row r="38" spans="2:26" s="110" customFormat="1" x14ac:dyDescent="0.2">
      <c r="B38" s="234" t="str">
        <f>IF(topdowntables!N4=1, "Grovfoder per årsso, kg:", "Roughage per yearsow, kg")</f>
        <v>Grovfoder per årsso, kg:</v>
      </c>
      <c r="C38" s="255"/>
      <c r="D38" s="253"/>
      <c r="E38" s="233"/>
      <c r="F38" s="110" t="s">
        <v>1017</v>
      </c>
      <c r="W38" s="63"/>
      <c r="X38" s="63"/>
      <c r="Y38" s="63"/>
      <c r="Z38" s="63"/>
    </row>
    <row r="39" spans="2:26" s="110" customFormat="1" x14ac:dyDescent="0.2">
      <c r="B39" s="239"/>
      <c r="C39" s="256" t="str">
        <f>IF(topdowntables!N4=1, "Diegivende søer", "Lactating sows")</f>
        <v>Diegivende søer</v>
      </c>
      <c r="D39" s="240"/>
      <c r="E39" s="233"/>
      <c r="W39" s="63"/>
      <c r="X39" s="63"/>
      <c r="Y39" s="63"/>
      <c r="Z39" s="63"/>
    </row>
    <row r="40" spans="2:26" s="110" customFormat="1" x14ac:dyDescent="0.2">
      <c r="B40" s="239"/>
      <c r="C40" s="63" t="str">
        <f>IF(topdowntables!N4=1, "Afgræsning (april-september)", " intake during grazing (April-September)")</f>
        <v>Afgræsning (april-september)</v>
      </c>
      <c r="D40" s="242">
        <f>IF(OR('input-data'!E302=topdowntables!$C$5,'input-data'!E302=topdowntables!$C$10),0,
IF(AND('input-data'!E302=topdowntables!$C$6, 'input-data'!F303&lt;'NPK tal'!$C$32),('input-data'!F303/365)*(D26)*'NPK tal'!$B$32,
IF(AND('input-data'!E302=topdowntables!$C$11, 'input-data'!F303&lt;'NPK tal'!$C$32),('input-data'!F303/365)*(D26)*'NPK tal'!$B$32,
('NPK tal'!$C$32/365)*(D26)*'NPK tal'!$B$32)))</f>
        <v>0</v>
      </c>
      <c r="E40" s="233"/>
      <c r="F40" s="270" t="s">
        <v>1920</v>
      </c>
      <c r="W40" s="63"/>
      <c r="X40" s="63"/>
      <c r="Y40" s="63"/>
      <c r="Z40" s="63"/>
    </row>
    <row r="41" spans="2:26" s="110" customFormat="1" x14ac:dyDescent="0.2">
      <c r="B41" s="239"/>
      <c r="C41" s="63" t="str">
        <f>IF(topdowntables!N4=1, "Tildelt grovfoder", "roughage, added to feed rations")</f>
        <v>Tildelt grovfoder</v>
      </c>
      <c r="D41" s="242">
        <f>('input-data'!E67*'input-data'!E68)/365*D26</f>
        <v>0</v>
      </c>
      <c r="E41" s="233"/>
      <c r="F41" s="257"/>
      <c r="W41" s="63"/>
      <c r="X41" s="63"/>
      <c r="Y41" s="63"/>
      <c r="Z41" s="63"/>
    </row>
    <row r="42" spans="2:26" s="110" customFormat="1" x14ac:dyDescent="0.2">
      <c r="B42" s="239"/>
      <c r="C42" s="63"/>
      <c r="D42" s="242"/>
      <c r="E42" s="233"/>
      <c r="W42" s="63"/>
      <c r="X42" s="63"/>
      <c r="Y42" s="63"/>
      <c r="Z42" s="63"/>
    </row>
    <row r="43" spans="2:26" s="110" customFormat="1" x14ac:dyDescent="0.2">
      <c r="B43" s="239"/>
      <c r="C43" s="256" t="str">
        <f>IF(topdowntables!N4=1, "Golde og drægtige søer", "Gold and gestating sows")</f>
        <v>Golde og drægtige søer</v>
      </c>
      <c r="D43" s="240"/>
      <c r="E43" s="233"/>
      <c r="W43" s="63"/>
      <c r="X43" s="63"/>
      <c r="Y43" s="63"/>
      <c r="Z43" s="63"/>
    </row>
    <row r="44" spans="2:26" s="110" customFormat="1" x14ac:dyDescent="0.2">
      <c r="B44" s="239"/>
      <c r="C44" s="63" t="str">
        <f>IF(topdowntables!N4=1, "Afgræsning (april-september)", "intake during grazing (April-September)")</f>
        <v>Afgræsning (april-september)</v>
      </c>
      <c r="D44" s="242">
        <f>IF(D5=0, 0, IF(OR('input-data'!E324=topdowntables!$C$5,'input-data'!E324=topdowntables!$C$10),0,
IF(AND('input-data'!E324=topdowntables!$C$6, 'input-data'!F325&lt;'NPK tal'!$C$32),('input-data'!F325/365)*(D27+D28)*'NPK tal'!$B$32,
IF(AND('input-data'!E324=topdowntables!$C$11, 'input-data'!F325&lt;'NPK tal'!$C$32),('input-data'!F325/365)*(D27+D28)*'NPK tal'!$B$32,
('NPK tal'!$C$32/365)*(D27+D28)*'NPK tal'!$B$32))))</f>
        <v>0</v>
      </c>
      <c r="E44" s="233"/>
      <c r="W44" s="63"/>
      <c r="X44" s="63"/>
      <c r="Y44" s="63"/>
      <c r="Z44" s="63"/>
    </row>
    <row r="45" spans="2:26" s="110" customFormat="1" x14ac:dyDescent="0.2">
      <c r="B45" s="239"/>
      <c r="C45" s="63" t="str">
        <f>IF(topdowntables!N4=1, "Tildelt grovfoder", "roughage, added to feed rations")</f>
        <v>Tildelt grovfoder</v>
      </c>
      <c r="D45" s="242">
        <f>(('input-data'!E144*'input-data'!E145)/365)*(D27+D28)</f>
        <v>0</v>
      </c>
      <c r="E45" s="233"/>
      <c r="F45" s="110" t="s">
        <v>14</v>
      </c>
      <c r="W45" s="63"/>
      <c r="X45" s="63"/>
      <c r="Y45" s="63"/>
      <c r="Z45" s="63"/>
    </row>
    <row r="46" spans="2:26" s="110" customFormat="1" x14ac:dyDescent="0.2">
      <c r="B46" s="239"/>
      <c r="C46" s="63"/>
      <c r="D46" s="242"/>
      <c r="E46" s="233"/>
      <c r="W46" s="63"/>
      <c r="X46" s="63"/>
      <c r="Y46" s="63"/>
      <c r="Z46" s="63"/>
    </row>
    <row r="47" spans="2:26" x14ac:dyDescent="0.2">
      <c r="B47" s="239"/>
      <c r="C47" s="63" t="str">
        <f>IF(topdowntables!N4=1, "Grovfoderforbrug per årsso, i alt", "Total roughage intake per yearsow")</f>
        <v>Grovfoderforbrug per årsso, i alt</v>
      </c>
      <c r="D47" s="242">
        <f>D40+D41+D44+D45</f>
        <v>0</v>
      </c>
      <c r="E47" s="233"/>
      <c r="F47" s="110"/>
      <c r="G47" s="110"/>
      <c r="H47" s="110"/>
      <c r="I47" s="110"/>
      <c r="J47" s="110"/>
      <c r="K47" s="110"/>
      <c r="L47" s="110"/>
      <c r="M47" s="110"/>
      <c r="N47" s="110"/>
      <c r="O47" s="110"/>
      <c r="P47" s="110"/>
    </row>
    <row r="48" spans="2:26" x14ac:dyDescent="0.2">
      <c r="B48" s="234" t="str">
        <f>IF(topdowntables!N4=1, "Strøelseforbrug per årsso, kg:", "Straw use, kg per yearsow:")</f>
        <v>Strøelseforbrug per årsso, kg:</v>
      </c>
      <c r="C48" s="235"/>
      <c r="D48" s="253"/>
      <c r="E48" s="111"/>
      <c r="F48" s="110" t="s">
        <v>975</v>
      </c>
      <c r="G48" s="110"/>
      <c r="H48" s="110"/>
      <c r="I48" s="110"/>
      <c r="J48" s="110"/>
      <c r="K48" s="110"/>
      <c r="L48" s="110"/>
      <c r="M48" s="110"/>
      <c r="N48" s="110"/>
      <c r="O48" s="110"/>
      <c r="P48" s="110"/>
    </row>
    <row r="49" spans="2:16" x14ac:dyDescent="0.2">
      <c r="B49" s="239"/>
      <c r="C49" s="63" t="str">
        <f>IF(topdowntables!N4=1, "Diegivningsperioden", "during lactation period")</f>
        <v>Diegivningsperioden</v>
      </c>
      <c r="D49" s="393">
        <f>IF(OR('input-data'!$E$302=topdowntables!$C$4,'input-data'!$E$302=topdowntables!$C$9),('input-data'!E309*'input-data'!E15),
IF(OR('input-data'!$E$302=topdowntables!$C$5,'input-data'!$E$302=topdowntables!$C$10),('input-data'!E316*'input-data'!E15),
IF(OR('input-data'!$E$302=topdowntables!$C$6,'input-data'!$E$302=topdowntables!$C$11),('input-data'!$E$309*'input-data'!$E$15*('input-data'!$F$303/365))+(('input-data'!$E$316*'input-data'!$E$15)*((365-'input-data'!$F$303)/365)),0)))</f>
        <v>0</v>
      </c>
      <c r="E49" s="243"/>
      <c r="F49" s="110" t="s">
        <v>1544</v>
      </c>
      <c r="G49" s="110"/>
      <c r="H49" s="110"/>
      <c r="I49" s="252"/>
      <c r="J49" s="110"/>
      <c r="K49" s="110"/>
      <c r="L49" s="110"/>
      <c r="M49" s="110"/>
      <c r="N49" s="110"/>
      <c r="O49" s="110"/>
      <c r="P49" s="110"/>
    </row>
    <row r="50" spans="2:16" x14ac:dyDescent="0.2">
      <c r="B50" s="239"/>
      <c r="C50" s="63" t="str">
        <f>IF(topdowntables!N4=1, "Drægtighedsperioden", "during gestating period")</f>
        <v>Drægtighedsperioden</v>
      </c>
      <c r="D50" s="393">
        <f>IF(OR('input-data'!$E$324=topdowntables!$C$4,'input-data'!$E$302=topdowntables!$C$9),('Flow sohold'!D27+'Flow sohold'!D28)*'input-data'!E331,
IF(OR('input-data'!$E$324=topdowntables!$C$5,'input-data'!$E$302=topdowntables!$C$10), ('Flow sohold'!D27+'Flow sohold'!D28)*'input-data'!E338,
IF(OR('input-data'!$E$324=topdowntables!$C$6,'input-data'!$E$302=topdowntables!$C$11),(('Flow sohold'!$D$27+'Flow sohold'!$D$28)*'input-data'!$E$331*('input-data'!$F$325/365))+((('Flow sohold'!$D$27+'Flow sohold'!$D$28)*'input-data'!$E$338)*((365-'input-data'!$F$325)/365)),0)))</f>
        <v>36.5</v>
      </c>
      <c r="E50" s="243"/>
      <c r="F50" s="338"/>
      <c r="G50" s="110"/>
      <c r="H50" s="110"/>
      <c r="I50" s="252"/>
      <c r="J50" s="110"/>
      <c r="K50" s="110"/>
      <c r="L50" s="110"/>
      <c r="M50" s="110"/>
      <c r="N50" s="110"/>
      <c r="O50" s="110"/>
      <c r="P50" s="110"/>
    </row>
    <row r="51" spans="2:16" ht="15" thickBot="1" x14ac:dyDescent="0.25">
      <c r="B51" s="246"/>
      <c r="C51" s="247"/>
      <c r="D51" s="389"/>
      <c r="E51" s="243"/>
      <c r="F51" s="338"/>
      <c r="G51" s="110"/>
      <c r="H51" s="110"/>
      <c r="I51" s="252"/>
      <c r="J51" s="110"/>
      <c r="K51" s="110"/>
      <c r="L51" s="110"/>
      <c r="M51" s="110"/>
      <c r="N51" s="110"/>
      <c r="O51" s="110"/>
      <c r="P51" s="110"/>
    </row>
    <row r="52" spans="2:16" s="110" customFormat="1" ht="15" thickBot="1" x14ac:dyDescent="0.25">
      <c r="B52" s="63"/>
      <c r="F52" s="111"/>
      <c r="H52" s="111"/>
      <c r="J52" s="111"/>
    </row>
    <row r="53" spans="2:16" x14ac:dyDescent="0.2">
      <c r="B53" s="230" t="str">
        <f>IF(topdowntables!N4=1, "Foder og halm, N og P bidrag:", "Feed and straw, N and  P flow:")</f>
        <v>Foder og halm, N og P bidrag:</v>
      </c>
      <c r="C53" s="249"/>
      <c r="D53" s="250"/>
      <c r="E53" s="110"/>
      <c r="F53" s="110"/>
      <c r="G53" s="110"/>
      <c r="H53" s="110"/>
      <c r="I53" s="110"/>
      <c r="J53" s="110"/>
      <c r="K53" s="110"/>
      <c r="L53" s="110"/>
      <c r="M53" s="110"/>
      <c r="N53" s="110"/>
      <c r="O53" s="110"/>
      <c r="P53" s="110"/>
    </row>
    <row r="54" spans="2:16" x14ac:dyDescent="0.2">
      <c r="B54" s="234" t="str">
        <f>IF(topdowntables!N4=1, "Diegivningsfoder:", "Feed corresponding to lactating period:")</f>
        <v>Diegivningsfoder:</v>
      </c>
      <c r="C54" s="235"/>
      <c r="D54" s="236"/>
      <c r="E54" s="251"/>
      <c r="F54" s="225"/>
      <c r="G54" s="110"/>
      <c r="H54" s="110"/>
      <c r="I54" s="110"/>
      <c r="J54" s="110"/>
      <c r="K54" s="110"/>
      <c r="L54" s="110"/>
      <c r="M54" s="110"/>
      <c r="N54" s="110"/>
      <c r="O54" s="110"/>
      <c r="P54" s="110"/>
    </row>
    <row r="55" spans="2:16" x14ac:dyDescent="0.2">
      <c r="B55" s="239"/>
      <c r="C55" s="110" t="str">
        <f>IF(topdowntables!N4=1, "FEso/100 kg", "FUsow/100 kg")</f>
        <v>FEso/100 kg</v>
      </c>
      <c r="D55" s="242">
        <f>SUM((IFERROR(VLOOKUP('input-data'!$E$50,Fodertabel,4,FALSE),0)*'input-data'!I50/100)
+(IFERROR(VLOOKUP('input-data'!$E$51,Fodertabel,4,FALSE),0)*'input-data'!I51/100)
+(IFERROR(VLOOKUP('input-data'!$E$52,Fodertabel,4,FALSE),0)*'input-data'!I52/100)
+(IFERROR(VLOOKUP('input-data'!$E$53,Fodertabel,4,FALSE),0)*'input-data'!I53/100)
+(IFERROR(VLOOKUP('input-data'!$E$54,Fodertabel,4,FALSE),0)*'input-data'!I54/100)
+(IFERROR(VLOOKUP('input-data'!$E$55,Fodertabel,4,FALSE),0)*'input-data'!I55/100)
+(IFERROR(VLOOKUP('input-data'!$E$56,Fodertabel,4,FALSE),0)*'input-data'!I56/100)
+(IFERROR(VLOOKUP('input-data'!$E$57,Fodertabel,4,FALSE),0)*'input-data'!I57/100)
+(IFERROR(VLOOKUP('input-data'!$E$58,Fodertabel,4,FALSE),0)*'input-data'!I58/100)
+(IFERROR(VLOOKUP('input-data'!$E$59,Fodertabel,4,FALSE),0)*'input-data'!I59/100)
+(IFERROR(VLOOKUP('input-data'!$E$60,Fodertabel,4,FALSE),0)*'input-data'!I60/100)
+(IFERROR(VLOOKUP('input-data'!$E$61,Fodertabel,4,FALSE),0)*'input-data'!I61/100)
+(IFERROR(VLOOKUP('input-data'!$E$62,Fodertabel,4,FALSE),0)*'input-data'!I62/100)
+(IFERROR(VLOOKUP('input-data'!$E$63,Fodertabel,4,FALSE),0)*'input-data'!I63/100)
+(IFERROR(VLOOKUP('input-data'!$E$64,Fodertabel,4,FALSE),0)*'input-data'!I64/100))*100</f>
        <v>0</v>
      </c>
      <c r="E55" s="243"/>
      <c r="F55" s="110"/>
      <c r="G55" s="110"/>
      <c r="H55" s="110"/>
      <c r="I55" s="110"/>
      <c r="J55" s="110"/>
      <c r="K55" s="110"/>
      <c r="L55" s="110"/>
      <c r="M55" s="110"/>
      <c r="N55" s="110"/>
      <c r="O55" s="110"/>
      <c r="P55" s="110"/>
    </row>
    <row r="56" spans="2:16" x14ac:dyDescent="0.2">
      <c r="B56" s="239"/>
      <c r="C56" s="110" t="str">
        <f>IF(topdowntables!N4=1, "Tørstof, %", "Dry matter, %")</f>
        <v>Tørstof, %</v>
      </c>
      <c r="D56" s="242">
        <f>SUM((IFERROR(VLOOKUP('input-data'!$E$50,Fodertabel,9,FALSE),0)*'input-data'!I50/100)
+(IFERROR(VLOOKUP('input-data'!$E$51,Fodertabel,9,FALSE),0)*'input-data'!I51/100)
+(IFERROR(VLOOKUP('input-data'!$E$52,Fodertabel,9,FALSE),0)*'input-data'!I52/100)
+(IFERROR(VLOOKUP('input-data'!$E$53,Fodertabel,9,FALSE),0)*'input-data'!I53/100)
+(IFERROR(VLOOKUP('input-data'!$E$54,Fodertabel,9,FALSE),0)*'input-data'!I54/100)
+(IFERROR(VLOOKUP('input-data'!$E$55,Fodertabel,9,FALSE),0)*'input-data'!I55/100)
+(IFERROR(VLOOKUP('input-data'!$E$56,Fodertabel,9,FALSE),0)*'input-data'!I56/100)
+(IFERROR(VLOOKUP('input-data'!$E$57,Fodertabel,9,FALSE),0)*'input-data'!I57/100)
+(IFERROR(VLOOKUP('input-data'!$E$58,Fodertabel,9,FALSE),0)*'input-data'!I58/100)
+(IFERROR(VLOOKUP('input-data'!$E$59,Fodertabel,9,FALSE),0)*'input-data'!I59/100)
+(IFERROR(VLOOKUP('input-data'!$E$60,Fodertabel,9,FALSE),0)*'input-data'!I60/100)
+(IFERROR(VLOOKUP('input-data'!$E$61,Fodertabel,9,FALSE),0)*'input-data'!I61/100)
+(IFERROR(VLOOKUP('input-data'!$E$62,Fodertabel,9,FALSE),0)*'input-data'!I62/100)
+(IFERROR(VLOOKUP('input-data'!$E$63,Fodertabel,9,FALSE),0)*'input-data'!I63/100)
+(IFERROR(VLOOKUP('input-data'!$E$64,Fodertabel,9,FALSE),0)*'input-data'!I64/100))</f>
        <v>0</v>
      </c>
      <c r="E56" s="243"/>
      <c r="F56" s="110"/>
      <c r="G56" s="110"/>
      <c r="H56" s="110"/>
      <c r="I56" s="252"/>
      <c r="J56" s="110"/>
      <c r="K56" s="110"/>
      <c r="L56" s="110"/>
      <c r="M56" s="110"/>
      <c r="N56" s="110"/>
      <c r="O56" s="110"/>
      <c r="P56" s="110"/>
    </row>
    <row r="57" spans="2:16" x14ac:dyDescent="0.2">
      <c r="B57" s="239"/>
      <c r="C57" s="110" t="str">
        <f>IF(topdowntables!N4=1, "Råprotein, g per kg foder", "Crude protein, g per kg feed")</f>
        <v>Råprotein, g per kg foder</v>
      </c>
      <c r="D57" s="242">
        <f>SUM((IFERROR(VLOOKUP('input-data'!$E$50,Fodertabel,10,FALSE),0)*'input-data'!I50/100)
+(IFERROR(VLOOKUP('input-data'!$E$51,Fodertabel,10,FALSE),0)*'input-data'!I51/100)
+(IFERROR(VLOOKUP('input-data'!$E$52,Fodertabel,10,FALSE),0)*'input-data'!I52/100)
+(IFERROR(VLOOKUP('input-data'!$E$53,Fodertabel,10,FALSE),0)*'input-data'!I53/100)
+(IFERROR(VLOOKUP('input-data'!$E$54,Fodertabel,10,FALSE),0)*'input-data'!I54/100)
+(IFERROR(VLOOKUP('input-data'!$E$55,Fodertabel,10,FALSE),0)*'input-data'!I55/100)
+(IFERROR(VLOOKUP('input-data'!$E$56,Fodertabel,10,FALSE),0)*'input-data'!I56/100)
+(IFERROR(VLOOKUP('input-data'!$E$57,Fodertabel,10,FALSE),0)*'input-data'!I57/100)
+(IFERROR(VLOOKUP('input-data'!$E$58,Fodertabel,10,FALSE),0)*'input-data'!I58/100)
+(IFERROR(VLOOKUP('input-data'!$E$59,Fodertabel,10,FALSE),0)*'input-data'!I59/100)
+(IFERROR(VLOOKUP('input-data'!$E$60,Fodertabel,10,FALSE),0)*'input-data'!I60/100)
+(IFERROR(VLOOKUP('input-data'!$E$61,Fodertabel,10,FALSE),0)*'input-data'!I61/100)
+(IFERROR(VLOOKUP('input-data'!$E$62,Fodertabel,10,FALSE),0)*'input-data'!I62/100)
+(IFERROR(VLOOKUP('input-data'!$E$63,Fodertabel,10,FALSE),0)*'input-data'!I63/100)
+(IFERROR(VLOOKUP('input-data'!$E$64,Fodertabel,10,FALSE),0)*'input-data'!I64/100))*10</f>
        <v>0</v>
      </c>
      <c r="E57" s="243"/>
      <c r="F57" s="110"/>
      <c r="G57" s="110"/>
      <c r="H57" s="110"/>
      <c r="I57" s="252"/>
      <c r="J57" s="110"/>
      <c r="K57" s="110"/>
      <c r="L57" s="110"/>
      <c r="M57" s="110"/>
      <c r="N57" s="110"/>
      <c r="O57" s="110"/>
      <c r="P57" s="110"/>
    </row>
    <row r="58" spans="2:16" x14ac:dyDescent="0.2">
      <c r="B58" s="239"/>
      <c r="C58" s="110" t="str">
        <f>IF(topdowntables!N4=1, "Fosfor, g per kg foder", "Phosphorus, g per kg feed")</f>
        <v>Fosfor, g per kg foder</v>
      </c>
      <c r="D58" s="240">
        <f>SUM((IFERROR(VLOOKUP('input-data'!$E$50,Fodertabel,79,FALSE),0)*'input-data'!I50/100)
+(IFERROR(VLOOKUP('input-data'!$E$51,Fodertabel,79,FALSE),0)*'input-data'!I51/100)
+(IFERROR(VLOOKUP('input-data'!$E$52,Fodertabel,79,FALSE),0)*'input-data'!I52/100)
+(IFERROR(VLOOKUP('input-data'!$E$53,Fodertabel,79,FALSE),0)*'input-data'!I53/100)
+(IFERROR(VLOOKUP('input-data'!$E$54,Fodertabel,79,FALSE),0)*'input-data'!I54/100)
+(IFERROR(VLOOKUP('input-data'!$E$55,Fodertabel,79,FALSE),0)*'input-data'!I55/100)
+(IFERROR(VLOOKUP('input-data'!$E$56,Fodertabel,79,FALSE),0)*'input-data'!I56/100)
+(IFERROR(VLOOKUP('input-data'!$E$57,Fodertabel,79,FALSE),0)*'input-data'!I57/100)
+(IFERROR(VLOOKUP('input-data'!$E$58,Fodertabel,79,FALSE),0)*'input-data'!I58/100)
+(IFERROR(VLOOKUP('input-data'!$E$59,Fodertabel,79,FALSE),0)*'input-data'!I59/100)
+(IFERROR(VLOOKUP('input-data'!$E$60,Fodertabel,79,FALSE),0)*'input-data'!I60/100)
+(IFERROR(VLOOKUP('input-data'!$E$61,Fodertabel,79,FALSE),0)*'input-data'!I61/100)
+(IFERROR(VLOOKUP('input-data'!$E$62,Fodertabel,79,FALSE),0)*'input-data'!I62/100)
+(IFERROR(VLOOKUP('input-data'!$E$63,Fodertabel,79,FALSE),0)*'input-data'!I63/100)
+(IFERROR(VLOOKUP('input-data'!$E$64,Fodertabel,79,FALSE),0)*'input-data'!I64/100))</f>
        <v>0</v>
      </c>
      <c r="E58" s="243"/>
      <c r="F58" s="110"/>
      <c r="G58" s="110"/>
      <c r="H58" s="110"/>
      <c r="I58" s="252"/>
      <c r="J58" s="110"/>
      <c r="K58" s="110"/>
      <c r="L58" s="110"/>
      <c r="M58" s="110"/>
      <c r="N58" s="110"/>
      <c r="O58" s="110"/>
      <c r="P58" s="110"/>
    </row>
    <row r="59" spans="2:16" x14ac:dyDescent="0.2">
      <c r="B59" s="239"/>
      <c r="C59" s="110"/>
      <c r="D59" s="240"/>
      <c r="E59" s="243"/>
      <c r="F59" s="110"/>
      <c r="G59" s="110"/>
      <c r="H59" s="110"/>
      <c r="I59" s="252"/>
      <c r="J59" s="110"/>
      <c r="K59" s="110"/>
      <c r="L59" s="110"/>
      <c r="M59" s="110"/>
      <c r="N59" s="110"/>
      <c r="O59" s="110"/>
      <c r="P59" s="110"/>
    </row>
    <row r="60" spans="2:16" x14ac:dyDescent="0.2">
      <c r="B60" s="239"/>
      <c r="C60" s="183" t="str">
        <f>IF(topdowntables!N4=1, "N og P bidrag fra diegivningsfoder", "N and P content in feed used during lactation period")</f>
        <v>N og P bidrag fra diegivningsfoder</v>
      </c>
      <c r="D60" s="242"/>
      <c r="E60" s="243"/>
      <c r="F60" s="110"/>
      <c r="G60" s="110"/>
      <c r="H60" s="110"/>
      <c r="I60" s="252"/>
      <c r="J60" s="110"/>
      <c r="K60" s="110"/>
      <c r="L60" s="110"/>
      <c r="M60" s="110"/>
      <c r="N60" s="110"/>
      <c r="O60" s="110"/>
      <c r="P60" s="110"/>
    </row>
    <row r="61" spans="2:16" x14ac:dyDescent="0.2">
      <c r="B61" s="237"/>
      <c r="C61" s="63" t="str">
        <f>IF(topdowntables!N4=1, "Råprotein per årsso, kg", "Crude protein, kg per yearsow")</f>
        <v>Råprotein per årsso, kg</v>
      </c>
      <c r="D61" s="240">
        <f>($D$57*($D$55/100)*D31/1000)</f>
        <v>0</v>
      </c>
      <c r="E61" s="251"/>
      <c r="F61" s="110" t="s">
        <v>987</v>
      </c>
      <c r="G61" s="110"/>
      <c r="H61" s="110"/>
      <c r="I61" s="110"/>
      <c r="J61" s="110"/>
      <c r="K61" s="110"/>
      <c r="L61" s="110"/>
      <c r="M61" s="110"/>
      <c r="N61" s="110"/>
      <c r="O61" s="110"/>
      <c r="P61" s="110"/>
    </row>
    <row r="62" spans="2:16" x14ac:dyDescent="0.2">
      <c r="B62" s="239"/>
      <c r="C62" s="110" t="str">
        <f>IF(topdowntables!N4=1, "N per årsso, kg", "N, kg per yearsow")</f>
        <v>N per årsso, kg</v>
      </c>
      <c r="D62" s="240">
        <f>D61/6.25</f>
        <v>0</v>
      </c>
      <c r="E62" s="243"/>
      <c r="F62" s="110" t="s">
        <v>982</v>
      </c>
      <c r="G62" s="110"/>
      <c r="H62" s="110"/>
      <c r="I62" s="110"/>
      <c r="J62" s="110"/>
      <c r="K62" s="110"/>
      <c r="L62" s="110"/>
      <c r="M62" s="110"/>
      <c r="N62" s="110"/>
      <c r="O62" s="110"/>
      <c r="P62" s="110"/>
    </row>
    <row r="63" spans="2:16" x14ac:dyDescent="0.2">
      <c r="B63" s="239"/>
      <c r="C63" s="110" t="str">
        <f>IF(topdowntables!N4=1, "P per årsso, kg", "P, kg per yearsow")</f>
        <v>P per årsso, kg</v>
      </c>
      <c r="D63" s="240">
        <f>((D58*($D$55/100))*D31)/1000</f>
        <v>0</v>
      </c>
      <c r="E63" s="243"/>
      <c r="F63" s="110" t="s">
        <v>988</v>
      </c>
      <c r="G63" s="110"/>
      <c r="H63" s="110"/>
      <c r="I63" s="252"/>
      <c r="J63" s="110"/>
      <c r="K63" s="110"/>
      <c r="L63" s="110"/>
      <c r="M63" s="110"/>
      <c r="N63" s="110"/>
      <c r="O63" s="110"/>
      <c r="P63" s="110"/>
    </row>
    <row r="64" spans="2:16" x14ac:dyDescent="0.2">
      <c r="B64" s="239"/>
      <c r="C64" s="110"/>
      <c r="D64" s="240"/>
      <c r="E64" s="243"/>
      <c r="F64" s="110"/>
      <c r="G64" s="110"/>
      <c r="H64" s="110"/>
      <c r="I64" s="252"/>
      <c r="J64" s="110"/>
      <c r="K64" s="110"/>
      <c r="L64" s="110"/>
      <c r="M64" s="110"/>
      <c r="N64" s="110"/>
      <c r="O64" s="110"/>
      <c r="P64" s="110"/>
    </row>
    <row r="65" spans="2:16" x14ac:dyDescent="0.2">
      <c r="B65" s="234" t="str">
        <f>IF(topdowntables!N4=1, "Foder, pattegrise ved soen:", "Feed for the piglets before weaning:")</f>
        <v>Foder, pattegrise ved soen:</v>
      </c>
      <c r="C65" s="235"/>
      <c r="D65" s="253"/>
      <c r="E65" s="243"/>
      <c r="F65" s="110"/>
      <c r="G65" s="110"/>
      <c r="H65" s="110"/>
      <c r="I65" s="252"/>
      <c r="J65" s="110"/>
      <c r="K65" s="110"/>
      <c r="L65" s="110"/>
      <c r="M65" s="110"/>
      <c r="N65" s="110"/>
      <c r="O65" s="110"/>
      <c r="P65" s="110"/>
    </row>
    <row r="66" spans="2:16" x14ac:dyDescent="0.2">
      <c r="B66" s="239"/>
      <c r="C66" s="110" t="str">
        <f>IF(topdowntables!N4=1, "FEsv/100 kg", "FUsv/100 kg")</f>
        <v>FEsv/100 kg</v>
      </c>
      <c r="D66" s="393">
        <f>SUM((IFERROR(VLOOKUP('input-data'!$E$81,Fodertabel,3,FALSE),0)*'input-data'!I81/100)
+(IFERROR(VLOOKUP('input-data'!$E$82,Fodertabel,3,FALSE),0)*'input-data'!I82/100)
+(IFERROR(VLOOKUP('input-data'!$E$83,Fodertabel,3,FALSE),0)*'input-data'!I83/100)
+(IFERROR(VLOOKUP('input-data'!$E$84,Fodertabel,3,FALSE),0)*'input-data'!I84/100)
+(IFERROR(VLOOKUP('input-data'!$E$85,Fodertabel,3,FALSE),0)*'input-data'!I85/100)
+(IFERROR(VLOOKUP('input-data'!$E$86,Fodertabel,3,FALSE),0)*'input-data'!I86/100)
+(IFERROR(VLOOKUP('input-data'!$E$87,Fodertabel,3,FALSE),0)*'input-data'!I87/100)
+(IFERROR(VLOOKUP('input-data'!$E$88,Fodertabel,3,FALSE),0)*'input-data'!I88/100)
+(IFERROR(VLOOKUP('input-data'!$E$89,Fodertabel,3,FALSE),0)*'input-data'!I89/100)
+(IFERROR(VLOOKUP('input-data'!$E$90,Fodertabel,3,FALSE),0)*'input-data'!I90/100)
+(IFERROR(VLOOKUP('input-data'!$E$91,Fodertabel,3,FALSE),0)*'input-data'!I91/100)
+(IFERROR(VLOOKUP('input-data'!$E$92,Fodertabel,3,FALSE),0)*'input-data'!I92/100)
+(IFERROR(VLOOKUP('input-data'!$E$93,Fodertabel,3,FALSE),0)*'input-data'!I93/100)
+(IFERROR(VLOOKUP('input-data'!$E$94,Fodertabel,3,FALSE),0)*'input-data'!I94/100)
+(IFERROR(VLOOKUP('input-data'!$E$95,Fodertabel,3,FALSE),0)*'input-data'!I95/100))*100</f>
        <v>0</v>
      </c>
      <c r="E66" s="243"/>
      <c r="F66" s="338"/>
      <c r="G66" s="110"/>
      <c r="H66" s="110"/>
      <c r="I66" s="252"/>
      <c r="J66" s="110"/>
      <c r="K66" s="110"/>
      <c r="L66" s="110"/>
      <c r="M66" s="110"/>
      <c r="N66" s="110"/>
      <c r="O66" s="110"/>
      <c r="P66" s="110"/>
    </row>
    <row r="67" spans="2:16" x14ac:dyDescent="0.2">
      <c r="B67" s="239"/>
      <c r="C67" s="110" t="str">
        <f>IF(topdowntables!N4=1, "Tørstof, %", "Dry matter, %")</f>
        <v>Tørstof, %</v>
      </c>
      <c r="D67" s="240">
        <f>SUM((IFERROR(VLOOKUP('input-data'!$E$81,Fodertabel,9,FALSE),0)*'input-data'!I81/100)
+(IFERROR(VLOOKUP('input-data'!$E$82,Fodertabel,9,FALSE),0)*'input-data'!I82/100)
+(IFERROR(VLOOKUP('input-data'!$E$83,Fodertabel,9,FALSE),0)*'input-data'!I83/100)
+(IFERROR(VLOOKUP('input-data'!$E$84,Fodertabel,9,FALSE),0)*'input-data'!I84/100)
+(IFERROR(VLOOKUP('input-data'!$E$85,Fodertabel,9,FALSE),0)*'input-data'!I85/100)
+(IFERROR(VLOOKUP('input-data'!$E$86,Fodertabel,9,FALSE),0)*'input-data'!I86/100)
+(IFERROR(VLOOKUP('input-data'!$E$87,Fodertabel,9,FALSE),0)*'input-data'!I87/100)
+(IFERROR(VLOOKUP('input-data'!$E$88,Fodertabel,9,FALSE),0)*'input-data'!I88/100)
+(IFERROR(VLOOKUP('input-data'!$E$89,Fodertabel,9,FALSE),0)*'input-data'!I89/100)
+(IFERROR(VLOOKUP('input-data'!$E$90,Fodertabel,9,FALSE),0)*'input-data'!I90/100)
+(IFERROR(VLOOKUP('input-data'!$E$91,Fodertabel,9,FALSE),0)*'input-data'!I91/100)
+(IFERROR(VLOOKUP('input-data'!$E$92,Fodertabel,9,FALSE),0)*'input-data'!I92/100)
+(IFERROR(VLOOKUP('input-data'!$E$93,Fodertabel,9,FALSE),0)*'input-data'!I93/100)
+(IFERROR(VLOOKUP('input-data'!$E$94,Fodertabel,9,FALSE),0)*'input-data'!I94/100)
+(IFERROR(VLOOKUP('input-data'!$E$95,Fodertabel,9,FALSE),0)*'input-data'!I95/100))</f>
        <v>0</v>
      </c>
      <c r="E67" s="243"/>
      <c r="F67" s="110"/>
      <c r="G67" s="110"/>
      <c r="H67" s="110"/>
      <c r="I67" s="252"/>
      <c r="J67" s="110"/>
      <c r="K67" s="110"/>
      <c r="L67" s="110"/>
      <c r="M67" s="110"/>
      <c r="N67" s="110"/>
      <c r="O67" s="110"/>
      <c r="P67" s="110"/>
    </row>
    <row r="68" spans="2:16" x14ac:dyDescent="0.2">
      <c r="B68" s="239"/>
      <c r="C68" s="110" t="str">
        <f>IF(topdowntables!N4=1, "Råprotein, g per kg foder", "Crude protein, g per kg feed")</f>
        <v>Råprotein, g per kg foder</v>
      </c>
      <c r="D68" s="240">
        <f>SUM((IFERROR(VLOOKUP('input-data'!$E$81,Fodertabel,10,FALSE),0)*'input-data'!I81/100)
+(IFERROR(VLOOKUP('input-data'!$E$82,Fodertabel,10,FALSE),0)*'input-data'!I82/100)
+(IFERROR(VLOOKUP('input-data'!$E$83,Fodertabel,10,FALSE),0)*'input-data'!I83/100)
+(IFERROR(VLOOKUP('input-data'!$E$84,Fodertabel,10,FALSE),0)*'input-data'!I84/100)
+(IFERROR(VLOOKUP('input-data'!$E$85,Fodertabel,10,FALSE),0)*'input-data'!I85/100)
+(IFERROR(VLOOKUP('input-data'!$E$86,Fodertabel,10,FALSE),0)*'input-data'!I86/100)
+(IFERROR(VLOOKUP('input-data'!$E$87,Fodertabel,10,FALSE),0)*'input-data'!I87/100)
+(IFERROR(VLOOKUP('input-data'!$E$88,Fodertabel,10,FALSE),0)*'input-data'!I88/100)
+(IFERROR(VLOOKUP('input-data'!$E$89,Fodertabel,10,FALSE),0)*'input-data'!I89/100)
+(IFERROR(VLOOKUP('input-data'!$E$90,Fodertabel,10,FALSE),0)*'input-data'!I90/100)
+(IFERROR(VLOOKUP('input-data'!$E$91,Fodertabel,10,FALSE),0)*'input-data'!I91/100)
+(IFERROR(VLOOKUP('input-data'!$E$92,Fodertabel,10,FALSE),0)*'input-data'!I92/100)
+(IFERROR(VLOOKUP('input-data'!$E$93,Fodertabel,10,FALSE),0)*'input-data'!I93/100)
+(IFERROR(VLOOKUP('input-data'!$E$94,Fodertabel,10,FALSE),0)*'input-data'!I94/100)
+(IFERROR(VLOOKUP('input-data'!$E$95,Fodertabel,10,FALSE),0)*'input-data'!I95/100))*10</f>
        <v>0</v>
      </c>
      <c r="E68" s="243"/>
      <c r="F68" s="110"/>
      <c r="G68" s="110"/>
      <c r="H68" s="110"/>
      <c r="I68" s="252"/>
      <c r="J68" s="110"/>
      <c r="K68" s="110"/>
      <c r="L68" s="110"/>
      <c r="M68" s="110"/>
      <c r="N68" s="110"/>
      <c r="O68" s="110"/>
      <c r="P68" s="110"/>
    </row>
    <row r="69" spans="2:16" x14ac:dyDescent="0.2">
      <c r="B69" s="239"/>
      <c r="C69" s="110" t="str">
        <f>IF(topdowntables!N4=1, "Fosfor, g per kg foder", "Phosphorus, g per kg feed")</f>
        <v>Fosfor, g per kg foder</v>
      </c>
      <c r="D69" s="240">
        <f>SUM((IFERROR(VLOOKUP('input-data'!$E$81,Fodertabel,79,FALSE),0)*'input-data'!I81/100)
+(IFERROR(VLOOKUP('input-data'!$E$82,Fodertabel,79,FALSE),0)*'input-data'!I82/100)
+(IFERROR(VLOOKUP('input-data'!$E$83,Fodertabel,79,FALSE),0)*'input-data'!I83/100)
+(IFERROR(VLOOKUP('input-data'!$E$84,Fodertabel,79,FALSE),0)*'input-data'!I84/100)
+(IFERROR(VLOOKUP('input-data'!$E$85,Fodertabel,79,FALSE),0)*'input-data'!I85/100)
+(IFERROR(VLOOKUP('input-data'!$E$86,Fodertabel,79,FALSE),0)*'input-data'!I86/100)
+(IFERROR(VLOOKUP('input-data'!$E$87,Fodertabel,79,FALSE),0)*'input-data'!I87/100)
+(IFERROR(VLOOKUP('input-data'!$E$88,Fodertabel,79,FALSE),0)*'input-data'!I88/100)
+(IFERROR(VLOOKUP('input-data'!$E$89,Fodertabel,79,FALSE),0)*'input-data'!I89/100)
+(IFERROR(VLOOKUP('input-data'!$E$90,Fodertabel,79,FALSE),0)*'input-data'!I90/100)
+(IFERROR(VLOOKUP('input-data'!$E$91,Fodertabel,79,FALSE),0)*'input-data'!I91/100)
+(IFERROR(VLOOKUP('input-data'!$E$92,Fodertabel,79,FALSE),0)*'input-data'!I92/100)
+(IFERROR(VLOOKUP('input-data'!$E$93,Fodertabel,79,FALSE),0)*'input-data'!I93/100)
+(IFERROR(VLOOKUP('input-data'!$E$94,Fodertabel,79,FALSE),0)*'input-data'!I94/100)
+(IFERROR(VLOOKUP('input-data'!$E$95,Fodertabel,79,FALSE),0)*'input-data'!I95/100))</f>
        <v>0</v>
      </c>
      <c r="E69" s="243"/>
      <c r="F69" s="110"/>
      <c r="G69" s="110"/>
      <c r="H69" s="110"/>
      <c r="I69" s="252"/>
      <c r="J69" s="110"/>
      <c r="K69" s="110"/>
      <c r="L69" s="110"/>
      <c r="M69" s="110"/>
      <c r="N69" s="110"/>
      <c r="O69" s="110"/>
      <c r="P69" s="110"/>
    </row>
    <row r="70" spans="2:16" x14ac:dyDescent="0.2">
      <c r="B70" s="239"/>
      <c r="C70" s="110"/>
      <c r="D70" s="240"/>
      <c r="E70" s="243"/>
      <c r="F70" s="110"/>
      <c r="G70" s="110"/>
      <c r="H70" s="110"/>
      <c r="I70" s="252"/>
      <c r="J70" s="110"/>
      <c r="K70" s="110"/>
      <c r="L70" s="110"/>
      <c r="M70" s="110"/>
      <c r="N70" s="110"/>
      <c r="O70" s="110"/>
      <c r="P70" s="110"/>
    </row>
    <row r="71" spans="2:16" x14ac:dyDescent="0.2">
      <c r="B71" s="239"/>
      <c r="C71" s="183" t="str">
        <f>IF(topdowntables!N4=1, "N og P bidrag fra foder pattegrise", "N and P content in feed for the piglets")</f>
        <v>N og P bidrag fra foder pattegrise</v>
      </c>
      <c r="D71" s="240"/>
      <c r="E71" s="243"/>
      <c r="F71" s="110"/>
      <c r="G71" s="110"/>
      <c r="H71" s="110"/>
      <c r="I71" s="252"/>
      <c r="J71" s="110"/>
      <c r="K71" s="110"/>
      <c r="L71" s="110"/>
      <c r="M71" s="110"/>
      <c r="N71" s="110"/>
      <c r="O71" s="110"/>
      <c r="P71" s="110"/>
    </row>
    <row r="72" spans="2:16" x14ac:dyDescent="0.2">
      <c r="B72" s="239"/>
      <c r="C72" s="63" t="str">
        <f>IF(topdowntables!N4=1, "Råprotein per årsso, kg", "Crude protein, kg per year sow")</f>
        <v>Råprotein per årsso, kg</v>
      </c>
      <c r="D72" s="240">
        <f>($D$68*($D$66/100)*D34/1000)</f>
        <v>0</v>
      </c>
      <c r="E72" s="243"/>
      <c r="F72" s="110"/>
      <c r="G72" s="110"/>
      <c r="H72" s="110"/>
      <c r="I72" s="252"/>
      <c r="J72" s="110"/>
      <c r="K72" s="110"/>
      <c r="L72" s="110"/>
      <c r="M72" s="110"/>
      <c r="N72" s="110"/>
      <c r="O72" s="110"/>
      <c r="P72" s="110"/>
    </row>
    <row r="73" spans="2:16" x14ac:dyDescent="0.2">
      <c r="B73" s="239"/>
      <c r="C73" s="110" t="str">
        <f>IF(topdowntables!N4=1, "N per årsso, kg", "N, kg per year sow")</f>
        <v>N per årsso, kg</v>
      </c>
      <c r="D73" s="240">
        <f>D72/6.25</f>
        <v>0</v>
      </c>
      <c r="E73" s="243"/>
      <c r="F73" s="110"/>
      <c r="G73" s="110"/>
      <c r="H73" s="110"/>
      <c r="I73" s="252"/>
      <c r="J73" s="110"/>
      <c r="K73" s="110"/>
      <c r="L73" s="110"/>
      <c r="M73" s="110"/>
      <c r="N73" s="110"/>
      <c r="O73" s="110"/>
      <c r="P73" s="110"/>
    </row>
    <row r="74" spans="2:16" x14ac:dyDescent="0.2">
      <c r="B74" s="239"/>
      <c r="C74" s="110" t="str">
        <f>IF(topdowntables!N4=1, "P per årsso, kg", "P, kg per year sow")</f>
        <v>P per årsso, kg</v>
      </c>
      <c r="D74" s="240">
        <f>((D69*($D$66/100))*D34)/1000</f>
        <v>0</v>
      </c>
      <c r="E74" s="243"/>
      <c r="F74" s="110"/>
      <c r="G74" s="110"/>
      <c r="H74" s="110"/>
      <c r="I74" s="252"/>
      <c r="J74" s="110"/>
      <c r="K74" s="110"/>
      <c r="L74" s="110"/>
      <c r="M74" s="110"/>
      <c r="N74" s="110"/>
      <c r="O74" s="110"/>
      <c r="P74" s="110"/>
    </row>
    <row r="75" spans="2:16" x14ac:dyDescent="0.2">
      <c r="B75" s="239"/>
      <c r="C75" s="110"/>
      <c r="D75" s="240"/>
      <c r="E75" s="243"/>
      <c r="F75" s="110"/>
      <c r="G75" s="110"/>
      <c r="H75" s="110"/>
      <c r="I75" s="252"/>
      <c r="J75" s="110"/>
      <c r="K75" s="110"/>
      <c r="L75" s="110"/>
      <c r="M75" s="110"/>
      <c r="N75" s="110"/>
      <c r="O75" s="110"/>
      <c r="P75" s="110"/>
    </row>
    <row r="76" spans="2:16" x14ac:dyDescent="0.2">
      <c r="B76" s="234" t="str">
        <f>IF(topdowntables!N4=1, "Drægtighedsfoder:", "Feed corresponding to gestating period:")</f>
        <v>Drægtighedsfoder:</v>
      </c>
      <c r="C76" s="235"/>
      <c r="D76" s="253"/>
      <c r="E76" s="233"/>
      <c r="G76" s="110"/>
      <c r="H76" s="110"/>
      <c r="I76" s="110"/>
      <c r="J76" s="110"/>
      <c r="K76" s="110"/>
      <c r="L76" s="110"/>
      <c r="M76" s="110"/>
      <c r="N76" s="110"/>
      <c r="O76" s="110"/>
      <c r="P76" s="110"/>
    </row>
    <row r="77" spans="2:16" s="110" customFormat="1" x14ac:dyDescent="0.2">
      <c r="B77" s="254"/>
      <c r="C77" s="256" t="str">
        <f>IF(topdowntables!N4=1, "Blanding 1:", "Feed mixture 1:")</f>
        <v>Blanding 1:</v>
      </c>
      <c r="D77" s="242"/>
      <c r="E77" s="243"/>
      <c r="I77" s="252"/>
    </row>
    <row r="78" spans="2:16" x14ac:dyDescent="0.2">
      <c r="B78" s="239"/>
      <c r="C78" s="110" t="str">
        <f>IF(topdowntables!N4=1, "FEso/100 kg", "FUsow/100 kg")</f>
        <v>FEso/100 kg</v>
      </c>
      <c r="D78" s="242">
        <f>SUM((IFERROR(VLOOKUP('input-data'!$E$104,Fodertabel,4,FALSE),0)*'input-data'!I104/100)
+(IFERROR(VLOOKUP('input-data'!$E$105,Fodertabel,4,FALSE),0)*'input-data'!I105/100)
+(IFERROR(VLOOKUP('input-data'!$E$106,Fodertabel,4,FALSE),0)*'input-data'!I106/100)
+(IFERROR(VLOOKUP('input-data'!$E$107,Fodertabel,4,FALSE),0)*'input-data'!I107/100)
+(IFERROR(VLOOKUP('input-data'!$E$108,Fodertabel,4,FALSE),0)*'input-data'!I108/100)
+(IFERROR(VLOOKUP('input-data'!$E$109,Fodertabel,4,FALSE),0)*'input-data'!I109/100)
+(IFERROR(VLOOKUP('input-data'!$E$110,Fodertabel,4,FALSE),0)*'input-data'!I110/100)
+(IFERROR(VLOOKUP('input-data'!$E$111,Fodertabel,4,FALSE),0)*'input-data'!I111/100)
+(IFERROR(VLOOKUP('input-data'!$E$112,Fodertabel,4,FALSE),0)*'input-data'!I112/100)
+(IFERROR(VLOOKUP('input-data'!$E$113,Fodertabel,4,FALSE),0)*'input-data'!I113/100)
+(IFERROR(VLOOKUP('input-data'!$E$114,Fodertabel,4,FALSE),0)*'input-data'!I114/100)
+(IFERROR(VLOOKUP('input-data'!$E$115,Fodertabel,4,FALSE),0)*'input-data'!I115/100)
+(IFERROR(VLOOKUP('input-data'!$E$116,Fodertabel,4,FALSE),0)*'input-data'!I116/100)
+(IFERROR(VLOOKUP('input-data'!$E$117,Fodertabel,4,FALSE),0)*'input-data'!I117/100)
+(IFERROR(VLOOKUP('input-data'!$E$118,Fodertabel,4,FALSE),0)*'input-data'!I118/100))*100</f>
        <v>0</v>
      </c>
      <c r="E78" s="243"/>
      <c r="F78" s="110"/>
      <c r="G78" s="110"/>
      <c r="H78" s="110"/>
      <c r="I78" s="110"/>
      <c r="J78" s="110"/>
      <c r="K78" s="110"/>
      <c r="L78" s="110"/>
      <c r="M78" s="110"/>
      <c r="N78" s="110"/>
      <c r="O78" s="110"/>
      <c r="P78" s="110"/>
    </row>
    <row r="79" spans="2:16" x14ac:dyDescent="0.2">
      <c r="B79" s="239"/>
      <c r="C79" s="110" t="str">
        <f>IF(topdowntables!N4=1, "Tørstof, %", "Dry matter, %")</f>
        <v>Tørstof, %</v>
      </c>
      <c r="D79" s="242">
        <f>SUM((IFERROR(VLOOKUP('input-data'!$E$104,Fodertabel,9,FALSE),0)*'input-data'!I104/100)
+(IFERROR(VLOOKUP('input-data'!$E$105,Fodertabel,9,FALSE),0)*'input-data'!I105/100)
+(IFERROR(VLOOKUP('input-data'!$E$106,Fodertabel,9,FALSE),0)*'input-data'!I106/100)
+(IFERROR(VLOOKUP('input-data'!$E$107,Fodertabel,9,FALSE),0)*'input-data'!I107/100)
+(IFERROR(VLOOKUP('input-data'!$E$108,Fodertabel,9,FALSE),0)*'input-data'!I108/100)
+(IFERROR(VLOOKUP('input-data'!$E$109,Fodertabel,9,FALSE),0)*'input-data'!I109/100)
+(IFERROR(VLOOKUP('input-data'!$E$110,Fodertabel,9,FALSE),0)*'input-data'!I110/100)
+(IFERROR(VLOOKUP('input-data'!$E$111,Fodertabel,9,FALSE),0)*'input-data'!I111/100)
+(IFERROR(VLOOKUP('input-data'!$E$112,Fodertabel,9,FALSE),0)*'input-data'!I112/100)
+(IFERROR(VLOOKUP('input-data'!$E$113,Fodertabel,9,FALSE),0)*'input-data'!I113/100)
+(IFERROR(VLOOKUP('input-data'!$E$114,Fodertabel,9,FALSE),0)*'input-data'!I114/100)
+(IFERROR(VLOOKUP('input-data'!$E$115,Fodertabel,9,FALSE),0)*'input-data'!I115/100)
+(IFERROR(VLOOKUP('input-data'!$E$116,Fodertabel,9,FALSE),0)*'input-data'!I116/100)
+(IFERROR(VLOOKUP('input-data'!$E$117,Fodertabel,9,FALSE),0)*'input-data'!I117/100)
+(IFERROR(VLOOKUP('input-data'!$E$118,Fodertabel,9,FALSE),0)*'input-data'!I118/100))</f>
        <v>0</v>
      </c>
      <c r="E79" s="243"/>
      <c r="F79" s="110"/>
      <c r="G79" s="110"/>
      <c r="H79" s="110"/>
      <c r="I79" s="252"/>
      <c r="J79" s="110"/>
      <c r="K79" s="110"/>
      <c r="L79" s="110"/>
      <c r="M79" s="110"/>
      <c r="N79" s="110"/>
      <c r="O79" s="110"/>
      <c r="P79" s="110"/>
    </row>
    <row r="80" spans="2:16" x14ac:dyDescent="0.2">
      <c r="B80" s="239"/>
      <c r="C80" s="110" t="str">
        <f>IF(topdowntables!N4=1, "Råprotein, g per kg foder", "Crude protein, g per kg feed")</f>
        <v>Råprotein, g per kg foder</v>
      </c>
      <c r="D80" s="242">
        <f>SUM((IFERROR(VLOOKUP('input-data'!$E$104,Fodertabel,10,FALSE),0)*'input-data'!I104/100)
+(IFERROR(VLOOKUP('input-data'!$E$105,Fodertabel,10,FALSE),0)*'input-data'!I105/100)
+(IFERROR(VLOOKUP('input-data'!$E$106,Fodertabel,10,FALSE),0)*'input-data'!I106/100)
+(IFERROR(VLOOKUP('input-data'!$E$107,Fodertabel,10,FALSE),0)*'input-data'!I107/100)
+(IFERROR(VLOOKUP('input-data'!$E$108,Fodertabel,10,FALSE),0)*'input-data'!I108/100)
+(IFERROR(VLOOKUP('input-data'!$E$109,Fodertabel,10,FALSE),0)*'input-data'!I109/100)
+(IFERROR(VLOOKUP('input-data'!$E$110,Fodertabel,10,FALSE),0)*'input-data'!I110/100)
+(IFERROR(VLOOKUP('input-data'!$E$111,Fodertabel,10,FALSE),0)*'input-data'!I111/100)
+(IFERROR(VLOOKUP('input-data'!$E$112,Fodertabel,10,FALSE),0)*'input-data'!I112/100)
+(IFERROR(VLOOKUP('input-data'!$E$113,Fodertabel,10,FALSE),0)*'input-data'!I113/100)
+(IFERROR(VLOOKUP('input-data'!$E$114,Fodertabel,10,FALSE),0)*'input-data'!I114/100)
+(IFERROR(VLOOKUP('input-data'!$E$115,Fodertabel,10,FALSE),0)*'input-data'!I115/100)
+(IFERROR(VLOOKUP('input-data'!$E$116,Fodertabel,10,FALSE),0)*'input-data'!I116/100)
+(IFERROR(VLOOKUP('input-data'!$E$117,Fodertabel,10,FALSE),0)*'input-data'!I117/100)
+(IFERROR(VLOOKUP('input-data'!$E$118,Fodertabel,10,FALSE),0)*'input-data'!I118/100))*10</f>
        <v>0</v>
      </c>
      <c r="E80" s="243"/>
      <c r="F80" s="110"/>
      <c r="G80" s="110"/>
      <c r="H80" s="110"/>
      <c r="I80" s="252"/>
      <c r="J80" s="110"/>
      <c r="K80" s="110"/>
      <c r="L80" s="110"/>
      <c r="M80" s="110"/>
      <c r="N80" s="110"/>
      <c r="O80" s="110"/>
      <c r="P80" s="110"/>
    </row>
    <row r="81" spans="2:26" x14ac:dyDescent="0.2">
      <c r="B81" s="239"/>
      <c r="C81" s="110" t="str">
        <f>IF(topdowntables!N4=1, "Fosfor, g per kg foder", "Phosphorus, g per kg feed")</f>
        <v>Fosfor, g per kg foder</v>
      </c>
      <c r="D81" s="240">
        <f>SUM((IFERROR(VLOOKUP('input-data'!$E$104,Fodertabel,79,FALSE),0)*'input-data'!I104/100)
+(IFERROR(VLOOKUP('input-data'!$E$105,Fodertabel,79,FALSE),0)*'input-data'!I105/100)
+(IFERROR(VLOOKUP('input-data'!$E$106,Fodertabel,79,FALSE),0)*'input-data'!I106/100)
+(IFERROR(VLOOKUP('input-data'!$E$107,Fodertabel,79,FALSE),0)*'input-data'!I107/100)
+(IFERROR(VLOOKUP('input-data'!$E$108,Fodertabel,79,FALSE),0)*'input-data'!I108/100)
+(IFERROR(VLOOKUP('input-data'!$E$109,Fodertabel,79,FALSE),0)*'input-data'!I109/100)
+(IFERROR(VLOOKUP('input-data'!$E$110,Fodertabel,79,FALSE),0)*'input-data'!I110/100)
+(IFERROR(VLOOKUP('input-data'!$E$111,Fodertabel,79,FALSE),0)*'input-data'!I111/100)
+(IFERROR(VLOOKUP('input-data'!$E$112,Fodertabel,79,FALSE),0)*'input-data'!I112/100)
+(IFERROR(VLOOKUP('input-data'!$E$113,Fodertabel,79,FALSE),0)*'input-data'!I113/100)
+(IFERROR(VLOOKUP('input-data'!$E$114,Fodertabel,79,FALSE),0)*'input-data'!I114/100)
+(IFERROR(VLOOKUP('input-data'!$E$115,Fodertabel,79,FALSE),0)*'input-data'!I115/100)
+(IFERROR(VLOOKUP('input-data'!$E$116,Fodertabel,79,FALSE),0)*'input-data'!I116/100)
+(IFERROR(VLOOKUP('input-data'!$E$117,Fodertabel,79,FALSE),0)*'input-data'!I117/100)
+(IFERROR(VLOOKUP('input-data'!$E$118,Fodertabel,79,FALSE),0)*'input-data'!I118/100))</f>
        <v>0</v>
      </c>
      <c r="E81" s="243"/>
      <c r="F81" s="110"/>
      <c r="G81" s="110"/>
      <c r="H81" s="110"/>
      <c r="I81" s="252"/>
      <c r="J81" s="110"/>
      <c r="K81" s="110"/>
      <c r="L81" s="110"/>
      <c r="M81" s="110"/>
      <c r="N81" s="110"/>
      <c r="O81" s="110"/>
      <c r="P81" s="110"/>
    </row>
    <row r="82" spans="2:26" x14ac:dyDescent="0.2">
      <c r="B82" s="239"/>
      <c r="C82" s="110" t="str">
        <f>IF(topdowntables!N4=1, "Blanding 1, foderdage per årsso", "Mixture 1, feeding days per yearsow")</f>
        <v>Blanding 1, foderdage per årsso</v>
      </c>
      <c r="D82" s="242">
        <f>('input-data'!H102*'input-data'!E15)+(D28)-IF('input-data'!H102&gt;100,'input-data'!F48*'input-data'!E15,0)</f>
        <v>365</v>
      </c>
      <c r="E82" s="243"/>
      <c r="F82" s="110" t="s">
        <v>1918</v>
      </c>
      <c r="G82" s="110"/>
      <c r="H82" s="110"/>
      <c r="I82" s="252"/>
      <c r="J82" s="110"/>
      <c r="K82" s="110"/>
      <c r="L82" s="110"/>
      <c r="M82" s="110"/>
      <c r="N82" s="110"/>
      <c r="O82" s="110"/>
      <c r="P82" s="110"/>
    </row>
    <row r="83" spans="2:26" x14ac:dyDescent="0.2">
      <c r="B83" s="239"/>
      <c r="C83" s="110"/>
      <c r="D83" s="242"/>
      <c r="E83" s="243"/>
      <c r="F83" s="110"/>
      <c r="G83" s="110"/>
      <c r="H83" s="110"/>
      <c r="I83" s="252"/>
      <c r="J83" s="110"/>
      <c r="K83" s="110"/>
      <c r="L83" s="110"/>
      <c r="M83" s="110"/>
      <c r="N83" s="110"/>
      <c r="O83" s="110"/>
      <c r="P83" s="110"/>
    </row>
    <row r="84" spans="2:26" s="110" customFormat="1" x14ac:dyDescent="0.2">
      <c r="B84" s="254"/>
      <c r="C84" s="256" t="str">
        <f>IF(topdowntables!N4=1, "Blanding 2:", "Feed mixture 2:")</f>
        <v>Blanding 2:</v>
      </c>
      <c r="D84" s="242"/>
      <c r="E84" s="243"/>
      <c r="I84" s="252"/>
    </row>
    <row r="85" spans="2:26" x14ac:dyDescent="0.2">
      <c r="B85" s="239"/>
      <c r="C85" s="110" t="str">
        <f>IF(topdowntables!N4=1, "FEso/100 kg", "FUsow/100 kg")</f>
        <v>FEso/100 kg</v>
      </c>
      <c r="D85" s="242">
        <f>SUM((IFERROR(VLOOKUP('input-data'!$E$125,Fodertabel,4,FALSE),0)*'input-data'!I125/100)
+(IFERROR(VLOOKUP('input-data'!$E$126,Fodertabel,4,FALSE),0)*'input-data'!I126/100)
+(IFERROR(VLOOKUP('input-data'!$E$127,Fodertabel,4,FALSE),0)*'input-data'!I127/100)
+(IFERROR(VLOOKUP('input-data'!$E$128,Fodertabel,4,FALSE),0)*'input-data'!I128/100)
+(IFERROR(VLOOKUP('input-data'!$E$129,Fodertabel,4,FALSE),0)*'input-data'!I129/100)
+(IFERROR(VLOOKUP('input-data'!$E$130,Fodertabel,4,FALSE),0)*'input-data'!I130/100)
+(IFERROR(VLOOKUP('input-data'!$E$131,Fodertabel,4,FALSE),0)*'input-data'!I131/100)
+(IFERROR(VLOOKUP('input-data'!$E$132,Fodertabel,4,FALSE),0)*'input-data'!I132/100)
+(IFERROR(VLOOKUP('input-data'!$E$133,Fodertabel,4,FALSE),0)*'input-data'!I133/100)
+(IFERROR(VLOOKUP('input-data'!$E$134,Fodertabel,4,FALSE),0)*'input-data'!I134/100)
+(IFERROR(VLOOKUP('input-data'!$E$135,Fodertabel,4,FALSE),0)*'input-data'!I135/100)
+(IFERROR(VLOOKUP('input-data'!$E$136,Fodertabel,4,FALSE),0)*'input-data'!I136/100)
+(IFERROR(VLOOKUP('input-data'!$E$137,Fodertabel,4,FALSE),0)*'input-data'!I137/100)
+(IFERROR(VLOOKUP('input-data'!$E$138,Fodertabel,4,FALSE),0)*'input-data'!I138/100)
+(IFERROR(VLOOKUP('input-data'!$E$139,Fodertabel,4,FALSE),0)*'input-data'!I139/100))
*100</f>
        <v>0</v>
      </c>
      <c r="E85" s="243"/>
      <c r="F85" s="257"/>
      <c r="G85" s="110"/>
      <c r="H85" s="110"/>
      <c r="I85" s="110"/>
      <c r="J85" s="110"/>
      <c r="K85" s="110"/>
      <c r="L85" s="110"/>
      <c r="M85" s="110"/>
      <c r="N85" s="110"/>
      <c r="O85" s="110"/>
      <c r="P85" s="110"/>
    </row>
    <row r="86" spans="2:26" x14ac:dyDescent="0.2">
      <c r="B86" s="239"/>
      <c r="C86" s="110" t="str">
        <f>IF(topdowntables!N4=1, "Tørstof, %", "Dry matter, %")</f>
        <v>Tørstof, %</v>
      </c>
      <c r="D86" s="242">
        <f>SUM((IFERROR(VLOOKUP('input-data'!$E$125,Fodertabel,9,FALSE),0)*'input-data'!I125/100)
+(IFERROR(VLOOKUP('input-data'!$E$126,Fodertabel,9,FALSE),0)*'input-data'!I126/100)
+(IFERROR(VLOOKUP('input-data'!$E$127,Fodertabel,9,FALSE),0)*'input-data'!I127/100)
+(IFERROR(VLOOKUP('input-data'!$E$128,Fodertabel,9,FALSE),0)*'input-data'!I128/100)
+(IFERROR(VLOOKUP('input-data'!$E$129,Fodertabel,9,FALSE),0)*'input-data'!I129/100)
+(IFERROR(VLOOKUP('input-data'!$E$130,Fodertabel,9,FALSE),0)*'input-data'!I130/100)
+(IFERROR(VLOOKUP('input-data'!$E$131,Fodertabel,9,FALSE),0)*'input-data'!I131/100)
+(IFERROR(VLOOKUP('input-data'!$E$132,Fodertabel,9,FALSE),0)*'input-data'!I132/100)
+(IFERROR(VLOOKUP('input-data'!$E$133,Fodertabel,9,FALSE),0)*'input-data'!I133/100)
+(IFERROR(VLOOKUP('input-data'!$E$134,Fodertabel,9,FALSE),0)*'input-data'!I134/100)
+(IFERROR(VLOOKUP('input-data'!$E$135,Fodertabel,9,FALSE),0)*'input-data'!I135/100)
+(IFERROR(VLOOKUP('input-data'!$E$136,Fodertabel,9,FALSE),0)*'input-data'!I136/100)
+(IFERROR(VLOOKUP('input-data'!$E$137,Fodertabel,9,FALSE),0)*'input-data'!I137/100)
+(IFERROR(VLOOKUP('input-data'!$E$138,Fodertabel,9,FALSE),0)*'input-data'!I138/100)
+(IFERROR(VLOOKUP('input-data'!$E$139,Fodertabel,9,FALSE),0)*'input-data'!I139/100))</f>
        <v>0</v>
      </c>
      <c r="E86" s="243"/>
      <c r="F86" s="110"/>
      <c r="G86" s="110"/>
      <c r="H86" s="110"/>
      <c r="I86" s="252"/>
      <c r="J86" s="110"/>
      <c r="K86" s="110"/>
      <c r="L86" s="110"/>
      <c r="M86" s="110"/>
      <c r="N86" s="110"/>
      <c r="O86" s="110"/>
      <c r="P86" s="110"/>
    </row>
    <row r="87" spans="2:26" x14ac:dyDescent="0.2">
      <c r="B87" s="239"/>
      <c r="C87" s="110" t="str">
        <f>IF(topdowntables!N4=1, "Råprotein, g per kg foder", "Crude protein, g per kg feed")</f>
        <v>Råprotein, g per kg foder</v>
      </c>
      <c r="D87" s="242">
        <f>SUM((IFERROR(VLOOKUP('input-data'!$E$125,Fodertabel,10,FALSE),0)*'input-data'!I125/100)
+(IFERROR(VLOOKUP('input-data'!$E$126,Fodertabel,10,FALSE),0)*'input-data'!I126/100)
+(IFERROR(VLOOKUP('input-data'!$E$127,Fodertabel,10,FALSE),0)*'input-data'!I127/100)
+(IFERROR(VLOOKUP('input-data'!$E$128,Fodertabel,10,FALSE),0)*'input-data'!I128/100)
+(IFERROR(VLOOKUP('input-data'!$E$129,Fodertabel,10,FALSE),0)*'input-data'!I129/100)
+(IFERROR(VLOOKUP('input-data'!$E$130,Fodertabel,10,FALSE),0)*'input-data'!I130/100)
+(IFERROR(VLOOKUP('input-data'!$E$131,Fodertabel,10,FALSE),0)*'input-data'!I131/100)
+(IFERROR(VLOOKUP('input-data'!$E$132,Fodertabel,10,FALSE),0)*'input-data'!I132/100)
+(IFERROR(VLOOKUP('input-data'!$E$133,Fodertabel,10,FALSE),0)*'input-data'!I133/100)
+(IFERROR(VLOOKUP('input-data'!$E$134,Fodertabel,10,FALSE),0)*'input-data'!I134/100)
+(IFERROR(VLOOKUP('input-data'!$E$135,Fodertabel,10,FALSE),0)*'input-data'!I135/100)
+(IFERROR(VLOOKUP('input-data'!$E$136,Fodertabel,10,FALSE),0)*'input-data'!I136/100)
+(IFERROR(VLOOKUP('input-data'!$E$137,Fodertabel,10,FALSE),0)*'input-data'!I137/100)
+(IFERROR(VLOOKUP('input-data'!$E$138,Fodertabel,10,FALSE),0)*'input-data'!I138/100)
+(IFERROR(VLOOKUP('input-data'!$E$139,Fodertabel,10,FALSE),0)*'input-data'!I139/100))*10</f>
        <v>0</v>
      </c>
      <c r="E87" s="243"/>
      <c r="F87" s="258"/>
      <c r="G87" s="110"/>
      <c r="H87" s="110"/>
      <c r="I87" s="252"/>
      <c r="J87" s="110"/>
      <c r="K87" s="110"/>
      <c r="L87" s="110"/>
      <c r="M87" s="110"/>
      <c r="N87" s="110"/>
      <c r="O87" s="110"/>
      <c r="P87" s="110"/>
    </row>
    <row r="88" spans="2:26" x14ac:dyDescent="0.2">
      <c r="B88" s="239"/>
      <c r="C88" s="110" t="str">
        <f>IF(topdowntables!N4=1, "Fosfor, g per kg foder", "Phosphorus, g per kg feed")</f>
        <v>Fosfor, g per kg foder</v>
      </c>
      <c r="D88" s="240">
        <f>SUM((IFERROR(VLOOKUP('input-data'!$E$125,Fodertabel,79,FALSE),0)*'input-data'!I125/100)
+(IFERROR(VLOOKUP('input-data'!$E$126,Fodertabel,79,FALSE),0)*'input-data'!I126/100)
+(IFERROR(VLOOKUP('input-data'!$E$127,Fodertabel,79,FALSE),0)*'input-data'!I127/100)
+(IFERROR(VLOOKUP('input-data'!$E$128,Fodertabel,79,FALSE),0)*'input-data'!I128/100)
+(IFERROR(VLOOKUP('input-data'!$E$129,Fodertabel,79,FALSE),0)*'input-data'!I129/100)
+(IFERROR(VLOOKUP('input-data'!$E$130,Fodertabel,79,FALSE),0)*'input-data'!I130/100)
+(IFERROR(VLOOKUP('input-data'!$E$131,Fodertabel,79,FALSE),0)*'input-data'!I131/100)
+(IFERROR(VLOOKUP('input-data'!$E$132,Fodertabel,79,FALSE),0)*'input-data'!I132/100)
+(IFERROR(VLOOKUP('input-data'!$E$133,Fodertabel,79,FALSE),0)*'input-data'!I133/100)
+(IFERROR(VLOOKUP('input-data'!$E$134,Fodertabel,79,FALSE),0)*'input-data'!I134/100)
+(IFERROR(VLOOKUP('input-data'!$E$135,Fodertabel,79,FALSE),0)*'input-data'!I135/100)
+(IFERROR(VLOOKUP('input-data'!$E$136,Fodertabel,79,FALSE),0)*'input-data'!I136/100)
+(IFERROR(VLOOKUP('input-data'!$E$137,Fodertabel,79,FALSE),0)*'input-data'!I137/100)
+(IFERROR(VLOOKUP('input-data'!$E$138,Fodertabel,79,FALSE),0)*'input-data'!I138/100)
+(IFERROR(VLOOKUP('input-data'!$E$139,Fodertabel,79,FALSE),0)*'input-data'!I139/100))</f>
        <v>0</v>
      </c>
      <c r="E88" s="243"/>
      <c r="F88" s="110"/>
      <c r="G88" s="110"/>
      <c r="H88" s="110"/>
      <c r="I88" s="252"/>
      <c r="J88" s="110"/>
      <c r="K88" s="110"/>
      <c r="L88" s="110"/>
      <c r="M88" s="110"/>
      <c r="N88" s="110"/>
      <c r="O88" s="110"/>
      <c r="P88" s="110"/>
    </row>
    <row r="89" spans="2:26" x14ac:dyDescent="0.2">
      <c r="B89" s="239"/>
      <c r="C89" s="110" t="str">
        <f>IF(topdowntables!N4=1, "Blanding 2, foderdage per årsso", "Mixture 2, feeding days per yearsow")</f>
        <v>Blanding 2, foderdage per årsso</v>
      </c>
      <c r="D89" s="242">
        <f>(D27+D28-D82-('input-data'!F48*'input-data'!E15))</f>
        <v>0</v>
      </c>
      <c r="E89" s="243"/>
      <c r="F89" s="110" t="s">
        <v>1594</v>
      </c>
      <c r="G89" s="110"/>
      <c r="H89" s="110"/>
      <c r="I89" s="252"/>
      <c r="J89" s="110"/>
      <c r="K89" s="110"/>
      <c r="L89" s="110"/>
      <c r="M89" s="110"/>
      <c r="N89" s="110"/>
      <c r="O89" s="110"/>
      <c r="P89" s="110"/>
    </row>
    <row r="90" spans="2:26" x14ac:dyDescent="0.2">
      <c r="B90" s="239"/>
      <c r="C90" s="110"/>
      <c r="D90" s="242"/>
      <c r="E90" s="243"/>
      <c r="F90" s="110"/>
      <c r="G90" s="110"/>
      <c r="H90" s="110"/>
      <c r="I90" s="252"/>
      <c r="J90" s="110"/>
      <c r="K90" s="110"/>
      <c r="L90" s="110"/>
      <c r="M90" s="110"/>
      <c r="N90" s="110"/>
      <c r="O90" s="110"/>
      <c r="P90" s="110"/>
    </row>
    <row r="91" spans="2:26" x14ac:dyDescent="0.2">
      <c r="B91" s="239"/>
      <c r="C91" s="183" t="str">
        <f>IF(topdowntables!N4=1, "N og P bidrag fra drægtighedsfoderet, totalt", "Total N and P content in feed used during gestation period")</f>
        <v>N og P bidrag fra drægtighedsfoderet, totalt</v>
      </c>
      <c r="D91" s="242"/>
      <c r="E91" s="243"/>
      <c r="F91" s="110"/>
      <c r="G91" s="110"/>
      <c r="H91" s="110"/>
      <c r="I91" s="252"/>
      <c r="J91" s="110"/>
      <c r="K91" s="110"/>
      <c r="L91" s="110"/>
      <c r="M91" s="110"/>
      <c r="N91" s="110"/>
      <c r="O91" s="110"/>
      <c r="P91" s="110"/>
    </row>
    <row r="92" spans="2:26" x14ac:dyDescent="0.2">
      <c r="B92" s="237"/>
      <c r="C92" s="63" t="str">
        <f>IF(topdowntables!N4=1, "Råprotein per årsso, kg", "Crude protein, kg per yearsow")</f>
        <v>Råprotein per årsso, kg</v>
      </c>
      <c r="D92" s="240">
        <f>((D80*(D78/100)*'input-data'!E101*'Flow sohold'!D82)+('Flow sohold'!D87*'Flow sohold'!D85/100*'input-data'!E122*'Flow sohold'!D89))/1000</f>
        <v>0</v>
      </c>
      <c r="E92" s="251"/>
      <c r="F92" s="110" t="s">
        <v>1850</v>
      </c>
      <c r="G92" s="110"/>
      <c r="H92" s="110"/>
      <c r="I92" s="110"/>
      <c r="J92" s="110"/>
      <c r="K92" s="110"/>
      <c r="L92" s="110"/>
      <c r="M92" s="110"/>
      <c r="N92" s="110"/>
      <c r="O92" s="110"/>
      <c r="P92" s="110"/>
    </row>
    <row r="93" spans="2:26" x14ac:dyDescent="0.2">
      <c r="B93" s="239"/>
      <c r="C93" s="110" t="str">
        <f>IF(topdowntables!N4=1, "N per årsso, kg", "N, kg per yearsow")</f>
        <v>N per årsso, kg</v>
      </c>
      <c r="D93" s="240">
        <f>D92/6.25</f>
        <v>0</v>
      </c>
      <c r="E93" s="243"/>
      <c r="F93" s="110" t="s">
        <v>982</v>
      </c>
      <c r="G93" s="110"/>
      <c r="H93" s="110"/>
      <c r="I93" s="110"/>
      <c r="J93" s="110"/>
      <c r="K93" s="110"/>
      <c r="L93" s="110"/>
      <c r="M93" s="110"/>
      <c r="N93" s="110"/>
      <c r="O93" s="110"/>
      <c r="P93" s="110"/>
    </row>
    <row r="94" spans="2:26" x14ac:dyDescent="0.2">
      <c r="B94" s="239"/>
      <c r="C94" s="110" t="str">
        <f>IF(topdowntables!N4=1, "P per årsso, kg", "P, kg per yearsow")</f>
        <v>P per årsso, kg</v>
      </c>
      <c r="D94" s="240">
        <f>(('Flow sohold'!D81*'Flow sohold'!D78/100*'input-data'!E101*D82)+(D88*D85/100*'input-data'!E122*'Flow sohold'!D89))/1000</f>
        <v>0</v>
      </c>
      <c r="E94" s="243"/>
      <c r="F94" s="110" t="s">
        <v>1606</v>
      </c>
      <c r="G94" s="110"/>
      <c r="H94" s="110"/>
      <c r="I94" s="252"/>
      <c r="J94" s="110"/>
      <c r="K94" s="110"/>
      <c r="L94" s="110"/>
      <c r="M94" s="110"/>
      <c r="N94" s="110"/>
      <c r="O94" s="110"/>
      <c r="P94" s="110"/>
    </row>
    <row r="95" spans="2:26" x14ac:dyDescent="0.2">
      <c r="B95" s="239"/>
      <c r="C95" s="110"/>
      <c r="D95" s="240"/>
      <c r="E95" s="243"/>
      <c r="F95" s="110"/>
      <c r="G95" s="110"/>
      <c r="H95" s="110"/>
      <c r="I95" s="252"/>
      <c r="J95" s="110"/>
      <c r="K95" s="110"/>
      <c r="L95" s="110"/>
      <c r="M95" s="110"/>
      <c r="N95" s="110"/>
      <c r="O95" s="110"/>
      <c r="P95" s="110"/>
    </row>
    <row r="96" spans="2:26" s="110" customFormat="1" x14ac:dyDescent="0.2">
      <c r="B96" s="234" t="str">
        <f>IF(topdowntables!$N$4=1, "Grovfoder inkl. græs:", "Roughage incl. grazing:")</f>
        <v>Grovfoder inkl. græs:</v>
      </c>
      <c r="C96" s="255"/>
      <c r="D96" s="253"/>
      <c r="E96" s="233"/>
      <c r="W96" s="63"/>
      <c r="X96" s="63"/>
      <c r="Y96" s="63"/>
      <c r="Z96" s="63"/>
    </row>
    <row r="97" spans="2:26" s="110" customFormat="1" x14ac:dyDescent="0.2">
      <c r="B97" s="237"/>
      <c r="C97" s="256" t="str">
        <f>IF(topdowntables!N4=1, "Grovfoder, diegivende:", "Roughage, lactation period:")</f>
        <v>Grovfoder, diegivende:</v>
      </c>
      <c r="D97" s="240"/>
      <c r="E97" s="233"/>
      <c r="W97" s="63"/>
      <c r="X97" s="63"/>
      <c r="Y97" s="63"/>
      <c r="Z97" s="63"/>
    </row>
    <row r="98" spans="2:26" s="110" customFormat="1" x14ac:dyDescent="0.2">
      <c r="B98" s="239"/>
      <c r="C98" s="110" t="str">
        <f>IF(topdowntables!$N$4=1, "FEso/100 kg", "FUsow/100 kg")</f>
        <v>FEso/100 kg</v>
      </c>
      <c r="D98" s="242">
        <f xml:space="preserve"> SUM((IFERROR(VLOOKUP('input-data'!$E$70,Fodertabel,4,FALSE),0)*'input-data'!I70/100)
+(IFERROR(VLOOKUP('input-data'!$E$71,Fodertabel,4,FALSE),0)*'input-data'!I71/100)
+(IFERROR(VLOOKUP('input-data'!$E$72,Fodertabel,4,FALSE),0)*'input-data'!I72/100)
+(IFERROR(VLOOKUP('input-data'!$E$73,Fodertabel,4,FALSE),0)*'input-data'!I73/100)
+(IFERROR(VLOOKUP('input-data'!$E$74,Fodertabel,4,FALSE),0)*'input-data'!I74/100))*100</f>
        <v>0</v>
      </c>
      <c r="E98" s="233"/>
      <c r="W98" s="63"/>
      <c r="X98" s="63"/>
      <c r="Y98" s="63"/>
      <c r="Z98" s="63"/>
    </row>
    <row r="99" spans="2:26" s="110" customFormat="1" x14ac:dyDescent="0.2">
      <c r="B99" s="239"/>
      <c r="C99" s="110" t="str">
        <f>IF(topdowntables!N4=1, "Tørstof, %", "Dry matter, %")</f>
        <v>Tørstof, %</v>
      </c>
      <c r="D99" s="242">
        <f>SUM((IFERROR(VLOOKUP('input-data'!$E$70,Fodertabel,9,FALSE),0)*'input-data'!I70/100)+(IFERROR(VLOOKUP('input-data'!$E$71,Fodertabel,9,FALSE),0)*'input-data'!I71/100)
+(IFERROR(VLOOKUP('input-data'!$E$72,Fodertabel,9,FALSE),0)*'input-data'!I72/100)
+(IFERROR(VLOOKUP('input-data'!$E$73,Fodertabel,9,FALSE),0)*'input-data'!I73/100)
+(IFERROR(VLOOKUP('input-data'!$E$74,Fodertabel,9,FALSE),0)*'input-data'!I74/100))</f>
        <v>0</v>
      </c>
      <c r="E99" s="233"/>
      <c r="W99" s="63"/>
      <c r="X99" s="63"/>
      <c r="Y99" s="63"/>
      <c r="Z99" s="63"/>
    </row>
    <row r="100" spans="2:26" s="110" customFormat="1" x14ac:dyDescent="0.2">
      <c r="B100" s="239"/>
      <c r="C100" s="110" t="str">
        <f>IF(topdowntables!N4=1, "Råprotein, g per kg foder", "Crude protein, g per kg feed")</f>
        <v>Råprotein, g per kg foder</v>
      </c>
      <c r="D100" s="242">
        <f xml:space="preserve"> SUM((IFERROR(VLOOKUP('input-data'!$E$70,Fodertabel,10,FALSE),0)*'input-data'!I70/100)
+(IFERROR(VLOOKUP('input-data'!$E$71,Fodertabel,10,FALSE),0)*'input-data'!I71/100)
+(IFERROR(VLOOKUP('input-data'!$E$72,Fodertabel,10,FALSE),0)*'input-data'!I72/100)
+(IFERROR(VLOOKUP('input-data'!$E$73,Fodertabel,10,FALSE),0)*'input-data'!I73/100)
+(IFERROR(VLOOKUP('input-data'!$E$74,Fodertabel,10,FALSE),0)*'input-data'!I74/100))*10</f>
        <v>0</v>
      </c>
      <c r="E100" s="233"/>
      <c r="W100" s="63"/>
      <c r="X100" s="63"/>
      <c r="Y100" s="63"/>
      <c r="Z100" s="63"/>
    </row>
    <row r="101" spans="2:26" s="110" customFormat="1" x14ac:dyDescent="0.2">
      <c r="B101" s="239"/>
      <c r="C101" s="110" t="str">
        <f>IF(topdowntables!N4=1, "Fosfor, g per kg foder", "Phosphorus, g per kg feed")</f>
        <v>Fosfor, g per kg foder</v>
      </c>
      <c r="D101" s="240">
        <f xml:space="preserve"> SUM((IFERROR(VLOOKUP('input-data'!$E$70,Fodertabel,79,FALSE),0)*'input-data'!I70/100)
+(IFERROR(VLOOKUP('input-data'!$E$71,Fodertabel,79,FALSE),0)*'input-data'!I71/100)
+(IFERROR(VLOOKUP('input-data'!$E$72,Fodertabel,79,FALSE),0)*'input-data'!I72/100)
+(IFERROR(VLOOKUP('input-data'!$E$73,Fodertabel,79,FALSE),0)*'input-data'!I73/100)
+(IFERROR(VLOOKUP('input-data'!$E$74,Fodertabel,79,FALSE),0)*'input-data'!I74/100))</f>
        <v>0</v>
      </c>
      <c r="E101" s="233"/>
      <c r="W101" s="63"/>
      <c r="X101" s="63"/>
      <c r="Y101" s="63"/>
      <c r="Z101" s="63"/>
    </row>
    <row r="102" spans="2:26" x14ac:dyDescent="0.2">
      <c r="B102" s="237"/>
      <c r="C102" s="110"/>
      <c r="D102" s="240"/>
      <c r="E102" s="110"/>
      <c r="F102" s="252"/>
      <c r="G102" s="233"/>
      <c r="H102" s="110"/>
      <c r="I102" s="110"/>
      <c r="J102" s="110"/>
      <c r="K102" s="110"/>
      <c r="L102" s="110"/>
      <c r="M102" s="110"/>
      <c r="N102" s="110"/>
      <c r="O102" s="110"/>
      <c r="P102" s="110"/>
    </row>
    <row r="103" spans="2:26" x14ac:dyDescent="0.2">
      <c r="B103" s="237"/>
      <c r="C103" s="183" t="str">
        <f>IF(topdowntables!$N$4=1, "Græs, diegivende:", "Grass, lactation period:")</f>
        <v>Græs, diegivende:</v>
      </c>
      <c r="D103" s="240"/>
      <c r="E103" s="110"/>
      <c r="F103" s="252"/>
      <c r="G103" s="233"/>
      <c r="H103" s="110"/>
      <c r="I103" s="110"/>
      <c r="J103" s="110"/>
      <c r="K103" s="110"/>
      <c r="L103" s="110"/>
      <c r="M103" s="110"/>
      <c r="N103" s="110"/>
      <c r="O103" s="110"/>
      <c r="P103" s="110"/>
    </row>
    <row r="104" spans="2:26" x14ac:dyDescent="0.2">
      <c r="B104" s="237"/>
      <c r="C104" s="110" t="str">
        <f>IF(topdowntables!$N$4=1, "FEsv/100 kg", "FUpiglet/100 kg")</f>
        <v>FEsv/100 kg</v>
      </c>
      <c r="D104" s="242">
        <f>SUM((IFERROR(VLOOKUP('input-data'!$E$306,Fodertabel!$D$353:$HU$356,4,FALSE),0)))*100</f>
        <v>11.899999999999999</v>
      </c>
      <c r="E104" s="110"/>
      <c r="F104" s="252"/>
      <c r="G104" s="233"/>
      <c r="H104" s="110"/>
      <c r="I104" s="110"/>
      <c r="J104" s="110"/>
      <c r="K104" s="110"/>
      <c r="L104" s="110"/>
      <c r="M104" s="110"/>
      <c r="N104" s="110"/>
      <c r="O104" s="110"/>
      <c r="P104" s="110"/>
    </row>
    <row r="105" spans="2:26" x14ac:dyDescent="0.2">
      <c r="B105" s="237"/>
      <c r="C105" s="110" t="str">
        <f>IF(topdowntables!$N$4=1, "Tørstof, %", "Dry matter, %")</f>
        <v>Tørstof, %</v>
      </c>
      <c r="D105" s="242">
        <f>SUM((IFERROR(VLOOKUP('input-data'!$E$306,Fodertabel!$D$353:$HU$356,9,FALSE),0)))</f>
        <v>17</v>
      </c>
      <c r="E105" s="110"/>
      <c r="F105" s="252"/>
      <c r="G105" s="233"/>
      <c r="H105" s="110"/>
      <c r="I105" s="110"/>
      <c r="J105" s="110"/>
      <c r="K105" s="110"/>
      <c r="L105" s="110"/>
      <c r="M105" s="110"/>
      <c r="N105" s="110"/>
      <c r="O105" s="110"/>
      <c r="P105" s="110"/>
    </row>
    <row r="106" spans="2:26" x14ac:dyDescent="0.2">
      <c r="B106" s="237"/>
      <c r="C106" s="110" t="str">
        <f>IF(topdowntables!$N$4=1, "Råprotein, g per kg foder", "Crude protein, g per kg feed")</f>
        <v>Råprotein, g per kg foder</v>
      </c>
      <c r="D106" s="242">
        <f>SUM((IFERROR(VLOOKUP('input-data'!$E$306,Fodertabel!$D$353:$HU$356,10,FALSE),0)))*10</f>
        <v>30.299999999999997</v>
      </c>
      <c r="E106" s="110"/>
      <c r="F106" s="252"/>
      <c r="G106" s="233"/>
      <c r="H106" s="110"/>
      <c r="I106" s="110"/>
      <c r="J106" s="110"/>
      <c r="K106" s="110"/>
      <c r="L106" s="110"/>
      <c r="M106" s="110"/>
      <c r="N106" s="110"/>
      <c r="O106" s="110"/>
      <c r="P106" s="110"/>
    </row>
    <row r="107" spans="2:26" x14ac:dyDescent="0.2">
      <c r="B107" s="237"/>
      <c r="C107" s="110" t="str">
        <f>IF(topdowntables!$N$4=1, "Fosfor, g per kg foder", "Phosphorus, g per kg feed")</f>
        <v>Fosfor, g per kg foder</v>
      </c>
      <c r="D107" s="242">
        <f>SUM((IFERROR(VLOOKUP('input-data'!$E$306,Fodertabel!$D$353:$HU$356,79,FALSE),0)))*10</f>
        <v>0</v>
      </c>
      <c r="E107" s="110"/>
      <c r="F107" s="252"/>
      <c r="G107" s="233"/>
      <c r="H107" s="110"/>
      <c r="I107" s="110"/>
      <c r="J107" s="110"/>
      <c r="K107" s="110"/>
      <c r="L107" s="110"/>
      <c r="M107" s="110"/>
      <c r="N107" s="110"/>
      <c r="O107" s="110"/>
      <c r="P107" s="110"/>
    </row>
    <row r="108" spans="2:26" s="110" customFormat="1" x14ac:dyDescent="0.2">
      <c r="B108" s="239"/>
      <c r="D108" s="240"/>
      <c r="E108" s="233"/>
      <c r="W108" s="63"/>
      <c r="X108" s="63"/>
      <c r="Y108" s="63"/>
      <c r="Z108" s="63"/>
    </row>
    <row r="109" spans="2:26" s="110" customFormat="1" x14ac:dyDescent="0.2">
      <c r="B109" s="239"/>
      <c r="C109" s="183" t="str">
        <f>IF(topdowntables!N4=1, "N og P bidrag fra Grovfoder, diegivende", "N an P content in roughage, lactation period")</f>
        <v>N og P bidrag fra Grovfoder, diegivende</v>
      </c>
      <c r="D109" s="240"/>
      <c r="E109" s="233"/>
      <c r="W109" s="63"/>
      <c r="X109" s="63"/>
      <c r="Y109" s="63"/>
      <c r="Z109" s="63"/>
    </row>
    <row r="110" spans="2:26" s="110" customFormat="1" x14ac:dyDescent="0.2">
      <c r="B110" s="239"/>
      <c r="C110" s="63" t="str">
        <f>IF(topdowntables!N4=1, "Råprotein per årsso, kg", "Crude protein, kg per yearsow")</f>
        <v>Råprotein per årsso, kg</v>
      </c>
      <c r="D110" s="667">
        <f>((D100*D41)+(D106*D40))/1000</f>
        <v>0</v>
      </c>
      <c r="E110" s="233"/>
      <c r="F110" s="110" t="s">
        <v>1851</v>
      </c>
      <c r="W110" s="63"/>
      <c r="X110" s="63"/>
      <c r="Y110" s="63"/>
      <c r="Z110" s="63"/>
    </row>
    <row r="111" spans="2:26" s="110" customFormat="1" x14ac:dyDescent="0.2">
      <c r="B111" s="239"/>
      <c r="C111" s="110" t="str">
        <f>IF(topdowntables!N4=1, "N per årsso, kg", "N, kg per yearsow")</f>
        <v>N per årsso, kg</v>
      </c>
      <c r="D111" s="259">
        <f>D110/6.25</f>
        <v>0</v>
      </c>
      <c r="E111" s="233"/>
      <c r="W111" s="63"/>
      <c r="X111" s="63"/>
      <c r="Y111" s="63"/>
      <c r="Z111" s="63"/>
    </row>
    <row r="112" spans="2:26" s="110" customFormat="1" x14ac:dyDescent="0.2">
      <c r="B112" s="239"/>
      <c r="C112" s="110" t="str">
        <f>IF(topdowntables!N4=1, "P per årsso, kg", "P, kg per yearsow")</f>
        <v>P per årsso, kg</v>
      </c>
      <c r="D112" s="259">
        <f>((D101*D41)+(D107*D40))/1000</f>
        <v>0</v>
      </c>
      <c r="E112" s="233"/>
      <c r="W112" s="63"/>
      <c r="X112" s="63"/>
      <c r="Y112" s="63"/>
      <c r="Z112" s="63"/>
    </row>
    <row r="113" spans="2:26" s="110" customFormat="1" x14ac:dyDescent="0.2">
      <c r="B113" s="239"/>
      <c r="D113" s="259"/>
      <c r="E113" s="233"/>
      <c r="W113" s="63"/>
      <c r="X113" s="63"/>
      <c r="Y113" s="63"/>
      <c r="Z113" s="63"/>
    </row>
    <row r="114" spans="2:26" s="110" customFormat="1" x14ac:dyDescent="0.2">
      <c r="B114" s="237"/>
      <c r="C114" s="256" t="str">
        <f>IF(topdowntables!$N$4=1, "Grovfoder, drægtige", "Roughage, gestation period")</f>
        <v>Grovfoder, drægtige</v>
      </c>
      <c r="D114" s="240"/>
      <c r="E114" s="233"/>
      <c r="W114" s="63"/>
      <c r="X114" s="63"/>
      <c r="Y114" s="63"/>
      <c r="Z114" s="63"/>
    </row>
    <row r="115" spans="2:26" s="110" customFormat="1" x14ac:dyDescent="0.2">
      <c r="B115" s="239"/>
      <c r="C115" s="110" t="str">
        <f>IF(topdowntables!$N$4=1, "FEso/100 kg", "FUsow/100 kg")</f>
        <v>FEso/100 kg</v>
      </c>
      <c r="D115" s="242">
        <f xml:space="preserve"> SUM((IFERROR(VLOOKUP('input-data'!$E$147,Fodertabel,4,FALSE),0)*'input-data'!I147/100)
+(IFERROR(VLOOKUP('input-data'!$E$148,Fodertabel,4,FALSE),0)*'input-data'!I148/100)
+(IFERROR(VLOOKUP('input-data'!$E$149,Fodertabel,4,FALSE),0)*'input-data'!I149/100)
+(IFERROR(VLOOKUP('input-data'!$E$150,Fodertabel,4,FALSE),0)*'input-data'!I150/100)
+(IFERROR(VLOOKUP('input-data'!$E$151,Fodertabel,4,FALSE),0)*'input-data'!I151/100))*100</f>
        <v>0</v>
      </c>
      <c r="E115" s="233"/>
      <c r="W115" s="63"/>
      <c r="X115" s="63"/>
      <c r="Y115" s="63"/>
      <c r="Z115" s="63"/>
    </row>
    <row r="116" spans="2:26" s="110" customFormat="1" x14ac:dyDescent="0.2">
      <c r="B116" s="239"/>
      <c r="C116" s="110" t="str">
        <f>IF(topdowntables!$N$4=1, "Tørstof, %", "Dry matter, %")</f>
        <v>Tørstof, %</v>
      </c>
      <c r="D116" s="242">
        <f xml:space="preserve"> SUM((IFERROR(VLOOKUP('input-data'!$E$147,Fodertabel,9,FALSE),0)*'input-data'!I147/100)
+(IFERROR(VLOOKUP('input-data'!$E$148,Fodertabel,9,FALSE),0)*'input-data'!I148/100)
+(IFERROR(VLOOKUP('input-data'!$E$149,Fodertabel,9,FALSE),0)*'input-data'!I149/100)
+(IFERROR(VLOOKUP('input-data'!$E$150,Fodertabel,9,FALSE),0)*'input-data'!I150/100)
+(IFERROR(VLOOKUP('input-data'!$E$151,Fodertabel,9,FALSE),0)*'input-data'!I151/100))</f>
        <v>0</v>
      </c>
      <c r="E116" s="233"/>
      <c r="W116" s="63"/>
      <c r="X116" s="63"/>
      <c r="Y116" s="63"/>
      <c r="Z116" s="63"/>
    </row>
    <row r="117" spans="2:26" s="110" customFormat="1" x14ac:dyDescent="0.2">
      <c r="B117" s="239"/>
      <c r="C117" s="110" t="str">
        <f>IF(topdowntables!$N$4=1, "Råprotein, g per kg foder", "Crude protein, g per kg feed")</f>
        <v>Råprotein, g per kg foder</v>
      </c>
      <c r="D117" s="242">
        <f xml:space="preserve"> SUM((IFERROR(VLOOKUP('input-data'!$E$147,Fodertabel,10,FALSE),0)*'input-data'!I147/100)
+(IFERROR(VLOOKUP('input-data'!$E$148,Fodertabel,10,FALSE),0)*'input-data'!I148/100)
+(IFERROR(VLOOKUP('input-data'!$E$149,Fodertabel,10,FALSE),0)*'input-data'!I149/100)
+(IFERROR(VLOOKUP('input-data'!$E$150,Fodertabel,10,FALSE),0)*'input-data'!I150/100)
+(IFERROR(VLOOKUP('input-data'!$E$151,Fodertabel,10,FALSE),0)*'input-data'!I151/100))*10</f>
        <v>0</v>
      </c>
      <c r="E117" s="233"/>
      <c r="W117" s="63"/>
      <c r="X117" s="63"/>
      <c r="Y117" s="63"/>
      <c r="Z117" s="63"/>
    </row>
    <row r="118" spans="2:26" s="110" customFormat="1" x14ac:dyDescent="0.2">
      <c r="B118" s="239"/>
      <c r="C118" s="110" t="str">
        <f>IF(topdowntables!$N$4=1, "Fosfor, g per kg foder", "Phosphorus, g per kg feed")</f>
        <v>Fosfor, g per kg foder</v>
      </c>
      <c r="D118" s="240">
        <f xml:space="preserve"> SUM((IFERROR(VLOOKUP('input-data'!$E$147,Fodertabel,79,FALSE),0)*'input-data'!I147/100)
+(IFERROR(VLOOKUP('input-data'!$E$148,Fodertabel,79,FALSE),0)*'input-data'!I148/100)
+(IFERROR(VLOOKUP('input-data'!$E$149,Fodertabel,79,FALSE),0)*'input-data'!I149/100)
+(IFERROR(VLOOKUP('input-data'!$E$150,Fodertabel,79,FALSE),0)*'input-data'!I150/100)
+(IFERROR(VLOOKUP('input-data'!$E$151,Fodertabel,79,FALSE),0)*'input-data'!I151/100))</f>
        <v>0</v>
      </c>
      <c r="E118" s="233"/>
      <c r="W118" s="63"/>
      <c r="X118" s="63"/>
      <c r="Y118" s="63"/>
      <c r="Z118" s="63"/>
    </row>
    <row r="119" spans="2:26" s="110" customFormat="1" x14ac:dyDescent="0.2">
      <c r="B119" s="239"/>
      <c r="D119" s="259"/>
      <c r="E119" s="233"/>
      <c r="W119" s="63"/>
      <c r="X119" s="63"/>
      <c r="Y119" s="63"/>
      <c r="Z119" s="63"/>
    </row>
    <row r="120" spans="2:26" x14ac:dyDescent="0.2">
      <c r="B120" s="237"/>
      <c r="C120" s="183" t="str">
        <f>IF(topdowntables!$N$4=1, "Græs, drægtige:", "Grass,  gestation period:")</f>
        <v>Græs, drægtige:</v>
      </c>
      <c r="D120" s="240"/>
      <c r="E120" s="110"/>
      <c r="F120" s="252"/>
      <c r="G120" s="233"/>
      <c r="H120" s="110"/>
      <c r="I120" s="110"/>
      <c r="J120" s="110"/>
      <c r="K120" s="110"/>
      <c r="L120" s="110"/>
      <c r="M120" s="110"/>
      <c r="N120" s="110"/>
      <c r="O120" s="110"/>
      <c r="P120" s="110"/>
    </row>
    <row r="121" spans="2:26" x14ac:dyDescent="0.2">
      <c r="B121" s="237"/>
      <c r="C121" s="110" t="str">
        <f>IF(topdowntables!$N$4=1, "FEsv/100 kg", "FUpiglet/100 kg")</f>
        <v>FEsv/100 kg</v>
      </c>
      <c r="D121" s="242">
        <f>SUM((IFERROR(VLOOKUP('input-data'!$E$328,Fodertabel!$D$353:$HU$356,4,FALSE),0)))*100</f>
        <v>11.899999999999999</v>
      </c>
      <c r="E121" s="110"/>
      <c r="F121" s="252"/>
      <c r="G121" s="233"/>
      <c r="H121" s="110"/>
      <c r="I121" s="110"/>
      <c r="J121" s="110"/>
      <c r="K121" s="110"/>
      <c r="L121" s="110"/>
      <c r="M121" s="110"/>
      <c r="N121" s="110"/>
      <c r="O121" s="110"/>
      <c r="P121" s="110"/>
    </row>
    <row r="122" spans="2:26" x14ac:dyDescent="0.2">
      <c r="B122" s="237"/>
      <c r="C122" s="110" t="str">
        <f>IF(topdowntables!$N$4=1, "Tørstof, %", "Dry matter, %")</f>
        <v>Tørstof, %</v>
      </c>
      <c r="D122" s="242">
        <f>SUM((IFERROR(VLOOKUP('input-data'!$E$328,Fodertabel!$D$353:$HU$356,9,FALSE),0)))</f>
        <v>17</v>
      </c>
      <c r="E122" s="110"/>
      <c r="F122" s="252"/>
      <c r="G122" s="233"/>
      <c r="H122" s="110"/>
      <c r="I122" s="110"/>
      <c r="J122" s="110"/>
      <c r="K122" s="110"/>
      <c r="L122" s="110"/>
      <c r="M122" s="110"/>
      <c r="N122" s="110"/>
      <c r="O122" s="110"/>
      <c r="P122" s="110"/>
    </row>
    <row r="123" spans="2:26" x14ac:dyDescent="0.2">
      <c r="B123" s="237"/>
      <c r="C123" s="110" t="str">
        <f>IF(topdowntables!$N$4=1, "Råprotein, g per kg foder", "Crude protein, g per kg feed")</f>
        <v>Råprotein, g per kg foder</v>
      </c>
      <c r="D123" s="242">
        <f>SUM((IFERROR(VLOOKUP('input-data'!$E$328,Fodertabel!$D$353:$HU$356,10,FALSE),0)))*10</f>
        <v>30.299999999999997</v>
      </c>
      <c r="E123" s="110"/>
      <c r="F123" s="252"/>
      <c r="G123" s="233"/>
      <c r="H123" s="110"/>
      <c r="I123" s="110"/>
      <c r="J123" s="110"/>
      <c r="K123" s="110"/>
      <c r="L123" s="110"/>
      <c r="M123" s="110"/>
      <c r="N123" s="110"/>
      <c r="O123" s="110"/>
      <c r="P123" s="110"/>
    </row>
    <row r="124" spans="2:26" x14ac:dyDescent="0.2">
      <c r="B124" s="237"/>
      <c r="C124" s="110" t="str">
        <f>IF(topdowntables!$N$4=1, "Fosfor, g per kg foder", "Phosphorus, g per kg feed")</f>
        <v>Fosfor, g per kg foder</v>
      </c>
      <c r="D124" s="242">
        <f>SUM((IFERROR(VLOOKUP('input-data'!$E$328,Fodertabel!$D$353:$HU$356,79,FALSE),0)))*10</f>
        <v>0</v>
      </c>
      <c r="E124" s="110"/>
      <c r="F124" s="252"/>
      <c r="G124" s="233"/>
      <c r="H124" s="110"/>
      <c r="I124" s="110"/>
      <c r="J124" s="110"/>
      <c r="K124" s="110"/>
      <c r="L124" s="110"/>
      <c r="M124" s="110"/>
      <c r="N124" s="110"/>
      <c r="O124" s="110"/>
      <c r="P124" s="110"/>
    </row>
    <row r="125" spans="2:26" s="110" customFormat="1" x14ac:dyDescent="0.2">
      <c r="B125" s="239"/>
      <c r="D125" s="240"/>
      <c r="E125" s="233"/>
      <c r="W125" s="63"/>
      <c r="X125" s="63"/>
      <c r="Y125" s="63"/>
      <c r="Z125" s="63"/>
    </row>
    <row r="126" spans="2:26" s="110" customFormat="1" x14ac:dyDescent="0.2">
      <c r="B126" s="239"/>
      <c r="C126" s="183" t="str">
        <f>IF(topdowntables!N4=1, "N og P bidrag fra Grovfoder, drægtige", " N and P content in roughage, gestating period")</f>
        <v>N og P bidrag fra Grovfoder, drægtige</v>
      </c>
      <c r="D126" s="240"/>
      <c r="E126" s="233"/>
      <c r="W126" s="63"/>
      <c r="X126" s="63"/>
      <c r="Y126" s="63"/>
      <c r="Z126" s="63"/>
    </row>
    <row r="127" spans="2:26" s="110" customFormat="1" x14ac:dyDescent="0.2">
      <c r="B127" s="239"/>
      <c r="C127" s="63" t="str">
        <f>IF(topdowntables!N4=1, "Råprotein per årsso, kg", "Crude protein, kg per yearsow")</f>
        <v>Råprotein per årsso, kg</v>
      </c>
      <c r="D127" s="667">
        <f>((D117*D45)+(D123*D44))/1000</f>
        <v>0</v>
      </c>
      <c r="E127" s="233"/>
      <c r="F127" s="110" t="s">
        <v>1851</v>
      </c>
      <c r="W127" s="63"/>
      <c r="X127" s="63"/>
      <c r="Y127" s="63"/>
      <c r="Z127" s="63"/>
    </row>
    <row r="128" spans="2:26" s="110" customFormat="1" x14ac:dyDescent="0.2">
      <c r="B128" s="239"/>
      <c r="C128" s="110" t="str">
        <f>IF(topdowntables!N4=1, "N per årsso, kg", "N, kg per yearsow")</f>
        <v>N per årsso, kg</v>
      </c>
      <c r="D128" s="259">
        <f>D127/6.25</f>
        <v>0</v>
      </c>
      <c r="E128" s="233"/>
      <c r="W128" s="63"/>
      <c r="X128" s="63"/>
      <c r="Y128" s="63"/>
      <c r="Z128" s="63"/>
    </row>
    <row r="129" spans="2:26" s="110" customFormat="1" x14ac:dyDescent="0.2">
      <c r="B129" s="239"/>
      <c r="C129" s="110" t="str">
        <f>IF(topdowntables!N4=1, "P per årsso, kg", "P, kg per yearsow")</f>
        <v>P per årsso, kg</v>
      </c>
      <c r="D129" s="259">
        <f>((D118*D45)+(D124*D44))/1000</f>
        <v>0</v>
      </c>
      <c r="E129" s="233"/>
      <c r="W129" s="63"/>
      <c r="X129" s="63"/>
      <c r="Y129" s="63"/>
      <c r="Z129" s="63"/>
    </row>
    <row r="130" spans="2:26" s="110" customFormat="1" x14ac:dyDescent="0.2">
      <c r="B130" s="239"/>
      <c r="D130" s="259"/>
      <c r="E130" s="233"/>
      <c r="W130" s="63"/>
      <c r="X130" s="63"/>
      <c r="Y130" s="63"/>
      <c r="Z130" s="63"/>
    </row>
    <row r="131" spans="2:26" s="110" customFormat="1" x14ac:dyDescent="0.2">
      <c r="B131" s="234" t="str">
        <f>IF(topdowntables!N4=1, "Halm:", "Straw:")</f>
        <v>Halm:</v>
      </c>
      <c r="C131" s="255"/>
      <c r="D131" s="253"/>
      <c r="E131" s="233"/>
      <c r="W131" s="63"/>
      <c r="X131" s="63"/>
      <c r="Y131" s="63"/>
      <c r="Z131" s="63"/>
    </row>
    <row r="132" spans="2:26" s="110" customFormat="1" x14ac:dyDescent="0.2">
      <c r="B132" s="237"/>
      <c r="C132" s="256" t="str">
        <f>IF(topdowntables!N4=1, "Diegivende:", "Lactation period:")</f>
        <v>Diegivende:</v>
      </c>
      <c r="D132" s="240"/>
      <c r="E132" s="233"/>
      <c r="W132" s="63"/>
      <c r="X132" s="63"/>
      <c r="Y132" s="63"/>
      <c r="Z132" s="63"/>
    </row>
    <row r="133" spans="2:26" s="110" customFormat="1" x14ac:dyDescent="0.2">
      <c r="B133" s="237"/>
      <c r="C133" s="110" t="str">
        <f>IF(topdowntables!N4=1, "Tørstof, %", "Dry matter, %")</f>
        <v>Tørstof, %</v>
      </c>
      <c r="D133" s="242">
        <f>IF(OR('input-data'!$E$302=topdowntables!$C$4,'input-data'!$E$302=topdowntables!$C$9),(VLOOKUP('input-data'!$E$310,Fodertabel,9)),
IF(OR('input-data'!$E$302=topdowntables!$C$5,'input-data'!$E$302=topdowntables!$C$10),(VLOOKUP('input-data'!$E$317,Fodertabel,9)),
IF(OR('input-data'!$E$302=topdowntables!$C$6,'input-data'!$E$302=topdowntables!$C$11),(
(VLOOKUP('input-data'!$E$310,Fodertabel,9))*((('input-data'!E309*'input-data'!E15*('input-data'!F303/365))/D49))
)
+((VLOOKUP('input-data'!$E$317,Fodertabel,9))*((('input-data'!E316*'input-data'!E15)*((365-'input-data'!F303)/365))/D49)),0)))</f>
        <v>90</v>
      </c>
      <c r="E133" s="233"/>
      <c r="W133" s="63"/>
      <c r="X133" s="63"/>
      <c r="Y133" s="63"/>
      <c r="Z133" s="63"/>
    </row>
    <row r="134" spans="2:26" s="110" customFormat="1" x14ac:dyDescent="0.2">
      <c r="B134" s="237"/>
      <c r="C134" s="110" t="str">
        <f>IF(topdowntables!N4=1, "Råprotein, g per kg strøelse", "Crude protein, g per kg straw")</f>
        <v>Råprotein, g per kg strøelse</v>
      </c>
      <c r="D134" s="242">
        <f>IF(OR('input-data'!$E$302=topdowntables!$C$4,'input-data'!$E$302=topdowntables!$C$9),(VLOOKUP('input-data'!$E$310,Fodertabel,10)),
IF(OR('input-data'!$E$302=topdowntables!$C$5,'input-data'!$E$302=topdowntables!$C$10),(VLOOKUP('input-data'!$E$317,Fodertabel,10)),
IF(OR('input-data'!$E$302=topdowntables!$C$6,'input-data'!$E$302=topdowntables!$C$11),(
(VLOOKUP('input-data'!$E$310,Fodertabel,10))*((('input-data'!E309*'input-data'!E15*('input-data'!F303/365))/D49))
)
+((VLOOKUP('input-data'!$E$317,Fodertabel,10))*((('input-data'!E316*'input-data'!E15)*((365-'input-data'!F303)/365))/D49)),0)))
*10</f>
        <v>36</v>
      </c>
      <c r="E134" s="233"/>
      <c r="W134" s="63"/>
      <c r="X134" s="63"/>
      <c r="Y134" s="63"/>
      <c r="Z134" s="63"/>
    </row>
    <row r="135" spans="2:26" s="110" customFormat="1" x14ac:dyDescent="0.2">
      <c r="B135" s="237"/>
      <c r="C135" s="110" t="str">
        <f>IF(topdowntables!N4=1, "Fosfor, g per kg strøelse", "Phosphorus, g per kg straw")</f>
        <v>Fosfor, g per kg strøelse</v>
      </c>
      <c r="D135" s="240">
        <f>IFERROR(IF(OR('input-data'!$E$302=topdowntables!$C$4,'input-data'!$E$302=topdowntables!$C$9),(VLOOKUP('input-data'!$E$310,Fodertabel,79)),
IF(OR('input-data'!$E$302=topdowntables!$C$5,'input-data'!$E$302=topdowntables!$C$10),(VLOOKUP('input-data'!$E$317,Fodertabel,79)),
IF(OR('input-data'!$E$302=topdowntables!$C$6,'input-data'!$E$302=topdowntables!$C$11),((VLOOKUP('input-data'!$E$310,Fodertabel,79))*((('input-data'!E309*'input-data'!E15*('input-data'!F303/365))/D49)))
+((VLOOKUP('input-data'!$E$317,Fodertabel,79))*((('input-data'!E316*'input-data'!E15)*((365-'input-data'!F303)/365))/D49)),0))),0)</f>
        <v>0.81</v>
      </c>
      <c r="E135" s="233"/>
      <c r="W135" s="63"/>
      <c r="X135" s="63"/>
      <c r="Y135" s="63"/>
      <c r="Z135" s="63"/>
    </row>
    <row r="136" spans="2:26" s="110" customFormat="1" x14ac:dyDescent="0.2">
      <c r="B136" s="237"/>
      <c r="C136" s="260" t="str">
        <f>IF(topdowntables!N4=1, "N og P bidrag fra halm, diegivende", "N and P content in straw, lactating period")</f>
        <v>N og P bidrag fra halm, diegivende</v>
      </c>
      <c r="D136" s="240"/>
      <c r="E136" s="233"/>
      <c r="W136" s="63"/>
      <c r="X136" s="63"/>
      <c r="Y136" s="63"/>
      <c r="Z136" s="63"/>
    </row>
    <row r="137" spans="2:26" s="110" customFormat="1" x14ac:dyDescent="0.2">
      <c r="B137" s="237"/>
      <c r="C137" s="63" t="str">
        <f>IF(topdowntables!N4=1, "Råprotein per årsso, kg", "Crude protein, kg per yearsow")</f>
        <v>Råprotein per årsso, kg</v>
      </c>
      <c r="D137" s="240">
        <f>D134*D49/1000</f>
        <v>0</v>
      </c>
      <c r="E137" s="233"/>
      <c r="W137" s="63"/>
      <c r="X137" s="63"/>
      <c r="Y137" s="63"/>
      <c r="Z137" s="63"/>
    </row>
    <row r="138" spans="2:26" s="110" customFormat="1" x14ac:dyDescent="0.2">
      <c r="B138" s="237"/>
      <c r="C138" s="110" t="str">
        <f>IF(topdowntables!N4=1, "N per årsso, kg", "N, kg per yearsow")</f>
        <v>N per årsso, kg</v>
      </c>
      <c r="D138" s="240">
        <f>D137/6.25</f>
        <v>0</v>
      </c>
      <c r="E138" s="233"/>
      <c r="W138" s="63"/>
      <c r="X138" s="63"/>
      <c r="Y138" s="63"/>
      <c r="Z138" s="63"/>
    </row>
    <row r="139" spans="2:26" s="110" customFormat="1" x14ac:dyDescent="0.2">
      <c r="B139" s="237"/>
      <c r="C139" s="110" t="str">
        <f>IF(topdowntables!N4=1, "P per årsso, kg", "P, kg per yearsow")</f>
        <v>P per årsso, kg</v>
      </c>
      <c r="D139" s="240">
        <f>D135*D49/1000</f>
        <v>0</v>
      </c>
      <c r="E139" s="233"/>
      <c r="W139" s="63"/>
      <c r="X139" s="63"/>
      <c r="Y139" s="63"/>
      <c r="Z139" s="63"/>
    </row>
    <row r="140" spans="2:26" s="110" customFormat="1" x14ac:dyDescent="0.2">
      <c r="B140" s="237"/>
      <c r="C140" s="261"/>
      <c r="D140" s="240"/>
      <c r="E140" s="233"/>
      <c r="W140" s="63"/>
      <c r="X140" s="63"/>
      <c r="Y140" s="63"/>
      <c r="Z140" s="63"/>
    </row>
    <row r="141" spans="2:26" s="110" customFormat="1" x14ac:dyDescent="0.2">
      <c r="B141" s="237"/>
      <c r="C141" s="256" t="str">
        <f>IF(topdowntables!N4=1, "Drægtige", "Gestation period")</f>
        <v>Drægtige</v>
      </c>
      <c r="D141" s="240"/>
      <c r="E141" s="233"/>
      <c r="W141" s="63"/>
      <c r="X141" s="63"/>
      <c r="Y141" s="63"/>
      <c r="Z141" s="63"/>
    </row>
    <row r="142" spans="2:26" s="110" customFormat="1" x14ac:dyDescent="0.2">
      <c r="B142" s="237"/>
      <c r="C142" s="110" t="str">
        <f>IF(topdowntables!N4=1, "Tørstof, %", "Dry matter, %")</f>
        <v>Tørstof, %</v>
      </c>
      <c r="D142" s="242">
        <f>IF(OR('input-data'!$E$324=topdowntables!$C$4,'input-data'!$E$324=topdowntables!$C$9), (VLOOKUP('input-data'!$E$332,Fodertabel,9)),
IF(OR('input-data'!$E$324=topdowntables!$C$5,'input-data'!$E$324=topdowntables!$C$10), (VLOOKUP('input-data'!$E$339,Fodertabel,9)),
IF(OR('input-data'!$E$324=topdowntables!$C$6,'input-data'!$E$324=topdowntables!$C$11),
((VLOOKUP('input-data'!$E$332,Fodertabel,9))*((('input-data'!E331*(D27+D28)*('input-data'!F325/365))/D50)))
+((VLOOKUP('input-data'!$E$339,Fodertabel,9))*((('input-data'!E338*(D27+D28))*((365-'input-data'!F325)/365))/D50)),0)))</f>
        <v>90</v>
      </c>
      <c r="E142" s="233"/>
      <c r="W142" s="63"/>
      <c r="X142" s="63"/>
      <c r="Y142" s="63"/>
      <c r="Z142" s="63"/>
    </row>
    <row r="143" spans="2:26" s="110" customFormat="1" x14ac:dyDescent="0.2">
      <c r="B143" s="237"/>
      <c r="C143" s="110" t="str">
        <f>IF(topdowntables!N4=1, "Råprotein, g per kg strøelse", "Crude protein, g per kg straw")</f>
        <v>Råprotein, g per kg strøelse</v>
      </c>
      <c r="D143" s="242">
        <f>IF(OR('input-data'!$E$324=topdowntables!$C$4,'input-data'!$E$324=topdowntables!$C$9), (VLOOKUP('input-data'!$E$332,Fodertabel,10)),
IF(OR('input-data'!$E$324=topdowntables!$C$5,'input-data'!$E$324=topdowntables!$C$10), (VLOOKUP('input-data'!$E$339,Fodertabel,10)),
IF(OR('input-data'!$E$324=topdowntables!$C$6,'input-data'!$E$324=topdowntables!$C$11),
((VLOOKUP('input-data'!$E$332,Fodertabel,10))*((('input-data'!E331*(D27+D28)*('input-data'!F325/365))/D50)))
+((VLOOKUP('input-data'!$E$339,Fodertabel,10))*((('input-data'!E338*(D27+D28))*((365-'input-data'!F325)/365))/D50)),0)))*10</f>
        <v>36</v>
      </c>
      <c r="E143" s="233"/>
      <c r="W143" s="63"/>
      <c r="X143" s="63"/>
      <c r="Y143" s="63"/>
      <c r="Z143" s="63"/>
    </row>
    <row r="144" spans="2:26" s="110" customFormat="1" x14ac:dyDescent="0.2">
      <c r="B144" s="237"/>
      <c r="C144" s="110" t="str">
        <f>IF(topdowntables!N4=1, "Fosfor, g per kg strøelse", "Phosphorus, g per kg straw")</f>
        <v>Fosfor, g per kg strøelse</v>
      </c>
      <c r="D144" s="240">
        <f>IF(OR('input-data'!$E$324=topdowntables!$C$4,'input-data'!$E$324=topdowntables!$C$9), (VLOOKUP('input-data'!$E$332,Fodertabel,79)),
IF(OR('input-data'!$E$324=topdowntables!$C$5,'input-data'!$E$324=topdowntables!$C$10), (VLOOKUP('input-data'!$E$339,Fodertabel,79)),
IF(OR('input-data'!$E$324=topdowntables!$C$6,'input-data'!$E$324=topdowntables!$C$11),
((VLOOKUP('input-data'!$E$332,Fodertabel,79))*((('input-data'!E331*(D27+D28)*('input-data'!F325/365))/D50)))
+((VLOOKUP('input-data'!$E$339,Fodertabel,79))*((('input-data'!E338*(D27+D28))*((365-'input-data'!F325)/365))/D50)),0)))</f>
        <v>0.81</v>
      </c>
      <c r="E144" s="233"/>
      <c r="W144" s="63"/>
      <c r="X144" s="63"/>
      <c r="Y144" s="63"/>
      <c r="Z144" s="63"/>
    </row>
    <row r="145" spans="1:26" s="110" customFormat="1" x14ac:dyDescent="0.2">
      <c r="B145" s="237"/>
      <c r="C145" s="260" t="str">
        <f>IF(topdowntables!N4=1, "N og P bidrag fra halm, drægtige", "N and P content in straw, gestating period")</f>
        <v>N og P bidrag fra halm, drægtige</v>
      </c>
      <c r="D145" s="240"/>
      <c r="E145" s="233"/>
      <c r="W145" s="63"/>
      <c r="X145" s="63"/>
      <c r="Y145" s="63"/>
      <c r="Z145" s="63"/>
    </row>
    <row r="146" spans="1:26" s="110" customFormat="1" x14ac:dyDescent="0.2">
      <c r="B146" s="239"/>
      <c r="C146" s="63" t="str">
        <f>IF(topdowntables!N4=1, "Råprotein per årsso, kg", "Crude protein, kg per yearsow")</f>
        <v>Råprotein per årsso, kg</v>
      </c>
      <c r="D146" s="240">
        <f>D143*D50/1000</f>
        <v>1.3140000000000001</v>
      </c>
      <c r="E146" s="233"/>
      <c r="W146" s="63"/>
      <c r="X146" s="63"/>
      <c r="Y146" s="63"/>
      <c r="Z146" s="63"/>
    </row>
    <row r="147" spans="1:26" x14ac:dyDescent="0.2">
      <c r="B147" s="239"/>
      <c r="C147" s="110" t="str">
        <f>IF(topdowntables!N4=1, "N per årsso, kg", "N, kg per yearsow")</f>
        <v>N per årsso, kg</v>
      </c>
      <c r="D147" s="240">
        <f>D146/6.25</f>
        <v>0.21024000000000001</v>
      </c>
      <c r="E147" s="233"/>
      <c r="F147" s="110"/>
      <c r="G147" s="110"/>
      <c r="H147" s="110"/>
      <c r="I147" s="110"/>
      <c r="J147" s="110"/>
      <c r="K147" s="110"/>
      <c r="L147" s="110"/>
      <c r="M147" s="110"/>
      <c r="N147" s="110"/>
      <c r="O147" s="110"/>
      <c r="P147" s="110"/>
    </row>
    <row r="148" spans="1:26" ht="15" thickBot="1" x14ac:dyDescent="0.25">
      <c r="A148" s="228"/>
      <c r="B148" s="246"/>
      <c r="C148" s="247" t="str">
        <f>IF(topdowntables!N4=1, "P per årsso, kg", "P, kg per yearsow")</f>
        <v>P per årsso, kg</v>
      </c>
      <c r="D148" s="262">
        <f>D144*D50/1000</f>
        <v>2.9565000000000001E-2</v>
      </c>
      <c r="E148" s="233"/>
      <c r="F148" s="110"/>
      <c r="G148" s="110"/>
      <c r="H148" s="110"/>
      <c r="I148" s="110"/>
      <c r="J148" s="110"/>
      <c r="K148" s="110"/>
      <c r="L148" s="110"/>
      <c r="M148" s="110"/>
      <c r="N148" s="110"/>
      <c r="O148" s="110"/>
      <c r="P148" s="110"/>
    </row>
    <row r="149" spans="1:26" s="110" customFormat="1" ht="15.75" customHeight="1" x14ac:dyDescent="0.2">
      <c r="B149" s="63"/>
      <c r="F149" s="111"/>
      <c r="H149" s="111"/>
      <c r="J149" s="111"/>
    </row>
    <row r="150" spans="1:26" s="63" customFormat="1" x14ac:dyDescent="0.2">
      <c r="B150" s="177"/>
      <c r="C150" s="263"/>
    </row>
    <row r="151" spans="1:26" s="63" customFormat="1" x14ac:dyDescent="0.2">
      <c r="B151" s="264"/>
      <c r="D151" s="226"/>
      <c r="E151" s="226"/>
      <c r="F151" s="177"/>
    </row>
    <row r="152" spans="1:26" s="63" customFormat="1" x14ac:dyDescent="0.2">
      <c r="B152" s="264"/>
      <c r="D152" s="226"/>
      <c r="E152" s="226"/>
      <c r="F152" s="177"/>
    </row>
    <row r="153" spans="1:26" s="63" customFormat="1" x14ac:dyDescent="0.2">
      <c r="D153" s="265"/>
      <c r="E153" s="265"/>
    </row>
    <row r="154" spans="1:26" s="63" customFormat="1" x14ac:dyDescent="0.2">
      <c r="D154" s="265"/>
      <c r="E154" s="265"/>
      <c r="I154" s="261"/>
    </row>
    <row r="155" spans="1:26" s="63" customFormat="1" x14ac:dyDescent="0.2">
      <c r="D155" s="265"/>
      <c r="E155" s="265"/>
      <c r="I155" s="261"/>
    </row>
    <row r="156" spans="1:26" s="63" customFormat="1" x14ac:dyDescent="0.2">
      <c r="B156" s="264"/>
      <c r="D156" s="266"/>
      <c r="E156" s="265"/>
      <c r="I156" s="261"/>
    </row>
    <row r="157" spans="1:26" s="63" customFormat="1" x14ac:dyDescent="0.2">
      <c r="D157" s="265"/>
      <c r="E157" s="265"/>
      <c r="I157" s="261"/>
    </row>
    <row r="158" spans="1:26" s="63" customFormat="1" x14ac:dyDescent="0.2">
      <c r="D158" s="265"/>
      <c r="E158" s="265"/>
      <c r="I158" s="261"/>
    </row>
    <row r="159" spans="1:26" s="63" customFormat="1" x14ac:dyDescent="0.2">
      <c r="D159" s="265"/>
      <c r="E159" s="265"/>
      <c r="I159" s="261"/>
    </row>
    <row r="160" spans="1:26" s="63" customFormat="1" x14ac:dyDescent="0.2">
      <c r="D160" s="265"/>
      <c r="E160" s="265"/>
      <c r="I160" s="261"/>
    </row>
    <row r="161" spans="1:10" s="63" customFormat="1" x14ac:dyDescent="0.2">
      <c r="B161" s="264"/>
      <c r="D161" s="266"/>
      <c r="E161" s="266"/>
    </row>
    <row r="162" spans="1:10" s="63" customFormat="1" x14ac:dyDescent="0.2">
      <c r="D162" s="265"/>
      <c r="E162" s="265"/>
      <c r="I162" s="261"/>
    </row>
    <row r="163" spans="1:10" s="63" customFormat="1" x14ac:dyDescent="0.2">
      <c r="D163" s="265"/>
      <c r="E163" s="265"/>
      <c r="I163" s="261"/>
    </row>
    <row r="164" spans="1:10" s="63" customFormat="1" x14ac:dyDescent="0.2">
      <c r="D164" s="265"/>
      <c r="E164" s="265"/>
      <c r="I164" s="261"/>
    </row>
    <row r="165" spans="1:10" s="63" customFormat="1" x14ac:dyDescent="0.2">
      <c r="B165" s="267"/>
      <c r="D165" s="265"/>
      <c r="E165" s="265"/>
      <c r="I165" s="261"/>
    </row>
    <row r="166" spans="1:10" s="63" customFormat="1" x14ac:dyDescent="0.2">
      <c r="A166" s="264"/>
      <c r="B166" s="264"/>
      <c r="C166" s="267"/>
      <c r="D166" s="266"/>
      <c r="E166" s="266"/>
    </row>
    <row r="167" spans="1:10" s="63" customFormat="1" x14ac:dyDescent="0.2">
      <c r="D167" s="266"/>
      <c r="E167" s="266"/>
    </row>
    <row r="168" spans="1:10" s="63" customFormat="1" x14ac:dyDescent="0.2">
      <c r="D168" s="266"/>
      <c r="E168" s="266"/>
    </row>
    <row r="169" spans="1:10" s="63" customFormat="1" x14ac:dyDescent="0.2">
      <c r="D169" s="266"/>
      <c r="E169" s="266"/>
    </row>
    <row r="170" spans="1:10" s="63" customFormat="1" x14ac:dyDescent="0.2">
      <c r="C170" s="264"/>
      <c r="D170" s="266"/>
      <c r="E170" s="266"/>
    </row>
    <row r="171" spans="1:10" s="110" customFormat="1" x14ac:dyDescent="0.2">
      <c r="B171" s="63"/>
      <c r="F171" s="111"/>
      <c r="H171" s="111"/>
      <c r="J171" s="111"/>
    </row>
    <row r="172" spans="1:10" s="110" customFormat="1" x14ac:dyDescent="0.2">
      <c r="B172" s="63"/>
      <c r="F172" s="111"/>
      <c r="H172" s="111"/>
      <c r="J172" s="111"/>
    </row>
    <row r="173" spans="1:10" s="110" customFormat="1" x14ac:dyDescent="0.2">
      <c r="B173" s="63"/>
      <c r="F173" s="111"/>
      <c r="H173" s="111"/>
      <c r="J173" s="111"/>
    </row>
    <row r="174" spans="1:10" s="110" customFormat="1" x14ac:dyDescent="0.2">
      <c r="B174" s="63"/>
      <c r="F174" s="111"/>
      <c r="H174" s="111"/>
      <c r="J174" s="111"/>
    </row>
    <row r="175" spans="1:10" s="110" customFormat="1" x14ac:dyDescent="0.2">
      <c r="B175" s="63"/>
      <c r="F175" s="111"/>
      <c r="H175" s="111"/>
      <c r="J175" s="111"/>
    </row>
    <row r="176" spans="1:10" s="110" customFormat="1" x14ac:dyDescent="0.2">
      <c r="B176" s="63"/>
      <c r="F176" s="111"/>
      <c r="H176" s="111"/>
      <c r="J176" s="111"/>
    </row>
    <row r="177" spans="2:10" s="110" customFormat="1" x14ac:dyDescent="0.2">
      <c r="B177" s="63"/>
      <c r="F177" s="111"/>
      <c r="H177" s="111"/>
      <c r="J177" s="111"/>
    </row>
    <row r="178" spans="2:10" s="110" customFormat="1" x14ac:dyDescent="0.2">
      <c r="B178" s="63"/>
      <c r="F178" s="111"/>
      <c r="H178" s="111"/>
      <c r="J178" s="111"/>
    </row>
    <row r="179" spans="2:10" s="110" customFormat="1" x14ac:dyDescent="0.2">
      <c r="B179" s="63"/>
      <c r="F179" s="111"/>
      <c r="H179" s="111"/>
      <c r="J179" s="111"/>
    </row>
    <row r="180" spans="2:10" s="110" customFormat="1" x14ac:dyDescent="0.2">
      <c r="B180" s="63"/>
      <c r="F180" s="111"/>
      <c r="H180" s="111"/>
      <c r="J180" s="111"/>
    </row>
    <row r="181" spans="2:10" s="110" customFormat="1" x14ac:dyDescent="0.2">
      <c r="B181" s="63"/>
      <c r="F181" s="111"/>
      <c r="H181" s="111"/>
      <c r="J181" s="111"/>
    </row>
    <row r="182" spans="2:10" s="110" customFormat="1" x14ac:dyDescent="0.2">
      <c r="B182" s="63"/>
      <c r="F182" s="111"/>
      <c r="H182" s="111"/>
      <c r="J182" s="111"/>
    </row>
    <row r="183" spans="2:10" s="110" customFormat="1" x14ac:dyDescent="0.2">
      <c r="B183" s="63"/>
      <c r="F183" s="111"/>
      <c r="H183" s="111"/>
      <c r="J183" s="111"/>
    </row>
    <row r="184" spans="2:10" s="110" customFormat="1" x14ac:dyDescent="0.2">
      <c r="B184" s="63"/>
      <c r="F184" s="111"/>
      <c r="H184" s="111"/>
      <c r="J184" s="111"/>
    </row>
    <row r="185" spans="2:10" s="110" customFormat="1" x14ac:dyDescent="0.2">
      <c r="B185" s="63"/>
      <c r="F185" s="111"/>
      <c r="H185" s="111"/>
      <c r="J185" s="111"/>
    </row>
    <row r="186" spans="2:10" s="110" customFormat="1" x14ac:dyDescent="0.2">
      <c r="B186" s="63"/>
      <c r="F186" s="111"/>
      <c r="H186" s="111"/>
      <c r="J186" s="111"/>
    </row>
    <row r="187" spans="2:10" s="110" customFormat="1" x14ac:dyDescent="0.2">
      <c r="B187" s="63"/>
      <c r="F187" s="111"/>
      <c r="H187" s="111"/>
      <c r="J187" s="111"/>
    </row>
    <row r="188" spans="2:10" s="110" customFormat="1" x14ac:dyDescent="0.2">
      <c r="B188" s="63"/>
      <c r="F188" s="111"/>
      <c r="H188" s="111"/>
      <c r="J188" s="111"/>
    </row>
    <row r="189" spans="2:10" s="110" customFormat="1" x14ac:dyDescent="0.2">
      <c r="B189" s="63"/>
      <c r="F189" s="111"/>
      <c r="H189" s="111"/>
      <c r="J189" s="111"/>
    </row>
    <row r="190" spans="2:10" s="110" customFormat="1" x14ac:dyDescent="0.2">
      <c r="B190" s="63"/>
      <c r="F190" s="111"/>
      <c r="H190" s="111"/>
      <c r="J190" s="111"/>
    </row>
    <row r="191" spans="2:10" s="110" customFormat="1" x14ac:dyDescent="0.2">
      <c r="B191" s="63"/>
      <c r="F191" s="111"/>
      <c r="H191" s="111"/>
      <c r="J191" s="111"/>
    </row>
    <row r="192" spans="2:10" s="110" customFormat="1" x14ac:dyDescent="0.2">
      <c r="B192" s="63"/>
      <c r="F192" s="111"/>
      <c r="H192" s="111"/>
      <c r="J192" s="111"/>
    </row>
    <row r="193" spans="2:10" s="110" customFormat="1" x14ac:dyDescent="0.2">
      <c r="B193" s="63"/>
      <c r="F193" s="111"/>
      <c r="H193" s="111"/>
      <c r="J193" s="111"/>
    </row>
    <row r="194" spans="2:10" s="110" customFormat="1" x14ac:dyDescent="0.2">
      <c r="B194" s="63"/>
      <c r="F194" s="111"/>
      <c r="H194" s="111"/>
      <c r="J194" s="111"/>
    </row>
    <row r="195" spans="2:10" s="110" customFormat="1" x14ac:dyDescent="0.2">
      <c r="B195" s="63"/>
      <c r="F195" s="111"/>
      <c r="H195" s="111"/>
      <c r="J195" s="111"/>
    </row>
    <row r="196" spans="2:10" s="110" customFormat="1" x14ac:dyDescent="0.2">
      <c r="B196" s="63"/>
      <c r="F196" s="111"/>
      <c r="H196" s="111"/>
      <c r="J196" s="111"/>
    </row>
    <row r="197" spans="2:10" s="110" customFormat="1" x14ac:dyDescent="0.2">
      <c r="B197" s="63"/>
      <c r="F197" s="111"/>
      <c r="H197" s="111"/>
      <c r="J197" s="111"/>
    </row>
    <row r="198" spans="2:10" s="110" customFormat="1" x14ac:dyDescent="0.2">
      <c r="B198" s="63"/>
      <c r="F198" s="111"/>
      <c r="H198" s="111"/>
      <c r="J198" s="111"/>
    </row>
    <row r="199" spans="2:10" s="110" customFormat="1" x14ac:dyDescent="0.2">
      <c r="B199" s="63"/>
      <c r="F199" s="111"/>
      <c r="H199" s="111"/>
      <c r="J199" s="111"/>
    </row>
    <row r="200" spans="2:10" s="110" customFormat="1" x14ac:dyDescent="0.2">
      <c r="B200" s="63"/>
      <c r="F200" s="111"/>
      <c r="H200" s="111"/>
      <c r="J200" s="111"/>
    </row>
    <row r="201" spans="2:10" s="110" customFormat="1" x14ac:dyDescent="0.2">
      <c r="B201" s="63"/>
      <c r="F201" s="111"/>
      <c r="H201" s="111"/>
      <c r="J201" s="111"/>
    </row>
    <row r="202" spans="2:10" s="110" customFormat="1" x14ac:dyDescent="0.2">
      <c r="B202" s="63"/>
      <c r="F202" s="111"/>
      <c r="H202" s="111"/>
      <c r="J202" s="111"/>
    </row>
    <row r="203" spans="2:10" s="110" customFormat="1" x14ac:dyDescent="0.2">
      <c r="B203" s="63"/>
      <c r="F203" s="111"/>
      <c r="H203" s="111"/>
      <c r="J203" s="111"/>
    </row>
    <row r="204" spans="2:10" s="110" customFormat="1" x14ac:dyDescent="0.2">
      <c r="B204" s="63"/>
      <c r="F204" s="111"/>
      <c r="H204" s="111"/>
      <c r="J204" s="111"/>
    </row>
    <row r="205" spans="2:10" s="110" customFormat="1" x14ac:dyDescent="0.2">
      <c r="B205" s="63"/>
      <c r="F205" s="111"/>
      <c r="H205" s="111"/>
      <c r="J205" s="111"/>
    </row>
    <row r="206" spans="2:10" s="110" customFormat="1" x14ac:dyDescent="0.2">
      <c r="B206" s="63"/>
      <c r="F206" s="111"/>
      <c r="H206" s="111"/>
      <c r="J206" s="111"/>
    </row>
    <row r="207" spans="2:10" s="110" customFormat="1" x14ac:dyDescent="0.2">
      <c r="B207" s="63"/>
      <c r="F207" s="111"/>
      <c r="H207" s="111"/>
      <c r="J207" s="111"/>
    </row>
    <row r="208" spans="2:10" s="110" customFormat="1" x14ac:dyDescent="0.2">
      <c r="B208" s="63"/>
      <c r="F208" s="111"/>
      <c r="H208" s="111"/>
      <c r="J208" s="111"/>
    </row>
    <row r="209" spans="2:10" s="110" customFormat="1" x14ac:dyDescent="0.2">
      <c r="B209" s="63"/>
      <c r="F209" s="111"/>
      <c r="H209" s="111"/>
      <c r="J209" s="111"/>
    </row>
    <row r="210" spans="2:10" s="110" customFormat="1" x14ac:dyDescent="0.2">
      <c r="B210" s="63"/>
      <c r="F210" s="111"/>
      <c r="H210" s="111"/>
      <c r="J210" s="111"/>
    </row>
    <row r="211" spans="2:10" s="110" customFormat="1" x14ac:dyDescent="0.2">
      <c r="B211" s="63"/>
      <c r="F211" s="111"/>
      <c r="H211" s="111"/>
      <c r="J211" s="111"/>
    </row>
    <row r="212" spans="2:10" s="110" customFormat="1" x14ac:dyDescent="0.2">
      <c r="B212" s="63"/>
      <c r="F212" s="111"/>
      <c r="H212" s="111"/>
      <c r="J212" s="111"/>
    </row>
    <row r="213" spans="2:10" s="110" customFormat="1" x14ac:dyDescent="0.2">
      <c r="B213" s="63"/>
      <c r="F213" s="111"/>
      <c r="H213" s="111"/>
      <c r="J213" s="111"/>
    </row>
    <row r="214" spans="2:10" s="110" customFormat="1" x14ac:dyDescent="0.2">
      <c r="B214" s="63"/>
      <c r="F214" s="111"/>
      <c r="H214" s="111"/>
      <c r="J214" s="111"/>
    </row>
    <row r="215" spans="2:10" s="110" customFormat="1" x14ac:dyDescent="0.2">
      <c r="B215" s="63"/>
      <c r="F215" s="111"/>
      <c r="H215" s="111"/>
      <c r="J215" s="111"/>
    </row>
    <row r="216" spans="2:10" s="110" customFormat="1" x14ac:dyDescent="0.2">
      <c r="B216" s="63"/>
      <c r="F216" s="111"/>
      <c r="H216" s="111"/>
      <c r="J216" s="111"/>
    </row>
    <row r="217" spans="2:10" s="110" customFormat="1" x14ac:dyDescent="0.2">
      <c r="B217" s="63"/>
      <c r="F217" s="111"/>
      <c r="H217" s="111"/>
      <c r="J217" s="111"/>
    </row>
    <row r="218" spans="2:10" s="110" customFormat="1" x14ac:dyDescent="0.2">
      <c r="B218" s="63"/>
      <c r="F218" s="111"/>
      <c r="H218" s="111"/>
      <c r="J218" s="111"/>
    </row>
    <row r="219" spans="2:10" s="110" customFormat="1" x14ac:dyDescent="0.2">
      <c r="B219" s="63"/>
      <c r="F219" s="111"/>
      <c r="H219" s="111"/>
      <c r="J219" s="111"/>
    </row>
    <row r="220" spans="2:10" s="110" customFormat="1" x14ac:dyDescent="0.2">
      <c r="B220" s="63"/>
      <c r="F220" s="111"/>
      <c r="H220" s="111"/>
      <c r="J220" s="111"/>
    </row>
    <row r="221" spans="2:10" s="110" customFormat="1" x14ac:dyDescent="0.2">
      <c r="B221" s="63"/>
      <c r="F221" s="111"/>
      <c r="H221" s="111"/>
      <c r="J221" s="111"/>
    </row>
    <row r="222" spans="2:10" s="110" customFormat="1" x14ac:dyDescent="0.2">
      <c r="B222" s="63"/>
      <c r="F222" s="111"/>
      <c r="H222" s="111"/>
      <c r="J222" s="111"/>
    </row>
    <row r="223" spans="2:10" s="110" customFormat="1" x14ac:dyDescent="0.2">
      <c r="B223" s="63"/>
      <c r="F223" s="111"/>
      <c r="H223" s="111"/>
      <c r="J223" s="111"/>
    </row>
    <row r="224" spans="2:10" s="110" customFormat="1" x14ac:dyDescent="0.2">
      <c r="B224" s="63"/>
      <c r="F224" s="111"/>
      <c r="H224" s="111"/>
      <c r="J224" s="111"/>
    </row>
    <row r="225" spans="2:10" s="110" customFormat="1" x14ac:dyDescent="0.2">
      <c r="B225" s="63"/>
      <c r="F225" s="111"/>
      <c r="H225" s="111"/>
      <c r="J225" s="111"/>
    </row>
    <row r="226" spans="2:10" s="110" customFormat="1" x14ac:dyDescent="0.2">
      <c r="B226" s="63"/>
      <c r="F226" s="111"/>
      <c r="H226" s="111"/>
      <c r="J226" s="111"/>
    </row>
    <row r="227" spans="2:10" s="110" customFormat="1" x14ac:dyDescent="0.2">
      <c r="B227" s="63"/>
      <c r="F227" s="111"/>
      <c r="H227" s="111"/>
      <c r="J227" s="111"/>
    </row>
    <row r="228" spans="2:10" s="110" customFormat="1" x14ac:dyDescent="0.2">
      <c r="B228" s="63"/>
      <c r="F228" s="111"/>
      <c r="H228" s="111"/>
      <c r="J228" s="111"/>
    </row>
    <row r="229" spans="2:10" s="110" customFormat="1" x14ac:dyDescent="0.2">
      <c r="B229" s="63"/>
      <c r="F229" s="111"/>
      <c r="H229" s="111"/>
      <c r="J229" s="111"/>
    </row>
    <row r="230" spans="2:10" s="110" customFormat="1" x14ac:dyDescent="0.2">
      <c r="B230" s="63"/>
      <c r="F230" s="111"/>
      <c r="H230" s="111"/>
      <c r="J230" s="111"/>
    </row>
    <row r="231" spans="2:10" s="110" customFormat="1" x14ac:dyDescent="0.2">
      <c r="B231" s="63"/>
      <c r="F231" s="111"/>
      <c r="H231" s="111"/>
      <c r="J231" s="111"/>
    </row>
    <row r="232" spans="2:10" s="110" customFormat="1" x14ac:dyDescent="0.2">
      <c r="B232" s="63"/>
      <c r="F232" s="111"/>
      <c r="H232" s="111"/>
      <c r="J232" s="111"/>
    </row>
    <row r="233" spans="2:10" s="110" customFormat="1" x14ac:dyDescent="0.2">
      <c r="B233" s="63"/>
      <c r="F233" s="111"/>
      <c r="H233" s="111"/>
      <c r="J233" s="111"/>
    </row>
    <row r="234" spans="2:10" s="110" customFormat="1" x14ac:dyDescent="0.2">
      <c r="B234" s="63"/>
      <c r="F234" s="111"/>
      <c r="H234" s="111"/>
      <c r="J234" s="111"/>
    </row>
    <row r="235" spans="2:10" s="110" customFormat="1" x14ac:dyDescent="0.2">
      <c r="B235" s="63"/>
      <c r="F235" s="111"/>
      <c r="H235" s="111"/>
      <c r="J235" s="111"/>
    </row>
    <row r="236" spans="2:10" s="110" customFormat="1" x14ac:dyDescent="0.2">
      <c r="B236" s="63"/>
      <c r="F236" s="111"/>
      <c r="H236" s="111"/>
      <c r="J236" s="111"/>
    </row>
    <row r="237" spans="2:10" s="110" customFormat="1" x14ac:dyDescent="0.2">
      <c r="B237" s="63"/>
      <c r="F237" s="111"/>
      <c r="H237" s="111"/>
      <c r="J237" s="111"/>
    </row>
    <row r="238" spans="2:10" s="110" customFormat="1" x14ac:dyDescent="0.2">
      <c r="B238" s="63"/>
      <c r="F238" s="111"/>
      <c r="H238" s="111"/>
      <c r="J238" s="111"/>
    </row>
    <row r="239" spans="2:10" s="110" customFormat="1" x14ac:dyDescent="0.2">
      <c r="B239" s="63"/>
      <c r="F239" s="111"/>
      <c r="H239" s="111"/>
      <c r="J239" s="111"/>
    </row>
    <row r="240" spans="2:10" s="110" customFormat="1" x14ac:dyDescent="0.2">
      <c r="B240" s="63"/>
      <c r="F240" s="111"/>
      <c r="H240" s="111"/>
      <c r="J240" s="111"/>
    </row>
    <row r="241" spans="2:10" s="110" customFormat="1" x14ac:dyDescent="0.2">
      <c r="B241" s="63"/>
      <c r="F241" s="111"/>
      <c r="H241" s="111"/>
      <c r="J241" s="111"/>
    </row>
    <row r="242" spans="2:10" s="110" customFormat="1" x14ac:dyDescent="0.2">
      <c r="B242" s="63"/>
      <c r="F242" s="111"/>
      <c r="H242" s="111"/>
      <c r="J242" s="111"/>
    </row>
    <row r="243" spans="2:10" s="110" customFormat="1" x14ac:dyDescent="0.2">
      <c r="B243" s="63"/>
      <c r="F243" s="111"/>
      <c r="H243" s="111"/>
      <c r="J243" s="111"/>
    </row>
    <row r="244" spans="2:10" s="110" customFormat="1" x14ac:dyDescent="0.2">
      <c r="B244" s="63"/>
      <c r="F244" s="111"/>
      <c r="H244" s="111"/>
      <c r="J244" s="111"/>
    </row>
    <row r="245" spans="2:10" s="110" customFormat="1" x14ac:dyDescent="0.2">
      <c r="B245" s="63"/>
      <c r="F245" s="111"/>
      <c r="H245" s="111"/>
      <c r="J245" s="111"/>
    </row>
    <row r="246" spans="2:10" s="110" customFormat="1" x14ac:dyDescent="0.2">
      <c r="B246" s="63"/>
      <c r="F246" s="111"/>
      <c r="H246" s="111"/>
      <c r="J246" s="111"/>
    </row>
    <row r="247" spans="2:10" s="110" customFormat="1" x14ac:dyDescent="0.2">
      <c r="B247" s="63"/>
      <c r="F247" s="111"/>
      <c r="H247" s="111"/>
      <c r="J247" s="111"/>
    </row>
    <row r="248" spans="2:10" s="110" customFormat="1" x14ac:dyDescent="0.2">
      <c r="B248" s="63"/>
      <c r="F248" s="111"/>
      <c r="H248" s="111"/>
      <c r="J248" s="111"/>
    </row>
    <row r="249" spans="2:10" s="110" customFormat="1" x14ac:dyDescent="0.2">
      <c r="B249" s="63"/>
      <c r="F249" s="111"/>
      <c r="H249" s="111"/>
      <c r="J249" s="111"/>
    </row>
    <row r="250" spans="2:10" s="110" customFormat="1" x14ac:dyDescent="0.2">
      <c r="B250" s="63"/>
      <c r="F250" s="111"/>
      <c r="H250" s="111"/>
      <c r="J250" s="111"/>
    </row>
    <row r="251" spans="2:10" s="110" customFormat="1" x14ac:dyDescent="0.2">
      <c r="B251" s="63"/>
      <c r="F251" s="111"/>
      <c r="H251" s="111"/>
      <c r="J251" s="111"/>
    </row>
    <row r="252" spans="2:10" s="110" customFormat="1" x14ac:dyDescent="0.2">
      <c r="B252" s="63"/>
      <c r="F252" s="111"/>
      <c r="H252" s="111"/>
      <c r="J252" s="111"/>
    </row>
    <row r="253" spans="2:10" s="110" customFormat="1" x14ac:dyDescent="0.2">
      <c r="B253" s="63"/>
      <c r="F253" s="111"/>
      <c r="H253" s="111"/>
      <c r="J253" s="111"/>
    </row>
    <row r="254" spans="2:10" s="110" customFormat="1" x14ac:dyDescent="0.2">
      <c r="B254" s="63"/>
      <c r="F254" s="111"/>
      <c r="H254" s="111"/>
      <c r="J254" s="111"/>
    </row>
    <row r="255" spans="2:10" s="110" customFormat="1" x14ac:dyDescent="0.2">
      <c r="B255" s="63"/>
      <c r="F255" s="111"/>
      <c r="H255" s="111"/>
      <c r="J255" s="111"/>
    </row>
    <row r="256" spans="2:10" s="110" customFormat="1" x14ac:dyDescent="0.2">
      <c r="B256" s="63"/>
      <c r="F256" s="111"/>
      <c r="H256" s="111"/>
      <c r="J256" s="111"/>
    </row>
    <row r="257" spans="2:10" s="110" customFormat="1" x14ac:dyDescent="0.2">
      <c r="B257" s="63"/>
      <c r="F257" s="111"/>
      <c r="H257" s="111"/>
      <c r="J257" s="111"/>
    </row>
    <row r="258" spans="2:10" s="110" customFormat="1" x14ac:dyDescent="0.2">
      <c r="B258" s="63"/>
      <c r="F258" s="111"/>
      <c r="H258" s="111"/>
      <c r="J258" s="111"/>
    </row>
    <row r="259" spans="2:10" s="110" customFormat="1" x14ac:dyDescent="0.2">
      <c r="B259" s="63"/>
      <c r="F259" s="111"/>
      <c r="H259" s="111"/>
      <c r="J259" s="111"/>
    </row>
    <row r="260" spans="2:10" s="110" customFormat="1" x14ac:dyDescent="0.2">
      <c r="B260" s="63"/>
      <c r="F260" s="111"/>
      <c r="H260" s="111"/>
      <c r="J260" s="111"/>
    </row>
    <row r="261" spans="2:10" s="110" customFormat="1" x14ac:dyDescent="0.2">
      <c r="B261" s="63"/>
      <c r="F261" s="111"/>
      <c r="H261" s="111"/>
      <c r="J261" s="111"/>
    </row>
    <row r="262" spans="2:10" s="110" customFormat="1" x14ac:dyDescent="0.2">
      <c r="B262" s="63"/>
      <c r="F262" s="111"/>
      <c r="H262" s="111"/>
      <c r="J262" s="111"/>
    </row>
    <row r="263" spans="2:10" s="110" customFormat="1" x14ac:dyDescent="0.2">
      <c r="B263" s="63"/>
      <c r="F263" s="111"/>
      <c r="H263" s="111"/>
      <c r="J263" s="111"/>
    </row>
    <row r="264" spans="2:10" s="110" customFormat="1" x14ac:dyDescent="0.2">
      <c r="B264" s="63"/>
      <c r="F264" s="111"/>
      <c r="H264" s="111"/>
      <c r="J264" s="111"/>
    </row>
    <row r="265" spans="2:10" s="110" customFormat="1" x14ac:dyDescent="0.2">
      <c r="B265" s="63"/>
      <c r="F265" s="111"/>
      <c r="H265" s="111"/>
      <c r="J265" s="111"/>
    </row>
    <row r="266" spans="2:10" s="110" customFormat="1" x14ac:dyDescent="0.2">
      <c r="B266" s="63"/>
      <c r="F266" s="111"/>
      <c r="H266" s="111"/>
      <c r="J266" s="111"/>
    </row>
    <row r="267" spans="2:10" s="110" customFormat="1" x14ac:dyDescent="0.2">
      <c r="B267" s="63"/>
      <c r="F267" s="111"/>
      <c r="H267" s="111"/>
      <c r="J267" s="111"/>
    </row>
    <row r="268" spans="2:10" s="110" customFormat="1" x14ac:dyDescent="0.2">
      <c r="B268" s="63"/>
      <c r="F268" s="111"/>
      <c r="H268" s="111"/>
      <c r="J268" s="111"/>
    </row>
    <row r="269" spans="2:10" s="110" customFormat="1" x14ac:dyDescent="0.2">
      <c r="B269" s="63"/>
      <c r="F269" s="111"/>
      <c r="H269" s="111"/>
      <c r="J269" s="111"/>
    </row>
    <row r="270" spans="2:10" s="110" customFormat="1" x14ac:dyDescent="0.2">
      <c r="B270" s="63"/>
      <c r="F270" s="111"/>
      <c r="H270" s="111"/>
      <c r="J270" s="111"/>
    </row>
    <row r="271" spans="2:10" s="110" customFormat="1" x14ac:dyDescent="0.2">
      <c r="B271" s="63"/>
      <c r="F271" s="111"/>
      <c r="H271" s="111"/>
      <c r="J271" s="111"/>
    </row>
    <row r="272" spans="2:10" s="110" customFormat="1" x14ac:dyDescent="0.2">
      <c r="B272" s="63"/>
      <c r="F272" s="111"/>
      <c r="H272" s="111"/>
      <c r="J272" s="111"/>
    </row>
    <row r="273" spans="2:10" s="110" customFormat="1" x14ac:dyDescent="0.2">
      <c r="B273" s="63"/>
      <c r="F273" s="111"/>
      <c r="H273" s="111"/>
      <c r="J273" s="111"/>
    </row>
    <row r="274" spans="2:10" s="110" customFormat="1" x14ac:dyDescent="0.2">
      <c r="B274" s="63"/>
      <c r="F274" s="111"/>
      <c r="H274" s="111"/>
      <c r="J274" s="111"/>
    </row>
    <row r="275" spans="2:10" s="110" customFormat="1" x14ac:dyDescent="0.2">
      <c r="B275" s="63"/>
      <c r="F275" s="111"/>
      <c r="H275" s="111"/>
      <c r="J275" s="111"/>
    </row>
    <row r="276" spans="2:10" s="110" customFormat="1" x14ac:dyDescent="0.2">
      <c r="B276" s="63"/>
      <c r="F276" s="111"/>
      <c r="H276" s="111"/>
      <c r="J276" s="111"/>
    </row>
    <row r="277" spans="2:10" s="110" customFormat="1" x14ac:dyDescent="0.2">
      <c r="B277" s="63"/>
      <c r="F277" s="111"/>
      <c r="H277" s="111"/>
      <c r="J277" s="111"/>
    </row>
    <row r="278" spans="2:10" s="110" customFormat="1" x14ac:dyDescent="0.2">
      <c r="B278" s="63"/>
      <c r="F278" s="111"/>
      <c r="H278" s="111"/>
      <c r="J278" s="111"/>
    </row>
    <row r="279" spans="2:10" s="110" customFormat="1" x14ac:dyDescent="0.2">
      <c r="B279" s="63"/>
      <c r="F279" s="111"/>
      <c r="H279" s="111"/>
      <c r="J279" s="111"/>
    </row>
    <row r="280" spans="2:10" s="110" customFormat="1" x14ac:dyDescent="0.2">
      <c r="B280" s="63"/>
      <c r="F280" s="111"/>
      <c r="H280" s="111"/>
      <c r="J280" s="111"/>
    </row>
    <row r="281" spans="2:10" s="110" customFormat="1" x14ac:dyDescent="0.2">
      <c r="B281" s="63"/>
      <c r="F281" s="111"/>
      <c r="H281" s="111"/>
      <c r="J281" s="111"/>
    </row>
    <row r="282" spans="2:10" s="110" customFormat="1" x14ac:dyDescent="0.2">
      <c r="B282" s="63"/>
      <c r="F282" s="111"/>
      <c r="H282" s="111"/>
      <c r="J282" s="111"/>
    </row>
    <row r="283" spans="2:10" s="110" customFormat="1" x14ac:dyDescent="0.2">
      <c r="B283" s="63"/>
      <c r="F283" s="111"/>
      <c r="H283" s="111"/>
      <c r="J283" s="111"/>
    </row>
    <row r="284" spans="2:10" s="110" customFormat="1" x14ac:dyDescent="0.2">
      <c r="B284" s="63"/>
      <c r="F284" s="111"/>
      <c r="H284" s="111"/>
      <c r="J284" s="111"/>
    </row>
    <row r="285" spans="2:10" s="110" customFormat="1" x14ac:dyDescent="0.2">
      <c r="B285" s="63"/>
      <c r="F285" s="111"/>
      <c r="H285" s="111"/>
      <c r="J285" s="111"/>
    </row>
    <row r="286" spans="2:10" s="110" customFormat="1" x14ac:dyDescent="0.2">
      <c r="B286" s="63"/>
      <c r="F286" s="111"/>
      <c r="H286" s="111"/>
      <c r="J286" s="111"/>
    </row>
    <row r="287" spans="2:10" s="110" customFormat="1" x14ac:dyDescent="0.2">
      <c r="B287" s="63"/>
      <c r="F287" s="111"/>
      <c r="H287" s="111"/>
      <c r="J287" s="111"/>
    </row>
    <row r="288" spans="2:10" s="110" customFormat="1" x14ac:dyDescent="0.2">
      <c r="B288" s="63"/>
      <c r="F288" s="111"/>
      <c r="H288" s="111"/>
      <c r="J288" s="111"/>
    </row>
    <row r="289" spans="2:10" s="110" customFormat="1" x14ac:dyDescent="0.2">
      <c r="B289" s="63"/>
      <c r="F289" s="111"/>
      <c r="H289" s="111"/>
      <c r="J289" s="111"/>
    </row>
    <row r="290" spans="2:10" s="110" customFormat="1" x14ac:dyDescent="0.2">
      <c r="B290" s="63"/>
      <c r="F290" s="111"/>
      <c r="H290" s="111"/>
      <c r="J290" s="111"/>
    </row>
    <row r="291" spans="2:10" s="110" customFormat="1" x14ac:dyDescent="0.2">
      <c r="B291" s="63"/>
      <c r="F291" s="111"/>
      <c r="H291" s="111"/>
      <c r="J291" s="111"/>
    </row>
    <row r="292" spans="2:10" s="110" customFormat="1" x14ac:dyDescent="0.2">
      <c r="B292" s="63"/>
      <c r="F292" s="111"/>
      <c r="H292" s="111"/>
      <c r="J292" s="111"/>
    </row>
    <row r="293" spans="2:10" s="110" customFormat="1" x14ac:dyDescent="0.2">
      <c r="B293" s="63"/>
      <c r="F293" s="111"/>
      <c r="H293" s="111"/>
      <c r="J293" s="111"/>
    </row>
    <row r="294" spans="2:10" s="110" customFormat="1" x14ac:dyDescent="0.2">
      <c r="B294" s="63"/>
      <c r="F294" s="111"/>
      <c r="H294" s="111"/>
      <c r="J294" s="111"/>
    </row>
    <row r="295" spans="2:10" s="110" customFormat="1" x14ac:dyDescent="0.2">
      <c r="B295" s="63"/>
      <c r="F295" s="111"/>
      <c r="H295" s="111"/>
      <c r="J295" s="111"/>
    </row>
    <row r="296" spans="2:10" s="110" customFormat="1" x14ac:dyDescent="0.2">
      <c r="B296" s="63"/>
      <c r="F296" s="111"/>
      <c r="H296" s="111"/>
      <c r="J296" s="111"/>
    </row>
    <row r="297" spans="2:10" s="110" customFormat="1" x14ac:dyDescent="0.2">
      <c r="B297" s="63"/>
      <c r="F297" s="111"/>
      <c r="H297" s="111"/>
      <c r="J297" s="111"/>
    </row>
    <row r="298" spans="2:10" s="110" customFormat="1" x14ac:dyDescent="0.2">
      <c r="B298" s="63"/>
      <c r="F298" s="111"/>
      <c r="H298" s="111"/>
      <c r="J298" s="111"/>
    </row>
    <row r="299" spans="2:10" s="110" customFormat="1" x14ac:dyDescent="0.2">
      <c r="B299" s="63"/>
      <c r="F299" s="111"/>
      <c r="H299" s="111"/>
      <c r="J299" s="111"/>
    </row>
    <row r="300" spans="2:10" s="110" customFormat="1" x14ac:dyDescent="0.2">
      <c r="B300" s="63"/>
      <c r="F300" s="111"/>
      <c r="H300" s="111"/>
      <c r="J300" s="111"/>
    </row>
    <row r="301" spans="2:10" s="110" customFormat="1" x14ac:dyDescent="0.2">
      <c r="B301" s="63"/>
      <c r="F301" s="111"/>
      <c r="H301" s="111"/>
      <c r="J301" s="111"/>
    </row>
    <row r="302" spans="2:10" s="110" customFormat="1" x14ac:dyDescent="0.2">
      <c r="B302" s="63"/>
      <c r="F302" s="111"/>
      <c r="H302" s="111"/>
      <c r="J302" s="111"/>
    </row>
    <row r="303" spans="2:10" s="110" customFormat="1" x14ac:dyDescent="0.2">
      <c r="B303" s="63"/>
      <c r="F303" s="111"/>
      <c r="H303" s="111"/>
      <c r="J303" s="111"/>
    </row>
    <row r="304" spans="2:10" s="110" customFormat="1" x14ac:dyDescent="0.2">
      <c r="B304" s="63"/>
      <c r="F304" s="111"/>
      <c r="H304" s="111"/>
      <c r="J304" s="111"/>
    </row>
    <row r="305" spans="2:10" s="110" customFormat="1" x14ac:dyDescent="0.2">
      <c r="B305" s="63"/>
      <c r="F305" s="111"/>
      <c r="H305" s="111"/>
      <c r="J305" s="111"/>
    </row>
    <row r="306" spans="2:10" s="110" customFormat="1" x14ac:dyDescent="0.2">
      <c r="B306" s="63"/>
      <c r="F306" s="111"/>
      <c r="H306" s="111"/>
      <c r="J306" s="111"/>
    </row>
    <row r="307" spans="2:10" s="110" customFormat="1" x14ac:dyDescent="0.2">
      <c r="B307" s="63"/>
      <c r="F307" s="111"/>
      <c r="H307" s="111"/>
      <c r="J307" s="111"/>
    </row>
    <row r="308" spans="2:10" s="110" customFormat="1" x14ac:dyDescent="0.2">
      <c r="B308" s="63"/>
      <c r="F308" s="111"/>
      <c r="H308" s="111"/>
      <c r="J308" s="111"/>
    </row>
    <row r="309" spans="2:10" s="110" customFormat="1" x14ac:dyDescent="0.2">
      <c r="B309" s="63"/>
      <c r="F309" s="111"/>
      <c r="H309" s="111"/>
      <c r="J309" s="111"/>
    </row>
    <row r="310" spans="2:10" s="110" customFormat="1" x14ac:dyDescent="0.2">
      <c r="B310" s="63"/>
      <c r="F310" s="111"/>
      <c r="H310" s="111"/>
      <c r="J310" s="111"/>
    </row>
    <row r="311" spans="2:10" s="110" customFormat="1" x14ac:dyDescent="0.2">
      <c r="B311" s="63"/>
      <c r="F311" s="111"/>
      <c r="H311" s="111"/>
      <c r="J311" s="111"/>
    </row>
    <row r="312" spans="2:10" s="110" customFormat="1" x14ac:dyDescent="0.2">
      <c r="B312" s="63"/>
      <c r="F312" s="111"/>
      <c r="H312" s="111"/>
      <c r="J312" s="111"/>
    </row>
    <row r="313" spans="2:10" s="110" customFormat="1" x14ac:dyDescent="0.2">
      <c r="B313" s="63"/>
      <c r="F313" s="111"/>
      <c r="H313" s="111"/>
      <c r="J313" s="111"/>
    </row>
    <row r="314" spans="2:10" s="110" customFormat="1" x14ac:dyDescent="0.2">
      <c r="B314" s="63"/>
      <c r="F314" s="111"/>
      <c r="H314" s="111"/>
      <c r="J314" s="111"/>
    </row>
    <row r="315" spans="2:10" s="110" customFormat="1" x14ac:dyDescent="0.2">
      <c r="B315" s="63"/>
      <c r="F315" s="111"/>
      <c r="H315" s="111"/>
      <c r="J315" s="111"/>
    </row>
    <row r="316" spans="2:10" s="110" customFormat="1" x14ac:dyDescent="0.2">
      <c r="B316" s="63"/>
      <c r="F316" s="111"/>
      <c r="H316" s="111"/>
      <c r="J316" s="111"/>
    </row>
    <row r="317" spans="2:10" s="110" customFormat="1" x14ac:dyDescent="0.2">
      <c r="B317" s="63"/>
      <c r="F317" s="111"/>
      <c r="H317" s="111"/>
      <c r="J317" s="111"/>
    </row>
    <row r="318" spans="2:10" s="110" customFormat="1" x14ac:dyDescent="0.2">
      <c r="B318" s="63"/>
      <c r="F318" s="111"/>
      <c r="H318" s="111"/>
      <c r="J318" s="111"/>
    </row>
    <row r="319" spans="2:10" s="110" customFormat="1" x14ac:dyDescent="0.2">
      <c r="B319" s="63"/>
      <c r="F319" s="111"/>
      <c r="H319" s="111"/>
      <c r="J319" s="111"/>
    </row>
    <row r="320" spans="2:10" s="110" customFormat="1" x14ac:dyDescent="0.2">
      <c r="B320" s="63"/>
      <c r="F320" s="111"/>
      <c r="H320" s="111"/>
      <c r="J320" s="111"/>
    </row>
    <row r="321" spans="2:10" s="110" customFormat="1" x14ac:dyDescent="0.2">
      <c r="B321" s="63"/>
      <c r="F321" s="111"/>
      <c r="H321" s="111"/>
      <c r="J321" s="111"/>
    </row>
    <row r="322" spans="2:10" s="110" customFormat="1" x14ac:dyDescent="0.2">
      <c r="B322" s="63"/>
      <c r="F322" s="111"/>
      <c r="H322" s="111"/>
      <c r="J322" s="111"/>
    </row>
    <row r="323" spans="2:10" s="110" customFormat="1" x14ac:dyDescent="0.2">
      <c r="B323" s="63"/>
      <c r="F323" s="111"/>
      <c r="H323" s="111"/>
      <c r="J323" s="111"/>
    </row>
    <row r="324" spans="2:10" s="110" customFormat="1" x14ac:dyDescent="0.2">
      <c r="B324" s="63"/>
      <c r="F324" s="111"/>
      <c r="H324" s="111"/>
      <c r="J324" s="111"/>
    </row>
    <row r="325" spans="2:10" s="110" customFormat="1" x14ac:dyDescent="0.2">
      <c r="B325" s="63"/>
      <c r="F325" s="111"/>
      <c r="H325" s="111"/>
      <c r="J325" s="111"/>
    </row>
    <row r="326" spans="2:10" s="110" customFormat="1" x14ac:dyDescent="0.2">
      <c r="B326" s="63"/>
      <c r="F326" s="111"/>
      <c r="H326" s="111"/>
      <c r="J326" s="111"/>
    </row>
    <row r="327" spans="2:10" s="110" customFormat="1" x14ac:dyDescent="0.2">
      <c r="B327" s="63"/>
      <c r="F327" s="111"/>
      <c r="H327" s="111"/>
      <c r="J327" s="111"/>
    </row>
    <row r="328" spans="2:10" s="110" customFormat="1" x14ac:dyDescent="0.2">
      <c r="B328" s="63"/>
      <c r="F328" s="111"/>
      <c r="H328" s="111"/>
      <c r="J328" s="111"/>
    </row>
    <row r="329" spans="2:10" s="110" customFormat="1" x14ac:dyDescent="0.2">
      <c r="B329" s="63"/>
      <c r="F329" s="111"/>
      <c r="H329" s="111"/>
      <c r="J329" s="111"/>
    </row>
    <row r="330" spans="2:10" s="110" customFormat="1" x14ac:dyDescent="0.2">
      <c r="B330" s="63"/>
      <c r="F330" s="111"/>
      <c r="H330" s="111"/>
      <c r="J330" s="111"/>
    </row>
    <row r="331" spans="2:10" s="110" customFormat="1" x14ac:dyDescent="0.2">
      <c r="B331" s="63"/>
      <c r="F331" s="111"/>
      <c r="H331" s="111"/>
      <c r="J331" s="111"/>
    </row>
    <row r="332" spans="2:10" s="110" customFormat="1" x14ac:dyDescent="0.2">
      <c r="B332" s="63"/>
      <c r="F332" s="111"/>
      <c r="H332" s="111"/>
      <c r="J332" s="111"/>
    </row>
    <row r="333" spans="2:10" s="110" customFormat="1" x14ac:dyDescent="0.2">
      <c r="B333" s="63"/>
      <c r="F333" s="111"/>
      <c r="H333" s="111"/>
      <c r="J333" s="111"/>
    </row>
    <row r="334" spans="2:10" s="110" customFormat="1" x14ac:dyDescent="0.2">
      <c r="B334" s="63"/>
      <c r="F334" s="111"/>
      <c r="H334" s="111"/>
      <c r="J334" s="111"/>
    </row>
    <row r="335" spans="2:10" s="110" customFormat="1" x14ac:dyDescent="0.2">
      <c r="B335" s="63"/>
      <c r="F335" s="111"/>
      <c r="H335" s="111"/>
      <c r="J335" s="111"/>
    </row>
    <row r="336" spans="2:10" s="110" customFormat="1" x14ac:dyDescent="0.2">
      <c r="B336" s="63"/>
      <c r="F336" s="111"/>
      <c r="H336" s="111"/>
      <c r="J336" s="111"/>
    </row>
    <row r="337" spans="2:10" s="110" customFormat="1" x14ac:dyDescent="0.2">
      <c r="B337" s="63"/>
      <c r="F337" s="111"/>
      <c r="H337" s="111"/>
      <c r="J337" s="111"/>
    </row>
    <row r="338" spans="2:10" s="110" customFormat="1" x14ac:dyDescent="0.2">
      <c r="B338" s="63"/>
      <c r="F338" s="111"/>
      <c r="H338" s="111"/>
      <c r="J338" s="111"/>
    </row>
    <row r="339" spans="2:10" s="110" customFormat="1" x14ac:dyDescent="0.2">
      <c r="B339" s="63"/>
      <c r="F339" s="111"/>
      <c r="H339" s="111"/>
      <c r="J339" s="111"/>
    </row>
    <row r="340" spans="2:10" s="110" customFormat="1" x14ac:dyDescent="0.2">
      <c r="B340" s="63"/>
      <c r="F340" s="111"/>
      <c r="H340" s="111"/>
      <c r="J340" s="111"/>
    </row>
    <row r="341" spans="2:10" s="110" customFormat="1" x14ac:dyDescent="0.2">
      <c r="B341" s="63"/>
      <c r="F341" s="111"/>
      <c r="H341" s="111"/>
      <c r="J341" s="111"/>
    </row>
    <row r="342" spans="2:10" s="110" customFormat="1" x14ac:dyDescent="0.2">
      <c r="B342" s="63"/>
      <c r="F342" s="111"/>
      <c r="H342" s="111"/>
      <c r="J342" s="111"/>
    </row>
    <row r="343" spans="2:10" s="110" customFormat="1" x14ac:dyDescent="0.2">
      <c r="B343" s="63"/>
      <c r="F343" s="111"/>
      <c r="H343" s="111"/>
      <c r="J343" s="111"/>
    </row>
    <row r="344" spans="2:10" s="110" customFormat="1" x14ac:dyDescent="0.2">
      <c r="B344" s="63"/>
      <c r="F344" s="111"/>
      <c r="H344" s="111"/>
      <c r="J344" s="111"/>
    </row>
    <row r="345" spans="2:10" s="110" customFormat="1" x14ac:dyDescent="0.2">
      <c r="B345" s="63"/>
      <c r="F345" s="111"/>
      <c r="H345" s="111"/>
      <c r="J345" s="111"/>
    </row>
    <row r="346" spans="2:10" s="110" customFormat="1" x14ac:dyDescent="0.2">
      <c r="B346" s="63"/>
      <c r="F346" s="111"/>
      <c r="H346" s="111"/>
      <c r="J346" s="111"/>
    </row>
    <row r="347" spans="2:10" s="110" customFormat="1" x14ac:dyDescent="0.2">
      <c r="B347" s="63"/>
      <c r="F347" s="111"/>
      <c r="H347" s="111"/>
      <c r="J347" s="111"/>
    </row>
    <row r="348" spans="2:10" s="110" customFormat="1" x14ac:dyDescent="0.2">
      <c r="B348" s="63"/>
      <c r="F348" s="111"/>
      <c r="H348" s="111"/>
      <c r="J348" s="111"/>
    </row>
    <row r="349" spans="2:10" s="110" customFormat="1" x14ac:dyDescent="0.2">
      <c r="B349" s="63"/>
      <c r="F349" s="111"/>
      <c r="H349" s="111"/>
      <c r="J349" s="111"/>
    </row>
    <row r="350" spans="2:10" s="110" customFormat="1" x14ac:dyDescent="0.2">
      <c r="B350" s="63"/>
      <c r="F350" s="111"/>
      <c r="H350" s="111"/>
      <c r="J350" s="111"/>
    </row>
    <row r="351" spans="2:10" s="110" customFormat="1" x14ac:dyDescent="0.2">
      <c r="B351" s="63"/>
      <c r="F351" s="111"/>
      <c r="H351" s="111"/>
      <c r="J351" s="111"/>
    </row>
    <row r="352" spans="2:10" s="110" customFormat="1" x14ac:dyDescent="0.2">
      <c r="B352" s="63"/>
      <c r="F352" s="111"/>
      <c r="H352" s="111"/>
      <c r="J352" s="111"/>
    </row>
    <row r="353" spans="2:10" s="110" customFormat="1" x14ac:dyDescent="0.2">
      <c r="B353" s="63"/>
      <c r="F353" s="111"/>
      <c r="H353" s="111"/>
      <c r="J353" s="111"/>
    </row>
    <row r="354" spans="2:10" s="110" customFormat="1" x14ac:dyDescent="0.2">
      <c r="B354" s="63"/>
      <c r="F354" s="111"/>
      <c r="H354" s="111"/>
      <c r="J354" s="111"/>
    </row>
    <row r="355" spans="2:10" s="110" customFormat="1" x14ac:dyDescent="0.2">
      <c r="B355" s="63"/>
      <c r="F355" s="111"/>
      <c r="H355" s="111"/>
      <c r="J355" s="111"/>
    </row>
    <row r="356" spans="2:10" s="110" customFormat="1" x14ac:dyDescent="0.2">
      <c r="B356" s="63"/>
      <c r="F356" s="111"/>
      <c r="H356" s="111"/>
      <c r="J356" s="111"/>
    </row>
    <row r="357" spans="2:10" s="110" customFormat="1" x14ac:dyDescent="0.2">
      <c r="B357" s="63"/>
      <c r="F357" s="111"/>
      <c r="H357" s="111"/>
      <c r="J357" s="111"/>
    </row>
    <row r="358" spans="2:10" s="110" customFormat="1" x14ac:dyDescent="0.2">
      <c r="B358" s="63"/>
      <c r="F358" s="111"/>
      <c r="H358" s="111"/>
      <c r="J358" s="111"/>
    </row>
    <row r="359" spans="2:10" s="110" customFormat="1" x14ac:dyDescent="0.2">
      <c r="B359" s="63"/>
      <c r="F359" s="111"/>
      <c r="H359" s="111"/>
      <c r="J359" s="111"/>
    </row>
    <row r="360" spans="2:10" s="110" customFormat="1" x14ac:dyDescent="0.2">
      <c r="B360" s="63"/>
      <c r="F360" s="111"/>
      <c r="H360" s="111"/>
      <c r="J360" s="111"/>
    </row>
    <row r="361" spans="2:10" s="110" customFormat="1" x14ac:dyDescent="0.2">
      <c r="B361" s="63"/>
      <c r="F361" s="111"/>
      <c r="H361" s="111"/>
      <c r="J361" s="111"/>
    </row>
    <row r="362" spans="2:10" s="110" customFormat="1" x14ac:dyDescent="0.2">
      <c r="B362" s="63"/>
      <c r="F362" s="111"/>
      <c r="H362" s="111"/>
      <c r="J362" s="111"/>
    </row>
    <row r="363" spans="2:10" s="110" customFormat="1" x14ac:dyDescent="0.2">
      <c r="B363" s="63"/>
      <c r="F363" s="111"/>
      <c r="H363" s="111"/>
      <c r="J363" s="111"/>
    </row>
    <row r="364" spans="2:10" s="110" customFormat="1" x14ac:dyDescent="0.2">
      <c r="B364" s="63"/>
      <c r="F364" s="111"/>
      <c r="H364" s="111"/>
      <c r="J364" s="111"/>
    </row>
    <row r="365" spans="2:10" s="110" customFormat="1" x14ac:dyDescent="0.2">
      <c r="B365" s="63"/>
      <c r="F365" s="111"/>
      <c r="H365" s="111"/>
      <c r="J365" s="111"/>
    </row>
    <row r="366" spans="2:10" s="110" customFormat="1" x14ac:dyDescent="0.2">
      <c r="B366" s="63"/>
      <c r="F366" s="111"/>
      <c r="H366" s="111"/>
      <c r="J366" s="111"/>
    </row>
    <row r="367" spans="2:10" s="110" customFormat="1" x14ac:dyDescent="0.2">
      <c r="B367" s="63"/>
      <c r="F367" s="111"/>
      <c r="H367" s="111"/>
      <c r="J367" s="111"/>
    </row>
    <row r="368" spans="2:10" s="110" customFormat="1" x14ac:dyDescent="0.2">
      <c r="B368" s="63"/>
      <c r="F368" s="111"/>
      <c r="H368" s="111"/>
      <c r="J368" s="111"/>
    </row>
    <row r="369" spans="2:10" s="110" customFormat="1" x14ac:dyDescent="0.2">
      <c r="B369" s="63"/>
      <c r="F369" s="111"/>
      <c r="H369" s="111"/>
      <c r="J369" s="111"/>
    </row>
    <row r="370" spans="2:10" s="110" customFormat="1" x14ac:dyDescent="0.2">
      <c r="B370" s="63"/>
      <c r="F370" s="111"/>
      <c r="H370" s="111"/>
      <c r="J370" s="111"/>
    </row>
    <row r="371" spans="2:10" s="110" customFormat="1" x14ac:dyDescent="0.2">
      <c r="B371" s="63"/>
      <c r="F371" s="111"/>
      <c r="H371" s="111"/>
      <c r="J371" s="111"/>
    </row>
    <row r="372" spans="2:10" s="110" customFormat="1" x14ac:dyDescent="0.2">
      <c r="B372" s="63"/>
      <c r="F372" s="111"/>
      <c r="H372" s="111"/>
      <c r="J372" s="111"/>
    </row>
    <row r="373" spans="2:10" s="110" customFormat="1" x14ac:dyDescent="0.2">
      <c r="B373" s="63"/>
      <c r="F373" s="111"/>
      <c r="H373" s="111"/>
      <c r="J373" s="111"/>
    </row>
    <row r="374" spans="2:10" s="110" customFormat="1" x14ac:dyDescent="0.2">
      <c r="B374" s="63"/>
      <c r="F374" s="111"/>
      <c r="H374" s="111"/>
      <c r="J374" s="111"/>
    </row>
    <row r="375" spans="2:10" s="110" customFormat="1" x14ac:dyDescent="0.2">
      <c r="B375" s="63"/>
      <c r="F375" s="111"/>
      <c r="H375" s="111"/>
      <c r="J375" s="111"/>
    </row>
    <row r="376" spans="2:10" s="110" customFormat="1" x14ac:dyDescent="0.2">
      <c r="B376" s="63"/>
      <c r="F376" s="111"/>
      <c r="H376" s="111"/>
      <c r="J376" s="111"/>
    </row>
    <row r="377" spans="2:10" s="110" customFormat="1" x14ac:dyDescent="0.2">
      <c r="B377" s="63"/>
      <c r="F377" s="111"/>
      <c r="H377" s="111"/>
      <c r="J377" s="111"/>
    </row>
    <row r="378" spans="2:10" s="110" customFormat="1" x14ac:dyDescent="0.2">
      <c r="B378" s="63"/>
      <c r="F378" s="111"/>
      <c r="H378" s="111"/>
      <c r="J378" s="111"/>
    </row>
    <row r="379" spans="2:10" s="110" customFormat="1" x14ac:dyDescent="0.2">
      <c r="B379" s="63"/>
      <c r="F379" s="111"/>
      <c r="H379" s="111"/>
      <c r="J379" s="111"/>
    </row>
    <row r="380" spans="2:10" s="110" customFormat="1" x14ac:dyDescent="0.2">
      <c r="B380" s="63"/>
      <c r="F380" s="111"/>
      <c r="H380" s="111"/>
      <c r="J380" s="111"/>
    </row>
    <row r="381" spans="2:10" s="110" customFormat="1" x14ac:dyDescent="0.2">
      <c r="B381" s="63"/>
      <c r="F381" s="111"/>
      <c r="H381" s="111"/>
      <c r="J381" s="111"/>
    </row>
    <row r="382" spans="2:10" s="110" customFormat="1" x14ac:dyDescent="0.2">
      <c r="B382" s="63"/>
      <c r="F382" s="111"/>
      <c r="H382" s="111"/>
      <c r="J382" s="111"/>
    </row>
    <row r="383" spans="2:10" s="110" customFormat="1" x14ac:dyDescent="0.2">
      <c r="B383" s="63"/>
      <c r="F383" s="111"/>
      <c r="H383" s="111"/>
      <c r="J383" s="111"/>
    </row>
    <row r="384" spans="2:10" s="110" customFormat="1" x14ac:dyDescent="0.2">
      <c r="B384" s="63"/>
      <c r="F384" s="111"/>
      <c r="H384" s="111"/>
      <c r="J384" s="111"/>
    </row>
    <row r="385" spans="2:10" s="110" customFormat="1" x14ac:dyDescent="0.2">
      <c r="B385" s="63"/>
      <c r="F385" s="111"/>
      <c r="H385" s="111"/>
      <c r="J385" s="111"/>
    </row>
    <row r="386" spans="2:10" s="110" customFormat="1" x14ac:dyDescent="0.2">
      <c r="B386" s="63"/>
      <c r="F386" s="111"/>
      <c r="H386" s="111"/>
      <c r="J386" s="111"/>
    </row>
    <row r="387" spans="2:10" s="110" customFormat="1" x14ac:dyDescent="0.2">
      <c r="B387" s="63"/>
      <c r="F387" s="111"/>
      <c r="H387" s="111"/>
      <c r="J387" s="111"/>
    </row>
    <row r="388" spans="2:10" s="110" customFormat="1" x14ac:dyDescent="0.2">
      <c r="B388" s="63"/>
      <c r="F388" s="111"/>
      <c r="H388" s="111"/>
      <c r="J388" s="111"/>
    </row>
    <row r="389" spans="2:10" s="110" customFormat="1" x14ac:dyDescent="0.2">
      <c r="B389" s="63"/>
      <c r="F389" s="111"/>
      <c r="H389" s="111"/>
      <c r="J389" s="111"/>
    </row>
    <row r="390" spans="2:10" s="110" customFormat="1" x14ac:dyDescent="0.2">
      <c r="B390" s="63"/>
      <c r="F390" s="111"/>
      <c r="H390" s="111"/>
      <c r="J390" s="111"/>
    </row>
    <row r="391" spans="2:10" s="110" customFormat="1" x14ac:dyDescent="0.2">
      <c r="B391" s="63"/>
      <c r="F391" s="111"/>
      <c r="H391" s="111"/>
      <c r="J391" s="111"/>
    </row>
  </sheetData>
  <sheetProtection algorithmName="SHA-512" hashValue="gDtAoPHfECWHammUOY2IYl7peRXsqCOkfbkFmxFqMa8RMbRmDVdUgFWf7XJuFP2c8063jE7mNpScm4kEFmEOwQ==" saltValue="c4CigC0gKbVHc5zhWIiq8w==" spinCount="100000" sheet="1" objects="1" scenarios="1"/>
  <protectedRanges>
    <protectedRange sqref="A1:XFD1048576" name="all"/>
  </protectedRanges>
  <pageMargins left="0.23622047244094491" right="0.23622047244094491" top="0.74803149606299213" bottom="0.74803149606299213" header="0.31496062992125984" footer="0.31496062992125984"/>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AD163"/>
  <sheetViews>
    <sheetView topLeftCell="A11" zoomScale="82" zoomScaleNormal="82" zoomScalePageLayoutView="87" workbookViewId="0">
      <selection activeCell="A11" sqref="A1:XFD1048576"/>
    </sheetView>
  </sheetViews>
  <sheetFormatPr defaultColWidth="8.85546875" defaultRowHeight="14.25" x14ac:dyDescent="0.2"/>
  <cols>
    <col min="1" max="1" width="4.140625" style="110" customWidth="1"/>
    <col min="2" max="2" width="6.42578125" style="110" customWidth="1"/>
    <col min="3" max="3" width="46.140625" style="228" customWidth="1"/>
    <col min="4" max="4" width="12.85546875" style="228" customWidth="1"/>
    <col min="5" max="5" width="17.85546875" style="110" customWidth="1"/>
    <col min="6" max="6" width="30" style="278" customWidth="1"/>
    <col min="7" max="7" width="78.7109375" style="228" customWidth="1"/>
    <col min="8" max="9" width="8.85546875" style="228"/>
    <col min="10" max="13" width="8.85546875" style="270"/>
    <col min="14" max="14" width="8.85546875" style="228"/>
    <col min="15" max="15" width="40.28515625" style="228" customWidth="1"/>
    <col min="16" max="16384" width="8.85546875" style="228"/>
  </cols>
  <sheetData>
    <row r="1" spans="1:28" x14ac:dyDescent="0.2">
      <c r="B1" s="225" t="str">
        <f>IF('input-data'!$B$3="Dansk", "SMÅGRISE", "PIGLETS")</f>
        <v>SMÅGRISE</v>
      </c>
      <c r="D1" s="225" t="s">
        <v>971</v>
      </c>
      <c r="E1" s="251"/>
      <c r="F1" s="269" t="s">
        <v>8</v>
      </c>
      <c r="G1" s="110"/>
      <c r="H1" s="110"/>
      <c r="I1" s="110"/>
      <c r="J1" s="110"/>
      <c r="K1" s="110"/>
      <c r="L1" s="110"/>
      <c r="M1" s="110"/>
      <c r="N1" s="110"/>
      <c r="O1" s="110"/>
      <c r="P1" s="110"/>
      <c r="Q1" s="110"/>
      <c r="R1" s="110"/>
      <c r="S1" s="110"/>
      <c r="T1" s="270"/>
      <c r="U1" s="270"/>
      <c r="V1" s="270"/>
      <c r="W1" s="270"/>
      <c r="X1" s="270"/>
      <c r="Y1" s="270"/>
      <c r="Z1" s="270"/>
      <c r="AA1" s="270"/>
      <c r="AB1" s="270"/>
    </row>
    <row r="2" spans="1:28" ht="15" thickBot="1" x14ac:dyDescent="0.25">
      <c r="B2" s="63"/>
      <c r="C2" s="63"/>
      <c r="D2" s="63"/>
      <c r="E2" s="228"/>
      <c r="F2" s="136"/>
      <c r="G2" s="63"/>
      <c r="H2" s="63"/>
      <c r="I2" s="63"/>
      <c r="J2" s="63"/>
      <c r="K2" s="63"/>
      <c r="L2" s="63"/>
      <c r="M2" s="63"/>
      <c r="N2" s="63"/>
      <c r="O2" s="63"/>
      <c r="P2" s="63"/>
      <c r="Q2" s="63"/>
      <c r="R2" s="110"/>
      <c r="S2" s="110"/>
      <c r="T2" s="270"/>
      <c r="U2" s="270"/>
      <c r="V2" s="270"/>
      <c r="W2" s="270"/>
      <c r="X2" s="270"/>
      <c r="Y2" s="270"/>
      <c r="Z2" s="270"/>
      <c r="AA2" s="270"/>
      <c r="AB2" s="270"/>
    </row>
    <row r="3" spans="1:28" x14ac:dyDescent="0.2">
      <c r="A3" s="63"/>
      <c r="B3" s="230" t="str">
        <f>IF(topdowntables!N4=1, "Dyre, flow", "Animals', flow")</f>
        <v>Dyre, flow</v>
      </c>
      <c r="C3" s="271"/>
      <c r="D3" s="250"/>
      <c r="F3" s="272"/>
      <c r="G3" s="110"/>
      <c r="H3" s="110"/>
      <c r="I3" s="110"/>
      <c r="J3" s="110"/>
      <c r="K3" s="110"/>
      <c r="L3" s="110"/>
      <c r="M3" s="110"/>
      <c r="N3" s="110"/>
      <c r="O3" s="110"/>
      <c r="P3" s="110"/>
      <c r="Q3" s="110"/>
      <c r="R3" s="110"/>
      <c r="S3" s="110"/>
      <c r="T3" s="270"/>
      <c r="U3" s="270"/>
      <c r="V3" s="270"/>
      <c r="W3" s="270"/>
      <c r="X3" s="270"/>
      <c r="Y3" s="270"/>
      <c r="Z3" s="270"/>
      <c r="AA3" s="270"/>
      <c r="AB3" s="270"/>
    </row>
    <row r="4" spans="1:28" x14ac:dyDescent="0.2">
      <c r="A4" s="63"/>
      <c r="B4" s="234" t="str">
        <f>IF(topdowntables!N4=1, "Smågrisene:", "Piglets")</f>
        <v>Smågrisene:</v>
      </c>
      <c r="C4" s="273"/>
      <c r="D4" s="274"/>
      <c r="F4" s="272"/>
      <c r="G4" s="110"/>
      <c r="H4" s="110"/>
      <c r="I4" s="110"/>
      <c r="J4" s="110"/>
      <c r="K4" s="110"/>
      <c r="L4" s="110"/>
      <c r="M4" s="110"/>
      <c r="N4" s="110"/>
      <c r="O4" s="110"/>
      <c r="P4" s="110"/>
      <c r="Q4" s="110"/>
      <c r="R4" s="110"/>
      <c r="S4" s="110"/>
      <c r="T4" s="270"/>
      <c r="U4" s="270"/>
      <c r="V4" s="270"/>
      <c r="W4" s="270"/>
      <c r="X4" s="270"/>
      <c r="Y4" s="270"/>
      <c r="Z4" s="270"/>
      <c r="AA4" s="270"/>
      <c r="AB4" s="270"/>
    </row>
    <row r="5" spans="1:28" x14ac:dyDescent="0.2">
      <c r="A5" s="63"/>
      <c r="B5" s="239"/>
      <c r="C5" s="63" t="str">
        <f>IF(topdowntables!N4=1, "Overførte fra sohold, stk", "Transfered from sows' herd, p.")</f>
        <v>Overførte fra sohold, stk</v>
      </c>
      <c r="D5" s="242">
        <f>'Flow sohold'!D20</f>
        <v>0</v>
      </c>
      <c r="E5" s="111"/>
      <c r="F5" s="272" t="s">
        <v>966</v>
      </c>
      <c r="G5" s="110"/>
      <c r="H5" s="110"/>
      <c r="I5" s="110"/>
      <c r="J5" s="110"/>
      <c r="K5" s="110"/>
      <c r="L5" s="110"/>
      <c r="M5" s="110"/>
      <c r="N5" s="110"/>
      <c r="O5" s="110"/>
      <c r="P5" s="110"/>
      <c r="Q5" s="110"/>
      <c r="R5" s="110"/>
      <c r="S5" s="110"/>
      <c r="T5" s="270"/>
      <c r="U5" s="270"/>
      <c r="V5" s="270"/>
      <c r="W5" s="270"/>
      <c r="X5" s="270"/>
      <c r="Y5" s="270"/>
      <c r="Z5" s="270"/>
      <c r="AA5" s="270"/>
      <c r="AB5" s="270"/>
    </row>
    <row r="6" spans="1:28" x14ac:dyDescent="0.2">
      <c r="A6" s="63"/>
      <c r="B6" s="239"/>
      <c r="C6" s="63" t="str">
        <f>IF(topdowntables!N4=1, "Indkøbte smågrise, stk", "Bought-in piglets, p.")</f>
        <v>Indkøbte smågrise, stk</v>
      </c>
      <c r="D6" s="241">
        <f>'input-data'!E27</f>
        <v>0</v>
      </c>
      <c r="E6" s="111"/>
      <c r="F6" s="272" t="s">
        <v>967</v>
      </c>
      <c r="G6" s="110"/>
      <c r="H6" s="110"/>
      <c r="I6" s="110"/>
      <c r="J6" s="110"/>
      <c r="K6" s="110"/>
      <c r="L6" s="110"/>
      <c r="M6" s="110"/>
      <c r="N6" s="110"/>
      <c r="O6" s="110"/>
      <c r="P6" s="110"/>
      <c r="Q6" s="110"/>
      <c r="R6" s="110"/>
      <c r="S6" s="110"/>
      <c r="T6" s="270"/>
      <c r="U6" s="270"/>
      <c r="V6" s="270"/>
      <c r="W6" s="270"/>
      <c r="X6" s="270"/>
      <c r="Y6" s="270"/>
      <c r="Z6" s="270"/>
      <c r="AA6" s="270"/>
      <c r="AB6" s="270"/>
    </row>
    <row r="7" spans="1:28" x14ac:dyDescent="0.2">
      <c r="A7" s="63"/>
      <c r="B7" s="239"/>
      <c r="C7" s="63" t="str">
        <f>IF(topdowntables!N4=1, "Vægt ved indsættelse, kg", "Weight at insertion, kg")</f>
        <v>Vægt ved indsættelse, kg</v>
      </c>
      <c r="D7" s="240">
        <f>IFERROR(((D5*'input-data'!E21)+(D6*'input-data'!E28))/(D5+D6),0)</f>
        <v>0</v>
      </c>
      <c r="E7" s="111"/>
      <c r="F7" s="272" t="s">
        <v>1607</v>
      </c>
      <c r="G7" s="110"/>
      <c r="H7" s="110"/>
      <c r="I7" s="110"/>
      <c r="J7" s="110"/>
      <c r="K7" s="110"/>
      <c r="L7" s="110"/>
      <c r="M7" s="110"/>
      <c r="N7" s="110"/>
      <c r="O7" s="110"/>
      <c r="P7" s="110"/>
      <c r="Q7" s="110"/>
      <c r="R7" s="110"/>
      <c r="S7" s="110"/>
      <c r="T7" s="270"/>
      <c r="U7" s="270"/>
      <c r="V7" s="270"/>
      <c r="W7" s="270"/>
      <c r="X7" s="270"/>
      <c r="Y7" s="270"/>
      <c r="Z7" s="270"/>
      <c r="AA7" s="270"/>
      <c r="AB7" s="270"/>
    </row>
    <row r="8" spans="1:28" x14ac:dyDescent="0.2">
      <c r="A8" s="63"/>
      <c r="B8" s="239"/>
      <c r="C8" s="63" t="str">
        <f>IF(topdowntables!N4=1, "Døde/aflivet, stk", "Dead, p.")</f>
        <v>Døde/aflivet, stk</v>
      </c>
      <c r="D8" s="242">
        <f>'input-data'!E31/100*(D5+D6)</f>
        <v>0</v>
      </c>
      <c r="E8" s="233"/>
      <c r="F8" s="272" t="s">
        <v>968</v>
      </c>
      <c r="G8" s="110"/>
      <c r="H8" s="110"/>
      <c r="I8" s="110"/>
      <c r="J8" s="110"/>
      <c r="K8" s="110"/>
      <c r="L8" s="110"/>
      <c r="M8" s="110"/>
      <c r="N8" s="110"/>
      <c r="O8" s="110"/>
      <c r="P8" s="110"/>
      <c r="Q8" s="110"/>
      <c r="R8" s="110"/>
      <c r="S8" s="110"/>
      <c r="T8" s="270"/>
      <c r="U8" s="270"/>
      <c r="V8" s="270"/>
      <c r="W8" s="270"/>
      <c r="X8" s="270"/>
      <c r="Y8" s="270"/>
      <c r="Z8" s="270"/>
      <c r="AA8" s="270"/>
      <c r="AB8" s="270"/>
    </row>
    <row r="9" spans="1:28" x14ac:dyDescent="0.2">
      <c r="A9" s="63"/>
      <c r="B9" s="239"/>
      <c r="C9" s="177" t="str">
        <f>IF(topdowntables!N4=1, "Produceret smågrise, stk", "Produced piglets, p.")</f>
        <v>Produceret smågrise, stk</v>
      </c>
      <c r="D9" s="245">
        <f>D5+D6-D8</f>
        <v>0</v>
      </c>
      <c r="E9" s="233"/>
      <c r="F9" s="272"/>
      <c r="G9" s="110"/>
      <c r="H9" s="110"/>
      <c r="I9" s="110"/>
      <c r="J9" s="110"/>
      <c r="K9" s="110"/>
      <c r="L9" s="110"/>
      <c r="M9" s="110"/>
      <c r="N9" s="110"/>
      <c r="O9" s="110"/>
      <c r="P9" s="110"/>
      <c r="Q9" s="110"/>
      <c r="R9" s="110"/>
      <c r="S9" s="110"/>
      <c r="T9" s="270"/>
      <c r="U9" s="270"/>
      <c r="V9" s="270"/>
      <c r="W9" s="270"/>
      <c r="X9" s="270"/>
      <c r="Y9" s="270"/>
      <c r="Z9" s="270"/>
      <c r="AA9" s="270"/>
      <c r="AB9" s="270"/>
    </row>
    <row r="10" spans="1:28" x14ac:dyDescent="0.2">
      <c r="A10" s="63"/>
      <c r="B10" s="239"/>
      <c r="C10" s="177"/>
      <c r="D10" s="245"/>
      <c r="E10" s="233"/>
      <c r="F10" s="272"/>
      <c r="G10" s="110"/>
      <c r="H10" s="110"/>
      <c r="I10" s="110"/>
      <c r="J10" s="110"/>
      <c r="K10" s="110"/>
      <c r="L10" s="110"/>
      <c r="M10" s="110"/>
      <c r="N10" s="110"/>
      <c r="O10" s="110"/>
      <c r="P10" s="110"/>
      <c r="Q10" s="110"/>
      <c r="R10" s="110"/>
      <c r="S10" s="110"/>
      <c r="T10" s="270"/>
      <c r="U10" s="270"/>
      <c r="V10" s="270"/>
      <c r="W10" s="270"/>
      <c r="X10" s="270"/>
      <c r="Y10" s="270"/>
      <c r="Z10" s="270"/>
      <c r="AA10" s="270"/>
      <c r="AB10" s="270"/>
    </row>
    <row r="11" spans="1:28" x14ac:dyDescent="0.2">
      <c r="A11" s="63"/>
      <c r="B11" s="239"/>
      <c r="C11" s="63" t="str">
        <f>IF(topdowntables!N4=1, "Solgte, stk", "Sold, p.")</f>
        <v>Solgte, stk</v>
      </c>
      <c r="D11" s="242">
        <f>'input-data'!E32</f>
        <v>0</v>
      </c>
      <c r="E11" s="233"/>
      <c r="F11" s="272" t="s">
        <v>967</v>
      </c>
      <c r="G11" s="110"/>
      <c r="H11" s="110"/>
      <c r="I11" s="110"/>
      <c r="J11" s="110"/>
      <c r="K11" s="110"/>
      <c r="L11" s="110"/>
      <c r="M11" s="110"/>
      <c r="N11" s="110"/>
      <c r="O11" s="110"/>
      <c r="P11" s="110"/>
      <c r="Q11" s="110"/>
      <c r="R11" s="110"/>
      <c r="S11" s="110"/>
      <c r="T11" s="270"/>
      <c r="U11" s="270"/>
      <c r="V11" s="270"/>
      <c r="W11" s="270"/>
      <c r="X11" s="270"/>
      <c r="Y11" s="270"/>
      <c r="Z11" s="270"/>
      <c r="AA11" s="270"/>
      <c r="AB11" s="270"/>
    </row>
    <row r="12" spans="1:28" x14ac:dyDescent="0.2">
      <c r="A12" s="63"/>
      <c r="B12" s="239"/>
      <c r="C12" s="63" t="str">
        <f>IF(topdowntables!N4=1, "Overført til slagtesvin, stk", "Transferred to slaughter pigs, p.")</f>
        <v>Overført til slagtesvin, stk</v>
      </c>
      <c r="D12" s="242">
        <f>D9-D11</f>
        <v>0</v>
      </c>
      <c r="E12" s="233"/>
      <c r="F12" s="272"/>
      <c r="G12" s="110"/>
      <c r="H12" s="110"/>
      <c r="I12" s="110"/>
      <c r="J12" s="110"/>
      <c r="K12" s="110"/>
      <c r="L12" s="110"/>
      <c r="M12" s="110"/>
      <c r="N12" s="110"/>
      <c r="O12" s="110"/>
      <c r="P12" s="110"/>
      <c r="Q12" s="110"/>
      <c r="R12" s="110"/>
      <c r="S12" s="110"/>
      <c r="T12" s="270"/>
      <c r="U12" s="270"/>
      <c r="V12" s="270"/>
      <c r="W12" s="270"/>
      <c r="X12" s="270"/>
      <c r="Y12" s="270"/>
      <c r="Z12" s="270"/>
      <c r="AA12" s="270"/>
      <c r="AB12" s="270"/>
    </row>
    <row r="13" spans="1:28" ht="15" thickBot="1" x14ac:dyDescent="0.25">
      <c r="A13" s="63"/>
      <c r="B13" s="246"/>
      <c r="C13" s="247" t="str">
        <f>IF(topdowntables!N4=1, "Vægt ved afgang, kg", "Weight at insertion, kg")</f>
        <v>Vægt ved afgang, kg</v>
      </c>
      <c r="D13" s="262">
        <f>'input-data'!E29</f>
        <v>0</v>
      </c>
      <c r="E13" s="233"/>
      <c r="F13" s="272"/>
      <c r="G13" s="110"/>
      <c r="H13" s="110"/>
      <c r="I13" s="110"/>
      <c r="J13" s="110"/>
      <c r="K13" s="110"/>
      <c r="L13" s="110"/>
      <c r="M13" s="110"/>
      <c r="N13" s="110"/>
      <c r="O13" s="110"/>
      <c r="P13" s="110"/>
      <c r="Q13" s="110"/>
      <c r="R13" s="110"/>
      <c r="S13" s="110"/>
      <c r="T13" s="270"/>
      <c r="U13" s="270"/>
      <c r="V13" s="270"/>
      <c r="W13" s="270"/>
      <c r="X13" s="270"/>
      <c r="Y13" s="270"/>
      <c r="Z13" s="270"/>
      <c r="AA13" s="270"/>
      <c r="AB13" s="270"/>
    </row>
    <row r="14" spans="1:28" ht="15" thickBot="1" x14ac:dyDescent="0.25">
      <c r="C14" s="110"/>
      <c r="D14" s="233"/>
      <c r="E14" s="233"/>
      <c r="F14" s="272"/>
      <c r="G14" s="110"/>
      <c r="H14" s="110"/>
      <c r="I14" s="110"/>
      <c r="J14" s="110"/>
      <c r="K14" s="110"/>
      <c r="L14" s="110"/>
      <c r="M14" s="110"/>
      <c r="N14" s="110"/>
      <c r="O14" s="110"/>
      <c r="P14" s="110"/>
      <c r="Q14" s="110"/>
      <c r="R14" s="110"/>
      <c r="S14" s="110"/>
      <c r="T14" s="270"/>
      <c r="U14" s="270"/>
      <c r="V14" s="270"/>
      <c r="W14" s="270"/>
      <c r="X14" s="270"/>
      <c r="Y14" s="270"/>
      <c r="Z14" s="270"/>
      <c r="AA14" s="270"/>
      <c r="AB14" s="270"/>
    </row>
    <row r="15" spans="1:28" x14ac:dyDescent="0.2">
      <c r="B15" s="230" t="str">
        <f>IF(topdowntables!N4=1, "Foder og strøelse, flow:", "Feed and straw, flow")</f>
        <v>Foder og strøelse, flow:</v>
      </c>
      <c r="C15" s="275"/>
      <c r="D15" s="276"/>
      <c r="E15" s="233"/>
      <c r="F15" s="272"/>
      <c r="G15" s="110"/>
      <c r="H15" s="110"/>
      <c r="I15" s="110"/>
      <c r="J15" s="110"/>
      <c r="K15" s="110"/>
      <c r="L15" s="110"/>
      <c r="M15" s="110"/>
      <c r="N15" s="110"/>
      <c r="O15" s="110"/>
      <c r="P15" s="110"/>
      <c r="Q15" s="110"/>
      <c r="R15" s="110"/>
      <c r="S15" s="110"/>
      <c r="T15" s="270"/>
      <c r="U15" s="270"/>
      <c r="V15" s="270"/>
      <c r="W15" s="270"/>
      <c r="X15" s="270"/>
      <c r="Y15" s="270"/>
      <c r="Z15" s="270"/>
      <c r="AA15" s="270"/>
      <c r="AB15" s="270"/>
    </row>
    <row r="16" spans="1:28" x14ac:dyDescent="0.2">
      <c r="B16" s="234" t="str">
        <f>IF(topdowntables!N4=1, "Foderdage per produceret smågris:", "Feeding days per produced piglet")</f>
        <v>Foderdage per produceret smågris:</v>
      </c>
      <c r="C16" s="235"/>
      <c r="D16" s="253"/>
      <c r="E16" s="233"/>
      <c r="F16" s="272"/>
      <c r="G16" s="110"/>
      <c r="H16" s="110"/>
      <c r="I16" s="110"/>
      <c r="J16" s="110"/>
      <c r="K16" s="110"/>
      <c r="L16" s="110"/>
      <c r="M16" s="110"/>
      <c r="N16" s="110"/>
      <c r="O16" s="110"/>
      <c r="P16" s="110"/>
      <c r="Q16" s="110"/>
      <c r="R16" s="110"/>
      <c r="S16" s="110"/>
      <c r="T16" s="270"/>
      <c r="U16" s="270"/>
      <c r="V16" s="270"/>
      <c r="W16" s="270"/>
      <c r="X16" s="270"/>
      <c r="Y16" s="270"/>
      <c r="Z16" s="270"/>
      <c r="AA16" s="270"/>
      <c r="AB16" s="270"/>
    </row>
    <row r="17" spans="2:30" x14ac:dyDescent="0.2">
      <c r="B17" s="277"/>
      <c r="C17" s="63" t="str">
        <f>IF(topdowntables!N4=1, "Foderdage, ude", "Feeding days, outdoor")</f>
        <v>Foderdage, ude</v>
      </c>
      <c r="D17" s="242"/>
      <c r="E17" s="233"/>
      <c r="F17" s="395"/>
      <c r="G17" s="110"/>
      <c r="H17" s="110"/>
      <c r="I17" s="110"/>
      <c r="J17" s="110"/>
      <c r="K17" s="110"/>
      <c r="L17" s="110"/>
      <c r="M17" s="110"/>
      <c r="N17" s="110"/>
      <c r="O17" s="110"/>
      <c r="P17" s="110"/>
      <c r="Q17" s="110"/>
      <c r="R17" s="110"/>
      <c r="S17" s="110"/>
      <c r="T17" s="270"/>
      <c r="U17" s="270"/>
      <c r="V17" s="270"/>
      <c r="W17" s="270"/>
      <c r="X17" s="270"/>
      <c r="Y17" s="270"/>
      <c r="Z17" s="270"/>
      <c r="AA17" s="270"/>
      <c r="AB17" s="270"/>
    </row>
    <row r="18" spans="2:30" x14ac:dyDescent="0.2">
      <c r="B18" s="277"/>
      <c r="C18" s="264" t="s">
        <v>1614</v>
      </c>
      <c r="D18" s="242">
        <f>IF(OR('input-data'!$E$346=topdowntables!$C$14,'input-data'!$E$346=topdowntables!$C$19),0)
+(IF(AND('input-data'!$E$346=topdowntables!$C$15,'input-data'!H157&gt;'input-data'!F157,'input-data'!E29&gt;='input-data'!H157),('input-data'!H157-'input-data'!F157)/'input-data'!E30,0)
+IF(AND('input-data'!$E$346=topdowntables!$C$20,'input-data'!H157&gt;'input-data'!F157,'input-data'!E29&gt;='input-data'!H157),('input-data'!H157-'input-data'!F157)/'input-data'!E30,0)
+IF(AND('input-data'!$E$346=topdowntables!$C$15,'input-data'!H157&gt;'input-data'!F157,'input-data'!E29&lt;'input-data'!H157),('input-data'!E29-'input-data'!F157)/'input-data'!E30,0)
+IF(AND('input-data'!$E$346=topdowntables!$C$20,'input-data'!H157&gt;'input-data'!F157,'input-data'!E29&lt;'input-data'!H157),('input-data'!E29-'input-data'!F157)/'input-data'!E30,0)
+IF(AND('input-data'!$E$346=topdowntables!$C$16,'input-data'!H157&gt;'input-data'!F157,'input-data'!F347&gt;'input-data'!F157,'input-data'!F347&lt;='input-data'!H157,'input-data'!H157&lt;='input-data'!E29),('input-data'!F347-'input-data'!F157)/'input-data'!E30,0)
+IF(AND('input-data'!$E$346=topdowntables!$C$21,'input-data'!H157&gt;'input-data'!F157,'input-data'!F347&gt;'input-data'!F157,'input-data'!F347&lt;='input-data'!H157,'input-data'!H157&lt;='input-data'!E29),('input-data'!F347-'input-data'!F157)/'input-data'!E30,0)
+IF(AND('input-data'!$E$346=topdowntables!$C$16,'input-data'!H157&gt;'input-data'!F157,'input-data'!F347&gt;'input-data'!F157,'input-data'!F347&lt;='input-data'!H157,'input-data'!H157&gt;'input-data'!E29, 'input-data'!F347&gt;'input-data'!E29),('input-data'!E29-'input-data'!F157)/'input-data'!E30,0)
+IF(AND('input-data'!$E$346=topdowntables!$C$21,'input-data'!H157&gt;'input-data'!F157,'input-data'!F347&gt;'input-data'!F157,'input-data'!F347&lt;='input-data'!H157,'input-data'!H157&gt;'input-data'!E29, 'input-data'!F347&gt;'input-data'!E29),('input-data'!E29-'input-data'!F157)/'input-data'!E30,0)
+IF(AND('input-data'!$E$346=topdowntables!$C$16,'input-data'!H157&gt;'input-data'!F157,'input-data'!F347&gt;'input-data'!F157,'input-data'!F347&lt;='input-data'!H157,'input-data'!H157&gt;'input-data'!E29, 'input-data'!F347&lt;='input-data'!E29),('input-data'!F347-'input-data'!F157)/'input-data'!E30,0)
+IF(AND('input-data'!$E$346=topdowntables!$C$21,'input-data'!H157&gt;'input-data'!F157,'input-data'!F347&gt;'input-data'!F157,'input-data'!F347&lt;='input-data'!H157,'input-data'!H157&gt;'input-data'!E29, 'input-data'!F347&lt;='input-data'!E29),('input-data'!F347-'input-data'!F157)/'input-data'!E30,0)
+IF(AND('input-data'!$E$346=topdowntables!$C$16,'input-data'!H157&gt;'input-data'!F157,'input-data'!F347&gt;'input-data'!H157,'input-data'!H157&lt;='input-data'!E29),('input-data'!H157-'input-data'!F157)/ 'input-data'!E30,0)
+IF(AND('input-data'!$E$346=topdowntables!$C$21,'input-data'!H157&gt;'input-data'!F157,'input-data'!F347&gt;'input-data'!H157,'input-data'!H157&lt;='input-data'!E29),('input-data'!H157-'input-data'!F157)/ 'input-data'!E30,0)
+IF(AND('input-data'!$E$346=topdowntables!$C$16,'input-data'!H157&gt;'input-data'!F157,'input-data'!F347&gt;'input-data'!H157,'input-data'!H157&gt;'input-data'!E29),('input-data'!E29-'input-data'!F157)/'input-data'!E30,0)
+IF(AND('input-data'!$E$346=topdowntables!$C$21,'input-data'!H157&gt;'input-data'!F157,'input-data'!F347&gt;'input-data'!H157,'input-data'!H157&gt;'input-data'!E29),('input-data'!E29-'input-data'!F157)/'input-data'!E30,0)
)*1000</f>
        <v>0</v>
      </c>
      <c r="E18" s="233"/>
      <c r="F18" s="658"/>
      <c r="G18" s="110"/>
      <c r="H18" s="110"/>
      <c r="I18" s="110"/>
      <c r="J18" s="110"/>
      <c r="K18" s="110"/>
      <c r="L18" s="110"/>
      <c r="M18" s="110"/>
      <c r="N18" s="110"/>
      <c r="O18" s="110"/>
      <c r="P18" s="110"/>
      <c r="Q18" s="110"/>
      <c r="R18" s="110"/>
      <c r="S18" s="110"/>
      <c r="T18" s="270"/>
      <c r="U18" s="270"/>
      <c r="V18" s="270"/>
      <c r="W18" s="270"/>
      <c r="X18" s="270"/>
      <c r="Y18" s="270"/>
      <c r="Z18" s="270"/>
      <c r="AA18" s="270"/>
      <c r="AB18" s="270"/>
    </row>
    <row r="19" spans="2:30" x14ac:dyDescent="0.2">
      <c r="B19" s="277"/>
      <c r="C19" s="264" t="s">
        <v>1615</v>
      </c>
      <c r="D19" s="242">
        <f>IF(OR('input-data'!$E$346=topdowntables!$C$14,'input-data'!$E$346=topdowntables!$C$19),0)
+(IF(AND('input-data'!$E$346=topdowntables!$C$15,'input-data'!H176&gt;'input-data'!F176,'input-data'!E29&gt;='input-data'!H176),('input-data'!H176-'input-data'!F176)/'input-data'!E30,0)
+IF(AND('input-data'!$E$346=topdowntables!$C$20,'input-data'!H176&gt;'input-data'!F176,'input-data'!E29&gt;='input-data'!H176),('input-data'!H176-'input-data'!F176)/'input-data'!E30,0)
+IF(AND('input-data'!$E$346=topdowntables!$C$15,'input-data'!H176&gt;'input-data'!F176,'input-data'!E29&lt;'input-data'!H176),('input-data'!E29-'input-data'!F176)/'input-data'!E30,0)
+IF(AND('input-data'!$E$346=topdowntables!$C$20,'input-data'!H176&gt;'input-data'!F176,'input-data'!E29&lt;'input-data'!H176),('input-data'!E29-'input-data'!F176)/'input-data'!E30,0)
+IF(AND('input-data'!$E$346=topdowntables!$C$16,'input-data'!H176&gt;'input-data'!F176,'input-data'!F347&gt;'input-data'!F176,'input-data'!F347&lt;='input-data'!H176,'input-data'!H176&lt;='input-data'!E29),('input-data'!F347-'input-data'!F176)/'input-data'!E30,0)
+IF(AND('input-data'!$E$346=topdowntables!$C$21,'input-data'!H176&gt;'input-data'!F176,'input-data'!F347&gt;'input-data'!F176,'input-data'!F347&lt;='input-data'!H176,'input-data'!H176&lt;='input-data'!E29),('input-data'!F347-'input-data'!F176)/'input-data'!E30,0)
+IF(AND('input-data'!$E$346=topdowntables!$C$16,'input-data'!H176&gt;'input-data'!F176,'input-data'!F347&gt;'input-data'!F176,'input-data'!F347&lt;='input-data'!H176,'input-data'!H176&gt;'input-data'!E29, 'input-data'!F347&gt;'input-data'!E29),('input-data'!E29-'input-data'!F176)/'input-data'!E30,0)
+IF(AND('input-data'!$E$346=topdowntables!$C$21,'input-data'!H176&gt;'input-data'!F176,'input-data'!F347&gt;'input-data'!F176,'input-data'!F347&lt;='input-data'!H176,'input-data'!H176&gt;'input-data'!E29, 'input-data'!F347&gt;'input-data'!E29),('input-data'!E29-'input-data'!F176)/'input-data'!E30,0)
+IF(AND('input-data'!$E$346=topdowntables!$C$16,'input-data'!H176&gt;'input-data'!F176,'input-data'!F347&gt;'input-data'!F176,'input-data'!F347&lt;='input-data'!H176,'input-data'!H176&gt;'input-data'!E29, 'input-data'!F347&lt;='input-data'!E29),('input-data'!F347-'input-data'!F176)/'input-data'!E30,0)
+IF(AND('input-data'!$E$346=topdowntables!$C$21,'input-data'!H176&gt;'input-data'!F176,'input-data'!F347&gt;'input-data'!F176,'input-data'!F347&lt;='input-data'!H176,'input-data'!H176&gt;'input-data'!E29, 'input-data'!F347&lt;='input-data'!E29),('input-data'!F347-'input-data'!F176)/'input-data'!E30,0)
+IF(AND('input-data'!$E$346=topdowntables!$C$16,'input-data'!H176&gt;'input-data'!F176,'input-data'!F347&gt;'input-data'!H176,'input-data'!H176&lt;='input-data'!E29),('input-data'!H176-'input-data'!F176)/ 'input-data'!E30,0)
+IF(AND('input-data'!$E$346=topdowntables!$C$21,'input-data'!H176&gt;'input-data'!F176,'input-data'!F347&gt;'input-data'!H176,'input-data'!H176&lt;='input-data'!E29),('input-data'!H176-'input-data'!F176)/ 'input-data'!E30,0)
+IF(AND('input-data'!$E$346=topdowntables!$C$16,'input-data'!H176&gt;'input-data'!F176,'input-data'!F347&gt;'input-data'!H176,'input-data'!H176&gt;'input-data'!E29),('input-data'!E29-'input-data'!F176)/'input-data'!E30,0)
+IF(AND('input-data'!$E$346=topdowntables!$C$21,'input-data'!H176&gt;'input-data'!F176,'input-data'!F347&gt;'input-data'!H176,'input-data'!H176&gt;'input-data'!E29),('input-data'!E29-'input-data'!F176)/'input-data'!E30,0)
)*1000</f>
        <v>0</v>
      </c>
      <c r="E19" s="233"/>
      <c r="F19" s="395"/>
      <c r="G19" s="110"/>
      <c r="H19" s="110"/>
      <c r="I19" s="110"/>
      <c r="J19" s="110"/>
      <c r="K19" s="110"/>
      <c r="L19" s="110"/>
      <c r="M19" s="110"/>
      <c r="N19" s="110"/>
      <c r="O19" s="110"/>
      <c r="P19" s="110"/>
      <c r="Q19" s="110"/>
      <c r="R19" s="110"/>
      <c r="S19" s="110"/>
      <c r="T19" s="270"/>
      <c r="U19" s="270"/>
      <c r="V19" s="270"/>
      <c r="W19" s="270"/>
      <c r="X19" s="270"/>
      <c r="Y19" s="270"/>
      <c r="Z19" s="270"/>
      <c r="AA19" s="270"/>
      <c r="AB19" s="270"/>
    </row>
    <row r="20" spans="2:30" x14ac:dyDescent="0.2">
      <c r="B20" s="277"/>
      <c r="C20" s="264" t="s">
        <v>1616</v>
      </c>
      <c r="D20" s="242">
        <f>IF(OR('input-data'!$E$346=topdowntables!$C$14,'input-data'!$E$346=topdowntables!$C$19),0)
+(IF(AND('input-data'!$E$346=topdowntables!$C$15,'input-data'!H195&gt;'input-data'!F195),('input-data'!H195-'input-data'!F195)/'input-data'!E30,0)
+IF(AND('input-data'!$E$346=topdowntables!$C$20,'input-data'!H195&gt;'input-data'!F195),('input-data'!H195-'input-data'!F195)/'input-data'!E30,0)
+IF(AND('input-data'!$E$346=topdowntables!$C$16,'input-data'!H195&gt;'input-data'!F195,'input-data'!F347&gt;'input-data'!F195,'input-data'!F347&lt;='input-data'!H195),('input-data'!F347-'input-data'!F195)/'input-data'!E30,0)
+IF(AND('input-data'!$E$346=topdowntables!$C$21,'input-data'!H195&gt;'input-data'!F195,'input-data'!F347&gt;'input-data'!F195,'input-data'!F347&lt;='input-data'!H195),('input-data'!F347-'input-data'!F195)/'input-data'!E30,0)
+IF(AND('input-data'!$E$346=topdowntables!$C$16,'input-data'!H195&gt;'input-data'!F195,'input-data'!F347&gt;'input-data'!F195,'input-data'!F347&gt;'input-data'!E29),('input-data'!E29-'input-data'!F195)/'input-data'!E30,0)
+IF(AND('input-data'!$E$346=topdowntables!$C$21,'input-data'!H195&gt;'input-data'!F195,'input-data'!F347&gt;'input-data'!F195,'input-data'!F347&gt;'input-data'!E29),('input-data'!E29-'input-data'!F195)/'input-data'!E30,0)
)*1000</f>
        <v>0</v>
      </c>
      <c r="E20" s="233"/>
      <c r="F20" s="395"/>
      <c r="G20" s="110"/>
      <c r="H20" s="110"/>
      <c r="I20" s="110"/>
      <c r="J20" s="110"/>
      <c r="K20" s="110"/>
      <c r="L20" s="110"/>
      <c r="M20" s="110"/>
      <c r="N20" s="110"/>
      <c r="O20" s="110"/>
      <c r="P20" s="110"/>
      <c r="Q20" s="110"/>
      <c r="R20" s="110"/>
      <c r="S20" s="110"/>
      <c r="T20" s="270"/>
      <c r="U20" s="270"/>
      <c r="V20" s="270"/>
      <c r="W20" s="270"/>
      <c r="X20" s="270"/>
      <c r="Y20" s="270"/>
      <c r="Z20" s="270"/>
      <c r="AA20" s="270"/>
      <c r="AB20" s="270"/>
    </row>
    <row r="21" spans="2:30" x14ac:dyDescent="0.2">
      <c r="B21" s="277"/>
      <c r="C21" s="63" t="str">
        <f>IF(topdowntables!N4=1, "Foderdage, ude ialt", "Feeding days, outdoor total")</f>
        <v>Foderdage, ude ialt</v>
      </c>
      <c r="D21" s="242">
        <f>D18+D19+D20</f>
        <v>0</v>
      </c>
      <c r="E21" s="233"/>
      <c r="F21" s="272"/>
      <c r="G21" s="110"/>
      <c r="H21" s="110"/>
      <c r="I21" s="110"/>
      <c r="J21" s="110"/>
      <c r="K21" s="110"/>
      <c r="L21" s="110"/>
      <c r="M21" s="110"/>
      <c r="N21" s="110"/>
      <c r="O21" s="110"/>
      <c r="P21" s="110"/>
      <c r="Q21" s="110"/>
      <c r="R21" s="110"/>
      <c r="S21" s="110"/>
      <c r="T21" s="270"/>
      <c r="U21" s="270"/>
      <c r="V21" s="270"/>
      <c r="W21" s="270"/>
      <c r="X21" s="270"/>
      <c r="Y21" s="270"/>
      <c r="Z21" s="270"/>
      <c r="AA21" s="270"/>
      <c r="AB21" s="270"/>
    </row>
    <row r="22" spans="2:30" x14ac:dyDescent="0.2">
      <c r="B22" s="277"/>
      <c r="C22" s="63"/>
      <c r="D22" s="242"/>
      <c r="E22" s="233"/>
      <c r="F22" s="272"/>
      <c r="G22" s="110"/>
      <c r="H22" s="110"/>
      <c r="I22" s="110"/>
      <c r="J22" s="110"/>
      <c r="K22" s="110"/>
      <c r="L22" s="110"/>
      <c r="M22" s="110"/>
      <c r="N22" s="110"/>
      <c r="O22" s="110"/>
      <c r="P22" s="110"/>
      <c r="Q22" s="110"/>
      <c r="R22" s="110"/>
      <c r="S22" s="110"/>
      <c r="T22" s="270"/>
      <c r="U22" s="270"/>
      <c r="V22" s="270"/>
      <c r="W22" s="270"/>
      <c r="X22" s="270"/>
      <c r="Y22" s="270"/>
      <c r="Z22" s="270"/>
      <c r="AA22" s="270"/>
      <c r="AB22" s="270"/>
    </row>
    <row r="23" spans="2:30" x14ac:dyDescent="0.2">
      <c r="B23" s="277"/>
      <c r="C23" s="63" t="str">
        <f>IF(topdowntables!N4=1, "Foderdage, inde", "Feeding days, indoor")</f>
        <v>Foderdage, inde</v>
      </c>
      <c r="D23" s="242"/>
      <c r="E23" s="233"/>
      <c r="F23" s="272"/>
      <c r="G23" s="110"/>
      <c r="H23" s="110"/>
      <c r="I23" s="110"/>
      <c r="J23" s="110"/>
      <c r="K23" s="110"/>
      <c r="L23" s="110"/>
      <c r="M23" s="110"/>
      <c r="N23" s="110"/>
      <c r="O23" s="110"/>
      <c r="P23" s="110"/>
      <c r="Q23" s="110"/>
      <c r="R23" s="110"/>
      <c r="S23" s="110"/>
      <c r="T23" s="270"/>
      <c r="U23" s="270"/>
      <c r="V23" s="270"/>
      <c r="W23" s="270"/>
      <c r="X23" s="270"/>
      <c r="Y23" s="270"/>
      <c r="Z23" s="270"/>
      <c r="AA23" s="270"/>
      <c r="AB23" s="270"/>
    </row>
    <row r="24" spans="2:30" x14ac:dyDescent="0.2">
      <c r="B24" s="277"/>
      <c r="C24" s="264" t="s">
        <v>1614</v>
      </c>
      <c r="D24" s="242">
        <f>IFERROR((IF(AND('input-data'!$E$346=topdowntables!$C$14,'input-data'!H157&gt;'input-data'!F157,'input-data'!E29&gt;='input-data'!H157),('input-data'!H157-'input-data'!F157)/'input-data'!E30,0)
+IF(AND('input-data'!$E$346=topdowntables!$C$19,'input-data'!H157&gt;'input-data'!F157,'input-data'!E29&gt;='input-data'!H157),('input-data'!H157-'input-data'!F157)/'input-data'!E30,0)
+IF(AND('input-data'!$E$346=topdowntables!$C$14,'input-data'!H157&gt;'input-data'!F157,'input-data'!E29&lt;'input-data'!H157),('input-data'!E29-'input-data'!F157)/'input-data'!E30,0)
+IF(AND('input-data'!$E$346=topdowntables!$C$19,'input-data'!H157&gt;'input-data'!F157,'input-data'!E29&lt;'input-data'!H157),('input-data'!E29-'input-data'!F157)/'input-data'!E30,0)
+IF(OR('input-data'!$E$346=topdowntables!$C$15,'input-data'!$E$346=topdowntables!$C$20),0)
+IF(AND('input-data'!$E$346=topdowntables!$C$16,'input-data'!H157&gt;'input-data'!F157,'input-data'!F347&gt;'input-data'!F157,'input-data'!F347&lt;='input-data'!H157,'input-data'!H157&lt;='input-data'!E29),('input-data'!H157-'input-data'!F347)/'input-data'!E30,0)
+IF(AND('input-data'!$E$346=topdowntables!$C$21,'input-data'!H157&gt;'input-data'!F157,'input-data'!F347&gt;'input-data'!F157,'input-data'!F347&lt;='input-data'!H157,'input-data'!H157&lt;='input-data'!E29),('input-data'!H157-'input-data'!F347)/'input-data'!E30,0)
+IF(AND('input-data'!$E$346=topdowntables!$C$16,'input-data'!H157&gt;'input-data'!F157,'input-data'!F347&gt;'input-data'!F157,'input-data'!F347&lt;='input-data'!H157,'input-data'!H157&gt;'input-data'!E29),('input-data'!E29-'input-data'!F347)/'input-data'!E30,0)
+IF(AND('input-data'!$E$346=topdowntables!$C$21,'input-data'!H157&gt;'input-data'!F157,'input-data'!F347&gt;'input-data'!F157,'input-data'!F347&lt;='input-data'!H157,'input-data'!H157&gt;'input-data'!E29),('input-data'!E29-'input-data'!F347)/'input-data'!E30,0)
+IF(AND('input-data'!$E$346=topdowntables!$C$16,'input-data'!H157&gt;'input-data'!F157,'input-data'!F347&lt;='input-data'!F157,'input-data'!H157&lt;='input-data'!E29),('input-data'!H157-'input-data'!F157)/ 'input-data'!E30,0)
+IF(AND('input-data'!$E$346=topdowntables!$C$21,'input-data'!H157&gt;'input-data'!F157,'input-data'!F347&lt;='input-data'!F157,'input-data'!H157&lt;='input-data'!E29),('input-data'!H157-'input-data'!F157)/ 'input-data'!E30,0)
+IF(AND('input-data'!$E$346=topdowntables!$C$16,'input-data'!H157&gt;'input-data'!F157,'input-data'!F347&lt;='input-data'!F157,'input-data'!H157&gt;'input-data'!E29),('input-data'!E29-'input-data'!F157)/'input-data'!E30,0)
+IF(AND('input-data'!$E$346=topdowntables!$C$21,'input-data'!H157&gt;'input-data'!F157,'input-data'!F347&lt;='input-data'!F157,'input-data'!H157&gt;'input-data'!E29),('input-data'!E29-'input-data'!F157)/'input-data'!E30,0)
)*1000, 0)</f>
        <v>0</v>
      </c>
      <c r="E24" s="233"/>
      <c r="F24" s="272"/>
      <c r="G24" s="110"/>
      <c r="H24" s="110"/>
      <c r="I24" s="110"/>
      <c r="J24" s="110"/>
      <c r="K24" s="110"/>
      <c r="L24" s="110"/>
      <c r="M24" s="110"/>
      <c r="N24" s="110"/>
      <c r="O24" s="110"/>
      <c r="P24" s="110"/>
      <c r="Q24" s="110"/>
      <c r="R24" s="110"/>
      <c r="S24" s="110"/>
      <c r="T24" s="270"/>
      <c r="U24" s="270"/>
      <c r="V24" s="270"/>
      <c r="W24" s="270"/>
      <c r="X24" s="270"/>
      <c r="Y24" s="270"/>
      <c r="Z24" s="270"/>
      <c r="AA24" s="270"/>
      <c r="AB24" s="270"/>
    </row>
    <row r="25" spans="2:30" ht="15" x14ac:dyDescent="0.25">
      <c r="B25" s="277"/>
      <c r="C25" s="264" t="s">
        <v>1615</v>
      </c>
      <c r="D25" s="242">
        <f>(IF(AND('input-data'!$E$346=topdowntables!$C$14,'input-data'!H176&gt;'input-data'!F176,'input-data'!E29&gt;='input-data'!H176),('input-data'!H176-'input-data'!F176)/'input-data'!E30,0)
+IF(AND('input-data'!$E$346=topdowntables!$C$19,'input-data'!H176&gt;'input-data'!F176,'input-data'!E29&gt;='input-data'!H176),('input-data'!H176-'input-data'!F176)/'input-data'!E30,0)
+IF(AND('input-data'!$E$346=topdowntables!$C$14,'input-data'!H176&gt;'input-data'!F176,'input-data'!E29&lt;'input-data'!H176),('input-data'!E29-'input-data'!F176)/'input-data'!E30,0)
+IF(AND('input-data'!$E$346=topdowntables!$C$19,'input-data'!H176&gt;'input-data'!F176,'input-data'!E29&lt;'input-data'!H176),('input-data'!E29-'input-data'!F176)/'input-data'!E30,0)
+IF(OR('input-data'!$E$346=topdowntables!$C$15,'input-data'!$E$346=topdowntables!$C$20),0)
+IF(AND('input-data'!$E$346=topdowntables!$C$16,'input-data'!H176&gt;'input-data'!F176,'input-data'!F347&gt;'input-data'!F176,'input-data'!F347&lt;='input-data'!H176,'input-data'!H176&lt;='input-data'!E29),('input-data'!H176-'input-data'!F347)/'input-data'!E30,0)
+IF(AND('input-data'!$E$346=topdowntables!$C$21,'input-data'!H176&gt;'input-data'!F176,'input-data'!F347&gt;'input-data'!F176,'input-data'!F347&lt;='input-data'!H176,'input-data'!H176&lt;='input-data'!E29),('input-data'!H176-'input-data'!F347)/'input-data'!E30,0)
+IF(AND('input-data'!$E$346=topdowntables!$C$16,'input-data'!H176&gt;'input-data'!F176,'input-data'!F347&gt;'input-data'!F176,'input-data'!F347&lt;='input-data'!H176,'input-data'!H176&gt;'input-data'!E29),('input-data'!E29-'input-data'!F347)/'input-data'!E30,0)
+IF(AND('input-data'!$E$346=topdowntables!$C$21,'input-data'!H176&gt;'input-data'!F176,'input-data'!F347&gt;'input-data'!F176,'input-data'!F347&lt;='input-data'!H176,'input-data'!H176&gt;'input-data'!E29),('input-data'!E29-'input-data'!F347)/'input-data'!E30,0)
+IF(AND('input-data'!$E$346=topdowntables!$C$16,'input-data'!H176&gt;'input-data'!F176,'input-data'!F347&lt;='input-data'!F176,'input-data'!H176&lt;='input-data'!E29),('input-data'!H176-'input-data'!F176)/ 'input-data'!E30,0)
+IF(AND('input-data'!$E$346=topdowntables!$C$21,'input-data'!H176&gt;'input-data'!F176,'input-data'!F347&lt;='input-data'!F176,'input-data'!H176&lt;='input-data'!E29),('input-data'!H176-'input-data'!F176)/ 'input-data'!E30,0)
+IF(AND('input-data'!$E$346=topdowntables!$C$16,'input-data'!H176&gt;'input-data'!F176,'input-data'!F347&lt;='input-data'!F176,'input-data'!H176&gt;'input-data'!E29),('input-data'!E29-'input-data'!F176)/'input-data'!E30,0)
+IF(AND('input-data'!$E$346=topdowntables!$C$21,'input-data'!H176&gt;'input-data'!F176,'input-data'!F347&lt;='input-data'!F176,'input-data'!H176&gt;'input-data'!E29),('input-data'!E29-'input-data'!F176)/'input-data'!E30,0)
)*1000</f>
        <v>0</v>
      </c>
      <c r="E25" s="233"/>
      <c r="F25"/>
      <c r="G25" s="110"/>
      <c r="H25" s="110"/>
      <c r="I25" s="110"/>
      <c r="J25" s="110"/>
      <c r="K25" s="110"/>
      <c r="L25" s="110"/>
      <c r="M25" s="110"/>
      <c r="N25" s="110"/>
      <c r="O25" s="110"/>
      <c r="P25" s="110"/>
      <c r="Q25" s="110"/>
      <c r="R25" s="110"/>
      <c r="S25" s="110"/>
      <c r="T25" s="270"/>
      <c r="U25" s="270"/>
      <c r="V25" s="270"/>
      <c r="W25" s="270"/>
      <c r="X25" s="270"/>
      <c r="Y25" s="270"/>
      <c r="Z25" s="270"/>
      <c r="AA25" s="270"/>
      <c r="AB25" s="270"/>
    </row>
    <row r="26" spans="2:30" x14ac:dyDescent="0.2">
      <c r="B26" s="277"/>
      <c r="C26" s="264" t="s">
        <v>1616</v>
      </c>
      <c r="D26" s="242">
        <f>(IF(AND('input-data'!$E$346=topdowntables!$C$14,'input-data'!H195&gt;'input-data'!F195),('input-data'!H195-'input-data'!F195)/'input-data'!E30,0)
+IF(AND('input-data'!$E$346=topdowntables!$C$19,'input-data'!H195&gt;'input-data'!F195),('input-data'!H195-'input-data'!F195)/'input-data'!E30,0)
+IF(OR('input-data'!$E$346=topdowntables!$C$15,'input-data'!$E$346=topdowntables!$C$20),0)
+IF(AND('input-data'!$E$346=topdowntables!$C$16,'input-data'!H195&gt;'input-data'!F195,'input-data'!F347&gt;'input-data'!F195,'input-data'!F347&lt;='input-data'!H195),('input-data'!H195-'input-data'!F347)/'input-data'!E30,0)
+IF(AND('input-data'!$E$346=topdowntables!$C$21,'input-data'!H195&gt;'input-data'!F195,'input-data'!F347&gt;'input-data'!F195,'input-data'!F347&lt;='input-data'!H195),('input-data'!H195-'input-data'!F347)/'input-data'!E30,0)
+IF(AND('input-data'!$E$346=topdowntables!$C$16,'input-data'!H195&gt;'input-data'!F195,'input-data'!F347&lt;='input-data'!F195),('input-data'!H195-'input-data'!F195)/ 'input-data'!E30,0)
+IF(AND('input-data'!$E$346=topdowntables!$C$21,'input-data'!H195&gt;'input-data'!F195,'input-data'!F347&lt;='input-data'!F195),('input-data'!H195-'input-data'!F195)/'input-data'!E30,0)
)*1000</f>
        <v>0</v>
      </c>
      <c r="E26" s="233"/>
      <c r="F26" s="272"/>
      <c r="G26" s="110"/>
      <c r="H26" s="110"/>
      <c r="I26" s="110"/>
      <c r="J26" s="110"/>
      <c r="K26" s="110"/>
      <c r="L26" s="110"/>
      <c r="M26" s="110"/>
      <c r="N26" s="110"/>
      <c r="O26" s="110"/>
      <c r="P26" s="110"/>
      <c r="Q26" s="110"/>
      <c r="R26" s="110"/>
      <c r="S26" s="110"/>
      <c r="T26" s="270"/>
      <c r="U26" s="270"/>
      <c r="V26" s="270"/>
      <c r="W26" s="270"/>
      <c r="X26" s="270"/>
      <c r="Y26" s="270"/>
      <c r="Z26" s="270"/>
      <c r="AA26" s="270"/>
      <c r="AB26" s="270"/>
    </row>
    <row r="27" spans="2:30" x14ac:dyDescent="0.2">
      <c r="B27" s="277"/>
      <c r="C27" s="63" t="str">
        <f>IF(topdowntables!N4=1, "Foderdage, inde ialt", "Feeding days, indoor total")</f>
        <v>Foderdage, inde ialt</v>
      </c>
      <c r="D27" s="242">
        <f>D24+D25+D26</f>
        <v>0</v>
      </c>
      <c r="E27" s="233"/>
      <c r="F27" s="272"/>
      <c r="G27" s="110"/>
      <c r="H27" s="110"/>
      <c r="I27" s="110"/>
      <c r="J27" s="110"/>
      <c r="K27" s="110"/>
      <c r="L27" s="110"/>
      <c r="M27" s="110"/>
      <c r="N27" s="110"/>
      <c r="O27" s="110"/>
      <c r="P27" s="110"/>
      <c r="Q27" s="110"/>
      <c r="R27" s="110"/>
      <c r="S27" s="110"/>
      <c r="T27" s="270"/>
      <c r="U27" s="270"/>
      <c r="V27" s="270"/>
      <c r="W27" s="270"/>
      <c r="X27" s="270"/>
      <c r="Y27" s="270"/>
      <c r="Z27" s="270"/>
      <c r="AA27" s="270"/>
      <c r="AB27" s="270"/>
    </row>
    <row r="28" spans="2:30" x14ac:dyDescent="0.2">
      <c r="B28" s="277"/>
      <c r="C28" s="63"/>
      <c r="D28" s="242"/>
      <c r="E28" s="233"/>
      <c r="F28" s="272"/>
      <c r="G28" s="110"/>
      <c r="H28" s="110"/>
      <c r="I28" s="110"/>
      <c r="J28" s="110"/>
      <c r="K28" s="110"/>
      <c r="L28" s="110"/>
      <c r="M28" s="110"/>
      <c r="N28" s="110"/>
      <c r="O28" s="110"/>
      <c r="P28" s="110"/>
      <c r="Q28" s="110"/>
      <c r="R28" s="110"/>
      <c r="S28" s="110"/>
      <c r="T28" s="270"/>
      <c r="U28" s="270"/>
      <c r="V28" s="270"/>
      <c r="W28" s="270"/>
      <c r="X28" s="270"/>
      <c r="Y28" s="270"/>
      <c r="Z28" s="270"/>
      <c r="AA28" s="270"/>
      <c r="AB28" s="270"/>
    </row>
    <row r="29" spans="2:30" x14ac:dyDescent="0.2">
      <c r="B29" s="277"/>
      <c r="C29" s="63" t="str">
        <f>IF(topdowntables!N4=1, "Foderdage, i alt", "Total feeding days")</f>
        <v>Foderdage, i alt</v>
      </c>
      <c r="D29" s="242">
        <f>D21+D27</f>
        <v>0</v>
      </c>
      <c r="E29" s="233"/>
      <c r="F29" s="272"/>
      <c r="G29" s="110"/>
      <c r="H29" s="110"/>
      <c r="I29" s="110"/>
      <c r="J29" s="110"/>
      <c r="K29" s="110"/>
      <c r="L29" s="110"/>
      <c r="M29" s="110"/>
      <c r="N29" s="110"/>
      <c r="O29" s="110"/>
      <c r="P29" s="110"/>
      <c r="Q29" s="110"/>
      <c r="R29" s="110"/>
      <c r="S29" s="110"/>
      <c r="T29" s="270"/>
      <c r="U29" s="270"/>
      <c r="V29" s="270"/>
      <c r="W29" s="270"/>
      <c r="X29" s="270"/>
      <c r="Y29" s="270"/>
      <c r="Z29" s="270"/>
      <c r="AA29" s="270"/>
      <c r="AB29" s="270"/>
    </row>
    <row r="30" spans="2:30" x14ac:dyDescent="0.2">
      <c r="B30" s="234" t="str">
        <f>IF(topdowntables!N4=1, "Kraffoder per produceret smågris, FE:", "Concentrated feed, FU per produced piglet")</f>
        <v>Kraffoder per produceret smågris, FE:</v>
      </c>
      <c r="C30" s="235"/>
      <c r="D30" s="279"/>
      <c r="F30" s="252" t="s">
        <v>998</v>
      </c>
      <c r="G30" s="233"/>
      <c r="H30" s="110"/>
      <c r="I30" s="110"/>
      <c r="J30" s="110"/>
      <c r="K30" s="110"/>
      <c r="L30" s="110"/>
      <c r="M30" s="110"/>
      <c r="N30" s="110"/>
      <c r="O30" s="110"/>
      <c r="P30" s="110"/>
      <c r="Q30" s="110"/>
      <c r="R30" s="110"/>
      <c r="S30" s="110"/>
      <c r="T30" s="110"/>
      <c r="U30" s="110"/>
      <c r="V30" s="270"/>
      <c r="W30" s="270"/>
      <c r="X30" s="270"/>
      <c r="Y30" s="270"/>
      <c r="Z30" s="270"/>
      <c r="AA30" s="270"/>
      <c r="AB30" s="270"/>
      <c r="AC30" s="270"/>
      <c r="AD30" s="270"/>
    </row>
    <row r="31" spans="2:30" x14ac:dyDescent="0.2">
      <c r="B31" s="237"/>
      <c r="C31" s="654" t="str">
        <f>IF(topdowntables!$N$4=1, "Blanding 1", "Feed mixture 1")</f>
        <v>Blanding 1</v>
      </c>
      <c r="D31" s="240">
        <f>IFERROR((IF(AND('input-data'!H157&gt;'input-data'!F157,'input-data'!H157&lt;='input-data'!E29),'Flow smågrise'!D9*'input-data'!E156*('input-data'!H157-'input-data'!F157),0)
+IF(AND('input-data'!H157&gt;'input-data'!F157,'input-data'!H157&gt;'input-data'!E29),'Flow smågrise'!D9*'input-data'!E156*('input-data'!E29-'input-data'!F157),0)
+IF(AND('input-data'!H157&gt;'input-data'!F157,'input-data'!H157&lt;='input-data'!E29),'Flow smågrise'!D8*'input-data'!E156*(('input-data'!E29-'input-data'!F157)/2)*(('input-data'!H157-'input-data'!F157)/('input-data'!E29-'input-data'!F157)),0)
+IF(AND('input-data'!H157&gt;'input-data'!F157,'input-data'!H157&gt;'input-data'!E29),'Flow smågrise'!D8*'input-data'!E156*(('input-data'!E29-'input-data'!F157)/2),0))/'Flow smågrise'!D9,0)</f>
        <v>0</v>
      </c>
      <c r="F31" s="252" t="s">
        <v>999</v>
      </c>
      <c r="G31" s="233"/>
      <c r="H31" s="110"/>
      <c r="I31" s="110"/>
      <c r="J31" s="110"/>
      <c r="K31" s="110"/>
      <c r="L31" s="110"/>
      <c r="M31" s="110"/>
      <c r="N31" s="110"/>
      <c r="O31" s="110"/>
      <c r="P31" s="110"/>
      <c r="Q31" s="110"/>
      <c r="R31" s="110"/>
      <c r="S31" s="110"/>
      <c r="T31" s="110"/>
      <c r="U31" s="110"/>
      <c r="V31" s="270"/>
      <c r="W31" s="270"/>
      <c r="X31" s="270"/>
      <c r="Y31" s="270"/>
      <c r="Z31" s="270"/>
      <c r="AA31" s="270"/>
      <c r="AB31" s="270"/>
      <c r="AC31" s="270"/>
      <c r="AD31" s="270"/>
    </row>
    <row r="32" spans="2:30" x14ac:dyDescent="0.2">
      <c r="B32" s="237"/>
      <c r="C32" s="654" t="str">
        <f>IF(topdowntables!$N$4=1, "Blanding 2", "Feed mixture 2")</f>
        <v>Blanding 2</v>
      </c>
      <c r="D32" s="240">
        <f>IFERROR((IF(AND('input-data'!F176&gt;='input-data'!F157,'input-data'!H176&gt;'input-data'!F176,'input-data'!H176&lt;='input-data'!E29),'Flow smågrise'!D9*'input-data'!E156*('input-data'!H176-'input-data'!F176),0)
+IF(AND('input-data'!F176&gt;='input-data'!F157,'input-data'!H176&gt;'input-data'!F176,'input-data'!H176&lt;='input-data'!E29),'Flow smågrise'!D8*'input-data'!E156*(('input-data'!E29-'input-data'!F157)/2)*(('input-data'!H176-'input-data'!F176)/('input-data'!E29-'input-data'!F157)),0)
+IF(AND('input-data'!F176&gt;='input-data'!F157,'input-data'!H176&gt;'input-data'!F176,'input-data'!F176&lt;'input-data'!E29, 'input-data'!H176&gt;'input-data'!E29),'Flow smågrise'!D9*'input-data'!E156*('input-data'!E29-'input-data'!F176),0)
+IF(AND('input-data'!F176&gt;='input-data'!F157,'input-data'!H176&gt;'input-data'!F176,'input-data'!F176&lt;'input-data'!E29, 'input-data'!H176&gt;'input-data'!E29),'Flow smågrise'!D8*'input-data'!E156*(('input-data'!E29-'input-data'!F157)/2),0)
+IF(AND('input-data'!F176&lt;'input-data'!F157,'input-data'!H176&gt;'input-data'!F157,'input-data'!H176&lt;='input-data'!E29),'Flow smågrise'!D9*'input-data'!E156*('input-data'!H176-'input-data'!F157),0)
+IF(AND('input-data'!F176&lt;'input-data'!F157,'input-data'!H176&gt;'input-data'!F157,'input-data'!H176&lt;='input-data'!E29),'Flow smågrise'!D8*'input-data'!E156*(('input-data'!E29-'input-data'!F157)/2)*(('input-data'!H176-'input-data'!F157)/('input-data'!E29-'input-data'!F157)),0)
+IF(AND('input-data'!F176&lt;'input-data'!F157,'input-data'!H176&gt;'input-data'!F157,'input-data'!H176&gt;'input-data'!E29),'Flow smågrise'!D9*'input-data'!E156*('input-data'!E29-'input-data'!F157),0)
+IF(AND('input-data'!F176&lt;'input-data'!F157,'input-data'!H176&gt;'input-data'!F157,'input-data'!H176&gt;'input-data'!E29),'Flow smågrise'!D8*'input-data'!E156*(('input-data'!E29-'input-data'!F157)/2)*(('input-data'!E29-'input-data'!F157)/('input-data'!E29-'input-data'!F157)),0)
)/'Flow smågrise'!D9,0)</f>
        <v>0</v>
      </c>
      <c r="F32" s="252"/>
      <c r="G32" s="233"/>
      <c r="H32" s="110"/>
      <c r="I32" s="110"/>
      <c r="J32" s="110"/>
      <c r="K32" s="110"/>
      <c r="L32" s="110"/>
      <c r="M32" s="110"/>
      <c r="N32" s="110"/>
      <c r="O32" s="110"/>
      <c r="P32" s="110"/>
      <c r="Q32" s="110"/>
      <c r="R32" s="110"/>
      <c r="S32" s="110"/>
      <c r="T32" s="110"/>
      <c r="U32" s="110"/>
      <c r="V32" s="270"/>
      <c r="W32" s="270"/>
      <c r="X32" s="270"/>
      <c r="Y32" s="270"/>
      <c r="Z32" s="270"/>
      <c r="AA32" s="270"/>
      <c r="AB32" s="270"/>
      <c r="AC32" s="270"/>
      <c r="AD32" s="270"/>
    </row>
    <row r="33" spans="1:30" x14ac:dyDescent="0.2">
      <c r="B33" s="237"/>
      <c r="C33" s="654" t="str">
        <f>IF(topdowntables!$N$4=1, "Blanding 3", "Feed mixture 3")</f>
        <v>Blanding 3</v>
      </c>
      <c r="D33" s="240">
        <f>IFERROR((IF(AND('input-data'!F195&gt;='input-data'!F157,'input-data'!E29&gt;'input-data'!H157,'input-data'!H176&gt;='input-data'!F176,'input-data'!E29&gt;'input-data'!F195),'Flow smågrise'!D9*'input-data'!E156*('input-data'!E29 -'input-data'!F195),0)
+IF(AND('input-data'!F195&gt;='input-data'!F157,'input-data'!E29&gt;'input-data'!H157,'input-data'!H176&gt;='input-data'!F176,'input-data'!E29&gt;'input-data'!F195),'Flow smågrise'!D8*'input-data'!E156*(('input-data'!E29-'input-data'!F157)/2)*(('input-data'!E29 -'input-data'!F195)/('input-data'!E29-'input-data'!F157)),0)
+IF(AND('input-data'!F195&gt;='input-data'!F157,'input-data'!E29&gt;'input-data'!H157,'input-data'!E29&gt;'input-data'!F195,'input-data'!H176&lt;='input-data'!F176),'Flow smågrise'!D9*'input-data'!E156*('input-data'!E29 -'input-data'!H157),0)
+IF(AND('input-data'!F195&gt;='input-data'!F157,'input-data'!E29&gt;'input-data'!H157,'input-data'!E29&gt;'input-data'!F195,'input-data'!H176&lt;='input-data'!F176),'Flow smågrise'!D8*'input-data'!E156*(('input-data'!E29-'input-data'!F157)/2)*(('input-data'!E29 -'input-data'!H157)/('input-data'!E29-'input-data'!F157)),0)
+IF(AND('input-data'!F195&lt;'input-data'!F157,'input-data'!F195&lt;'input-data'!F176,'input-data'!H157&gt;='input-data'!F157, 'input-data'!E29&gt;'input-data'!H157,'input-data'!E29&gt;'input-data'!F195),'Flow smågrise'!D9*'input-data'!E156*('input-data'!E29-'input-data'!H157),0)
+IF(AND('input-data'!F195&lt;'input-data'!F157,'input-data'!F195&lt;'input-data'!F176,'input-data'!H157&gt;='input-data'!F157,'input-data'!E29&gt;'input-data'!H157,'input-data'!E29&gt;'input-data'!F195),'Flow smågrise'!D8*'input-data'!E156*(('input-data'!E29-'input-data'!F157)/2)*(('input-data'!E29 -'input-data'!H157)/('input-data'!E29-'input-data'!F157)),0)
+IF(AND('input-data'!F195&lt;'input-data'!F157, 'input-data'!H157&lt;'input-data'!F157,'input-data'!E29&gt;'input-data'!F195),'Flow smågrise'!D9*'input-data'!E156*('input-data'!E29-'input-data'!F157),0)
+IF(AND('input-data'!F195&lt;'input-data'!F157,'input-data'!H157&lt;'input-data'!F157,'input-data'!E29&gt;'input-data'!F195),'Flow smågrise'!D8*'input-data'!E156*(('input-data'!E29-'input-data'!F157)/2)*(('input-data'!E29 -'input-data'!F157)/('input-data'!E29-'input-data'!F157)),0)
)/'Flow smågrise'!D9,0)</f>
        <v>0</v>
      </c>
      <c r="F33" s="252"/>
      <c r="G33" s="233"/>
      <c r="H33" s="110"/>
      <c r="I33" s="110"/>
      <c r="J33" s="110"/>
      <c r="K33" s="110"/>
      <c r="L33" s="110"/>
      <c r="M33" s="110"/>
      <c r="N33" s="110"/>
      <c r="O33" s="110"/>
      <c r="P33" s="110"/>
      <c r="Q33" s="110"/>
      <c r="R33" s="110"/>
      <c r="S33" s="110"/>
      <c r="T33" s="110"/>
      <c r="U33" s="110"/>
      <c r="V33" s="270"/>
      <c r="W33" s="270"/>
      <c r="X33" s="270"/>
      <c r="Y33" s="270"/>
      <c r="Z33" s="270"/>
      <c r="AA33" s="270"/>
      <c r="AB33" s="270"/>
      <c r="AC33" s="270"/>
      <c r="AD33" s="270"/>
    </row>
    <row r="34" spans="1:30" x14ac:dyDescent="0.2">
      <c r="B34" s="237"/>
      <c r="C34" s="63" t="str">
        <f>IF(topdowntables!N4=1, "Kraftfoder, ialt", "Concentrated feed, total")</f>
        <v>Kraftfoder, ialt</v>
      </c>
      <c r="D34" s="240">
        <f>D31+D32+D33</f>
        <v>0</v>
      </c>
      <c r="F34" s="280" t="e">
        <f>(((D9)*(D13-D7)*'input-data'!E156)+(D8*'input-data'!E156*((D13-D7)/2)))/D9</f>
        <v>#DIV/0!</v>
      </c>
      <c r="G34" s="233"/>
      <c r="H34" s="110"/>
      <c r="I34" s="110"/>
      <c r="J34" s="110"/>
      <c r="K34" s="110"/>
      <c r="L34" s="110"/>
      <c r="M34" s="110"/>
      <c r="N34" s="110"/>
      <c r="O34" s="110"/>
      <c r="P34" s="110"/>
      <c r="Q34" s="110"/>
      <c r="R34" s="110"/>
      <c r="S34" s="110"/>
      <c r="T34" s="110"/>
      <c r="U34" s="110"/>
      <c r="V34" s="270"/>
      <c r="W34" s="270"/>
      <c r="X34" s="270"/>
      <c r="Y34" s="270"/>
      <c r="Z34" s="270"/>
      <c r="AA34" s="270"/>
      <c r="AB34" s="270"/>
      <c r="AC34" s="270"/>
      <c r="AD34" s="270"/>
    </row>
    <row r="35" spans="1:30" x14ac:dyDescent="0.2">
      <c r="B35" s="237"/>
      <c r="C35" s="63"/>
      <c r="D35" s="240"/>
      <c r="F35" s="280"/>
      <c r="G35" s="233"/>
      <c r="H35" s="110"/>
      <c r="I35" s="110"/>
      <c r="J35" s="110"/>
      <c r="K35" s="110"/>
      <c r="L35" s="110"/>
      <c r="M35" s="110"/>
      <c r="N35" s="110"/>
      <c r="O35" s="110"/>
      <c r="P35" s="110"/>
      <c r="Q35" s="110"/>
      <c r="R35" s="110"/>
      <c r="S35" s="110"/>
      <c r="T35" s="110"/>
      <c r="U35" s="110"/>
      <c r="V35" s="270"/>
      <c r="W35" s="270"/>
      <c r="X35" s="270"/>
      <c r="Y35" s="270"/>
      <c r="Z35" s="270"/>
      <c r="AA35" s="270"/>
      <c r="AB35" s="270"/>
      <c r="AC35" s="270"/>
      <c r="AD35" s="270"/>
    </row>
    <row r="36" spans="1:30" x14ac:dyDescent="0.2">
      <c r="B36" s="234" t="str">
        <f>IF(topdowntables!N4=1, "Grovfoder per produceret smågris, kg:", "Roughage, kg per produced piglet")</f>
        <v>Grovfoder per produceret smågris, kg:</v>
      </c>
      <c r="C36" s="235"/>
      <c r="D36" s="279"/>
      <c r="F36" s="252"/>
      <c r="G36" s="233"/>
      <c r="H36" s="110"/>
      <c r="I36" s="110"/>
      <c r="J36" s="110"/>
      <c r="K36" s="110"/>
      <c r="L36" s="110"/>
      <c r="M36" s="110"/>
      <c r="N36" s="110"/>
      <c r="O36" s="110"/>
      <c r="P36" s="110"/>
      <c r="Q36" s="110"/>
      <c r="R36" s="110"/>
      <c r="S36" s="110"/>
      <c r="T36" s="110"/>
      <c r="U36" s="110"/>
      <c r="V36" s="270"/>
      <c r="W36" s="270"/>
      <c r="X36" s="270"/>
      <c r="Y36" s="270"/>
      <c r="Z36" s="270"/>
      <c r="AA36" s="270"/>
      <c r="AB36" s="270"/>
      <c r="AC36" s="270"/>
      <c r="AD36" s="270"/>
    </row>
    <row r="37" spans="1:30" x14ac:dyDescent="0.2">
      <c r="B37" s="237"/>
      <c r="C37" s="655" t="str">
        <f>IF(topdowntables!N4=1, "Afgræsning (april-september)", "intake during grazing (April-September)")</f>
        <v>Afgræsning (april-september)</v>
      </c>
      <c r="D37" s="659">
        <f>IF(OR('input-data'!E346=topdowntables!$C$14,'input-data'!E346=topdowntables!$C$19),0)
+IF(OR('input-data'!E346=topdowntables!$C$15,'input-data'!E346=topdowntables!$C$20, 'input-data'!E346=topdowntables!$C$16, 'input-data'!E346=topdowntables!$C$21),D21*'NPK tal'!$B$33*('NPK tal'!$C$33/365))</f>
        <v>0</v>
      </c>
      <c r="F37" s="252" t="s">
        <v>1834</v>
      </c>
      <c r="G37" s="233"/>
      <c r="H37" s="110"/>
      <c r="I37" s="110"/>
      <c r="J37" s="110"/>
      <c r="K37" s="110"/>
      <c r="L37" s="110"/>
      <c r="M37" s="110"/>
      <c r="N37" s="110"/>
      <c r="O37" s="110"/>
      <c r="P37" s="110"/>
      <c r="Q37" s="110"/>
      <c r="R37" s="110"/>
      <c r="S37" s="110"/>
      <c r="T37" s="110"/>
      <c r="U37" s="110"/>
      <c r="V37" s="270"/>
      <c r="W37" s="270"/>
      <c r="X37" s="270"/>
      <c r="Y37" s="270"/>
      <c r="Z37" s="270"/>
      <c r="AA37" s="270"/>
      <c r="AB37" s="270"/>
      <c r="AC37" s="270"/>
      <c r="AD37" s="270"/>
    </row>
    <row r="38" spans="1:30" x14ac:dyDescent="0.2">
      <c r="B38" s="237"/>
      <c r="C38" s="655" t="str">
        <f>IF(topdowntables!N4=1, "Tildelt grovfoder", "roughage, added to feed rations")</f>
        <v>Tildelt grovfoder</v>
      </c>
      <c r="D38" s="240">
        <f>D29*'input-data'!E215*('input-data'!E216/365)</f>
        <v>0</v>
      </c>
      <c r="F38" s="252" t="s">
        <v>1835</v>
      </c>
      <c r="G38" s="233"/>
      <c r="H38" s="110"/>
      <c r="I38" s="110"/>
      <c r="J38" s="110"/>
      <c r="K38" s="110"/>
      <c r="L38" s="110"/>
      <c r="M38" s="110"/>
      <c r="N38" s="110"/>
      <c r="O38" s="110"/>
      <c r="P38" s="110"/>
      <c r="Q38" s="110"/>
      <c r="R38" s="110"/>
      <c r="S38" s="110"/>
      <c r="T38" s="110"/>
      <c r="U38" s="110"/>
      <c r="V38" s="270"/>
      <c r="W38" s="270"/>
      <c r="X38" s="270"/>
      <c r="Y38" s="270"/>
      <c r="Z38" s="270"/>
      <c r="AA38" s="270"/>
      <c r="AB38" s="270"/>
      <c r="AC38" s="270"/>
      <c r="AD38" s="270"/>
    </row>
    <row r="39" spans="1:30" x14ac:dyDescent="0.2">
      <c r="B39" s="237"/>
      <c r="C39" s="63" t="str">
        <f>IF(topdowntables!N4=1, "Grovfoder, ialt", "roughage, total")</f>
        <v>Grovfoder, ialt</v>
      </c>
      <c r="D39" s="242">
        <f>D38+D37</f>
        <v>0</v>
      </c>
      <c r="F39" s="252"/>
      <c r="G39" s="233"/>
      <c r="H39" s="110"/>
      <c r="I39" s="110"/>
      <c r="J39" s="110"/>
      <c r="K39" s="110"/>
      <c r="L39" s="110"/>
      <c r="M39" s="110"/>
      <c r="N39" s="110"/>
      <c r="O39" s="110"/>
      <c r="P39" s="110"/>
      <c r="Q39" s="110"/>
      <c r="R39" s="110"/>
      <c r="S39" s="110"/>
      <c r="T39" s="110"/>
      <c r="U39" s="110"/>
      <c r="V39" s="270"/>
      <c r="W39" s="270"/>
      <c r="X39" s="270"/>
      <c r="Y39" s="270"/>
      <c r="Z39" s="270"/>
      <c r="AA39" s="270"/>
      <c r="AB39" s="270"/>
      <c r="AC39" s="270"/>
      <c r="AD39" s="270"/>
    </row>
    <row r="40" spans="1:30" x14ac:dyDescent="0.2">
      <c r="B40" s="237"/>
      <c r="C40" s="63"/>
      <c r="D40" s="242"/>
      <c r="F40" s="252"/>
      <c r="G40" s="233"/>
      <c r="H40" s="110"/>
      <c r="I40" s="110"/>
      <c r="J40" s="110"/>
      <c r="K40" s="110"/>
      <c r="L40" s="110"/>
      <c r="M40" s="110"/>
      <c r="N40" s="110"/>
      <c r="O40" s="110"/>
      <c r="P40" s="110"/>
      <c r="Q40" s="110"/>
      <c r="R40" s="110"/>
      <c r="S40" s="110"/>
      <c r="T40" s="110"/>
      <c r="U40" s="110"/>
      <c r="V40" s="270"/>
      <c r="W40" s="270"/>
      <c r="X40" s="270"/>
      <c r="Y40" s="270"/>
      <c r="Z40" s="270"/>
      <c r="AA40" s="270"/>
      <c r="AB40" s="270"/>
      <c r="AC40" s="270"/>
      <c r="AD40" s="270"/>
    </row>
    <row r="41" spans="1:30" x14ac:dyDescent="0.2">
      <c r="B41" s="234" t="str">
        <f>IF(topdowntables!N4=1, "Strøelseforbrug per produceret smågris, kg", "Straw use, kg per produced piglet")</f>
        <v>Strøelseforbrug per produceret smågris, kg</v>
      </c>
      <c r="C41" s="235"/>
      <c r="D41" s="279"/>
      <c r="F41" s="252"/>
      <c r="G41" s="233"/>
      <c r="H41" s="110"/>
      <c r="I41" s="110"/>
      <c r="J41" s="110"/>
      <c r="K41" s="110"/>
      <c r="L41" s="110"/>
      <c r="M41" s="110"/>
      <c r="N41" s="110"/>
      <c r="O41" s="110"/>
      <c r="P41" s="110"/>
      <c r="Q41" s="110"/>
      <c r="R41" s="110"/>
      <c r="S41" s="110"/>
      <c r="T41" s="110"/>
      <c r="U41" s="110"/>
      <c r="V41" s="270"/>
      <c r="W41" s="270"/>
      <c r="X41" s="270"/>
      <c r="Y41" s="270"/>
      <c r="Z41" s="270"/>
      <c r="AA41" s="270"/>
      <c r="AB41" s="270"/>
      <c r="AC41" s="270"/>
      <c r="AD41" s="270"/>
    </row>
    <row r="42" spans="1:30" x14ac:dyDescent="0.2">
      <c r="B42" s="239"/>
      <c r="C42" s="655" t="str">
        <f>IF(topdowntables!$N$4=1, "Tildelt ude", "Used outdoor")</f>
        <v>Tildelt ude</v>
      </c>
      <c r="D42" s="242">
        <f>'input-data'!$E$353*D21</f>
        <v>0</v>
      </c>
      <c r="F42" s="252"/>
      <c r="G42" s="233"/>
      <c r="H42" s="110"/>
      <c r="I42" s="110"/>
      <c r="J42" s="110"/>
      <c r="K42" s="110"/>
      <c r="L42" s="110"/>
      <c r="M42" s="110"/>
      <c r="N42" s="110"/>
      <c r="O42" s="110"/>
      <c r="P42" s="110"/>
      <c r="Q42" s="110"/>
      <c r="R42" s="110"/>
      <c r="S42" s="110"/>
      <c r="T42" s="110"/>
      <c r="U42" s="110"/>
      <c r="V42" s="270"/>
      <c r="W42" s="270"/>
      <c r="X42" s="270"/>
      <c r="Y42" s="270"/>
      <c r="Z42" s="270"/>
      <c r="AA42" s="270"/>
      <c r="AB42" s="270"/>
      <c r="AC42" s="270"/>
      <c r="AD42" s="270"/>
    </row>
    <row r="43" spans="1:30" x14ac:dyDescent="0.2">
      <c r="B43" s="239"/>
      <c r="C43" s="656" t="str">
        <f>IF(topdowntables!$N$4=1, "Tildelt inde", "Used indoor")</f>
        <v>Tildelt inde</v>
      </c>
      <c r="D43" s="242">
        <f>'input-data'!$E$360*D27</f>
        <v>0</v>
      </c>
      <c r="F43" s="252"/>
      <c r="G43" s="233"/>
      <c r="H43" s="110"/>
      <c r="I43" s="110"/>
      <c r="J43" s="110"/>
      <c r="K43" s="110"/>
      <c r="L43" s="110"/>
      <c r="M43" s="110"/>
      <c r="N43" s="110"/>
      <c r="O43" s="110"/>
      <c r="P43" s="110"/>
      <c r="Q43" s="110"/>
      <c r="R43" s="110"/>
      <c r="S43" s="110"/>
      <c r="T43" s="110"/>
      <c r="U43" s="110"/>
      <c r="V43" s="270"/>
      <c r="W43" s="270"/>
      <c r="X43" s="270"/>
      <c r="Y43" s="270"/>
      <c r="Z43" s="270"/>
      <c r="AA43" s="270"/>
      <c r="AB43" s="270"/>
      <c r="AC43" s="270"/>
      <c r="AD43" s="270"/>
    </row>
    <row r="44" spans="1:30" ht="15" thickBot="1" x14ac:dyDescent="0.25">
      <c r="A44" s="63"/>
      <c r="B44" s="246"/>
      <c r="C44" s="247" t="str">
        <f>IF(topdowntables!$N$4=1, "Strøelseforbrug ialt", "Straw used, total")</f>
        <v>Strøelseforbrug ialt</v>
      </c>
      <c r="D44" s="262">
        <f>D43+D42</f>
        <v>0</v>
      </c>
      <c r="E44" s="233"/>
      <c r="F44" s="653"/>
      <c r="G44" s="110"/>
      <c r="H44" s="110"/>
      <c r="I44" s="110"/>
      <c r="J44" s="110"/>
      <c r="K44" s="110"/>
      <c r="L44" s="110"/>
      <c r="M44" s="110"/>
      <c r="N44" s="110"/>
      <c r="O44" s="110"/>
      <c r="P44" s="110"/>
      <c r="Q44" s="110"/>
      <c r="R44" s="110"/>
      <c r="S44" s="110"/>
      <c r="T44" s="270"/>
      <c r="U44" s="270"/>
      <c r="V44" s="270"/>
      <c r="W44" s="270"/>
      <c r="X44" s="270"/>
      <c r="Y44" s="270"/>
      <c r="Z44" s="270"/>
      <c r="AA44" s="270"/>
      <c r="AB44" s="270"/>
    </row>
    <row r="45" spans="1:30" ht="15.75" customHeight="1" thickBot="1" x14ac:dyDescent="0.25">
      <c r="B45" s="264"/>
      <c r="C45" s="63"/>
      <c r="D45" s="264"/>
      <c r="G45" s="233"/>
      <c r="H45" s="110"/>
      <c r="I45" s="110"/>
      <c r="J45" s="110"/>
      <c r="K45" s="110"/>
      <c r="L45" s="110"/>
      <c r="M45" s="110"/>
      <c r="N45" s="110"/>
      <c r="O45" s="110"/>
      <c r="P45" s="110"/>
      <c r="Q45" s="110"/>
      <c r="R45" s="110"/>
      <c r="S45" s="110"/>
      <c r="T45" s="110"/>
      <c r="U45" s="110"/>
      <c r="V45" s="270"/>
      <c r="W45" s="270"/>
      <c r="X45" s="270"/>
      <c r="Y45" s="270"/>
      <c r="Z45" s="270"/>
      <c r="AA45" s="270"/>
      <c r="AB45" s="270"/>
      <c r="AC45" s="270"/>
      <c r="AD45" s="270"/>
    </row>
    <row r="46" spans="1:30" x14ac:dyDescent="0.2">
      <c r="B46" s="230" t="str">
        <f>IF(topdowntables!N4=1, "Foder og halm, N og P bidrag:", "Feed and straw, N and  P flow:")</f>
        <v>Foder og halm, N og P bidrag:</v>
      </c>
      <c r="C46" s="249"/>
      <c r="D46" s="250"/>
      <c r="F46" s="252"/>
      <c r="G46" s="233"/>
      <c r="H46" s="110"/>
      <c r="I46" s="110"/>
      <c r="J46" s="110"/>
      <c r="K46" s="110"/>
      <c r="L46" s="110"/>
      <c r="M46" s="110"/>
      <c r="N46" s="110"/>
      <c r="O46" s="110"/>
      <c r="P46" s="110"/>
      <c r="Q46" s="110"/>
      <c r="R46" s="110"/>
      <c r="S46" s="110"/>
      <c r="T46" s="110"/>
      <c r="U46" s="110"/>
      <c r="V46" s="270"/>
      <c r="W46" s="270"/>
      <c r="X46" s="270"/>
      <c r="Y46" s="270"/>
      <c r="Z46" s="270"/>
      <c r="AA46" s="270"/>
      <c r="AB46" s="270"/>
      <c r="AC46" s="270"/>
      <c r="AD46" s="270"/>
    </row>
    <row r="47" spans="1:30" x14ac:dyDescent="0.2">
      <c r="B47" s="234" t="str">
        <f>IF(topdowntables!N4=1, "Smågrisefodret:", "Feed use for piglets:")</f>
        <v>Smågrisefodret:</v>
      </c>
      <c r="C47" s="235"/>
      <c r="D47" s="236"/>
      <c r="F47" s="252"/>
      <c r="G47" s="233"/>
      <c r="H47" s="110"/>
      <c r="I47" s="110"/>
      <c r="J47" s="110"/>
      <c r="K47" s="110"/>
      <c r="L47" s="110"/>
      <c r="M47" s="110"/>
      <c r="N47" s="110"/>
      <c r="O47" s="110"/>
      <c r="P47" s="110"/>
      <c r="Q47" s="110"/>
      <c r="R47" s="110"/>
      <c r="S47" s="110"/>
      <c r="T47" s="110"/>
      <c r="U47" s="110"/>
      <c r="V47" s="270"/>
      <c r="W47" s="270"/>
      <c r="X47" s="270"/>
      <c r="Y47" s="270"/>
      <c r="Z47" s="270"/>
      <c r="AA47" s="270"/>
      <c r="AB47" s="270"/>
      <c r="AC47" s="270"/>
      <c r="AD47" s="270"/>
    </row>
    <row r="48" spans="1:30" s="110" customFormat="1" x14ac:dyDescent="0.2">
      <c r="B48" s="237"/>
      <c r="C48" s="256" t="str">
        <f>IF(topdowntables!N4=1, "Blanding 1:", "Feed mixture 1:")</f>
        <v>Blanding 1:</v>
      </c>
      <c r="D48" s="241"/>
      <c r="F48" s="252"/>
      <c r="G48" s="233"/>
    </row>
    <row r="49" spans="2:30" x14ac:dyDescent="0.2">
      <c r="B49" s="237"/>
      <c r="C49" s="110" t="str">
        <f>IF(topdowntables!$N$4=1, "FEsv/100 kg", "FUpiglet/100 kg")</f>
        <v>FEsv/100 kg</v>
      </c>
      <c r="D49" s="242">
        <f>SUM((IFERROR(VLOOKUP('input-data'!$E$159,Fodertabel,3,FALSE),0)*'input-data'!I159/100)
+(IFERROR(VLOOKUP('input-data'!$E$160,Fodertabel,3,FALSE),0)*'input-data'!I160/100)
+(IFERROR(VLOOKUP('input-data'!$E$161,Fodertabel,3,FALSE),0)*'input-data'!I161/100)
+(IFERROR(VLOOKUP('input-data'!$E$162,Fodertabel,3,FALSE),0)*'input-data'!I162/100)
+(IFERROR(VLOOKUP('input-data'!$E$163,Fodertabel,3,FALSE),0)*'input-data'!I163/100)
+(IFERROR(VLOOKUP('input-data'!$E$164,Fodertabel,3,FALSE),0)*'input-data'!I164/100)
+(IFERROR(VLOOKUP('input-data'!$E$165,Fodertabel,3,FALSE),0)*'input-data'!I165/100)
+(IFERROR(VLOOKUP('input-data'!$E$166,Fodertabel,3,FALSE),0)*'input-data'!I166/100)
+(IFERROR(VLOOKUP('input-data'!$E$167,Fodertabel,3,FALSE),0)*'input-data'!I167/100)
+(IFERROR(VLOOKUP('input-data'!$E$168,Fodertabel,3,FALSE),0)*'input-data'!I168/100)
+(IFERROR(VLOOKUP('input-data'!$E$169,Fodertabel,3,FALSE),0)*'input-data'!I169/100)
+(IFERROR(VLOOKUP('input-data'!$E$170,Fodertabel,3,FALSE),0)*'input-data'!I170/100)
+(IFERROR(VLOOKUP('input-data'!$E$171,Fodertabel,3,FALSE),0)*'input-data'!I171/100)
+(IFERROR(VLOOKUP('input-data'!$E$172,Fodertabel,3,FALSE),0)*'input-data'!I172/100)
+(IFERROR(VLOOKUP('input-data'!$E$173,Fodertabel,3,FALSE),0)*'input-data'!I173/100))*100</f>
        <v>0</v>
      </c>
      <c r="F49" s="252"/>
      <c r="G49" s="233"/>
      <c r="H49" s="110"/>
      <c r="I49" s="110"/>
      <c r="J49" s="110"/>
      <c r="K49" s="110"/>
      <c r="L49" s="110"/>
      <c r="M49" s="110"/>
      <c r="N49" s="110"/>
      <c r="O49" s="110"/>
      <c r="P49" s="110"/>
      <c r="Q49" s="110"/>
      <c r="R49" s="110"/>
      <c r="S49" s="110"/>
      <c r="T49" s="110"/>
      <c r="U49" s="110"/>
      <c r="V49" s="270"/>
      <c r="W49" s="270"/>
      <c r="X49" s="270"/>
      <c r="Y49" s="270"/>
      <c r="Z49" s="270"/>
      <c r="AA49" s="270"/>
      <c r="AB49" s="270"/>
      <c r="AC49" s="270"/>
      <c r="AD49" s="270"/>
    </row>
    <row r="50" spans="2:30" x14ac:dyDescent="0.2">
      <c r="B50" s="237"/>
      <c r="C50" s="110" t="str">
        <f>IF(topdowntables!N4=1, "Tørstof, %", "Dry matter, %")</f>
        <v>Tørstof, %</v>
      </c>
      <c r="D50" s="242">
        <f>SUM((IFERROR(VLOOKUP('input-data'!$E$159,Fodertabel,9,FALSE),0)*'input-data'!I159/100)
+(IFERROR(VLOOKUP('input-data'!$E$160,Fodertabel,9,FALSE),0)*'input-data'!I160/100)
+(IFERROR(VLOOKUP('input-data'!$E$161,Fodertabel,9,FALSE),0)*'input-data'!I161/100)
+(IFERROR(VLOOKUP('input-data'!$E$162,Fodertabel,9,FALSE),0)*'input-data'!I162/100)
+(IFERROR(VLOOKUP('input-data'!$E$163,Fodertabel,9,FALSE),0)*'input-data'!I163/100)
+(IFERROR(VLOOKUP('input-data'!$E$164,Fodertabel,9,FALSE),0)*'input-data'!I164/100)
+(IFERROR(VLOOKUP('input-data'!$E$165,Fodertabel,9,FALSE),0)*'input-data'!I165/100)
+(IFERROR(VLOOKUP('input-data'!$E$166,Fodertabel,9,FALSE),0)*'input-data'!I166/100)
+(IFERROR(VLOOKUP('input-data'!$E$167,Fodertabel,9,FALSE),0)*'input-data'!I167/100)
+(IFERROR(VLOOKUP('input-data'!$E$168,Fodertabel,9,FALSE),0)*'input-data'!I168/100)
+(IFERROR(VLOOKUP('input-data'!$E$169,Fodertabel,9,FALSE),0)*'input-data'!I169/100)
+(IFERROR(VLOOKUP('input-data'!$E$170,Fodertabel,9,FALSE),0)*'input-data'!I170/100)
+(IFERROR(VLOOKUP('input-data'!$E$171,Fodertabel,9,FALSE),0)*'input-data'!I171/100)
+(IFERROR(VLOOKUP('input-data'!$E$172,Fodertabel,9,FALSE),0)*'input-data'!I172/100)
+(IFERROR(VLOOKUP('input-data'!$E$173,Fodertabel,9,FALSE),0)*'input-data'!I173/100))</f>
        <v>0</v>
      </c>
      <c r="F50" s="252"/>
      <c r="G50" s="233"/>
      <c r="H50" s="110"/>
      <c r="I50" s="110"/>
      <c r="J50" s="110"/>
      <c r="K50" s="110"/>
      <c r="L50" s="110"/>
      <c r="M50" s="110"/>
      <c r="N50" s="110"/>
      <c r="O50" s="110"/>
      <c r="P50" s="110"/>
      <c r="Q50" s="110"/>
      <c r="R50" s="110"/>
      <c r="S50" s="110"/>
      <c r="T50" s="110"/>
      <c r="U50" s="110"/>
      <c r="V50" s="270"/>
      <c r="W50" s="270"/>
      <c r="X50" s="270"/>
      <c r="Y50" s="270"/>
      <c r="Z50" s="270"/>
      <c r="AA50" s="270"/>
      <c r="AB50" s="270"/>
      <c r="AC50" s="270"/>
      <c r="AD50" s="270"/>
    </row>
    <row r="51" spans="2:30" x14ac:dyDescent="0.2">
      <c r="B51" s="237"/>
      <c r="C51" s="110" t="str">
        <f>IF(topdowntables!N4=1, "Råprotein, g per kg foder", "Crude protein, g per kg feed")</f>
        <v>Råprotein, g per kg foder</v>
      </c>
      <c r="D51" s="242">
        <f>SUM((IFERROR(VLOOKUP('input-data'!$E$159,Fodertabel,10,FALSE),0)*'input-data'!I159/100)
+(IFERROR(VLOOKUP('input-data'!$E$160,Fodertabel,10,FALSE),0)*'input-data'!I160/100)
+(IFERROR(VLOOKUP('input-data'!$E$161,Fodertabel,10,FALSE),0)*'input-data'!I161/100)
+(IFERROR(VLOOKUP('input-data'!$E$162,Fodertabel,10,FALSE),0)*'input-data'!I162/100)
+(IFERROR(VLOOKUP('input-data'!$E$163,Fodertabel,10,FALSE),0)*'input-data'!I163/100)
+(IFERROR(VLOOKUP('input-data'!$E$164,Fodertabel,10,FALSE),0)*'input-data'!I164/100)
+(IFERROR(VLOOKUP('input-data'!$E$165,Fodertabel,10,FALSE),0)*'input-data'!I165/100)
+(IFERROR(VLOOKUP('input-data'!$E$166,Fodertabel,10,FALSE),0)*'input-data'!I166/100)
+(IFERROR(VLOOKUP('input-data'!$E$167,Fodertabel,10,FALSE),0)*'input-data'!I167/100)
+(IFERROR(VLOOKUP('input-data'!$E$168,Fodertabel,10,FALSE),0)*'input-data'!I168/100)
+(IFERROR(VLOOKUP('input-data'!$E$169,Fodertabel,10,FALSE),0)*'input-data'!I169/100)
+(IFERROR(VLOOKUP('input-data'!$E$170,Fodertabel,10,FALSE),0)*'input-data'!I170/100)
+(IFERROR(VLOOKUP('input-data'!$E$171,Fodertabel,10,FALSE),0)*'input-data'!I171/100)
+(IFERROR(VLOOKUP('input-data'!$E$172,Fodertabel,10,FALSE),0)*'input-data'!I172/100)
+(IFERROR(VLOOKUP('input-data'!$E$173,Fodertabel,10,FALSE),0)*'input-data'!I173/100))*10</f>
        <v>0</v>
      </c>
      <c r="F51" s="252"/>
      <c r="G51" s="233"/>
      <c r="H51" s="110"/>
      <c r="I51" s="110"/>
      <c r="J51" s="110"/>
      <c r="K51" s="110"/>
      <c r="L51" s="110"/>
      <c r="M51" s="110"/>
      <c r="N51" s="110"/>
      <c r="O51" s="110"/>
      <c r="P51" s="110"/>
      <c r="Q51" s="110"/>
      <c r="R51" s="110"/>
      <c r="S51" s="110"/>
      <c r="T51" s="110"/>
      <c r="U51" s="110"/>
      <c r="V51" s="270"/>
      <c r="W51" s="270"/>
      <c r="X51" s="270"/>
      <c r="Y51" s="270"/>
      <c r="Z51" s="270"/>
      <c r="AA51" s="270"/>
      <c r="AB51" s="270"/>
      <c r="AC51" s="270"/>
      <c r="AD51" s="270"/>
    </row>
    <row r="52" spans="2:30" x14ac:dyDescent="0.2">
      <c r="B52" s="237"/>
      <c r="C52" s="110" t="str">
        <f>IF(topdowntables!N4=1, "Fosfor, g per kg foder", "Phosphorus, g per kg feed")</f>
        <v>Fosfor, g per kg foder</v>
      </c>
      <c r="D52" s="240">
        <f>SUM((IFERROR(VLOOKUP('input-data'!$E$159,Fodertabel,79,FALSE),0)*'input-data'!I159/100)
+(IFERROR(VLOOKUP('input-data'!$E$160,Fodertabel,79,FALSE),0)*'input-data'!I160/100)
+(IFERROR(VLOOKUP('input-data'!$E$161,Fodertabel,79,FALSE),0)*'input-data'!I161/100)
+(IFERROR(VLOOKUP('input-data'!$E$162,Fodertabel,79,FALSE),0)*'input-data'!I162/100)
+(IFERROR(VLOOKUP('input-data'!$E$163,Fodertabel,79,FALSE),0)*'input-data'!I163/100)
+(IFERROR(VLOOKUP('input-data'!$E$164,Fodertabel,79,FALSE),0)*'input-data'!I164/100)
+(IFERROR(VLOOKUP('input-data'!$E$165,Fodertabel,79,FALSE),0)*'input-data'!I165/100)
+(IFERROR(VLOOKUP('input-data'!$E$166,Fodertabel,79,FALSE),0)*'input-data'!I166/100)
+(IFERROR(VLOOKUP('input-data'!$E$167,Fodertabel,79,FALSE),0)*'input-data'!I167/100)
+(IFERROR(VLOOKUP('input-data'!$E$168,Fodertabel,79,FALSE),0)*'input-data'!I168/100)
+(IFERROR(VLOOKUP('input-data'!$E$169,Fodertabel,79,FALSE),0)*'input-data'!I169/100)
+(IFERROR(VLOOKUP('input-data'!$E$170,Fodertabel,79,FALSE),0)*'input-data'!I170/100)
+(IFERROR(VLOOKUP('input-data'!$E$171,Fodertabel,79,FALSE),0)*'input-data'!I171/100)
+(IFERROR(VLOOKUP('input-data'!$E$172,Fodertabel,79,FALSE),0)*'input-data'!I172/100)
+(IFERROR(VLOOKUP('input-data'!$E$173,Fodertabel,79,FALSE),0)*'input-data'!I173/100))</f>
        <v>0</v>
      </c>
      <c r="F52" s="252"/>
      <c r="G52" s="233"/>
      <c r="H52" s="110"/>
      <c r="I52" s="110"/>
      <c r="J52" s="110"/>
      <c r="K52" s="110"/>
      <c r="L52" s="110"/>
      <c r="M52" s="110"/>
      <c r="N52" s="110"/>
      <c r="O52" s="110"/>
      <c r="P52" s="110"/>
      <c r="Q52" s="110"/>
      <c r="R52" s="110"/>
      <c r="S52" s="110"/>
      <c r="T52" s="110"/>
      <c r="U52" s="110"/>
      <c r="V52" s="270"/>
      <c r="W52" s="270"/>
      <c r="X52" s="270"/>
      <c r="Y52" s="270"/>
      <c r="Z52" s="270"/>
      <c r="AA52" s="270"/>
      <c r="AB52" s="270"/>
      <c r="AC52" s="270"/>
      <c r="AD52" s="270"/>
    </row>
    <row r="53" spans="2:30" x14ac:dyDescent="0.2">
      <c r="B53" s="237"/>
      <c r="C53" s="256" t="str">
        <f>IF(topdowntables!N4=1, "Blanding 2:", "Feed mixture 2:")</f>
        <v>Blanding 2:</v>
      </c>
      <c r="D53" s="241"/>
      <c r="F53" s="252"/>
      <c r="G53" s="233"/>
      <c r="H53" s="110"/>
      <c r="I53" s="110"/>
      <c r="J53" s="110"/>
      <c r="K53" s="110"/>
      <c r="L53" s="110"/>
      <c r="M53" s="110"/>
      <c r="N53" s="110"/>
      <c r="O53" s="110"/>
      <c r="P53" s="110"/>
      <c r="Q53" s="110"/>
      <c r="R53" s="110"/>
      <c r="S53" s="110"/>
      <c r="T53" s="110"/>
      <c r="U53" s="110"/>
      <c r="V53" s="270"/>
      <c r="W53" s="270"/>
      <c r="X53" s="270"/>
      <c r="Y53" s="270"/>
      <c r="Z53" s="270"/>
      <c r="AA53" s="270"/>
      <c r="AB53" s="270"/>
      <c r="AC53" s="270"/>
      <c r="AD53" s="270"/>
    </row>
    <row r="54" spans="2:30" x14ac:dyDescent="0.2">
      <c r="B54" s="237"/>
      <c r="C54" s="110" t="str">
        <f>IF(topdowntables!$N$4=1, "FEsv/100 kg", "FUpiglet/100 kg")</f>
        <v>FEsv/100 kg</v>
      </c>
      <c r="D54" s="242">
        <f>SUM((IFERROR(VLOOKUP('input-data'!$E$178,Fodertabel,3,FALSE),0)*'input-data'!I178/100)
+(IFERROR(VLOOKUP('input-data'!$E$179,Fodertabel,3,FALSE),0)*'input-data'!I179/100)
+(IFERROR(VLOOKUP('input-data'!$E$180,Fodertabel,3,FALSE),0)*'input-data'!I180/100)
+(IFERROR(VLOOKUP('input-data'!$E$181,Fodertabel,3,FALSE),0)*'input-data'!I181/100)
+(IFERROR(VLOOKUP('input-data'!$E$182,Fodertabel,3,FALSE),0)*'input-data'!I182/100)
+(IFERROR(VLOOKUP('input-data'!$E$183,Fodertabel,3,FALSE),0)*'input-data'!I183/100)
+(IFERROR(VLOOKUP('input-data'!$E$184,Fodertabel,3,FALSE),0)*'input-data'!I184/100)
+(IFERROR(VLOOKUP('input-data'!$E$185,Fodertabel,3,FALSE),0)*'input-data'!I185/100)
+(IFERROR(VLOOKUP('input-data'!$E$186,Fodertabel,3,FALSE),0)*'input-data'!I186/100)
+(IFERROR(VLOOKUP('input-data'!$E$187,Fodertabel,3,FALSE),0)*'input-data'!I187/100)
+(IFERROR(VLOOKUP('input-data'!$E$188,Fodertabel,3,FALSE),0)*'input-data'!I188/100)
+(IFERROR(VLOOKUP('input-data'!$E$189,Fodertabel,3,FALSE),0)*'input-data'!I189/100)
+(IFERROR(VLOOKUP('input-data'!$E$190,Fodertabel,3,FALSE),0)*'input-data'!I190/100)
+(IFERROR(VLOOKUP('input-data'!$E$191,Fodertabel,3,FALSE),0)*'input-data'!I191/100)
+(IFERROR(VLOOKUP('input-data'!$E$192,Fodertabel,3,FALSE),0)*'input-data'!I192/100))*100</f>
        <v>0</v>
      </c>
      <c r="F54" s="252"/>
      <c r="G54" s="233"/>
      <c r="H54" s="110"/>
      <c r="I54" s="110"/>
      <c r="J54" s="110"/>
      <c r="K54" s="110"/>
      <c r="L54" s="110"/>
      <c r="M54" s="110"/>
      <c r="N54" s="110"/>
      <c r="O54" s="110"/>
      <c r="P54" s="110"/>
      <c r="Q54" s="110"/>
      <c r="R54" s="110"/>
      <c r="S54" s="110"/>
      <c r="T54" s="110"/>
      <c r="U54" s="110"/>
      <c r="V54" s="270"/>
      <c r="W54" s="270"/>
      <c r="X54" s="270"/>
      <c r="Y54" s="270"/>
      <c r="Z54" s="270"/>
      <c r="AA54" s="270"/>
      <c r="AB54" s="270"/>
      <c r="AC54" s="270"/>
      <c r="AD54" s="270"/>
    </row>
    <row r="55" spans="2:30" x14ac:dyDescent="0.2">
      <c r="B55" s="237"/>
      <c r="C55" s="110" t="str">
        <f>IF(topdowntables!N4=1, "Tørstof, %", "Dry matter, %")</f>
        <v>Tørstof, %</v>
      </c>
      <c r="D55" s="242">
        <f>SUM((IFERROR(VLOOKUP('input-data'!$E$178,Fodertabel,9,FALSE),0)*'input-data'!I178/100)
+(IFERROR(VLOOKUP('input-data'!$E$179,Fodertabel,9,FALSE),0)*'input-data'!I179/100)
+(IFERROR(VLOOKUP('input-data'!$E$180,Fodertabel,9,FALSE),0)*'input-data'!I180/100)
+(IFERROR(VLOOKUP('input-data'!$E$181,Fodertabel,9,FALSE),0)*'input-data'!I181/100)
+(IFERROR(VLOOKUP('input-data'!$E$182,Fodertabel,9,FALSE),0)*'input-data'!I182/100)
+(IFERROR(VLOOKUP('input-data'!$E$183,Fodertabel,9,FALSE),0)*'input-data'!I183/100)
+(IFERROR(VLOOKUP('input-data'!$E$184,Fodertabel,9,FALSE),0)*'input-data'!I184/100)
+(IFERROR(VLOOKUP('input-data'!$E$185,Fodertabel,9,FALSE),0)*'input-data'!I185/100)
+(IFERROR(VLOOKUP('input-data'!$E$186,Fodertabel,9,FALSE),0)*'input-data'!I186/100)
+(IFERROR(VLOOKUP('input-data'!$E$187,Fodertabel,9,FALSE),0)*'input-data'!I187/100)
+(IFERROR(VLOOKUP('input-data'!$E$188,Fodertabel,9,FALSE),0)*'input-data'!I188/100)
+(IFERROR(VLOOKUP('input-data'!$E$189,Fodertabel,9,FALSE),0)*'input-data'!I189/100)
+(IFERROR(VLOOKUP('input-data'!$E$190,Fodertabel,9,FALSE),0)*'input-data'!I190/100)
+(IFERROR(VLOOKUP('input-data'!$E$191,Fodertabel,9,FALSE),0)*'input-data'!I191/100)
+(IFERROR(VLOOKUP('input-data'!$E$192,Fodertabel,9,FALSE),0)*'input-data'!I192/100))</f>
        <v>0</v>
      </c>
      <c r="F55" s="252"/>
      <c r="G55" s="233"/>
      <c r="H55" s="110"/>
      <c r="I55" s="110"/>
      <c r="J55" s="110"/>
      <c r="K55" s="110"/>
      <c r="L55" s="110"/>
      <c r="M55" s="110"/>
      <c r="N55" s="110"/>
      <c r="O55" s="110"/>
      <c r="P55" s="110"/>
      <c r="Q55" s="110"/>
      <c r="R55" s="110"/>
      <c r="S55" s="110"/>
      <c r="T55" s="110"/>
      <c r="U55" s="110"/>
      <c r="V55" s="270"/>
      <c r="W55" s="270"/>
      <c r="X55" s="270"/>
      <c r="Y55" s="270"/>
      <c r="Z55" s="270"/>
      <c r="AA55" s="270"/>
      <c r="AB55" s="270"/>
      <c r="AC55" s="270"/>
      <c r="AD55" s="270"/>
    </row>
    <row r="56" spans="2:30" x14ac:dyDescent="0.2">
      <c r="B56" s="237"/>
      <c r="C56" s="110" t="str">
        <f>IF(topdowntables!N4=1, "Råprotein, g per kg foder", "Crude protein, g per kg feed")</f>
        <v>Råprotein, g per kg foder</v>
      </c>
      <c r="D56" s="242">
        <f>SUM((IFERROR(VLOOKUP('input-data'!$E$178,Fodertabel,10,FALSE),0)*'input-data'!I178/100)
+(IFERROR(VLOOKUP('input-data'!$E$179,Fodertabel,10,FALSE),0)*'input-data'!I179/100)
+(IFERROR(VLOOKUP('input-data'!$E$180,Fodertabel,10,FALSE),0)*'input-data'!I180/100)
+(IFERROR(VLOOKUP('input-data'!$E$181,Fodertabel,10,FALSE),0)*'input-data'!I181/100)
+(IFERROR(VLOOKUP('input-data'!$E$182,Fodertabel,10,FALSE),0)*'input-data'!I182/100)
+(IFERROR(VLOOKUP('input-data'!$E$183,Fodertabel,10,FALSE),0)*'input-data'!I183/100)
+(IFERROR(VLOOKUP('input-data'!$E$184,Fodertabel,10,FALSE),0)*'input-data'!I184/100)
+(IFERROR(VLOOKUP('input-data'!$E$185,Fodertabel,10,FALSE),0)*'input-data'!I185/100)
+(IFERROR(VLOOKUP('input-data'!$E$186,Fodertabel,10,FALSE),0)*'input-data'!I186/100)
+(IFERROR(VLOOKUP('input-data'!$E$187,Fodertabel,10,FALSE),0)*'input-data'!I187/100)
+(IFERROR(VLOOKUP('input-data'!$E$188,Fodertabel,10,FALSE),0)*'input-data'!I188/100)
+(IFERROR(VLOOKUP('input-data'!$E$189,Fodertabel,10,FALSE),0)*'input-data'!I189/100)
+(IFERROR(VLOOKUP('input-data'!$E$190,Fodertabel,10,FALSE),0)*'input-data'!I190/100)
+(IFERROR(VLOOKUP('input-data'!$E$191,Fodertabel,10,FALSE),0)*'input-data'!I191/100)
+(IFERROR(VLOOKUP('input-data'!$E$192,Fodertabel,10,FALSE),0)*'input-data'!I192/100))*10</f>
        <v>0</v>
      </c>
      <c r="F56" s="252"/>
      <c r="G56" s="233"/>
      <c r="H56" s="110"/>
      <c r="I56" s="110"/>
      <c r="J56" s="110"/>
      <c r="K56" s="110"/>
      <c r="L56" s="110"/>
      <c r="M56" s="110"/>
      <c r="N56" s="110"/>
      <c r="O56" s="110"/>
      <c r="P56" s="110"/>
      <c r="Q56" s="110"/>
      <c r="R56" s="110"/>
      <c r="S56" s="110"/>
      <c r="T56" s="110"/>
      <c r="U56" s="110"/>
      <c r="V56" s="270"/>
      <c r="W56" s="270"/>
      <c r="X56" s="270"/>
      <c r="Y56" s="270"/>
      <c r="Z56" s="270"/>
      <c r="AA56" s="270"/>
      <c r="AB56" s="270"/>
      <c r="AC56" s="270"/>
      <c r="AD56" s="270"/>
    </row>
    <row r="57" spans="2:30" x14ac:dyDescent="0.2">
      <c r="B57" s="237"/>
      <c r="C57" s="110" t="str">
        <f>IF(topdowntables!N4=1, "Fosfor, g per kg foder", "Phosphorus, g per kg feed")</f>
        <v>Fosfor, g per kg foder</v>
      </c>
      <c r="D57" s="240">
        <f>SUM((IFERROR(VLOOKUP('input-data'!$E$178,Fodertabel,79,FALSE),0)*'input-data'!I178/100)
+(IFERROR(VLOOKUP('input-data'!$E$179,Fodertabel,79,FALSE),0)*'input-data'!I179/100)
+(IFERROR(VLOOKUP('input-data'!$E$180,Fodertabel,79,FALSE),0)*'input-data'!I180/100)
+(IFERROR(VLOOKUP('input-data'!$E$181,Fodertabel,79,FALSE),0)*'input-data'!I181/100)
+(IFERROR(VLOOKUP('input-data'!$E$182,Fodertabel,79,FALSE),0)*'input-data'!I182/100)
+(IFERROR(VLOOKUP('input-data'!$E$183,Fodertabel,79,FALSE),0)*'input-data'!I183/100)
+(IFERROR(VLOOKUP('input-data'!$E$184,Fodertabel,79,FALSE),0)*'input-data'!I184/100)
+(IFERROR(VLOOKUP('input-data'!$E$185,Fodertabel,79,FALSE),0)*'input-data'!I185/100)
+(IFERROR(VLOOKUP('input-data'!$E$186,Fodertabel,79,FALSE),0)*'input-data'!I186/100)
+(IFERROR(VLOOKUP('input-data'!$E$187,Fodertabel,79,FALSE),0)*'input-data'!I187/100)
+(IFERROR(VLOOKUP('input-data'!$E$188,Fodertabel,79,FALSE),0)*'input-data'!I188/100)
+(IFERROR(VLOOKUP('input-data'!$E$189,Fodertabel,79,FALSE),0)*'input-data'!I189/100)
+(IFERROR(VLOOKUP('input-data'!$E$190,Fodertabel,79,FALSE),0)*'input-data'!I190/100)
+(IFERROR(VLOOKUP('input-data'!$E$191,Fodertabel,79,FALSE),0)*'input-data'!I191/100)
+(IFERROR(VLOOKUP('input-data'!$E$192,Fodertabel,79,FALSE),0)*'input-data'!I192/100))</f>
        <v>0</v>
      </c>
      <c r="F57" s="252"/>
      <c r="G57" s="233"/>
      <c r="H57" s="110"/>
      <c r="I57" s="110"/>
      <c r="J57" s="110"/>
      <c r="K57" s="110"/>
      <c r="L57" s="110"/>
      <c r="M57" s="110"/>
      <c r="N57" s="110"/>
      <c r="O57" s="110"/>
      <c r="P57" s="110"/>
      <c r="Q57" s="110"/>
      <c r="R57" s="110"/>
      <c r="S57" s="110"/>
      <c r="T57" s="110"/>
      <c r="U57" s="110"/>
      <c r="V57" s="270"/>
      <c r="W57" s="270"/>
      <c r="X57" s="270"/>
      <c r="Y57" s="270"/>
      <c r="Z57" s="270"/>
      <c r="AA57" s="270"/>
      <c r="AB57" s="270"/>
      <c r="AC57" s="270"/>
      <c r="AD57" s="270"/>
    </row>
    <row r="58" spans="2:30" x14ac:dyDescent="0.2">
      <c r="B58" s="237"/>
      <c r="C58" s="256" t="str">
        <f>IF(topdowntables!N4=1, "Blanding 3:", "Feed mixture 3:")</f>
        <v>Blanding 3:</v>
      </c>
      <c r="D58" s="242"/>
      <c r="F58" s="252"/>
      <c r="G58" s="233"/>
      <c r="H58" s="110"/>
      <c r="I58" s="110"/>
      <c r="J58" s="110"/>
      <c r="K58" s="110"/>
      <c r="L58" s="110"/>
      <c r="M58" s="110"/>
      <c r="N58" s="110"/>
      <c r="O58" s="110"/>
      <c r="P58" s="110"/>
      <c r="Q58" s="110"/>
      <c r="R58" s="110"/>
      <c r="S58" s="110"/>
      <c r="T58" s="110"/>
      <c r="U58" s="110"/>
      <c r="V58" s="270"/>
      <c r="W58" s="270"/>
      <c r="X58" s="270"/>
      <c r="Y58" s="270"/>
      <c r="Z58" s="270"/>
      <c r="AA58" s="270"/>
      <c r="AB58" s="270"/>
      <c r="AC58" s="270"/>
      <c r="AD58" s="270"/>
    </row>
    <row r="59" spans="2:30" x14ac:dyDescent="0.2">
      <c r="B59" s="237"/>
      <c r="C59" s="110" t="str">
        <f>IF(topdowntables!$N$4=1, "FEsv/100 kg", "FUpiglet/100 kg")</f>
        <v>FEsv/100 kg</v>
      </c>
      <c r="D59" s="242">
        <f>SUM((IFERROR(VLOOKUP('input-data'!$E$197,Fodertabel,3,FALSE),0)*'input-data'!I197/100)
+(IFERROR(VLOOKUP('input-data'!$E$198,Fodertabel,3,FALSE),0)*'input-data'!I198/100)
+(IFERROR(VLOOKUP('input-data'!$E$199,Fodertabel,3,FALSE),0)*'input-data'!I199/100)
+(IFERROR(VLOOKUP('input-data'!$E$200,Fodertabel,3,FALSE),0)*'input-data'!I200/100)
+(IFERROR(VLOOKUP('input-data'!$E$201,Fodertabel,3,FALSE),0)*'input-data'!I201/100)
+(IFERROR(VLOOKUP('input-data'!$E$202,Fodertabel,3,FALSE),0)*'input-data'!I202/100)
+(IFERROR(VLOOKUP('input-data'!$E$203,Fodertabel,3,FALSE),0)*'input-data'!I203/100)
+(IFERROR(VLOOKUP('input-data'!$E$204,Fodertabel,3,FALSE),0)*'input-data'!I204/100)
+(IFERROR(VLOOKUP('input-data'!$E$205,Fodertabel,3,FALSE),0)*'input-data'!I205/100)
+(IFERROR(VLOOKUP('input-data'!$E$206,Fodertabel,3,FALSE),0)*'input-data'!I206/100)
+(IFERROR(VLOOKUP('input-data'!$E$207,Fodertabel,3,FALSE),0)*'input-data'!I207/100)
+(IFERROR(VLOOKUP('input-data'!$E$208,Fodertabel,3,FALSE),0)*'input-data'!I208/100)
+(IFERROR(VLOOKUP('input-data'!$E$209,Fodertabel,3,FALSE),0)*'input-data'!I209/100)
+(IFERROR(VLOOKUP('input-data'!$E$210,Fodertabel,3,FALSE),0)*'input-data'!I210/100)
+(IFERROR(VLOOKUP('input-data'!$E$211,Fodertabel,3,FALSE),0)*'input-data'!I211/100))*100</f>
        <v>0</v>
      </c>
      <c r="F59" s="252"/>
      <c r="G59" s="233"/>
      <c r="H59" s="110"/>
      <c r="I59" s="110"/>
      <c r="J59" s="110"/>
      <c r="K59" s="110"/>
      <c r="L59" s="110"/>
      <c r="M59" s="110"/>
      <c r="N59" s="110"/>
      <c r="O59" s="110"/>
      <c r="P59" s="110"/>
      <c r="Q59" s="110"/>
      <c r="R59" s="110"/>
      <c r="S59" s="110"/>
      <c r="T59" s="110"/>
      <c r="U59" s="110"/>
      <c r="V59" s="270"/>
      <c r="W59" s="270"/>
      <c r="X59" s="270"/>
      <c r="Y59" s="270"/>
      <c r="Z59" s="270"/>
      <c r="AA59" s="270"/>
      <c r="AB59" s="270"/>
      <c r="AC59" s="270"/>
      <c r="AD59" s="270"/>
    </row>
    <row r="60" spans="2:30" x14ac:dyDescent="0.2">
      <c r="B60" s="237"/>
      <c r="C60" s="110" t="str">
        <f>IF(topdowntables!N4=1, "Tørstof, %", "Dry matter, %")</f>
        <v>Tørstof, %</v>
      </c>
      <c r="D60" s="242">
        <f>SUM((IFERROR(VLOOKUP('input-data'!$E$197,Fodertabel,9,FALSE),0)*'input-data'!I197/100)
+(IFERROR(VLOOKUP('input-data'!$E$198,Fodertabel,9,FALSE),0)*'input-data'!I198/100)
+(IFERROR(VLOOKUP('input-data'!$E$199,Fodertabel,9,FALSE),0)*'input-data'!I199/100)
+(IFERROR(VLOOKUP('input-data'!$E$200,Fodertabel,9,FALSE),0)*'input-data'!I200/100)
+(IFERROR(VLOOKUP('input-data'!$E$201,Fodertabel,9,FALSE),0)*'input-data'!I201/100)
+(IFERROR(VLOOKUP('input-data'!$E$202,Fodertabel,9,FALSE),0)*'input-data'!I202/100)
+(IFERROR(VLOOKUP('input-data'!$E$203,Fodertabel,9,FALSE),0)*'input-data'!I203/100)
+(IFERROR(VLOOKUP('input-data'!$E$204,Fodertabel,9,FALSE),0)*'input-data'!I204/100)
+(IFERROR(VLOOKUP('input-data'!$E$205,Fodertabel,9,FALSE),0)*'input-data'!I205/100)
+(IFERROR(VLOOKUP('input-data'!$E$206,Fodertabel,9,FALSE),0)*'input-data'!I206/100)
+(IFERROR(VLOOKUP('input-data'!$E$207,Fodertabel,9,FALSE),0)*'input-data'!I207/100)
+(IFERROR(VLOOKUP('input-data'!$E$208,Fodertabel,9,FALSE),0)*'input-data'!I208/100)
+(IFERROR(VLOOKUP('input-data'!$E$209,Fodertabel,9,FALSE),0)*'input-data'!I209/100)
+(IFERROR(VLOOKUP('input-data'!$E$210,Fodertabel,9,FALSE),0)*'input-data'!I210/100)
+(IFERROR(VLOOKUP('input-data'!$E$211,Fodertabel,9,FALSE),0)*'input-data'!I211/100))</f>
        <v>0</v>
      </c>
      <c r="F60" s="252"/>
      <c r="G60" s="233"/>
      <c r="H60" s="110"/>
      <c r="I60" s="110"/>
      <c r="J60" s="110"/>
      <c r="K60" s="110"/>
      <c r="L60" s="110"/>
      <c r="M60" s="110"/>
      <c r="N60" s="110"/>
      <c r="O60" s="110"/>
      <c r="P60" s="110"/>
      <c r="Q60" s="110"/>
      <c r="R60" s="110"/>
      <c r="S60" s="110"/>
      <c r="T60" s="110"/>
      <c r="U60" s="110"/>
      <c r="V60" s="270"/>
      <c r="W60" s="270"/>
      <c r="X60" s="270"/>
      <c r="Y60" s="270"/>
      <c r="Z60" s="270"/>
      <c r="AA60" s="270"/>
      <c r="AB60" s="270"/>
      <c r="AC60" s="270"/>
      <c r="AD60" s="270"/>
    </row>
    <row r="61" spans="2:30" x14ac:dyDescent="0.2">
      <c r="B61" s="237"/>
      <c r="C61" s="110" t="str">
        <f>IF(topdowntables!N4=1, "Råprotein, g per kg foder", "Crude protein, g per kg feed")</f>
        <v>Råprotein, g per kg foder</v>
      </c>
      <c r="D61" s="242">
        <f>SUM((IFERROR(VLOOKUP('input-data'!$E$197,Fodertabel,10,FALSE),0)*'input-data'!I197/100)
+(IFERROR(VLOOKUP('input-data'!$E$198,Fodertabel,10,FALSE),0)*'input-data'!I198/100)
+(IFERROR(VLOOKUP('input-data'!$E$199,Fodertabel,10,FALSE),0)*'input-data'!I199/100)
+(IFERROR(VLOOKUP('input-data'!$E$200,Fodertabel,10,FALSE),0)*'input-data'!I200/100)
+(IFERROR(VLOOKUP('input-data'!$E$201,Fodertabel,10,FALSE),0)*'input-data'!I201/100)
+(IFERROR(VLOOKUP('input-data'!$E$202,Fodertabel,10,FALSE),0)*'input-data'!I202/100)
+(IFERROR(VLOOKUP('input-data'!$E$203,Fodertabel,10,FALSE),0)*'input-data'!I203/100)
+(IFERROR(VLOOKUP('input-data'!$E$204,Fodertabel,10,FALSE),0)*'input-data'!I204/100)
+(IFERROR(VLOOKUP('input-data'!$E$205,Fodertabel,10,FALSE),0)*'input-data'!I205/100)
+(IFERROR(VLOOKUP('input-data'!$E$206,Fodertabel,10,FALSE),0)*'input-data'!I206/100)
+(IFERROR(VLOOKUP('input-data'!$E$207,Fodertabel,10,FALSE),0)*'input-data'!I207/100)
+(IFERROR(VLOOKUP('input-data'!$E$208,Fodertabel,10,FALSE),0)*'input-data'!I208/100)
+(IFERROR(VLOOKUP('input-data'!$E$209,Fodertabel,10,FALSE),0)*'input-data'!I209/100)
+(IFERROR(VLOOKUP('input-data'!$E$210,Fodertabel,10,FALSE),0)*'input-data'!I210/100)
+(IFERROR(VLOOKUP('input-data'!$E$211,Fodertabel,10,FALSE),0)*'input-data'!I211/100))*10</f>
        <v>0</v>
      </c>
      <c r="F61" s="252"/>
      <c r="G61" s="233"/>
      <c r="H61" s="110"/>
      <c r="I61" s="110"/>
      <c r="J61" s="110"/>
      <c r="K61" s="110"/>
      <c r="L61" s="110"/>
      <c r="M61" s="110"/>
      <c r="N61" s="110"/>
      <c r="O61" s="110"/>
      <c r="P61" s="110"/>
      <c r="Q61" s="110"/>
      <c r="R61" s="110"/>
      <c r="S61" s="110"/>
      <c r="T61" s="110"/>
      <c r="U61" s="110"/>
      <c r="V61" s="270"/>
      <c r="W61" s="270"/>
      <c r="X61" s="270"/>
      <c r="Y61" s="270"/>
      <c r="Z61" s="270"/>
      <c r="AA61" s="270"/>
      <c r="AB61" s="270"/>
      <c r="AC61" s="270"/>
      <c r="AD61" s="270"/>
    </row>
    <row r="62" spans="2:30" x14ac:dyDescent="0.2">
      <c r="B62" s="237"/>
      <c r="C62" s="110" t="str">
        <f>IF(topdowntables!N4=1, "Fosfor, g per kg foder", "Phosphorus, g per kg feed")</f>
        <v>Fosfor, g per kg foder</v>
      </c>
      <c r="D62" s="240">
        <f>SUM((IFERROR(VLOOKUP('input-data'!$E$197,Fodertabel,79,FALSE),0)*'input-data'!I197/100)
+(IFERROR(VLOOKUP('input-data'!$E$198,Fodertabel,79,FALSE),0)*'input-data'!I198/100)
+(IFERROR(VLOOKUP('input-data'!$E$199,Fodertabel,79,FALSE),0)*'input-data'!I199/100)
+(IFERROR(VLOOKUP('input-data'!$E$200,Fodertabel,79,FALSE),0)*'input-data'!I200/100)
+(IFERROR(VLOOKUP('input-data'!$E$201,Fodertabel,79,FALSE),0)*'input-data'!I201/100)
+(IFERROR(VLOOKUP('input-data'!$E$202,Fodertabel,79,FALSE),0)*'input-data'!I202/100)
+(IFERROR(VLOOKUP('input-data'!$E$203,Fodertabel,79,FALSE),0)*'input-data'!I203/100)
+(IFERROR(VLOOKUP('input-data'!$E$204,Fodertabel,79,FALSE),0)*'input-data'!I204/100)
+(IFERROR(VLOOKUP('input-data'!$E$205,Fodertabel,79,FALSE),0)*'input-data'!I205/100)
+(IFERROR(VLOOKUP('input-data'!$E$206,Fodertabel,79,FALSE),0)*'input-data'!I206/100)
+(IFERROR(VLOOKUP('input-data'!$E$207,Fodertabel,79,FALSE),0)*'input-data'!I207/100)
+(IFERROR(VLOOKUP('input-data'!$E$208,Fodertabel,79,FALSE),0)*'input-data'!I208/100)
+(IFERROR(VLOOKUP('input-data'!$E$209,Fodertabel,79,FALSE),0)*'input-data'!I209/100)
+(IFERROR(VLOOKUP('input-data'!$E$210,Fodertabel,79,FALSE),0)*'input-data'!I210/100)
+(IFERROR(VLOOKUP('input-data'!$E$211,Fodertabel,79,FALSE),0)*'input-data'!I211/100))</f>
        <v>0</v>
      </c>
      <c r="F62" s="252"/>
      <c r="G62" s="233"/>
      <c r="H62" s="110"/>
      <c r="I62" s="110"/>
      <c r="J62" s="110"/>
      <c r="K62" s="110"/>
      <c r="L62" s="110"/>
      <c r="M62" s="110"/>
      <c r="N62" s="110"/>
      <c r="O62" s="110"/>
      <c r="P62" s="110"/>
      <c r="Q62" s="110"/>
      <c r="R62" s="110"/>
      <c r="S62" s="110"/>
      <c r="T62" s="110"/>
      <c r="U62" s="110"/>
      <c r="V62" s="270"/>
      <c r="W62" s="270"/>
      <c r="X62" s="270"/>
      <c r="Y62" s="270"/>
      <c r="Z62" s="270"/>
      <c r="AA62" s="270"/>
      <c r="AB62" s="270"/>
      <c r="AC62" s="270"/>
      <c r="AD62" s="270"/>
    </row>
    <row r="63" spans="2:30" x14ac:dyDescent="0.2">
      <c r="B63" s="237"/>
      <c r="C63" s="110"/>
      <c r="D63" s="240"/>
      <c r="F63" s="252"/>
      <c r="G63" s="233"/>
      <c r="H63" s="110"/>
      <c r="I63" s="110"/>
      <c r="J63" s="110"/>
      <c r="K63" s="110"/>
      <c r="L63" s="110"/>
      <c r="M63" s="110"/>
      <c r="N63" s="110"/>
      <c r="O63" s="110"/>
      <c r="P63" s="110"/>
      <c r="Q63" s="110"/>
      <c r="R63" s="110"/>
      <c r="S63" s="110"/>
      <c r="T63" s="110"/>
      <c r="U63" s="110"/>
      <c r="V63" s="270"/>
      <c r="W63" s="270"/>
      <c r="X63" s="270"/>
      <c r="Y63" s="270"/>
      <c r="Z63" s="270"/>
      <c r="AA63" s="270"/>
      <c r="AB63" s="270"/>
      <c r="AC63" s="270"/>
      <c r="AD63" s="270"/>
    </row>
    <row r="64" spans="2:30" x14ac:dyDescent="0.2">
      <c r="B64" s="237"/>
      <c r="C64" s="183" t="str">
        <f>IF(topdowntables!N4=1, "N og P bidrag fra kraftfodret, tildelt ude", "N and P content in concentrated feed, used outdoor")</f>
        <v>N og P bidrag fra kraftfodret, tildelt ude</v>
      </c>
      <c r="D64" s="241"/>
      <c r="F64" s="252" t="s">
        <v>1613</v>
      </c>
      <c r="G64" s="233"/>
      <c r="H64" s="110"/>
      <c r="I64" s="110"/>
      <c r="J64" s="110"/>
      <c r="K64" s="110"/>
      <c r="L64" s="110"/>
      <c r="M64" s="110"/>
      <c r="N64" s="110"/>
      <c r="O64" s="110"/>
      <c r="P64" s="110"/>
      <c r="Q64" s="110"/>
      <c r="R64" s="110"/>
      <c r="S64" s="110"/>
      <c r="T64" s="110"/>
      <c r="U64" s="110"/>
      <c r="V64" s="270"/>
      <c r="W64" s="270"/>
      <c r="X64" s="270"/>
      <c r="Y64" s="270"/>
      <c r="Z64" s="270"/>
      <c r="AA64" s="270"/>
      <c r="AB64" s="270"/>
      <c r="AC64" s="270"/>
      <c r="AD64" s="270"/>
    </row>
    <row r="65" spans="2:30" x14ac:dyDescent="0.2">
      <c r="B65" s="237"/>
      <c r="C65" s="63" t="str">
        <f>IF(topdowntables!N4=1, "Råprotein pr. prod. smågris, kg", "Crude protein, kg per produced piglet")</f>
        <v>Råprotein pr. prod. smågris, kg</v>
      </c>
      <c r="D65" s="240">
        <f>SUM(IF(D18&lt;&gt;0,(D51*(D49/100)*(D31/(D24+D18))*D18),0)+IF(D19&lt;&gt;0,(D56*(D54/100)*(D32/(D25+D19))*D19),0)+IF(D20&lt;&gt;0,(D61*(D59/100)*(D33/(D26+D20))*D20),0))/1000</f>
        <v>0</v>
      </c>
      <c r="F65" s="252"/>
      <c r="G65" s="233"/>
      <c r="H65" s="110"/>
      <c r="I65" s="110"/>
      <c r="J65" s="110"/>
      <c r="K65" s="110"/>
      <c r="L65" s="110"/>
      <c r="M65" s="110"/>
      <c r="N65" s="110"/>
      <c r="O65" s="110"/>
      <c r="P65" s="110"/>
      <c r="Q65" s="110"/>
      <c r="R65" s="110"/>
      <c r="S65" s="110"/>
      <c r="T65" s="110"/>
      <c r="U65" s="110"/>
      <c r="V65" s="270"/>
      <c r="W65" s="270"/>
      <c r="X65" s="270"/>
      <c r="Y65" s="270"/>
      <c r="Z65" s="270"/>
      <c r="AA65" s="270"/>
      <c r="AB65" s="270"/>
      <c r="AC65" s="270"/>
      <c r="AD65" s="270"/>
    </row>
    <row r="66" spans="2:30" x14ac:dyDescent="0.2">
      <c r="B66" s="237"/>
      <c r="C66" s="110" t="str">
        <f>IF(topdowntables!N4=1, "N pr. prod. smågris, kg", "N, kg per produced piglet")</f>
        <v>N pr. prod. smågris, kg</v>
      </c>
      <c r="D66" s="240">
        <f>D65/6.25</f>
        <v>0</v>
      </c>
      <c r="F66" s="252"/>
      <c r="G66" s="233"/>
      <c r="H66" s="110"/>
      <c r="I66" s="110"/>
      <c r="J66" s="110"/>
      <c r="K66" s="110"/>
      <c r="L66" s="110"/>
      <c r="M66" s="110"/>
      <c r="N66" s="110"/>
      <c r="O66" s="110"/>
      <c r="P66" s="110"/>
      <c r="Q66" s="110"/>
      <c r="R66" s="110"/>
      <c r="S66" s="110"/>
      <c r="T66" s="110"/>
      <c r="U66" s="110"/>
      <c r="V66" s="270"/>
      <c r="W66" s="270"/>
      <c r="X66" s="270"/>
      <c r="Y66" s="270"/>
      <c r="Z66" s="270"/>
      <c r="AA66" s="270"/>
      <c r="AB66" s="270"/>
      <c r="AC66" s="270"/>
      <c r="AD66" s="270"/>
    </row>
    <row r="67" spans="2:30" x14ac:dyDescent="0.2">
      <c r="B67" s="237"/>
      <c r="C67" s="110" t="str">
        <f>IF(topdowntables!N4=1, "P pr. prod. smågris, kg", "P, kg per produced piglet")</f>
        <v>P pr. prod. smågris, kg</v>
      </c>
      <c r="D67" s="240">
        <f xml:space="preserve"> SUM(IF(D18&lt;&gt;0,(D52*(D49/100)*(D31/(D24+D18))*D18),0)+ IF(D19&lt;&gt;0,(D57*(D54/100)*(D32/(D25+D19))*D19),0) +IF(D20&lt;&gt;0, (D62*(D59/100)*(D33/(D26+D20))*D20),0))/1000</f>
        <v>0</v>
      </c>
      <c r="F67" s="252"/>
      <c r="G67" s="233"/>
      <c r="H67" s="110"/>
      <c r="I67" s="110"/>
      <c r="J67" s="110"/>
      <c r="K67" s="110"/>
      <c r="L67" s="110"/>
      <c r="M67" s="110"/>
      <c r="N67" s="110"/>
      <c r="O67" s="110"/>
      <c r="P67" s="110"/>
      <c r="Q67" s="110"/>
      <c r="R67" s="110"/>
      <c r="S67" s="110"/>
      <c r="T67" s="110"/>
      <c r="U67" s="110"/>
      <c r="V67" s="270"/>
      <c r="W67" s="270"/>
      <c r="X67" s="270"/>
      <c r="Y67" s="270"/>
      <c r="Z67" s="270"/>
      <c r="AA67" s="270"/>
      <c r="AB67" s="270"/>
      <c r="AC67" s="270"/>
      <c r="AD67" s="270"/>
    </row>
    <row r="68" spans="2:30" x14ac:dyDescent="0.2">
      <c r="B68" s="237"/>
      <c r="C68" s="110"/>
      <c r="D68" s="241"/>
      <c r="F68" s="252"/>
      <c r="G68" s="233"/>
      <c r="H68" s="110"/>
      <c r="I68" s="110"/>
      <c r="J68" s="110"/>
      <c r="K68" s="110"/>
      <c r="L68" s="110"/>
      <c r="M68" s="110"/>
      <c r="N68" s="110"/>
      <c r="O68" s="110"/>
      <c r="P68" s="110"/>
      <c r="Q68" s="110"/>
      <c r="R68" s="110"/>
      <c r="S68" s="110"/>
      <c r="T68" s="110"/>
      <c r="U68" s="110"/>
      <c r="V68" s="270"/>
      <c r="W68" s="270"/>
      <c r="X68" s="270"/>
      <c r="Y68" s="270"/>
      <c r="Z68" s="270"/>
      <c r="AA68" s="270"/>
      <c r="AB68" s="270"/>
      <c r="AC68" s="270"/>
      <c r="AD68" s="270"/>
    </row>
    <row r="69" spans="2:30" x14ac:dyDescent="0.2">
      <c r="B69" s="237"/>
      <c r="C69" s="183" t="str">
        <f>IF(topdowntables!N4=1, "N og P bidrag fra kraftfodret, tildelt inde", "N and P content in concentrated feed, used indoor")</f>
        <v>N og P bidrag fra kraftfodret, tildelt inde</v>
      </c>
      <c r="D69" s="241"/>
      <c r="F69" s="252"/>
      <c r="G69" s="233"/>
      <c r="H69" s="110"/>
      <c r="I69" s="110"/>
      <c r="J69" s="110"/>
      <c r="K69" s="110"/>
      <c r="L69" s="110"/>
      <c r="M69" s="110"/>
      <c r="N69" s="110"/>
      <c r="O69" s="110"/>
      <c r="P69" s="110"/>
      <c r="Q69" s="110"/>
      <c r="R69" s="110"/>
      <c r="S69" s="110"/>
      <c r="T69" s="110"/>
      <c r="U69" s="110"/>
      <c r="V69" s="270"/>
      <c r="W69" s="270"/>
      <c r="X69" s="270"/>
      <c r="Y69" s="270"/>
      <c r="Z69" s="270"/>
      <c r="AA69" s="270"/>
      <c r="AB69" s="270"/>
      <c r="AC69" s="270"/>
      <c r="AD69" s="270"/>
    </row>
    <row r="70" spans="2:30" x14ac:dyDescent="0.2">
      <c r="B70" s="237"/>
      <c r="C70" s="63" t="str">
        <f>IF(topdowntables!N4=1, "Råprotein pr. prod. smågris, kg", "Crude protein, kg per produced piglet")</f>
        <v>Råprotein pr. prod. smågris, kg</v>
      </c>
      <c r="D70" s="240">
        <f>SUM(IF(D24&lt;&gt;0,(D51*(D49/100)*(D31/(D24+D18))*D24),0)+IF(D25&lt;&gt;0,(D56*(D54/100)*(D32/(D25+D19))*D25),0)+IF(D26&lt;&gt;0, (D61*(D59/100)*(D33/(D26+D20))*D26)),0)/1000</f>
        <v>0</v>
      </c>
      <c r="F70" s="252"/>
      <c r="G70" s="233"/>
      <c r="H70" s="110"/>
      <c r="I70" s="110"/>
      <c r="J70" s="110"/>
      <c r="K70" s="110"/>
      <c r="L70" s="110"/>
      <c r="M70" s="110"/>
      <c r="N70" s="110"/>
      <c r="O70" s="110"/>
      <c r="P70" s="110"/>
      <c r="Q70" s="110"/>
      <c r="R70" s="110"/>
      <c r="S70" s="110"/>
      <c r="T70" s="110"/>
      <c r="U70" s="110"/>
      <c r="V70" s="270"/>
      <c r="W70" s="270"/>
      <c r="X70" s="270"/>
      <c r="Y70" s="270"/>
      <c r="Z70" s="270"/>
      <c r="AA70" s="270"/>
      <c r="AB70" s="270"/>
      <c r="AC70" s="270"/>
      <c r="AD70" s="270"/>
    </row>
    <row r="71" spans="2:30" x14ac:dyDescent="0.2">
      <c r="B71" s="237"/>
      <c r="C71" s="110" t="str">
        <f>IF(topdowntables!N4=1, "N pr. prod. smågris, kg", "N, kg per produced piglet")</f>
        <v>N pr. prod. smågris, kg</v>
      </c>
      <c r="D71" s="240">
        <f>D70/6.25</f>
        <v>0</v>
      </c>
      <c r="F71" s="252"/>
      <c r="G71" s="233"/>
      <c r="H71" s="110"/>
      <c r="I71" s="110"/>
      <c r="J71" s="110"/>
      <c r="K71" s="110"/>
      <c r="L71" s="110"/>
      <c r="M71" s="110"/>
      <c r="N71" s="110"/>
      <c r="O71" s="110"/>
      <c r="P71" s="110"/>
      <c r="Q71" s="110"/>
      <c r="R71" s="110"/>
      <c r="S71" s="110"/>
      <c r="T71" s="110"/>
      <c r="U71" s="110"/>
      <c r="V71" s="270"/>
      <c r="W71" s="270"/>
      <c r="X71" s="270"/>
      <c r="Y71" s="270"/>
      <c r="Z71" s="270"/>
      <c r="AA71" s="270"/>
      <c r="AB71" s="270"/>
      <c r="AC71" s="270"/>
      <c r="AD71" s="270"/>
    </row>
    <row r="72" spans="2:30" x14ac:dyDescent="0.2">
      <c r="B72" s="237"/>
      <c r="C72" s="110" t="str">
        <f>IF(topdowntables!N4=1, "P pr. prod. smågris, kg", "P, kg per produced piglet")</f>
        <v>P pr. prod. smågris, kg</v>
      </c>
      <c r="D72" s="240">
        <f>SUM(IF(D24&lt;&gt;0,(D52*(D49/100)*(D31/(D24+D18))*D24),0)+IF(D25&lt;&gt;0, (D57*(D54/100)*(D32/(D25+D19))*D25),0)+ IF(D26&lt;&gt;0,(D62*(D59/100)*(D33/(D26+D20))*D26),0))/1000</f>
        <v>0</v>
      </c>
      <c r="F72" s="252"/>
      <c r="G72" s="233"/>
      <c r="H72" s="110"/>
      <c r="I72" s="110"/>
      <c r="J72" s="110"/>
      <c r="K72" s="110"/>
      <c r="L72" s="110"/>
      <c r="M72" s="110"/>
      <c r="N72" s="110"/>
      <c r="O72" s="110"/>
      <c r="P72" s="110"/>
      <c r="Q72" s="110"/>
      <c r="R72" s="110"/>
      <c r="S72" s="110"/>
      <c r="T72" s="110"/>
      <c r="U72" s="110"/>
      <c r="V72" s="270"/>
      <c r="W72" s="270"/>
      <c r="X72" s="270"/>
      <c r="Y72" s="270"/>
      <c r="Z72" s="270"/>
      <c r="AA72" s="270"/>
      <c r="AB72" s="270"/>
      <c r="AC72" s="270"/>
      <c r="AD72" s="270"/>
    </row>
    <row r="73" spans="2:30" x14ac:dyDescent="0.2">
      <c r="B73" s="234" t="str">
        <f>IF(topdowntables!$N$4=1, "Grovfoder inkl. græs:", "Roughage incl. grazing:")</f>
        <v>Grovfoder inkl. græs:</v>
      </c>
      <c r="C73" s="235"/>
      <c r="D73" s="244"/>
      <c r="F73" s="252"/>
      <c r="G73" s="233"/>
      <c r="H73" s="110"/>
      <c r="I73" s="110"/>
      <c r="J73" s="110"/>
      <c r="K73" s="110"/>
      <c r="L73" s="110"/>
      <c r="M73" s="110"/>
      <c r="N73" s="110"/>
      <c r="O73" s="110"/>
      <c r="P73" s="110"/>
      <c r="Q73" s="110"/>
      <c r="R73" s="110"/>
      <c r="S73" s="110"/>
      <c r="T73" s="110"/>
      <c r="U73" s="110"/>
      <c r="V73" s="270"/>
      <c r="W73" s="270"/>
      <c r="X73" s="270"/>
      <c r="Y73" s="270"/>
      <c r="Z73" s="270"/>
      <c r="AA73" s="270"/>
      <c r="AB73" s="270"/>
      <c r="AC73" s="270"/>
      <c r="AD73" s="270"/>
    </row>
    <row r="74" spans="2:30" x14ac:dyDescent="0.2">
      <c r="B74" s="237"/>
      <c r="C74" s="183" t="str">
        <f>IF(topdowntables!$N$4=1, "Grovfoder:", "Roughage:")</f>
        <v>Grovfoder:</v>
      </c>
      <c r="D74" s="242"/>
      <c r="F74" s="252"/>
      <c r="G74" s="233"/>
      <c r="H74" s="110"/>
      <c r="I74" s="110"/>
      <c r="J74" s="110"/>
      <c r="K74" s="110"/>
      <c r="L74" s="110"/>
      <c r="M74" s="110"/>
      <c r="N74" s="110"/>
      <c r="O74" s="110"/>
      <c r="P74" s="110"/>
      <c r="Q74" s="110"/>
      <c r="R74" s="110"/>
      <c r="S74" s="110"/>
      <c r="T74" s="110"/>
      <c r="U74" s="110"/>
      <c r="V74" s="270"/>
      <c r="W74" s="270"/>
      <c r="X74" s="270"/>
      <c r="Y74" s="270"/>
      <c r="Z74" s="270"/>
      <c r="AA74" s="270"/>
      <c r="AB74" s="270"/>
      <c r="AC74" s="270"/>
      <c r="AD74" s="270"/>
    </row>
    <row r="75" spans="2:30" x14ac:dyDescent="0.2">
      <c r="B75" s="237"/>
      <c r="C75" s="110" t="str">
        <f>IF(topdowntables!$N$4=1, "FEsv/100 kg", "FUpiglet/100 kg")</f>
        <v>FEsv/100 kg</v>
      </c>
      <c r="D75" s="242">
        <f xml:space="preserve"> SUM((IFERROR(VLOOKUP('input-data'!$E$218,Fodertabel,3,FALSE),0)*'input-data'!I218/100)
+(IFERROR(VLOOKUP('input-data'!$E$219,Fodertabel,3,FALSE),0)*'input-data'!I219/100)
+(IFERROR(VLOOKUP('input-data'!$E$220,Fodertabel,3,FALSE),0)*'input-data'!I220/100)
+(IFERROR(VLOOKUP('input-data'!$E$221,Fodertabel,3,FALSE),0)*'input-data'!I221/100)
+(IFERROR(VLOOKUP('input-data'!$E$222,Fodertabel,3,FALSE),0)*'input-data'!I222/100))*100</f>
        <v>0</v>
      </c>
      <c r="F75" s="252"/>
      <c r="G75" s="233"/>
      <c r="H75" s="110"/>
      <c r="I75" s="110"/>
      <c r="J75" s="110"/>
      <c r="K75" s="110"/>
      <c r="L75" s="110"/>
      <c r="M75" s="110"/>
      <c r="N75" s="110"/>
      <c r="O75" s="110"/>
      <c r="P75" s="110"/>
      <c r="Q75" s="110"/>
      <c r="R75" s="110"/>
      <c r="S75" s="110"/>
      <c r="T75" s="110"/>
      <c r="U75" s="110"/>
      <c r="V75" s="270"/>
      <c r="W75" s="270"/>
      <c r="X75" s="270"/>
      <c r="Y75" s="270"/>
      <c r="Z75" s="270"/>
      <c r="AA75" s="270"/>
      <c r="AB75" s="270"/>
      <c r="AC75" s="270"/>
      <c r="AD75" s="270"/>
    </row>
    <row r="76" spans="2:30" x14ac:dyDescent="0.2">
      <c r="B76" s="237"/>
      <c r="C76" s="110" t="str">
        <f>IF(topdowntables!$N$4=1, "Tørstof, %", "Dry matter, %")</f>
        <v>Tørstof, %</v>
      </c>
      <c r="D76" s="242">
        <f xml:space="preserve"> SUM((IFERROR(VLOOKUP('input-data'!$E$218,Fodertabel,9,FALSE),0)*'input-data'!I218/100)
+(IFERROR(VLOOKUP('input-data'!$E$219,Fodertabel,9,FALSE),0)*'input-data'!I219/100)
+(IFERROR(VLOOKUP('input-data'!$E$220,Fodertabel,9,FALSE),0)*'input-data'!I220/100)
+(IFERROR(VLOOKUP('input-data'!$E$221,Fodertabel,9,FALSE),0)*'input-data'!I221/100)
+(IFERROR(VLOOKUP('input-data'!$E$222,Fodertabel,9,FALSE),0)*'input-data'!I222/100))</f>
        <v>0</v>
      </c>
      <c r="F76" s="252"/>
      <c r="G76" s="233"/>
      <c r="H76" s="110"/>
      <c r="I76" s="110"/>
      <c r="J76" s="110"/>
      <c r="K76" s="110"/>
      <c r="L76" s="110"/>
      <c r="M76" s="110"/>
      <c r="N76" s="110"/>
      <c r="O76" s="110"/>
      <c r="P76" s="110"/>
      <c r="Q76" s="110"/>
      <c r="R76" s="110"/>
      <c r="S76" s="110"/>
      <c r="T76" s="110"/>
      <c r="U76" s="110"/>
      <c r="V76" s="270"/>
      <c r="W76" s="270"/>
      <c r="X76" s="270"/>
      <c r="Y76" s="270"/>
      <c r="Z76" s="270"/>
      <c r="AA76" s="270"/>
      <c r="AB76" s="270"/>
      <c r="AC76" s="270"/>
      <c r="AD76" s="270"/>
    </row>
    <row r="77" spans="2:30" x14ac:dyDescent="0.2">
      <c r="B77" s="237"/>
      <c r="C77" s="110" t="str">
        <f>IF(topdowntables!$N$4=1, "Råprotein, g per kg foder", "Crude protein, g per kg feed")</f>
        <v>Råprotein, g per kg foder</v>
      </c>
      <c r="D77" s="242">
        <f xml:space="preserve"> SUM((IFERROR(VLOOKUP('input-data'!$E$218,Fodertabel,10,FALSE),0)*'input-data'!I218/100)
+(IFERROR(VLOOKUP('input-data'!$E$219,Fodertabel,10,FALSE),0)*'input-data'!I219/100)
+(IFERROR(VLOOKUP('input-data'!$E$220,Fodertabel,10,FALSE),0)*'input-data'!I220/100)
+(IFERROR(VLOOKUP('input-data'!$E$221,Fodertabel,10,FALSE),0)*'input-data'!I221/100)
+(IFERROR(VLOOKUP('input-data'!$E$222,Fodertabel,10,FALSE),0)*'input-data'!I222/100))*10</f>
        <v>0</v>
      </c>
      <c r="F77" s="252"/>
      <c r="G77" s="233"/>
      <c r="H77" s="110"/>
      <c r="I77" s="110"/>
      <c r="J77" s="110"/>
      <c r="K77" s="110"/>
      <c r="L77" s="110"/>
      <c r="M77" s="110"/>
      <c r="N77" s="110"/>
      <c r="O77" s="110"/>
      <c r="P77" s="110"/>
      <c r="Q77" s="110"/>
      <c r="R77" s="110"/>
      <c r="S77" s="110"/>
      <c r="T77" s="110"/>
      <c r="U77" s="110"/>
      <c r="V77" s="270"/>
      <c r="W77" s="270"/>
      <c r="X77" s="270"/>
      <c r="Y77" s="270"/>
      <c r="Z77" s="270"/>
      <c r="AA77" s="270"/>
      <c r="AB77" s="270"/>
      <c r="AC77" s="270"/>
      <c r="AD77" s="270"/>
    </row>
    <row r="78" spans="2:30" x14ac:dyDescent="0.2">
      <c r="B78" s="237"/>
      <c r="C78" s="110" t="str">
        <f>IF(topdowntables!$N$4=1, "Fosfor, g per kg foder", "Phosphorus, g per kg feed")</f>
        <v>Fosfor, g per kg foder</v>
      </c>
      <c r="D78" s="240">
        <f xml:space="preserve"> SUM((IFERROR(VLOOKUP('input-data'!$E$218,Fodertabel,79,FALSE),0)*'input-data'!I218/100)
+(IFERROR(VLOOKUP('input-data'!$E$219,Fodertabel,79,FALSE),0)*'input-data'!I219/100)
+(IFERROR(VLOOKUP('input-data'!$E$220,Fodertabel,79,FALSE),0)*'input-data'!I220/100)
+(IFERROR(VLOOKUP('input-data'!$E$221,Fodertabel,79,FALSE),0)*'input-data'!I221/100)
+(IFERROR(VLOOKUP('input-data'!$E$222,Fodertabel,79,FALSE),0)*'input-data'!I222/100))</f>
        <v>0</v>
      </c>
      <c r="F78" s="252"/>
      <c r="G78" s="233"/>
      <c r="H78" s="110"/>
      <c r="I78" s="110"/>
      <c r="J78" s="110"/>
      <c r="K78" s="110"/>
      <c r="L78" s="110"/>
      <c r="M78" s="110"/>
      <c r="N78" s="110"/>
      <c r="O78" s="110"/>
      <c r="P78" s="110"/>
      <c r="Q78" s="110"/>
      <c r="R78" s="110"/>
      <c r="S78" s="110"/>
      <c r="T78" s="110"/>
      <c r="U78" s="110"/>
      <c r="V78" s="270"/>
      <c r="W78" s="270"/>
      <c r="X78" s="270"/>
      <c r="Y78" s="270"/>
      <c r="Z78" s="270"/>
      <c r="AA78" s="270"/>
      <c r="AB78" s="270"/>
      <c r="AC78" s="270"/>
      <c r="AD78" s="270"/>
    </row>
    <row r="79" spans="2:30" x14ac:dyDescent="0.2">
      <c r="B79" s="237"/>
      <c r="C79" s="110"/>
      <c r="D79" s="240"/>
      <c r="F79" s="252"/>
      <c r="G79" s="233"/>
      <c r="H79" s="110"/>
      <c r="I79" s="110"/>
      <c r="J79" s="110"/>
      <c r="K79" s="110"/>
      <c r="L79" s="110"/>
      <c r="M79" s="110"/>
      <c r="N79" s="110"/>
      <c r="O79" s="110"/>
      <c r="P79" s="110"/>
      <c r="Q79" s="110"/>
      <c r="R79" s="110"/>
      <c r="S79" s="110"/>
      <c r="T79" s="110"/>
      <c r="U79" s="110"/>
      <c r="V79" s="270"/>
      <c r="W79" s="270"/>
      <c r="X79" s="270"/>
      <c r="Y79" s="270"/>
      <c r="Z79" s="270"/>
      <c r="AA79" s="270"/>
      <c r="AB79" s="270"/>
      <c r="AC79" s="270"/>
      <c r="AD79" s="270"/>
    </row>
    <row r="80" spans="2:30" x14ac:dyDescent="0.2">
      <c r="B80" s="237"/>
      <c r="C80" s="183" t="str">
        <f>IF(topdowntables!$N$4=1, "Græs:", "Grass:")</f>
        <v>Græs:</v>
      </c>
      <c r="D80" s="240"/>
      <c r="F80" s="252"/>
      <c r="G80" s="233"/>
      <c r="H80" s="110"/>
      <c r="I80" s="110"/>
      <c r="J80" s="110"/>
      <c r="K80" s="110"/>
      <c r="L80" s="110"/>
      <c r="M80" s="110"/>
      <c r="N80" s="110"/>
      <c r="O80" s="110"/>
      <c r="P80" s="110"/>
      <c r="Q80" s="110"/>
      <c r="R80" s="110"/>
      <c r="S80" s="110"/>
      <c r="T80" s="110"/>
      <c r="U80" s="110"/>
      <c r="V80" s="270"/>
      <c r="W80" s="270"/>
      <c r="X80" s="270"/>
      <c r="Y80" s="270"/>
      <c r="Z80" s="270"/>
      <c r="AA80" s="270"/>
      <c r="AB80" s="270"/>
      <c r="AC80" s="270"/>
      <c r="AD80" s="270"/>
    </row>
    <row r="81" spans="2:30" x14ac:dyDescent="0.2">
      <c r="B81" s="237"/>
      <c r="C81" s="110" t="str">
        <f>IF(topdowntables!$N$4=1, "FEsv/100 kg", "FUpiglet/100 kg")</f>
        <v>FEsv/100 kg</v>
      </c>
      <c r="D81" s="242">
        <f xml:space="preserve"> SUM((IFERROR(VLOOKUP('input-data'!$E$350,Fodertabel!$D$353:$HU$356,3,FALSE),0)))*100</f>
        <v>11.899999999999999</v>
      </c>
      <c r="F81" s="252"/>
      <c r="G81" s="233"/>
      <c r="H81" s="110"/>
      <c r="I81" s="110"/>
      <c r="J81" s="110"/>
      <c r="K81" s="110"/>
      <c r="L81" s="110"/>
      <c r="M81" s="110"/>
      <c r="N81" s="110"/>
      <c r="O81" s="110"/>
      <c r="P81" s="110"/>
      <c r="Q81" s="110"/>
      <c r="R81" s="110"/>
      <c r="S81" s="110"/>
      <c r="T81" s="110"/>
      <c r="U81" s="110"/>
      <c r="V81" s="270"/>
      <c r="W81" s="270"/>
      <c r="X81" s="270"/>
      <c r="Y81" s="270"/>
      <c r="Z81" s="270"/>
      <c r="AA81" s="270"/>
      <c r="AB81" s="270"/>
      <c r="AC81" s="270"/>
      <c r="AD81" s="270"/>
    </row>
    <row r="82" spans="2:30" x14ac:dyDescent="0.2">
      <c r="B82" s="237"/>
      <c r="C82" s="110" t="str">
        <f>IF(topdowntables!$N$4=1, "Tørstof, %", "Dry matter, %")</f>
        <v>Tørstof, %</v>
      </c>
      <c r="D82" s="242">
        <f xml:space="preserve"> SUM((IFERROR(VLOOKUP('input-data'!$E$350,Fodertabel!$D$353:$HU$356,9,FALSE),0)))</f>
        <v>17</v>
      </c>
      <c r="F82" s="252"/>
      <c r="G82" s="233"/>
      <c r="H82" s="110"/>
      <c r="I82" s="110"/>
      <c r="J82" s="110"/>
      <c r="K82" s="110"/>
      <c r="L82" s="110"/>
      <c r="M82" s="110"/>
      <c r="N82" s="110"/>
      <c r="O82" s="110"/>
      <c r="P82" s="110"/>
      <c r="Q82" s="110"/>
      <c r="R82" s="110"/>
      <c r="S82" s="110"/>
      <c r="T82" s="110"/>
      <c r="U82" s="110"/>
      <c r="V82" s="270"/>
      <c r="W82" s="270"/>
      <c r="X82" s="270"/>
      <c r="Y82" s="270"/>
      <c r="Z82" s="270"/>
      <c r="AA82" s="270"/>
      <c r="AB82" s="270"/>
      <c r="AC82" s="270"/>
      <c r="AD82" s="270"/>
    </row>
    <row r="83" spans="2:30" x14ac:dyDescent="0.2">
      <c r="B83" s="237"/>
      <c r="C83" s="110" t="str">
        <f>IF(topdowntables!$N$4=1, "Råprotein, g per kg foder", "Crude protein, g per kg feed")</f>
        <v>Råprotein, g per kg foder</v>
      </c>
      <c r="D83" s="242">
        <f xml:space="preserve"> SUM((IFERROR(VLOOKUP('input-data'!$E$350,Fodertabel!$D$353:$HU$356,10,FALSE),0)))*10</f>
        <v>30.299999999999997</v>
      </c>
      <c r="F83" s="252"/>
      <c r="G83" s="233"/>
      <c r="H83" s="110"/>
      <c r="I83" s="110"/>
      <c r="J83" s="110"/>
      <c r="K83" s="110"/>
      <c r="L83" s="110"/>
      <c r="M83" s="110"/>
      <c r="N83" s="110"/>
      <c r="O83" s="110"/>
      <c r="P83" s="110"/>
      <c r="Q83" s="110"/>
      <c r="R83" s="110"/>
      <c r="S83" s="110"/>
      <c r="T83" s="110"/>
      <c r="U83" s="110"/>
      <c r="V83" s="270"/>
      <c r="W83" s="270"/>
      <c r="X83" s="270"/>
      <c r="Y83" s="270"/>
      <c r="Z83" s="270"/>
      <c r="AA83" s="270"/>
      <c r="AB83" s="270"/>
      <c r="AC83" s="270"/>
      <c r="AD83" s="270"/>
    </row>
    <row r="84" spans="2:30" x14ac:dyDescent="0.2">
      <c r="B84" s="237"/>
      <c r="C84" s="110" t="str">
        <f>IF(topdowntables!$N$4=1, "Fosfor, g per kg foder", "Phosphorus, g per kg feed")</f>
        <v>Fosfor, g per kg foder</v>
      </c>
      <c r="D84" s="240">
        <f xml:space="preserve"> SUM((IFERROR(VLOOKUP('input-data'!$E$350,Fodertabel!$D$353:$HU$356,79,FALSE),0)))</f>
        <v>0</v>
      </c>
      <c r="F84" s="252"/>
      <c r="G84" s="233"/>
      <c r="H84" s="110"/>
      <c r="I84" s="110"/>
      <c r="J84" s="110"/>
      <c r="K84" s="110"/>
      <c r="L84" s="110"/>
      <c r="M84" s="110"/>
      <c r="N84" s="110"/>
      <c r="O84" s="110"/>
      <c r="P84" s="110"/>
      <c r="Q84" s="110"/>
      <c r="R84" s="110"/>
      <c r="S84" s="110"/>
      <c r="T84" s="110"/>
      <c r="U84" s="110"/>
      <c r="V84" s="270"/>
      <c r="W84" s="270"/>
      <c r="X84" s="270"/>
      <c r="Y84" s="270"/>
      <c r="Z84" s="270"/>
      <c r="AA84" s="270"/>
      <c r="AB84" s="270"/>
      <c r="AC84" s="270"/>
      <c r="AD84" s="270"/>
    </row>
    <row r="85" spans="2:30" x14ac:dyDescent="0.2">
      <c r="B85" s="237"/>
      <c r="C85" s="110"/>
      <c r="D85" s="240"/>
      <c r="F85" s="252"/>
      <c r="G85" s="233"/>
      <c r="H85" s="110"/>
      <c r="I85" s="110"/>
      <c r="J85" s="110"/>
      <c r="K85" s="110"/>
      <c r="L85" s="110"/>
      <c r="M85" s="110"/>
      <c r="N85" s="110"/>
      <c r="O85" s="110"/>
      <c r="P85" s="110"/>
      <c r="Q85" s="110"/>
      <c r="R85" s="110"/>
      <c r="S85" s="110"/>
      <c r="T85" s="110"/>
      <c r="U85" s="110"/>
      <c r="V85" s="270"/>
      <c r="W85" s="270"/>
      <c r="X85" s="270"/>
      <c r="Y85" s="270"/>
      <c r="Z85" s="270"/>
      <c r="AA85" s="270"/>
      <c r="AB85" s="270"/>
      <c r="AC85" s="270"/>
      <c r="AD85" s="270"/>
    </row>
    <row r="86" spans="2:30" x14ac:dyDescent="0.2">
      <c r="B86" s="237"/>
      <c r="C86" s="183" t="str">
        <f>IF(topdowntables!$N$4=1, "N og P bidrag fra grovfoder / græs, ude", "N and P content in roughage / grasse, outdoor")</f>
        <v>N og P bidrag fra grovfoder / græs, ude</v>
      </c>
      <c r="D86" s="240"/>
      <c r="F86" s="252" t="s">
        <v>1837</v>
      </c>
      <c r="G86" s="233"/>
      <c r="H86" s="110"/>
      <c r="I86" s="110"/>
      <c r="J86" s="110"/>
      <c r="K86" s="110"/>
      <c r="L86" s="110"/>
      <c r="M86" s="110"/>
      <c r="N86" s="110"/>
      <c r="O86" s="110"/>
      <c r="P86" s="110"/>
      <c r="Q86" s="110"/>
      <c r="R86" s="110"/>
      <c r="S86" s="110"/>
      <c r="T86" s="110"/>
      <c r="U86" s="110"/>
      <c r="V86" s="270"/>
      <c r="W86" s="270"/>
      <c r="X86" s="270"/>
      <c r="Y86" s="270"/>
      <c r="Z86" s="270"/>
      <c r="AA86" s="270"/>
      <c r="AB86" s="270"/>
      <c r="AC86" s="270"/>
      <c r="AD86" s="270"/>
    </row>
    <row r="87" spans="2:30" x14ac:dyDescent="0.2">
      <c r="B87" s="237"/>
      <c r="C87" s="63" t="str">
        <f>IF(topdowntables!$N$4=1, "Råprotein pr. prod. smågris, kg", "Crude protein, kg per produced piglet")</f>
        <v>Råprotein pr. prod. smågris, kg</v>
      </c>
      <c r="D87" s="240">
        <f>IFERROR((D77*(IF(((D21/D29)&gt;('input-data'!F216/365)),D38*((D21/D29)-('input-data'!F216/365)),0))+(D83*D37))/1000, 0)</f>
        <v>0</v>
      </c>
      <c r="E87" s="397"/>
      <c r="F87" s="278" t="s">
        <v>1838</v>
      </c>
      <c r="G87" s="233"/>
      <c r="H87" s="110"/>
      <c r="I87" s="110"/>
      <c r="J87" s="110"/>
      <c r="K87" s="110"/>
      <c r="L87" s="110"/>
      <c r="M87" s="110"/>
      <c r="N87" s="110"/>
      <c r="O87" s="110"/>
      <c r="P87" s="110"/>
      <c r="Q87" s="110"/>
      <c r="R87" s="110"/>
      <c r="S87" s="110"/>
      <c r="T87" s="110"/>
      <c r="U87" s="110"/>
      <c r="V87" s="270"/>
      <c r="W87" s="270"/>
      <c r="X87" s="270"/>
      <c r="Y87" s="270"/>
      <c r="Z87" s="270"/>
      <c r="AA87" s="270"/>
      <c r="AB87" s="270"/>
      <c r="AC87" s="270"/>
      <c r="AD87" s="270"/>
    </row>
    <row r="88" spans="2:30" x14ac:dyDescent="0.2">
      <c r="B88" s="237"/>
      <c r="C88" s="110" t="str">
        <f>IF(topdowntables!$N$4=1, "N pr. prod. smågris, kg", "N, kg per produced piglet")</f>
        <v>N pr. prod. smågris, kg</v>
      </c>
      <c r="D88" s="240">
        <f>D87/6.25</f>
        <v>0</v>
      </c>
      <c r="E88" s="660" t="s">
        <v>1836</v>
      </c>
      <c r="F88" s="252" t="e">
        <f>(IF(((D21/D29)&gt;('input-data'!F216/365)),D38*((D21/D29)-('input-data'!F216/365)),0))+(IF(((D21/D29)&gt;('input-data'!F216/365)),D38*(1-(D21/D29)-('input-data'!F216/365)),D38))</f>
        <v>#DIV/0!</v>
      </c>
      <c r="G88" s="233"/>
      <c r="H88" s="110"/>
      <c r="I88" s="110"/>
      <c r="J88" s="110"/>
      <c r="K88" s="110"/>
      <c r="L88" s="110"/>
      <c r="M88" s="110"/>
      <c r="N88" s="110"/>
      <c r="O88" s="110"/>
      <c r="P88" s="110"/>
      <c r="Q88" s="110"/>
      <c r="R88" s="110"/>
      <c r="S88" s="110"/>
      <c r="T88" s="110"/>
      <c r="U88" s="110"/>
      <c r="V88" s="270"/>
      <c r="W88" s="270"/>
      <c r="X88" s="270"/>
      <c r="Y88" s="270"/>
      <c r="Z88" s="270"/>
      <c r="AA88" s="270"/>
      <c r="AB88" s="270"/>
      <c r="AC88" s="270"/>
      <c r="AD88" s="270"/>
    </row>
    <row r="89" spans="2:30" x14ac:dyDescent="0.2">
      <c r="B89" s="237"/>
      <c r="C89" s="110" t="str">
        <f>IF(topdowntables!$N$4=1, "P pr. prod. smågris, kg", "P, kg per produced piglet")</f>
        <v>P pr. prod. smågris, kg</v>
      </c>
      <c r="D89" s="240">
        <f>IFERROR((D78*(IF(((D21/D29)&gt;('input-data'!F216/365)),D38*((D21/D29)-('input-data'!F216/365)),0))+(D84*D37))/1000, 0)</f>
        <v>0</v>
      </c>
      <c r="F89" s="252"/>
      <c r="G89" s="233"/>
      <c r="H89" s="110"/>
      <c r="I89" s="110"/>
      <c r="J89" s="110"/>
      <c r="K89" s="110"/>
      <c r="L89" s="110"/>
      <c r="M89" s="110"/>
      <c r="N89" s="110"/>
      <c r="O89" s="110"/>
      <c r="P89" s="110"/>
      <c r="Q89" s="110"/>
      <c r="R89" s="110"/>
      <c r="S89" s="110"/>
      <c r="T89" s="110"/>
      <c r="U89" s="110"/>
      <c r="V89" s="270"/>
      <c r="W89" s="270"/>
      <c r="X89" s="270"/>
      <c r="Y89" s="270"/>
      <c r="Z89" s="270"/>
      <c r="AA89" s="270"/>
      <c r="AB89" s="270"/>
      <c r="AC89" s="270"/>
      <c r="AD89" s="270"/>
    </row>
    <row r="90" spans="2:30" x14ac:dyDescent="0.2">
      <c r="B90" s="237"/>
      <c r="C90" s="110"/>
      <c r="D90" s="240"/>
      <c r="F90" s="252"/>
      <c r="G90" s="233"/>
      <c r="H90" s="110"/>
      <c r="I90" s="110"/>
      <c r="J90" s="110"/>
      <c r="K90" s="110"/>
      <c r="L90" s="110"/>
      <c r="M90" s="110"/>
      <c r="N90" s="110"/>
      <c r="O90" s="110"/>
      <c r="P90" s="110"/>
      <c r="Q90" s="110"/>
      <c r="R90" s="110"/>
      <c r="S90" s="110"/>
      <c r="T90" s="110"/>
      <c r="U90" s="110"/>
      <c r="V90" s="270"/>
      <c r="W90" s="270"/>
      <c r="X90" s="270"/>
      <c r="Y90" s="270"/>
      <c r="Z90" s="270"/>
      <c r="AA90" s="270"/>
      <c r="AB90" s="270"/>
      <c r="AC90" s="270"/>
      <c r="AD90" s="270"/>
    </row>
    <row r="91" spans="2:30" x14ac:dyDescent="0.2">
      <c r="B91" s="237"/>
      <c r="C91" s="183" t="str">
        <f>IF(topdowntables!$N$4=1, "N og P bidrag fra grovfoder, tildelt inde", "N and P content in roughage, used indoor")</f>
        <v>N og P bidrag fra grovfoder, tildelt inde</v>
      </c>
      <c r="D91" s="240"/>
      <c r="F91" s="252"/>
      <c r="G91" s="233"/>
      <c r="H91" s="110"/>
      <c r="I91" s="110"/>
      <c r="J91" s="110"/>
      <c r="K91" s="110"/>
      <c r="L91" s="110"/>
      <c r="M91" s="110"/>
      <c r="N91" s="110"/>
      <c r="O91" s="110"/>
      <c r="P91" s="110"/>
      <c r="Q91" s="110"/>
      <c r="R91" s="110"/>
      <c r="S91" s="110"/>
      <c r="T91" s="110"/>
      <c r="U91" s="110"/>
      <c r="V91" s="270"/>
      <c r="W91" s="270"/>
      <c r="X91" s="270"/>
      <c r="Y91" s="270"/>
      <c r="Z91" s="270"/>
      <c r="AA91" s="270"/>
      <c r="AB91" s="270"/>
      <c r="AC91" s="270"/>
      <c r="AD91" s="270"/>
    </row>
    <row r="92" spans="2:30" x14ac:dyDescent="0.2">
      <c r="B92" s="237"/>
      <c r="C92" s="63" t="str">
        <f>IF(topdowntables!$N$4=1, "Råprotein pr. prod. smågris, kg", "Crude protein, kg per produced piglet")</f>
        <v>Råprotein pr. prod. smågris, kg</v>
      </c>
      <c r="D92" s="240">
        <f>IFERROR((D77*(IF(((D21/D29)&gt;('input-data'!F216/365)),D38*(1-(D21/D29)-('input-data'!F216/365)),D38)))/1000, 0)</f>
        <v>0</v>
      </c>
      <c r="F92" s="252"/>
      <c r="G92" s="233"/>
      <c r="H92" s="110"/>
      <c r="I92" s="110"/>
      <c r="J92" s="110"/>
      <c r="K92" s="110"/>
      <c r="L92" s="110"/>
      <c r="M92" s="110"/>
      <c r="N92" s="110"/>
      <c r="O92" s="110"/>
      <c r="P92" s="110"/>
      <c r="Q92" s="110"/>
      <c r="R92" s="110"/>
      <c r="S92" s="110"/>
      <c r="T92" s="110"/>
      <c r="U92" s="110"/>
      <c r="V92" s="270"/>
      <c r="W92" s="270"/>
      <c r="X92" s="270"/>
      <c r="Y92" s="270"/>
      <c r="Z92" s="270"/>
      <c r="AA92" s="270"/>
      <c r="AB92" s="270"/>
      <c r="AC92" s="270"/>
      <c r="AD92" s="270"/>
    </row>
    <row r="93" spans="2:30" x14ac:dyDescent="0.2">
      <c r="B93" s="237"/>
      <c r="C93" s="110" t="str">
        <f>IF(topdowntables!$N$4=1, "N pr. prod. smågris, kg", "N, kg per produced piglet")</f>
        <v>N pr. prod. smågris, kg</v>
      </c>
      <c r="D93" s="240">
        <f>D92/6.25</f>
        <v>0</v>
      </c>
      <c r="F93" s="252"/>
      <c r="G93" s="233"/>
      <c r="H93" s="110"/>
      <c r="I93" s="110"/>
      <c r="J93" s="110"/>
      <c r="K93" s="110"/>
      <c r="L93" s="110"/>
      <c r="M93" s="110"/>
      <c r="N93" s="110"/>
      <c r="O93" s="110"/>
      <c r="P93" s="110"/>
      <c r="Q93" s="110"/>
      <c r="R93" s="110"/>
      <c r="S93" s="110"/>
      <c r="T93" s="110"/>
      <c r="U93" s="110"/>
      <c r="V93" s="270"/>
      <c r="W93" s="270"/>
      <c r="X93" s="270"/>
      <c r="Y93" s="270"/>
      <c r="Z93" s="270"/>
      <c r="AA93" s="270"/>
      <c r="AB93" s="270"/>
      <c r="AC93" s="270"/>
      <c r="AD93" s="270"/>
    </row>
    <row r="94" spans="2:30" x14ac:dyDescent="0.2">
      <c r="B94" s="237"/>
      <c r="C94" s="110" t="str">
        <f>IF(topdowntables!$N$4=1, "P pr. prod. smågris, kg", "P, kg per produced piglet")</f>
        <v>P pr. prod. smågris, kg</v>
      </c>
      <c r="D94" s="240">
        <f>IFERROR((D78*(IF(((D21/D29)&gt;('input-data'!F216/365)),D38*(1-(D21/D29)-('input-data'!F216/365)),D38)))/1000, 0)</f>
        <v>0</v>
      </c>
      <c r="F94" s="252"/>
      <c r="G94" s="233"/>
      <c r="H94" s="110"/>
      <c r="I94" s="110"/>
      <c r="J94" s="110"/>
      <c r="K94" s="110"/>
      <c r="L94" s="110"/>
      <c r="M94" s="110"/>
      <c r="N94" s="110"/>
      <c r="O94" s="110"/>
      <c r="P94" s="110"/>
      <c r="Q94" s="110"/>
      <c r="R94" s="110"/>
      <c r="S94" s="110"/>
      <c r="T94" s="110"/>
      <c r="U94" s="110"/>
      <c r="V94" s="270"/>
      <c r="W94" s="270"/>
      <c r="X94" s="270"/>
      <c r="Y94" s="270"/>
      <c r="Z94" s="270"/>
      <c r="AA94" s="270"/>
      <c r="AB94" s="270"/>
      <c r="AC94" s="270"/>
      <c r="AD94" s="270"/>
    </row>
    <row r="95" spans="2:30" x14ac:dyDescent="0.2">
      <c r="B95" s="234" t="str">
        <f>IF(topdowntables!$N$4=1, "Halm:", "Straw:")</f>
        <v>Halm:</v>
      </c>
      <c r="C95" s="235"/>
      <c r="D95" s="244"/>
      <c r="E95" s="233"/>
      <c r="F95" s="272"/>
      <c r="G95" s="110"/>
      <c r="H95" s="110"/>
      <c r="I95" s="110"/>
      <c r="J95" s="110"/>
      <c r="K95" s="110"/>
      <c r="L95" s="110"/>
      <c r="M95" s="110"/>
      <c r="N95" s="110"/>
      <c r="O95" s="110"/>
      <c r="P95" s="110"/>
      <c r="Q95" s="110"/>
      <c r="R95" s="110"/>
      <c r="S95" s="110"/>
      <c r="T95" s="270"/>
      <c r="U95" s="270"/>
      <c r="V95" s="270"/>
      <c r="W95" s="270"/>
      <c r="X95" s="270"/>
      <c r="Y95" s="270"/>
      <c r="Z95" s="270"/>
      <c r="AA95" s="270"/>
      <c r="AB95" s="270"/>
    </row>
    <row r="96" spans="2:30" x14ac:dyDescent="0.2">
      <c r="B96" s="237"/>
      <c r="C96" s="110" t="str">
        <f>IF(topdowntables!$N$4=1, "Tørstof, %", "Dry matter, %")</f>
        <v>Tørstof, %</v>
      </c>
      <c r="D96" s="241">
        <f>IFERROR(SUM((IFERROR(VLOOKUP('input-data'!$E$354,Fodertabel,9,FALSE),0)*('input-data'!E353/( 'input-data'!E353+'input-data'!E360)))
+(IFERROR(VLOOKUP('input-data'!$E$361,Fodertabel,9,FALSE),0)*('input-data'!E360/( 'input-data'!E353+'input-data'!E360)))),0)</f>
        <v>90</v>
      </c>
      <c r="F96" s="252"/>
      <c r="G96" s="233"/>
      <c r="H96" s="110"/>
      <c r="I96" s="110"/>
      <c r="J96" s="110"/>
      <c r="K96" s="110"/>
      <c r="L96" s="110"/>
      <c r="M96" s="110"/>
      <c r="N96" s="110"/>
      <c r="O96" s="110"/>
      <c r="P96" s="110"/>
      <c r="Q96" s="110"/>
      <c r="R96" s="110"/>
      <c r="S96" s="110"/>
      <c r="T96" s="110"/>
      <c r="U96" s="110"/>
      <c r="V96" s="270"/>
      <c r="W96" s="270"/>
      <c r="X96" s="270"/>
      <c r="Y96" s="270"/>
      <c r="Z96" s="270"/>
      <c r="AA96" s="270"/>
      <c r="AB96" s="270"/>
      <c r="AC96" s="270"/>
      <c r="AD96" s="270"/>
    </row>
    <row r="97" spans="1:30" x14ac:dyDescent="0.2">
      <c r="B97" s="237"/>
      <c r="C97" s="110" t="str">
        <f>IF(topdowntables!$N$4=1, "Råprotein, g per kg", "Crude protein, g per kg")</f>
        <v>Råprotein, g per kg</v>
      </c>
      <c r="D97" s="240">
        <f>IFERROR(SUM((IFERROR(VLOOKUP('input-data'!$E$354,Fodertabel,10,FALSE),0)*('input-data'!E353/( 'input-data'!E353+'input-data'!E360)))
+(IFERROR(VLOOKUP('input-data'!$E$361,Fodertabel,10,FALSE),0)*('input-data'!E360/( 'input-data'!E353+'input-data'!E360))))*10,0)</f>
        <v>36</v>
      </c>
      <c r="E97" s="233"/>
      <c r="F97" s="272"/>
      <c r="G97" s="110"/>
      <c r="H97" s="110"/>
      <c r="I97" s="110"/>
      <c r="J97" s="110"/>
      <c r="K97" s="110"/>
      <c r="L97" s="110"/>
      <c r="M97" s="110"/>
      <c r="N97" s="110"/>
      <c r="O97" s="110"/>
      <c r="P97" s="110"/>
      <c r="Q97" s="110"/>
      <c r="R97" s="110"/>
      <c r="S97" s="110"/>
      <c r="T97" s="270"/>
      <c r="U97" s="270"/>
      <c r="V97" s="270"/>
      <c r="W97" s="270"/>
      <c r="X97" s="270"/>
      <c r="Y97" s="270"/>
      <c r="Z97" s="270"/>
      <c r="AA97" s="270"/>
      <c r="AB97" s="270"/>
    </row>
    <row r="98" spans="1:30" x14ac:dyDescent="0.2">
      <c r="B98" s="239"/>
      <c r="C98" s="110" t="str">
        <f>IF(topdowntables!$N$4=1, "Fosfor, g per kg", "Phosphorus, g per kg")</f>
        <v>Fosfor, g per kg</v>
      </c>
      <c r="D98" s="240">
        <f>IFERROR(SUM((IFERROR(VLOOKUP('input-data'!$E$354,Fodertabel,79,FALSE),0)*('input-data'!E353/( 'input-data'!E353+'input-data'!E360)))
+(IFERROR(VLOOKUP('input-data'!$E$361,Fodertabel,79,FALSE),0)*('input-data'!E360/( 'input-data'!E353+'input-data'!E360)))),0)</f>
        <v>0.81</v>
      </c>
      <c r="E98" s="233"/>
      <c r="F98" s="272"/>
      <c r="G98" s="110"/>
      <c r="H98" s="110"/>
      <c r="I98" s="110"/>
      <c r="J98" s="110"/>
      <c r="K98" s="110"/>
      <c r="L98" s="110"/>
      <c r="M98" s="110"/>
      <c r="N98" s="110"/>
      <c r="O98" s="110"/>
      <c r="P98" s="110"/>
      <c r="Q98" s="110"/>
      <c r="R98" s="110"/>
      <c r="S98" s="110"/>
      <c r="T98" s="270"/>
      <c r="U98" s="270"/>
      <c r="V98" s="270"/>
      <c r="W98" s="270"/>
      <c r="X98" s="270"/>
      <c r="Y98" s="270"/>
      <c r="Z98" s="270"/>
      <c r="AA98" s="270"/>
      <c r="AB98" s="270"/>
    </row>
    <row r="99" spans="1:30" x14ac:dyDescent="0.2">
      <c r="B99" s="239"/>
      <c r="C99" s="110"/>
      <c r="D99" s="240"/>
      <c r="E99" s="233"/>
      <c r="F99" s="272"/>
      <c r="G99" s="110"/>
      <c r="H99" s="110"/>
      <c r="I99" s="110"/>
      <c r="J99" s="110"/>
      <c r="K99" s="110"/>
      <c r="L99" s="110"/>
      <c r="M99" s="110"/>
      <c r="N99" s="110"/>
      <c r="O99" s="110"/>
      <c r="P99" s="110"/>
      <c r="Q99" s="110"/>
      <c r="R99" s="110"/>
      <c r="S99" s="110"/>
      <c r="T99" s="270"/>
      <c r="U99" s="270"/>
      <c r="V99" s="270"/>
      <c r="W99" s="270"/>
      <c r="X99" s="270"/>
      <c r="Y99" s="270"/>
      <c r="Z99" s="270"/>
      <c r="AA99" s="270"/>
      <c r="AB99" s="270"/>
    </row>
    <row r="100" spans="1:30" x14ac:dyDescent="0.2">
      <c r="B100" s="239"/>
      <c r="C100" s="183" t="str">
        <f>IF(topdowntables!$N$4=1, "N og P bidrag fra halm, tildelt ude", "N and P content in straw, used outdoor")</f>
        <v>N og P bidrag fra halm, tildelt ude</v>
      </c>
      <c r="D100" s="240"/>
      <c r="E100" s="233"/>
      <c r="F100" s="272"/>
      <c r="G100" s="110"/>
      <c r="H100" s="110"/>
      <c r="I100" s="110"/>
      <c r="J100" s="110"/>
      <c r="K100" s="110"/>
      <c r="L100" s="110"/>
      <c r="M100" s="110"/>
      <c r="N100" s="110"/>
      <c r="O100" s="110"/>
      <c r="P100" s="110"/>
      <c r="Q100" s="110"/>
      <c r="R100" s="110"/>
      <c r="S100" s="110"/>
      <c r="T100" s="270"/>
      <c r="U100" s="270"/>
      <c r="V100" s="270"/>
      <c r="W100" s="270"/>
      <c r="X100" s="270"/>
      <c r="Y100" s="270"/>
      <c r="Z100" s="270"/>
      <c r="AA100" s="270"/>
      <c r="AB100" s="270"/>
    </row>
    <row r="101" spans="1:30" x14ac:dyDescent="0.2">
      <c r="B101" s="239"/>
      <c r="C101" s="63" t="str">
        <f>IF(topdowntables!N4=1, "Råprotein pr. prod. smågris, kg", "Crude protein, kg per produced piglet")</f>
        <v>Råprotein pr. prod. smågris, kg</v>
      </c>
      <c r="D101" s="240">
        <f>('input-data'!E353*D97*D21)/1000</f>
        <v>0</v>
      </c>
      <c r="E101" s="233"/>
      <c r="F101" s="272"/>
      <c r="G101" s="110"/>
      <c r="H101" s="110"/>
      <c r="I101" s="110"/>
      <c r="J101" s="110"/>
      <c r="K101" s="110"/>
      <c r="L101" s="110"/>
      <c r="M101" s="110"/>
      <c r="N101" s="110"/>
      <c r="O101" s="110"/>
      <c r="P101" s="110"/>
      <c r="Q101" s="110"/>
      <c r="R101" s="110"/>
      <c r="S101" s="110"/>
      <c r="T101" s="270"/>
      <c r="U101" s="270"/>
      <c r="V101" s="270"/>
      <c r="W101" s="270"/>
      <c r="X101" s="270"/>
      <c r="Y101" s="270"/>
      <c r="Z101" s="270"/>
      <c r="AA101" s="270"/>
      <c r="AB101" s="270"/>
    </row>
    <row r="102" spans="1:30" x14ac:dyDescent="0.2">
      <c r="B102" s="239"/>
      <c r="C102" s="110" t="str">
        <f>IF(topdowntables!$N$4=1, "N pr. prod. smågris, kg", "N, kg per produced piglet")</f>
        <v>N pr. prod. smågris, kg</v>
      </c>
      <c r="D102" s="240">
        <f>D101/6.25</f>
        <v>0</v>
      </c>
      <c r="E102" s="233"/>
      <c r="F102" s="272"/>
      <c r="G102" s="110"/>
      <c r="H102" s="110"/>
      <c r="I102" s="110"/>
      <c r="J102" s="110"/>
      <c r="K102" s="110"/>
      <c r="L102" s="110"/>
      <c r="M102" s="110"/>
      <c r="N102" s="110"/>
      <c r="O102" s="110"/>
      <c r="P102" s="110"/>
      <c r="Q102" s="110"/>
      <c r="R102" s="110"/>
      <c r="S102" s="110"/>
      <c r="T102" s="270"/>
      <c r="U102" s="270"/>
      <c r="V102" s="270"/>
      <c r="W102" s="270"/>
      <c r="X102" s="270"/>
      <c r="Y102" s="270"/>
      <c r="Z102" s="270"/>
      <c r="AA102" s="270"/>
      <c r="AB102" s="270"/>
    </row>
    <row r="103" spans="1:30" x14ac:dyDescent="0.2">
      <c r="B103" s="239"/>
      <c r="C103" s="261" t="str">
        <f>IF(topdowntables!$N$4=1,"P pr. prod. smågris, kg","P, kg per produced piglet")</f>
        <v>P pr. prod. smågris, kg</v>
      </c>
      <c r="D103" s="240">
        <f>('input-data'!E353*D98*D21)/1000</f>
        <v>0</v>
      </c>
      <c r="E103" s="233"/>
      <c r="F103" s="272"/>
      <c r="G103" s="110"/>
      <c r="H103" s="110"/>
      <c r="I103" s="110"/>
      <c r="J103" s="110"/>
      <c r="K103" s="110"/>
      <c r="L103" s="110"/>
      <c r="M103" s="110"/>
      <c r="N103" s="110"/>
      <c r="O103" s="110"/>
      <c r="P103" s="110"/>
      <c r="Q103" s="110"/>
      <c r="R103" s="110"/>
      <c r="S103" s="110"/>
      <c r="T103" s="270"/>
      <c r="U103" s="270"/>
      <c r="V103" s="270"/>
      <c r="W103" s="270"/>
      <c r="X103" s="270"/>
      <c r="Y103" s="270"/>
      <c r="Z103" s="270"/>
      <c r="AA103" s="270"/>
      <c r="AB103" s="270"/>
    </row>
    <row r="104" spans="1:30" x14ac:dyDescent="0.2">
      <c r="B104" s="239"/>
      <c r="C104" s="110"/>
      <c r="D104" s="240"/>
      <c r="E104" s="233"/>
      <c r="F104" s="272"/>
      <c r="G104" s="110"/>
      <c r="H104" s="110"/>
      <c r="I104" s="110"/>
      <c r="J104" s="110"/>
      <c r="K104" s="110"/>
      <c r="L104" s="110"/>
      <c r="M104" s="110"/>
      <c r="N104" s="110"/>
      <c r="O104" s="110"/>
      <c r="P104" s="110"/>
      <c r="Q104" s="110"/>
      <c r="R104" s="110"/>
      <c r="S104" s="110"/>
      <c r="T104" s="270"/>
      <c r="U104" s="270"/>
      <c r="V104" s="270"/>
      <c r="W104" s="270"/>
      <c r="X104" s="270"/>
      <c r="Y104" s="270"/>
      <c r="Z104" s="270"/>
      <c r="AA104" s="270"/>
      <c r="AB104" s="270"/>
    </row>
    <row r="105" spans="1:30" x14ac:dyDescent="0.2">
      <c r="B105" s="237"/>
      <c r="C105" s="183" t="str">
        <f>IF(topdowntables!$N$4=1, "N og P bidrag fra halm, tildelt inde", "N and P content in straw, used indoor")</f>
        <v>N og P bidrag fra halm, tildelt inde</v>
      </c>
      <c r="D105" s="240"/>
      <c r="F105" s="252"/>
      <c r="G105" s="233"/>
      <c r="H105" s="110"/>
      <c r="I105" s="110"/>
      <c r="J105" s="110"/>
      <c r="K105" s="110"/>
      <c r="L105" s="110"/>
      <c r="M105" s="110"/>
      <c r="N105" s="110"/>
      <c r="O105" s="110"/>
      <c r="P105" s="110"/>
      <c r="Q105" s="110"/>
      <c r="R105" s="110"/>
      <c r="S105" s="110"/>
      <c r="T105" s="110"/>
      <c r="U105" s="110"/>
      <c r="V105" s="270"/>
      <c r="W105" s="270"/>
      <c r="X105" s="270"/>
      <c r="Y105" s="270"/>
      <c r="Z105" s="270"/>
      <c r="AA105" s="270"/>
      <c r="AB105" s="270"/>
      <c r="AC105" s="270"/>
      <c r="AD105" s="270"/>
    </row>
    <row r="106" spans="1:30" x14ac:dyDescent="0.2">
      <c r="B106" s="237"/>
      <c r="C106" s="63" t="str">
        <f>IF(topdowntables!$N$4=1, "Råprotein pr. prod. smågris, kg", "Crude protein, kg per produced piglet")</f>
        <v>Råprotein pr. prod. smågris, kg</v>
      </c>
      <c r="D106" s="240">
        <f>('input-data'!E360*D97*D27)/1000</f>
        <v>0</v>
      </c>
      <c r="F106" s="252"/>
      <c r="G106" s="233"/>
      <c r="H106" s="110"/>
      <c r="I106" s="110"/>
      <c r="J106" s="110"/>
      <c r="K106" s="110"/>
      <c r="L106" s="110"/>
      <c r="M106" s="110"/>
      <c r="N106" s="110"/>
      <c r="O106" s="110"/>
      <c r="P106" s="110"/>
      <c r="Q106" s="110"/>
      <c r="R106" s="110"/>
      <c r="S106" s="110"/>
      <c r="T106" s="110"/>
      <c r="U106" s="110"/>
      <c r="V106" s="270"/>
      <c r="W106" s="270"/>
      <c r="X106" s="270"/>
      <c r="Y106" s="270"/>
      <c r="Z106" s="270"/>
      <c r="AA106" s="270"/>
      <c r="AB106" s="270"/>
      <c r="AC106" s="270"/>
      <c r="AD106" s="270"/>
    </row>
    <row r="107" spans="1:30" x14ac:dyDescent="0.2">
      <c r="B107" s="237"/>
      <c r="C107" s="110" t="str">
        <f>IF(topdowntables!$N$4=1, "N pr. prod. smågris, kg", "N, kg per produced piglet")</f>
        <v>N pr. prod. smågris, kg</v>
      </c>
      <c r="D107" s="240">
        <f>D106/6.25</f>
        <v>0</v>
      </c>
      <c r="F107" s="252"/>
      <c r="G107" s="233"/>
      <c r="H107" s="110"/>
      <c r="I107" s="110"/>
      <c r="J107" s="110"/>
      <c r="K107" s="110"/>
      <c r="L107" s="110"/>
      <c r="M107" s="110"/>
      <c r="N107" s="110"/>
      <c r="O107" s="110"/>
      <c r="P107" s="110"/>
      <c r="Q107" s="110"/>
      <c r="R107" s="110"/>
      <c r="S107" s="110"/>
      <c r="T107" s="110"/>
      <c r="U107" s="110"/>
      <c r="V107" s="270"/>
      <c r="W107" s="270"/>
      <c r="X107" s="270"/>
      <c r="Y107" s="270"/>
      <c r="Z107" s="270"/>
      <c r="AA107" s="270"/>
      <c r="AB107" s="270"/>
      <c r="AC107" s="270"/>
      <c r="AD107" s="270"/>
    </row>
    <row r="108" spans="1:30" ht="15" thickBot="1" x14ac:dyDescent="0.25">
      <c r="A108" s="63"/>
      <c r="B108" s="246"/>
      <c r="C108" s="247" t="str">
        <f>IF(topdowntables!$N$4=1, "P pr. prod. smågris, kg", "P, kg per produced piglet")</f>
        <v>P pr. prod. smågris, kg</v>
      </c>
      <c r="D108" s="262">
        <f>('input-data'!E360*D98*D2)/1000</f>
        <v>0</v>
      </c>
      <c r="E108" s="233"/>
      <c r="F108" s="653"/>
      <c r="G108" s="110"/>
      <c r="H108" s="110"/>
      <c r="I108" s="110"/>
      <c r="J108" s="110"/>
      <c r="K108" s="110"/>
      <c r="L108" s="110"/>
      <c r="M108" s="110"/>
      <c r="N108" s="110"/>
      <c r="O108" s="110"/>
      <c r="P108" s="110"/>
      <c r="Q108" s="110"/>
      <c r="R108" s="110"/>
      <c r="S108" s="110"/>
      <c r="T108" s="270"/>
      <c r="U108" s="270"/>
      <c r="V108" s="270"/>
      <c r="W108" s="270"/>
      <c r="X108" s="270"/>
      <c r="Y108" s="270"/>
      <c r="Z108" s="270"/>
      <c r="AA108" s="270"/>
      <c r="AB108" s="270"/>
    </row>
    <row r="109" spans="1:30" x14ac:dyDescent="0.2">
      <c r="B109" s="63"/>
      <c r="C109" s="63"/>
      <c r="D109" s="65"/>
      <c r="F109" s="272"/>
      <c r="G109" s="110"/>
      <c r="H109" s="110"/>
      <c r="I109" s="110"/>
      <c r="J109" s="110"/>
      <c r="K109" s="110"/>
      <c r="L109" s="110"/>
      <c r="M109" s="110"/>
    </row>
    <row r="110" spans="1:30" x14ac:dyDescent="0.2">
      <c r="B110" s="281"/>
      <c r="C110" s="110"/>
      <c r="D110" s="233"/>
      <c r="E110" s="233"/>
      <c r="F110" s="272"/>
      <c r="G110" s="110"/>
      <c r="H110" s="110"/>
      <c r="I110" s="110"/>
      <c r="J110" s="110"/>
      <c r="K110" s="110"/>
      <c r="L110" s="110"/>
      <c r="M110" s="110"/>
      <c r="N110" s="110"/>
      <c r="O110" s="110"/>
      <c r="P110" s="110"/>
      <c r="Q110" s="110"/>
      <c r="R110" s="110"/>
      <c r="S110" s="110"/>
      <c r="T110" s="270"/>
      <c r="U110" s="270"/>
      <c r="V110" s="270"/>
      <c r="W110" s="270"/>
      <c r="X110" s="270"/>
      <c r="Y110" s="270"/>
      <c r="Z110" s="270"/>
      <c r="AA110" s="270"/>
      <c r="AB110" s="270"/>
    </row>
    <row r="111" spans="1:30" x14ac:dyDescent="0.2">
      <c r="B111" s="281"/>
      <c r="C111" s="110"/>
      <c r="D111" s="233"/>
      <c r="E111" s="233"/>
      <c r="F111" s="272"/>
      <c r="G111" s="110"/>
      <c r="H111" s="110"/>
      <c r="I111" s="110"/>
      <c r="J111" s="110"/>
      <c r="K111" s="110"/>
      <c r="L111" s="110"/>
      <c r="M111" s="110"/>
      <c r="N111" s="110"/>
      <c r="O111" s="110"/>
      <c r="P111" s="110"/>
      <c r="Q111" s="110"/>
      <c r="R111" s="110"/>
      <c r="S111" s="110"/>
      <c r="T111" s="270"/>
      <c r="U111" s="270"/>
      <c r="V111" s="270"/>
      <c r="W111" s="270"/>
      <c r="X111" s="270"/>
      <c r="Y111" s="270"/>
      <c r="Z111" s="270"/>
      <c r="AA111" s="270"/>
      <c r="AB111" s="270"/>
    </row>
    <row r="112" spans="1:30" x14ac:dyDescent="0.2">
      <c r="B112" s="281"/>
      <c r="C112" s="110"/>
      <c r="D112" s="233"/>
      <c r="E112" s="233"/>
      <c r="F112" s="272"/>
      <c r="G112" s="110"/>
      <c r="H112" s="110"/>
      <c r="I112" s="110"/>
      <c r="J112" s="110"/>
      <c r="K112" s="110"/>
      <c r="L112" s="110"/>
      <c r="M112" s="110"/>
      <c r="N112" s="110"/>
      <c r="O112" s="110"/>
      <c r="P112" s="110"/>
      <c r="Q112" s="110"/>
      <c r="R112" s="110"/>
      <c r="S112" s="110"/>
      <c r="T112" s="270"/>
      <c r="U112" s="270"/>
      <c r="V112" s="270"/>
      <c r="W112" s="270"/>
      <c r="X112" s="270"/>
      <c r="Y112" s="270"/>
      <c r="Z112" s="270"/>
      <c r="AA112" s="270"/>
      <c r="AB112" s="270"/>
    </row>
    <row r="113" spans="2:28" x14ac:dyDescent="0.2">
      <c r="B113" s="281"/>
      <c r="C113" s="110"/>
      <c r="D113" s="233"/>
      <c r="E113" s="233"/>
      <c r="F113" s="272"/>
      <c r="G113" s="110"/>
      <c r="H113" s="110"/>
      <c r="I113" s="110"/>
      <c r="J113" s="110"/>
      <c r="K113" s="110"/>
      <c r="L113" s="110"/>
      <c r="M113" s="110"/>
      <c r="N113" s="110"/>
      <c r="O113" s="110"/>
      <c r="P113" s="110"/>
      <c r="Q113" s="110"/>
      <c r="R113" s="110"/>
      <c r="S113" s="110"/>
      <c r="T113" s="270"/>
      <c r="U113" s="270"/>
      <c r="V113" s="270"/>
      <c r="W113" s="270"/>
      <c r="X113" s="270"/>
      <c r="Y113" s="270"/>
      <c r="Z113" s="270"/>
      <c r="AA113" s="270"/>
      <c r="AB113" s="270"/>
    </row>
    <row r="114" spans="2:28" s="110" customFormat="1" x14ac:dyDescent="0.2">
      <c r="B114" s="281"/>
      <c r="D114" s="233"/>
      <c r="E114" s="233"/>
      <c r="F114" s="272"/>
    </row>
    <row r="115" spans="2:28" s="110" customFormat="1" x14ac:dyDescent="0.2">
      <c r="B115" s="281"/>
      <c r="D115" s="233"/>
      <c r="E115" s="233"/>
      <c r="F115" s="272"/>
    </row>
    <row r="116" spans="2:28" s="110" customFormat="1" x14ac:dyDescent="0.2">
      <c r="B116" s="281"/>
      <c r="D116" s="233"/>
      <c r="E116" s="233"/>
      <c r="F116" s="272"/>
    </row>
    <row r="117" spans="2:28" s="110" customFormat="1" x14ac:dyDescent="0.2">
      <c r="B117" s="281"/>
      <c r="E117" s="233"/>
      <c r="F117" s="272"/>
    </row>
    <row r="118" spans="2:28" s="110" customFormat="1" x14ac:dyDescent="0.2">
      <c r="B118" s="281"/>
      <c r="D118" s="233"/>
      <c r="E118" s="233"/>
      <c r="F118" s="272"/>
    </row>
    <row r="119" spans="2:28" s="110" customFormat="1" x14ac:dyDescent="0.2">
      <c r="B119" s="281"/>
      <c r="E119" s="233"/>
      <c r="F119" s="272"/>
    </row>
    <row r="120" spans="2:28" s="110" customFormat="1" x14ac:dyDescent="0.2">
      <c r="B120" s="282"/>
      <c r="D120" s="233"/>
      <c r="E120" s="233"/>
      <c r="F120" s="272"/>
    </row>
    <row r="121" spans="2:28" s="110" customFormat="1" x14ac:dyDescent="0.2">
      <c r="F121" s="272"/>
    </row>
    <row r="122" spans="2:28" s="110" customFormat="1" x14ac:dyDescent="0.2">
      <c r="C122" s="225"/>
      <c r="D122" s="233"/>
      <c r="E122" s="233"/>
      <c r="F122" s="272"/>
      <c r="O122" s="225"/>
    </row>
    <row r="123" spans="2:28" s="110" customFormat="1" x14ac:dyDescent="0.2">
      <c r="D123" s="243"/>
      <c r="E123" s="243"/>
      <c r="F123" s="272"/>
    </row>
    <row r="124" spans="2:28" s="110" customFormat="1" x14ac:dyDescent="0.2">
      <c r="D124" s="243"/>
      <c r="E124" s="243"/>
      <c r="F124" s="272"/>
    </row>
    <row r="125" spans="2:28" s="110" customFormat="1" x14ac:dyDescent="0.2">
      <c r="D125" s="233"/>
      <c r="E125" s="243"/>
      <c r="F125" s="272"/>
    </row>
    <row r="126" spans="2:28" s="110" customFormat="1" x14ac:dyDescent="0.2">
      <c r="D126" s="233"/>
      <c r="E126" s="243"/>
      <c r="F126" s="272"/>
    </row>
    <row r="127" spans="2:28" s="110" customFormat="1" x14ac:dyDescent="0.2">
      <c r="D127" s="233"/>
      <c r="E127" s="233"/>
      <c r="F127" s="272"/>
    </row>
    <row r="128" spans="2:28" s="110" customFormat="1" x14ac:dyDescent="0.2">
      <c r="D128" s="233"/>
      <c r="E128" s="233"/>
      <c r="F128" s="272"/>
    </row>
    <row r="129" spans="3:6" s="110" customFormat="1" x14ac:dyDescent="0.2">
      <c r="F129" s="272"/>
    </row>
    <row r="130" spans="3:6" s="110" customFormat="1" x14ac:dyDescent="0.2">
      <c r="F130" s="272"/>
    </row>
    <row r="131" spans="3:6" s="110" customFormat="1" x14ac:dyDescent="0.2">
      <c r="C131" s="281"/>
      <c r="F131" s="272"/>
    </row>
    <row r="132" spans="3:6" s="110" customFormat="1" x14ac:dyDescent="0.2">
      <c r="D132" s="233"/>
      <c r="E132" s="243"/>
      <c r="F132" s="272"/>
    </row>
    <row r="133" spans="3:6" s="110" customFormat="1" x14ac:dyDescent="0.2">
      <c r="D133" s="243"/>
      <c r="E133" s="243"/>
      <c r="F133" s="272"/>
    </row>
    <row r="134" spans="3:6" s="110" customFormat="1" x14ac:dyDescent="0.2">
      <c r="D134" s="233"/>
      <c r="E134" s="243"/>
      <c r="F134" s="272"/>
    </row>
    <row r="135" spans="3:6" s="110" customFormat="1" x14ac:dyDescent="0.2">
      <c r="D135" s="233"/>
      <c r="E135" s="243"/>
      <c r="F135" s="272"/>
    </row>
    <row r="136" spans="3:6" s="110" customFormat="1" x14ac:dyDescent="0.2">
      <c r="D136" s="233"/>
      <c r="E136" s="233"/>
      <c r="F136" s="272"/>
    </row>
    <row r="137" spans="3:6" s="110" customFormat="1" x14ac:dyDescent="0.2">
      <c r="D137" s="283"/>
      <c r="E137" s="233"/>
      <c r="F137" s="272"/>
    </row>
    <row r="138" spans="3:6" s="110" customFormat="1" x14ac:dyDescent="0.2">
      <c r="D138" s="284"/>
      <c r="F138" s="272"/>
    </row>
    <row r="139" spans="3:6" s="110" customFormat="1" x14ac:dyDescent="0.2">
      <c r="F139" s="272"/>
    </row>
    <row r="140" spans="3:6" s="110" customFormat="1" x14ac:dyDescent="0.2">
      <c r="C140" s="281"/>
      <c r="D140" s="233"/>
      <c r="E140" s="233"/>
      <c r="F140" s="272"/>
    </row>
    <row r="141" spans="3:6" s="110" customFormat="1" x14ac:dyDescent="0.2">
      <c r="D141" s="285"/>
      <c r="E141" s="233"/>
      <c r="F141" s="272"/>
    </row>
    <row r="142" spans="3:6" s="110" customFormat="1" x14ac:dyDescent="0.2">
      <c r="C142" s="281"/>
      <c r="D142" s="233"/>
      <c r="E142" s="233"/>
      <c r="F142" s="272"/>
    </row>
    <row r="143" spans="3:6" s="110" customFormat="1" x14ac:dyDescent="0.2">
      <c r="D143" s="233"/>
      <c r="E143" s="233"/>
      <c r="F143" s="272"/>
    </row>
    <row r="144" spans="3:6" s="110" customFormat="1" x14ac:dyDescent="0.2">
      <c r="D144" s="233"/>
      <c r="E144" s="233"/>
      <c r="F144" s="272"/>
    </row>
    <row r="145" spans="3:15" s="110" customFormat="1" x14ac:dyDescent="0.2">
      <c r="D145" s="233"/>
      <c r="E145" s="233"/>
      <c r="F145" s="272"/>
    </row>
    <row r="146" spans="3:15" s="110" customFormat="1" x14ac:dyDescent="0.2">
      <c r="D146" s="284"/>
      <c r="E146" s="233"/>
      <c r="F146" s="272"/>
    </row>
    <row r="147" spans="3:15" s="110" customFormat="1" x14ac:dyDescent="0.2">
      <c r="D147" s="284"/>
      <c r="E147" s="243"/>
      <c r="F147" s="272"/>
    </row>
    <row r="148" spans="3:15" s="110" customFormat="1" x14ac:dyDescent="0.2">
      <c r="D148" s="284"/>
      <c r="E148" s="243"/>
      <c r="F148" s="272"/>
    </row>
    <row r="149" spans="3:15" s="110" customFormat="1" x14ac:dyDescent="0.2">
      <c r="D149" s="243"/>
      <c r="E149" s="243"/>
      <c r="F149" s="272"/>
    </row>
    <row r="150" spans="3:15" s="110" customFormat="1" x14ac:dyDescent="0.2">
      <c r="D150" s="243"/>
      <c r="E150" s="243"/>
      <c r="F150" s="272"/>
    </row>
    <row r="151" spans="3:15" s="110" customFormat="1" x14ac:dyDescent="0.2">
      <c r="D151" s="111"/>
      <c r="E151" s="111"/>
      <c r="F151" s="136"/>
    </row>
    <row r="152" spans="3:15" s="110" customFormat="1" x14ac:dyDescent="0.2">
      <c r="D152" s="233"/>
      <c r="E152" s="233"/>
      <c r="F152" s="272"/>
    </row>
    <row r="153" spans="3:15" s="110" customFormat="1" x14ac:dyDescent="0.2">
      <c r="D153" s="233"/>
      <c r="E153" s="233"/>
      <c r="F153" s="272"/>
    </row>
    <row r="154" spans="3:15" s="110" customFormat="1" x14ac:dyDescent="0.2">
      <c r="F154" s="272"/>
    </row>
    <row r="155" spans="3:15" x14ac:dyDescent="0.2">
      <c r="C155" s="110"/>
      <c r="D155" s="110"/>
      <c r="F155" s="272"/>
      <c r="J155" s="110"/>
      <c r="K155" s="110"/>
      <c r="L155" s="110"/>
      <c r="M155" s="110"/>
    </row>
    <row r="156" spans="3:15" s="110" customFormat="1" x14ac:dyDescent="0.2">
      <c r="F156" s="272"/>
    </row>
    <row r="157" spans="3:15" s="110" customFormat="1" x14ac:dyDescent="0.2">
      <c r="C157" s="286"/>
      <c r="D157" s="287"/>
      <c r="E157" s="288"/>
      <c r="F157" s="289"/>
      <c r="G157" s="290"/>
      <c r="H157" s="290"/>
      <c r="I157" s="290"/>
      <c r="J157" s="288"/>
      <c r="K157" s="288"/>
      <c r="L157" s="288"/>
      <c r="M157" s="288"/>
      <c r="N157" s="288"/>
      <c r="O157" s="288"/>
    </row>
    <row r="158" spans="3:15" s="110" customFormat="1" x14ac:dyDescent="0.2">
      <c r="C158" s="286"/>
      <c r="D158" s="287"/>
      <c r="E158" s="288"/>
      <c r="F158" s="289"/>
      <c r="G158" s="290"/>
      <c r="H158" s="290"/>
      <c r="I158" s="290"/>
      <c r="J158" s="288"/>
      <c r="K158" s="288"/>
      <c r="L158" s="288"/>
      <c r="M158" s="288"/>
      <c r="N158" s="288"/>
      <c r="O158" s="288"/>
    </row>
    <row r="159" spans="3:15" s="110" customFormat="1" x14ac:dyDescent="0.2">
      <c r="F159" s="272"/>
    </row>
    <row r="160" spans="3:15" s="110" customFormat="1" x14ac:dyDescent="0.2">
      <c r="F160" s="272"/>
    </row>
    <row r="161" spans="6:6" s="110" customFormat="1" x14ac:dyDescent="0.2">
      <c r="F161" s="272"/>
    </row>
    <row r="162" spans="6:6" s="110" customFormat="1" x14ac:dyDescent="0.2">
      <c r="F162" s="272"/>
    </row>
    <row r="163" spans="6:6" s="110" customFormat="1" x14ac:dyDescent="0.2">
      <c r="F163" s="272"/>
    </row>
  </sheetData>
  <sheetProtection algorithmName="SHA-512" hashValue="WjuBxzFyvzATwhOgloWvKnanRPT7uqVRkGQP1kfD92OGL4IZ8x+pPRyjIWw7PNmzwEMmi9GOZGXvWnvt6+grtw==" saltValue="1dY0xLBOqLmELoxALbMyMg==" spinCount="100000" sheet="1" objects="1" scenarios="1"/>
  <protectedRanges>
    <protectedRange sqref="A1:XFD1048576" name="all"/>
  </protectedRanges>
  <conditionalFormatting sqref="K157:O158">
    <cfRule type="cellIs" dxfId="3" priority="1" stopIfTrue="1" operator="greaterThan">
      <formula>999.9</formula>
    </cfRule>
    <cfRule type="cellIs" dxfId="2" priority="2" stopIfTrue="1" operator="greaterThan">
      <formula>99.9</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sheetPr>
  <dimension ref="A1:AD118"/>
  <sheetViews>
    <sheetView topLeftCell="A76" zoomScale="87" zoomScaleNormal="87" zoomScalePageLayoutView="87" workbookViewId="0">
      <selection activeCell="G37" sqref="G37"/>
    </sheetView>
  </sheetViews>
  <sheetFormatPr defaultColWidth="8.85546875" defaultRowHeight="14.25" x14ac:dyDescent="0.2"/>
  <cols>
    <col min="1" max="1" width="4.140625" style="110" customWidth="1"/>
    <col min="2" max="2" width="6.42578125" style="110" customWidth="1"/>
    <col min="3" max="3" width="46.140625" style="228" customWidth="1"/>
    <col min="4" max="4" width="12.85546875" style="122" customWidth="1"/>
    <col min="5" max="5" width="17.42578125" style="110" customWidth="1"/>
    <col min="6" max="6" width="30" style="228" customWidth="1"/>
    <col min="7" max="7" width="78.7109375" style="228" customWidth="1"/>
    <col min="8" max="9" width="8.85546875" style="228"/>
    <col min="10" max="13" width="8.85546875" style="270"/>
    <col min="14" max="14" width="8.85546875" style="228"/>
    <col min="15" max="15" width="40.28515625" style="228" customWidth="1"/>
    <col min="16" max="16384" width="8.85546875" style="228"/>
  </cols>
  <sheetData>
    <row r="1" spans="2:28" x14ac:dyDescent="0.2">
      <c r="B1" s="225" t="str">
        <f>IF(topdowntables!N4=1, "SLAGTESVIN", "SLAUGHTER PIGS")</f>
        <v>SLAGTESVIN</v>
      </c>
      <c r="D1" s="226" t="s">
        <v>971</v>
      </c>
      <c r="E1" s="251"/>
      <c r="F1" s="225" t="s">
        <v>8</v>
      </c>
      <c r="G1" s="110"/>
      <c r="H1" s="110"/>
      <c r="I1" s="110"/>
      <c r="J1" s="110"/>
      <c r="K1" s="110"/>
      <c r="L1" s="110"/>
      <c r="M1" s="110"/>
      <c r="N1" s="110"/>
      <c r="O1" s="110"/>
      <c r="P1" s="110"/>
      <c r="Q1" s="110"/>
      <c r="R1" s="110"/>
      <c r="S1" s="110"/>
      <c r="T1" s="270"/>
      <c r="U1" s="270"/>
      <c r="V1" s="270"/>
      <c r="W1" s="270"/>
      <c r="X1" s="270"/>
      <c r="Y1" s="270"/>
      <c r="Z1" s="270"/>
      <c r="AA1" s="270"/>
      <c r="AB1" s="270"/>
    </row>
    <row r="2" spans="2:28" ht="15" thickBot="1" x14ac:dyDescent="0.25">
      <c r="C2" s="63"/>
      <c r="D2" s="65"/>
      <c r="E2" s="63"/>
      <c r="F2" s="63"/>
      <c r="G2" s="63"/>
      <c r="H2" s="63"/>
      <c r="I2" s="63"/>
      <c r="J2" s="63"/>
      <c r="K2" s="63"/>
      <c r="L2" s="63"/>
      <c r="M2" s="63"/>
      <c r="N2" s="63"/>
      <c r="O2" s="63"/>
      <c r="P2" s="63"/>
      <c r="Q2" s="63"/>
      <c r="R2" s="110"/>
      <c r="S2" s="110"/>
      <c r="T2" s="270"/>
      <c r="U2" s="270"/>
      <c r="V2" s="270"/>
      <c r="W2" s="270"/>
      <c r="X2" s="270"/>
      <c r="Y2" s="270"/>
      <c r="Z2" s="270"/>
      <c r="AA2" s="270"/>
      <c r="AB2" s="270"/>
    </row>
    <row r="3" spans="2:28" x14ac:dyDescent="0.2">
      <c r="B3" s="230" t="str">
        <f>IF(topdowntables!N4=1, "Dyre, flow", "Animals', flow")</f>
        <v>Dyre, flow</v>
      </c>
      <c r="C3" s="271"/>
      <c r="D3" s="294"/>
      <c r="F3" s="110"/>
      <c r="G3" s="110"/>
      <c r="H3" s="110"/>
      <c r="I3" s="110"/>
      <c r="J3" s="110"/>
      <c r="K3" s="110"/>
      <c r="L3" s="110"/>
      <c r="M3" s="110"/>
      <c r="N3" s="110"/>
      <c r="O3" s="110"/>
      <c r="P3" s="110"/>
      <c r="Q3" s="110"/>
      <c r="R3" s="110"/>
      <c r="S3" s="110"/>
      <c r="T3" s="270"/>
      <c r="U3" s="270"/>
      <c r="V3" s="270"/>
      <c r="W3" s="270"/>
      <c r="X3" s="270"/>
      <c r="Y3" s="270"/>
      <c r="Z3" s="270"/>
      <c r="AA3" s="270"/>
      <c r="AB3" s="270"/>
    </row>
    <row r="4" spans="2:28" x14ac:dyDescent="0.2">
      <c r="B4" s="234" t="str">
        <f>IF(topdowntables!N4=1, "Slagtesvin:", "Slaughter pigs")</f>
        <v>Slagtesvin:</v>
      </c>
      <c r="C4" s="235"/>
      <c r="D4" s="253"/>
      <c r="F4" s="110"/>
      <c r="G4" s="110"/>
      <c r="H4" s="110"/>
      <c r="I4" s="110"/>
      <c r="J4" s="110"/>
      <c r="K4" s="110"/>
      <c r="L4" s="110"/>
      <c r="M4" s="110"/>
      <c r="N4" s="110"/>
      <c r="O4" s="110"/>
      <c r="P4" s="110"/>
      <c r="Q4" s="110"/>
      <c r="R4" s="110"/>
      <c r="S4" s="110"/>
      <c r="T4" s="270"/>
      <c r="U4" s="270"/>
      <c r="V4" s="270"/>
      <c r="W4" s="270"/>
      <c r="X4" s="270"/>
      <c r="Y4" s="270"/>
      <c r="Z4" s="270"/>
      <c r="AA4" s="270"/>
      <c r="AB4" s="270"/>
    </row>
    <row r="5" spans="2:28" x14ac:dyDescent="0.2">
      <c r="B5" s="239"/>
      <c r="C5" s="63" t="str">
        <f>IF(topdowntables!N4=1, "Overførte fra smågrisestald, stk", "Piglets, transferred from piglets' stable, p.")</f>
        <v>Overførte fra smågrisestald, stk</v>
      </c>
      <c r="D5" s="242">
        <f>'Flow smågrise'!D12</f>
        <v>0</v>
      </c>
      <c r="E5" s="111"/>
      <c r="F5" s="110" t="s">
        <v>970</v>
      </c>
      <c r="G5" s="110"/>
      <c r="H5" s="110"/>
      <c r="I5" s="110"/>
      <c r="J5" s="110"/>
      <c r="K5" s="110"/>
      <c r="L5" s="110"/>
      <c r="M5" s="110"/>
      <c r="N5" s="110"/>
      <c r="O5" s="110"/>
      <c r="P5" s="110"/>
      <c r="Q5" s="110"/>
      <c r="R5" s="110"/>
      <c r="S5" s="110"/>
      <c r="T5" s="270"/>
      <c r="U5" s="270"/>
      <c r="V5" s="270"/>
      <c r="W5" s="270"/>
      <c r="X5" s="270"/>
      <c r="Y5" s="270"/>
      <c r="Z5" s="270"/>
      <c r="AA5" s="270"/>
      <c r="AB5" s="270"/>
    </row>
    <row r="6" spans="2:28" x14ac:dyDescent="0.2">
      <c r="B6" s="239"/>
      <c r="C6" s="63" t="str">
        <f>IF(topdowntables!N4=1, "Indkøbte smågrise, stk", "Bought-in piglets, p.")</f>
        <v>Indkøbte smågrise, stk</v>
      </c>
      <c r="D6" s="241">
        <f>'input-data'!E34</f>
        <v>0</v>
      </c>
      <c r="E6" s="111"/>
      <c r="F6" s="110" t="s">
        <v>967</v>
      </c>
      <c r="G6" s="110"/>
      <c r="H6" s="110"/>
      <c r="I6" s="110"/>
      <c r="J6" s="110"/>
      <c r="K6" s="110"/>
      <c r="L6" s="110"/>
      <c r="M6" s="110"/>
      <c r="N6" s="110"/>
      <c r="O6" s="110"/>
      <c r="P6" s="110"/>
      <c r="Q6" s="110"/>
      <c r="R6" s="110"/>
      <c r="S6" s="110"/>
      <c r="T6" s="270"/>
      <c r="U6" s="270"/>
      <c r="V6" s="270"/>
      <c r="W6" s="270"/>
      <c r="X6" s="270"/>
      <c r="Y6" s="270"/>
      <c r="Z6" s="270"/>
      <c r="AA6" s="270"/>
      <c r="AB6" s="270"/>
    </row>
    <row r="7" spans="2:28" x14ac:dyDescent="0.2">
      <c r="B7" s="239"/>
      <c r="C7" s="63" t="str">
        <f>IF(topdowntables!N4=1, "Vægt ved indsættelse, kg", "Weight at insertion, kg")</f>
        <v>Vægt ved indsættelse, kg</v>
      </c>
      <c r="D7" s="241">
        <f>IFERROR(((D5*'input-data'!E29)+('input-data'!E35*'input-data'!E34))/(D5+'input-data'!E34),0)</f>
        <v>0</v>
      </c>
      <c r="E7" s="111"/>
      <c r="F7" s="110" t="s">
        <v>969</v>
      </c>
      <c r="G7" s="110"/>
      <c r="H7" s="110"/>
      <c r="I7" s="110"/>
      <c r="J7" s="110"/>
      <c r="K7" s="110"/>
      <c r="L7" s="110"/>
      <c r="M7" s="110"/>
      <c r="N7" s="110"/>
      <c r="O7" s="110"/>
      <c r="P7" s="110"/>
      <c r="Q7" s="110"/>
      <c r="R7" s="110"/>
      <c r="S7" s="110"/>
      <c r="T7" s="270"/>
      <c r="U7" s="270"/>
      <c r="V7" s="270"/>
      <c r="W7" s="270"/>
      <c r="X7" s="270"/>
      <c r="Y7" s="270"/>
      <c r="Z7" s="270"/>
      <c r="AA7" s="270"/>
      <c r="AB7" s="270"/>
    </row>
    <row r="8" spans="2:28" x14ac:dyDescent="0.2">
      <c r="B8" s="239"/>
      <c r="C8" s="177" t="str">
        <f>IF(topdowntables!N4=1, "Produceret slagtesvin, stk", "Produced slaughter pigs, p.")</f>
        <v>Produceret slagtesvin, stk</v>
      </c>
      <c r="D8" s="245">
        <f>D5-D10</f>
        <v>0</v>
      </c>
      <c r="E8" s="111"/>
      <c r="F8" s="110"/>
      <c r="G8" s="110"/>
      <c r="H8" s="110"/>
      <c r="I8" s="110"/>
      <c r="J8" s="110"/>
      <c r="K8" s="110"/>
      <c r="L8" s="110"/>
      <c r="M8" s="110"/>
      <c r="N8" s="110"/>
      <c r="O8" s="110"/>
      <c r="P8" s="110"/>
      <c r="Q8" s="110"/>
      <c r="R8" s="110"/>
      <c r="S8" s="110"/>
      <c r="T8" s="270"/>
      <c r="U8" s="270"/>
      <c r="V8" s="270"/>
      <c r="W8" s="270"/>
      <c r="X8" s="270"/>
      <c r="Y8" s="270"/>
      <c r="Z8" s="270"/>
      <c r="AA8" s="270"/>
      <c r="AB8" s="270"/>
    </row>
    <row r="9" spans="2:28" x14ac:dyDescent="0.2">
      <c r="B9" s="239"/>
      <c r="C9" s="177"/>
      <c r="D9" s="245"/>
      <c r="E9" s="111"/>
      <c r="F9" s="110"/>
      <c r="G9" s="110"/>
      <c r="H9" s="110"/>
      <c r="I9" s="110"/>
      <c r="J9" s="110"/>
      <c r="K9" s="110"/>
      <c r="L9" s="110"/>
      <c r="M9" s="110"/>
      <c r="N9" s="110"/>
      <c r="O9" s="110"/>
      <c r="P9" s="110"/>
      <c r="Q9" s="110"/>
      <c r="R9" s="110"/>
      <c r="S9" s="110"/>
      <c r="T9" s="270"/>
      <c r="U9" s="270"/>
      <c r="V9" s="270"/>
      <c r="W9" s="270"/>
      <c r="X9" s="270"/>
      <c r="Y9" s="270"/>
      <c r="Z9" s="270"/>
      <c r="AA9" s="270"/>
      <c r="AB9" s="270"/>
    </row>
    <row r="10" spans="2:28" x14ac:dyDescent="0.2">
      <c r="B10" s="239"/>
      <c r="C10" s="63" t="str">
        <f>IF(topdowntables!N4=1, "Døde/aflivet, stk", "Dead animals, p.")</f>
        <v>Døde/aflivet, stk</v>
      </c>
      <c r="D10" s="242">
        <f>'input-data'!E38/100*(D5+D6)</f>
        <v>0</v>
      </c>
      <c r="E10" s="233"/>
      <c r="F10" s="110" t="s">
        <v>968</v>
      </c>
      <c r="G10" s="110"/>
      <c r="H10" s="110"/>
      <c r="I10" s="110"/>
      <c r="J10" s="110"/>
      <c r="K10" s="110"/>
      <c r="L10" s="110"/>
      <c r="M10" s="110"/>
      <c r="N10" s="110"/>
      <c r="O10" s="110"/>
      <c r="P10" s="110"/>
      <c r="Q10" s="110"/>
      <c r="R10" s="110"/>
      <c r="S10" s="110"/>
      <c r="T10" s="270"/>
      <c r="U10" s="270"/>
      <c r="V10" s="270"/>
      <c r="W10" s="270"/>
      <c r="X10" s="270"/>
      <c r="Y10" s="270"/>
      <c r="Z10" s="270"/>
      <c r="AA10" s="270"/>
      <c r="AB10" s="270"/>
    </row>
    <row r="11" spans="2:28" x14ac:dyDescent="0.2">
      <c r="B11" s="239"/>
      <c r="C11" s="63" t="str">
        <f>IF(topdowntables!N4=1, "Overført til polte, stk", "Transferred to gilts, p.")</f>
        <v>Overført til polte, stk</v>
      </c>
      <c r="D11" s="242">
        <f>'Flow sohold'!D11</f>
        <v>0</v>
      </c>
      <c r="E11" s="233"/>
      <c r="F11" s="110"/>
      <c r="G11" s="110"/>
      <c r="H11" s="110"/>
      <c r="I11" s="110"/>
      <c r="J11" s="110"/>
      <c r="K11" s="110"/>
      <c r="L11" s="110"/>
      <c r="M11" s="110"/>
      <c r="N11" s="110"/>
      <c r="O11" s="110"/>
      <c r="P11" s="110"/>
      <c r="Q11" s="110"/>
      <c r="R11" s="110"/>
      <c r="S11" s="110"/>
      <c r="T11" s="270"/>
      <c r="U11" s="270"/>
      <c r="V11" s="270"/>
      <c r="W11" s="270"/>
      <c r="X11" s="270"/>
      <c r="Y11" s="270"/>
      <c r="Z11" s="270"/>
      <c r="AA11" s="270"/>
      <c r="AB11" s="270"/>
    </row>
    <row r="12" spans="2:28" ht="15" thickBot="1" x14ac:dyDescent="0.25">
      <c r="B12" s="246"/>
      <c r="C12" s="247" t="str">
        <f>IF(topdowntables!N4=1, "Vægt ved afgang, kg", "Weight, kg per produced slaughter pig")</f>
        <v>Vægt ved afgang, kg</v>
      </c>
      <c r="D12" s="248">
        <f>'input-data'!E36</f>
        <v>0</v>
      </c>
      <c r="E12" s="233"/>
      <c r="F12" s="110"/>
      <c r="G12" s="110"/>
      <c r="H12" s="110"/>
      <c r="I12" s="110"/>
      <c r="J12" s="110"/>
      <c r="K12" s="110"/>
      <c r="L12" s="110"/>
      <c r="M12" s="110"/>
      <c r="N12" s="110"/>
      <c r="O12" s="110"/>
      <c r="P12" s="110"/>
      <c r="Q12" s="110"/>
      <c r="R12" s="110"/>
      <c r="S12" s="110"/>
      <c r="T12" s="270"/>
      <c r="U12" s="270"/>
      <c r="V12" s="270"/>
      <c r="W12" s="270"/>
      <c r="X12" s="270"/>
      <c r="Y12" s="270"/>
      <c r="Z12" s="270"/>
      <c r="AA12" s="270"/>
      <c r="AB12" s="270"/>
    </row>
    <row r="13" spans="2:28" ht="15" thickBot="1" x14ac:dyDescent="0.25">
      <c r="B13" s="63"/>
      <c r="C13" s="63"/>
      <c r="D13" s="265"/>
      <c r="E13" s="233"/>
      <c r="F13" s="110"/>
      <c r="G13" s="110"/>
      <c r="H13" s="110"/>
      <c r="I13" s="110"/>
      <c r="J13" s="110"/>
      <c r="K13" s="110"/>
      <c r="L13" s="110"/>
      <c r="M13" s="110"/>
      <c r="N13" s="110"/>
      <c r="O13" s="110"/>
      <c r="P13" s="110"/>
      <c r="Q13" s="110"/>
      <c r="R13" s="110"/>
      <c r="S13" s="110"/>
      <c r="T13" s="270"/>
      <c r="U13" s="270"/>
      <c r="V13" s="270"/>
      <c r="W13" s="270"/>
      <c r="X13" s="270"/>
      <c r="Y13" s="270"/>
      <c r="Z13" s="270"/>
      <c r="AA13" s="270"/>
      <c r="AB13" s="270"/>
    </row>
    <row r="14" spans="2:28" x14ac:dyDescent="0.2">
      <c r="B14" s="230" t="str">
        <f>IF(topdowntables!N4=1, "Foder og strøelse, flow:", "Feed and straw, flow")</f>
        <v>Foder og strøelse, flow:</v>
      </c>
      <c r="C14" s="275"/>
      <c r="D14" s="276"/>
      <c r="E14" s="233"/>
      <c r="F14" s="110"/>
      <c r="G14" s="110"/>
      <c r="H14" s="110"/>
      <c r="I14" s="110"/>
      <c r="J14" s="110"/>
      <c r="K14" s="110"/>
      <c r="L14" s="110"/>
      <c r="M14" s="110"/>
      <c r="N14" s="110"/>
      <c r="O14" s="110"/>
      <c r="P14" s="110"/>
      <c r="Q14" s="110"/>
      <c r="R14" s="110"/>
      <c r="S14" s="110"/>
      <c r="T14" s="270"/>
      <c r="U14" s="270"/>
      <c r="V14" s="270"/>
      <c r="W14" s="270"/>
      <c r="X14" s="270"/>
      <c r="Y14" s="270"/>
      <c r="Z14" s="270"/>
      <c r="AA14" s="270"/>
      <c r="AB14" s="270"/>
    </row>
    <row r="15" spans="2:28" x14ac:dyDescent="0.2">
      <c r="B15" s="234" t="str">
        <f>IF(topdowntables!N4=1, "Foderdage per produceret slagtesvin:", "Feeding days per produced slaughter pig:")</f>
        <v>Foderdage per produceret slagtesvin:</v>
      </c>
      <c r="C15" s="235"/>
      <c r="D15" s="253"/>
      <c r="E15" s="233"/>
      <c r="F15" s="110"/>
      <c r="G15" s="110"/>
      <c r="H15" s="110"/>
      <c r="I15" s="110"/>
      <c r="J15" s="110"/>
      <c r="K15" s="110"/>
      <c r="L15" s="110"/>
      <c r="M15" s="110"/>
      <c r="N15" s="110"/>
      <c r="O15" s="110"/>
      <c r="P15" s="110"/>
      <c r="Q15" s="110"/>
      <c r="R15" s="110"/>
      <c r="S15" s="110"/>
      <c r="T15" s="270"/>
      <c r="U15" s="270"/>
      <c r="V15" s="270"/>
      <c r="W15" s="270"/>
      <c r="X15" s="270"/>
      <c r="Y15" s="270"/>
      <c r="Z15" s="270"/>
      <c r="AA15" s="270"/>
      <c r="AB15" s="270"/>
    </row>
    <row r="16" spans="2:28" x14ac:dyDescent="0.2">
      <c r="B16" s="277"/>
      <c r="C16" s="63" t="str">
        <f>IF(topdowntables!N4=1, "Foderdage, ude", "Feeding days, outdoor")</f>
        <v>Foderdage, ude</v>
      </c>
      <c r="D16" s="240"/>
      <c r="E16" s="233"/>
      <c r="F16" s="110"/>
      <c r="G16" s="110"/>
      <c r="H16" s="110"/>
      <c r="I16" s="110"/>
      <c r="J16" s="110"/>
      <c r="K16" s="110"/>
      <c r="L16" s="110"/>
      <c r="M16" s="110"/>
      <c r="N16" s="110"/>
      <c r="O16" s="110"/>
      <c r="P16" s="110"/>
      <c r="Q16" s="110"/>
      <c r="R16" s="110"/>
      <c r="S16" s="110"/>
      <c r="T16" s="270"/>
      <c r="U16" s="270"/>
      <c r="V16" s="270"/>
      <c r="W16" s="270"/>
      <c r="X16" s="270"/>
      <c r="Y16" s="270"/>
      <c r="Z16" s="270"/>
      <c r="AA16" s="270"/>
      <c r="AB16" s="270"/>
    </row>
    <row r="17" spans="2:30" x14ac:dyDescent="0.2">
      <c r="B17" s="277"/>
      <c r="C17" s="264" t="str">
        <f>IF(topdowntables!$N$4=1, "    Blanding 1", "    Feed mixture 1")</f>
        <v xml:space="preserve">    Blanding 1</v>
      </c>
      <c r="D17" s="242">
        <f>IF(OR('input-data'!$E$368=topdowntables!$C$25,'input-data'!$E$368=topdowntables!$C$30),0)
+(IF(AND('input-data'!$E$368=topdowntables!$C$26,'input-data'!H228&gt;'input-data'!F228,'input-data'!E36&gt;='input-data'!H228),('input-data'!H228-'input-data'!F228)/'input-data'!E37,0)
+IF(AND('input-data'!$E$368=topdowntables!$C$31,'input-data'!H228&gt;'input-data'!F228,'input-data'!E36&gt;='input-data'!H228),('input-data'!H228-'input-data'!F228)/'input-data'!E37,0)
+IF(AND('input-data'!$E$368=topdowntables!$C$26,'input-data'!H228&gt;'input-data'!F228,'input-data'!E36&lt;'input-data'!H228),('input-data'!E36-'input-data'!F228)/'input-data'!E37,0)
+IF(AND('input-data'!$E$368=topdowntables!$C$31,'input-data'!H228&gt;'input-data'!F228,'input-data'!E36&lt;'input-data'!H228),('input-data'!E36-'input-data'!F228)/'input-data'!E37,0)
+IF(AND('input-data'!$E$368=topdowntables!$C$27,'input-data'!H228&gt;'input-data'!F228,'input-data'!F369&gt;'input-data'!F228,'input-data'!F369&lt;='input-data'!H228,'input-data'!H228&lt;='input-data'!E36),('input-data'!F369-'input-data'!F228)/'input-data'!E37,0)
+IF(AND('input-data'!$E$368=topdowntables!$C$32,'input-data'!H228&gt;'input-data'!F228,'input-data'!F369&gt;'input-data'!F228,'input-data'!F369&lt;='input-data'!H228,'input-data'!H228&lt;='input-data'!E36),('input-data'!F369-'input-data'!F228)/'input-data'!E37,0)
+IF(AND('input-data'!$E$368=topdowntables!$C$27,'input-data'!H228&gt;'input-data'!F228,'input-data'!F369&gt;'input-data'!F228,'input-data'!F369&lt;='input-data'!H228,'input-data'!H228&gt;'input-data'!E36, 'input-data'!F369&gt;'input-data'!E36),('input-data'!E36-'input-data'!F228)/'input-data'!E37,0)
+IF(AND('input-data'!$E$368=topdowntables!$C$32,'input-data'!H228&gt;'input-data'!F228,'input-data'!F369&gt;'input-data'!F228,'input-data'!F369&lt;='input-data'!H228,'input-data'!H228&gt;'input-data'!E36, 'input-data'!F369&gt;'input-data'!E36),('input-data'!E36-'input-data'!F228)/'input-data'!E37,0)
+IF(AND('input-data'!$E$368=topdowntables!$C$27,'input-data'!H228&gt;'input-data'!F228,'input-data'!F369&gt;'input-data'!F228,'input-data'!F369&lt;='input-data'!H228,'input-data'!H228&gt;'input-data'!E36, 'input-data'!F369&lt;='input-data'!E36),('input-data'!F369-'input-data'!F228)/'input-data'!E37,0)
+IF(AND('input-data'!$E$368=topdowntables!$C$32,'input-data'!H228&gt;'input-data'!F228,'input-data'!F369&gt;'input-data'!F228,'input-data'!F369&lt;='input-data'!H228,'input-data'!H228&gt;'input-data'!E36, 'input-data'!F369&lt;='input-data'!E36),('input-data'!F369-'input-data'!F228)/'input-data'!E37,0)
+IF(AND('input-data'!$E$368=topdowntables!$C$27,'input-data'!H228&gt;'input-data'!F228,'input-data'!F369&gt;'input-data'!H228,'input-data'!H228&lt;='input-data'!E36),('input-data'!H228-'input-data'!F228)/ 'input-data'!E37,0)
+IF(AND('input-data'!$E$368=topdowntables!$C$32,'input-data'!H228&gt;'input-data'!F228,'input-data'!F369&gt;'input-data'!H228,'input-data'!H228&lt;='input-data'!E36),('input-data'!H228-'input-data'!F228)/ 'input-data'!E37,0)
+IF(AND('input-data'!$E$368=topdowntables!$C$27,'input-data'!H228&gt;'input-data'!F228,'input-data'!F369&gt;'input-data'!H228,'input-data'!H228&gt;'input-data'!E36),('input-data'!E36-'input-data'!F228)/'input-data'!E37,0)
+IF(AND('input-data'!$E$368=topdowntables!$C$32,'input-data'!H228&gt;'input-data'!F228,'input-data'!F369&gt;'input-data'!H228,'input-data'!H228&gt;'input-data'!E36),('input-data'!E36-'input-data'!F228)/'input-data'!E37,0)
)*1000</f>
        <v>0</v>
      </c>
      <c r="E17" s="233"/>
      <c r="F17" s="110"/>
      <c r="G17" s="110"/>
      <c r="H17" s="110"/>
      <c r="I17" s="110"/>
      <c r="J17" s="110"/>
      <c r="K17" s="110"/>
      <c r="L17" s="110"/>
      <c r="M17" s="110"/>
      <c r="N17" s="110"/>
      <c r="O17" s="110"/>
      <c r="P17" s="110"/>
      <c r="Q17" s="110"/>
      <c r="R17" s="110"/>
      <c r="S17" s="110"/>
      <c r="T17" s="270"/>
      <c r="U17" s="270"/>
      <c r="V17" s="270"/>
      <c r="W17" s="270"/>
      <c r="X17" s="270"/>
      <c r="Y17" s="270"/>
      <c r="Z17" s="270"/>
      <c r="AA17" s="270"/>
      <c r="AB17" s="270"/>
    </row>
    <row r="18" spans="2:30" x14ac:dyDescent="0.2">
      <c r="B18" s="277"/>
      <c r="C18" s="264" t="str">
        <f>IF(topdowntables!$N$4=1, "    Blanding 2", "    Feed mixture 2")</f>
        <v xml:space="preserve">    Blanding 2</v>
      </c>
      <c r="D18" s="242">
        <f>IF(OR('input-data'!$E$368=topdowntables!$C$25,'input-data'!$E$368=topdowntables!$C$30),0)
+(IF(AND('input-data'!$E$368=topdowntables!$C$26,'input-data'!H247&gt;'input-data'!F247,'input-data'!E36&gt;='input-data'!H247),('input-data'!H247-'input-data'!F247)/'input-data'!E37,0)
+IF(AND('input-data'!$E$368=topdowntables!$C$31,'input-data'!H247&gt;'input-data'!F247,'input-data'!E36&gt;='input-data'!H247),('input-data'!H247-'input-data'!F247)/'input-data'!E37,0)
+IF(AND('input-data'!$E$368=topdowntables!$C$26,'input-data'!H247&gt;'input-data'!F247,'input-data'!E36&lt;'input-data'!H247),('input-data'!E36-'input-data'!F247)/'input-data'!E37,0)
+IF(AND('input-data'!$E$368=topdowntables!$C$31,'input-data'!H247&gt;'input-data'!F247,'input-data'!E36&lt;'input-data'!H247),('input-data'!E36-'input-data'!F247)/'input-data'!E37,0)
+IF(AND('input-data'!$E$368=topdowntables!$C$27,'input-data'!H247&gt;'input-data'!F247,'input-data'!F369&gt;'input-data'!F247,'input-data'!F369&lt;='input-data'!H247,'input-data'!H247&lt;='input-data'!E36),('input-data'!F369-'input-data'!F247)/'input-data'!E37,0)
+IF(AND('input-data'!$E$368=topdowntables!$C$32,'input-data'!H247&gt;'input-data'!F247,'input-data'!F369&gt;'input-data'!F247,'input-data'!F369&lt;='input-data'!H247,'input-data'!H247&lt;='input-data'!E36),('input-data'!F369-'input-data'!F247)/'input-data'!E37,0)
+IF(AND('input-data'!$E$368=topdowntables!$C$27,'input-data'!H247&gt;'input-data'!F247,'input-data'!F369&gt;'input-data'!F247,'input-data'!F369&lt;='input-data'!H247,'input-data'!H247&gt;'input-data'!E36, 'input-data'!F369&gt;'input-data'!E36),('input-data'!E36-'input-data'!F247)/'input-data'!E37,0)
+IF(AND('input-data'!$E$368=topdowntables!$C$32,'input-data'!H247&gt;'input-data'!F247,'input-data'!F369&gt;'input-data'!F247,'input-data'!F369&lt;='input-data'!H247,'input-data'!H247&gt;'input-data'!E36, 'input-data'!F369&gt;'input-data'!E36),('input-data'!E36-'input-data'!F247)/'input-data'!E37,0)
+IF(AND('input-data'!$E$368=topdowntables!$C$27,'input-data'!H247&gt;'input-data'!F247,'input-data'!F369&gt;'input-data'!F247,'input-data'!F369&lt;='input-data'!H247,'input-data'!H247&gt;'input-data'!E36, 'input-data'!F369&lt;='input-data'!E36),('input-data'!F369-'input-data'!F247)/'input-data'!E37,0)
+IF(AND('input-data'!$E$368=topdowntables!$C$32,'input-data'!H247&gt;'input-data'!F247,'input-data'!F369&gt;'input-data'!F247,'input-data'!F369&lt;='input-data'!H247,'input-data'!H247&gt;'input-data'!E36, 'input-data'!F369&lt;='input-data'!E36),('input-data'!F369-'input-data'!F247)/'input-data'!E37,0)
+IF(AND('input-data'!$E$368=topdowntables!$C$27,'input-data'!H247&gt;'input-data'!F247,'input-data'!F369&gt;'input-data'!H247,'input-data'!H247&lt;='input-data'!E36),('input-data'!H247-'input-data'!F247)/ 'input-data'!E37,0)
+IF(AND('input-data'!$E$368=topdowntables!$C$32,'input-data'!H247&gt;'input-data'!F247,'input-data'!F369&gt;'input-data'!H247,'input-data'!H247&lt;='input-data'!E36),('input-data'!H247-'input-data'!F247)/ 'input-data'!E37,0)
+IF(AND('input-data'!$E$368=topdowntables!$C$27,'input-data'!H247&gt;'input-data'!F247,'input-data'!F369&gt;'input-data'!H247,'input-data'!H247&gt;'input-data'!E36),('input-data'!E36-'input-data'!F247)/'input-data'!E37,0)
+IF(AND('input-data'!$E$368=topdowntables!$C$32,'input-data'!H247&gt;'input-data'!F247,'input-data'!F369&gt;'input-data'!H247,'input-data'!H247&gt;'input-data'!E36),('input-data'!E36-'input-data'!F247)/'input-data'!E37,0)
)*1000</f>
        <v>0</v>
      </c>
      <c r="E18" s="233"/>
      <c r="F18" s="110"/>
      <c r="G18" s="110"/>
      <c r="H18" s="110"/>
      <c r="I18" s="110"/>
      <c r="J18" s="110"/>
      <c r="K18" s="110"/>
      <c r="L18" s="110"/>
      <c r="M18" s="110"/>
      <c r="N18" s="110"/>
      <c r="O18" s="110"/>
      <c r="P18" s="110"/>
      <c r="Q18" s="110"/>
      <c r="R18" s="110"/>
      <c r="S18" s="110"/>
      <c r="T18" s="270"/>
      <c r="U18" s="270"/>
      <c r="V18" s="270"/>
      <c r="W18" s="270"/>
      <c r="X18" s="270"/>
      <c r="Y18" s="270"/>
      <c r="Z18" s="270"/>
      <c r="AA18" s="270"/>
      <c r="AB18" s="270"/>
    </row>
    <row r="19" spans="2:30" x14ac:dyDescent="0.2">
      <c r="B19" s="277"/>
      <c r="C19" s="264" t="str">
        <f>IF(topdowntables!$N$4=1, "    Blanding 3", "    Feed mixture 3")</f>
        <v xml:space="preserve">    Blanding 3</v>
      </c>
      <c r="D19" s="242">
        <f>IF(OR('input-data'!$E$368=topdowntables!$C$25,'input-data'!$E$368=topdowntables!$C$30),0)
+(IF(AND('input-data'!$E$368=topdowntables!$C$26,'input-data'!H266&gt;'input-data'!F266),('input-data'!H266-'input-data'!F266)/'input-data'!E37,0)
+IF(AND('input-data'!$E$368=topdowntables!$C$31,'input-data'!H266&gt;'input-data'!F266),('input-data'!H266-'input-data'!F266)/'input-data'!E37,0)
+IF(AND('input-data'!$E$368=topdowntables!$C$27,'input-data'!H266&gt;'input-data'!F266,'input-data'!F369&gt;'input-data'!F266,'input-data'!F369&lt;='input-data'!H266),('input-data'!F369-'input-data'!F266)/'input-data'!E37,0)
+IF(AND('input-data'!$E$368=topdowntables!$C$32,'input-data'!H266&gt;'input-data'!F266,'input-data'!F369&gt;'input-data'!F266,'input-data'!F369&lt;='input-data'!H266),('input-data'!F369-'input-data'!F266)/'input-data'!E37,0)
+IF(AND('input-data'!$E$368=topdowntables!$C$27,'input-data'!H266&gt;'input-data'!F266,'input-data'!F369&gt;'input-data'!F266,'input-data'!F369&gt;'input-data'!E36),('input-data'!E36-'input-data'!F266)/'input-data'!E37,0)
+IF(AND('input-data'!$E$368=topdowntables!$C$32,'input-data'!H266&gt;'input-data'!F266,'input-data'!F369&gt;'input-data'!F266,'input-data'!F369&gt;'input-data'!E36),('input-data'!E36-'input-data'!F266)/'input-data'!E37,0)
)*1000</f>
        <v>0</v>
      </c>
      <c r="E19" s="233"/>
      <c r="F19" s="110"/>
      <c r="G19" s="110"/>
      <c r="H19" s="110"/>
      <c r="I19" s="110"/>
      <c r="J19" s="110"/>
      <c r="K19" s="110"/>
      <c r="L19" s="110"/>
      <c r="M19" s="110"/>
      <c r="N19" s="110"/>
      <c r="O19" s="110"/>
      <c r="P19" s="110"/>
      <c r="Q19" s="110"/>
      <c r="R19" s="110"/>
      <c r="S19" s="110"/>
      <c r="T19" s="270"/>
      <c r="U19" s="270"/>
      <c r="V19" s="270"/>
      <c r="W19" s="270"/>
      <c r="X19" s="270"/>
      <c r="Y19" s="270"/>
      <c r="Z19" s="270"/>
      <c r="AA19" s="270"/>
      <c r="AB19" s="270"/>
    </row>
    <row r="20" spans="2:30" x14ac:dyDescent="0.2">
      <c r="B20" s="277"/>
      <c r="C20" s="63" t="str">
        <f>IF(topdowntables!N4=1, "Foderdage, ude ialt", "Feeding days, outdoor total")</f>
        <v>Foderdage, ude ialt</v>
      </c>
      <c r="D20" s="242">
        <f>D17+D18+D19</f>
        <v>0</v>
      </c>
      <c r="E20" s="233"/>
      <c r="F20" s="110"/>
      <c r="G20" s="110"/>
      <c r="H20" s="110"/>
      <c r="I20" s="110"/>
      <c r="J20" s="110"/>
      <c r="K20" s="110"/>
      <c r="L20" s="110"/>
      <c r="M20" s="110"/>
      <c r="N20" s="110"/>
      <c r="O20" s="110"/>
      <c r="P20" s="110"/>
      <c r="Q20" s="110"/>
      <c r="R20" s="110"/>
      <c r="S20" s="110"/>
      <c r="T20" s="270"/>
      <c r="U20" s="270"/>
      <c r="V20" s="270"/>
      <c r="W20" s="270"/>
      <c r="X20" s="270"/>
      <c r="Y20" s="270"/>
      <c r="Z20" s="270"/>
      <c r="AA20" s="270"/>
      <c r="AB20" s="270"/>
    </row>
    <row r="21" spans="2:30" x14ac:dyDescent="0.2">
      <c r="B21" s="277"/>
      <c r="C21" s="63"/>
      <c r="D21" s="242"/>
      <c r="E21" s="233"/>
      <c r="F21" s="110"/>
      <c r="G21" s="110"/>
      <c r="H21" s="110"/>
      <c r="I21" s="110"/>
      <c r="J21" s="110"/>
      <c r="K21" s="110"/>
      <c r="L21" s="110"/>
      <c r="M21" s="110"/>
      <c r="N21" s="110"/>
      <c r="O21" s="110"/>
      <c r="P21" s="110"/>
      <c r="Q21" s="110"/>
      <c r="R21" s="110"/>
      <c r="S21" s="110"/>
      <c r="T21" s="270"/>
      <c r="U21" s="270"/>
      <c r="V21" s="270"/>
      <c r="W21" s="270"/>
      <c r="X21" s="270"/>
      <c r="Y21" s="270"/>
      <c r="Z21" s="270"/>
      <c r="AA21" s="270"/>
      <c r="AB21" s="270"/>
    </row>
    <row r="22" spans="2:30" x14ac:dyDescent="0.2">
      <c r="B22" s="277"/>
      <c r="C22" s="63" t="str">
        <f>IF(topdowntables!N4=1, "Foderdage, inde", "Feeding days, indoor")</f>
        <v>Foderdage, inde</v>
      </c>
      <c r="D22" s="242"/>
      <c r="E22" s="233"/>
      <c r="F22" s="110"/>
      <c r="G22" s="110"/>
      <c r="H22" s="110"/>
      <c r="I22" s="110"/>
      <c r="J22" s="110"/>
      <c r="K22" s="110"/>
      <c r="L22" s="110"/>
      <c r="M22" s="110"/>
      <c r="N22" s="110"/>
      <c r="O22" s="110"/>
      <c r="P22" s="110"/>
      <c r="Q22" s="110"/>
      <c r="R22" s="110"/>
      <c r="S22" s="110"/>
      <c r="T22" s="270"/>
      <c r="U22" s="270"/>
      <c r="V22" s="270"/>
      <c r="W22" s="270"/>
      <c r="X22" s="270"/>
      <c r="Y22" s="270"/>
      <c r="Z22" s="270"/>
      <c r="AA22" s="270"/>
      <c r="AB22" s="270"/>
    </row>
    <row r="23" spans="2:30" x14ac:dyDescent="0.2">
      <c r="B23" s="277"/>
      <c r="C23" s="264" t="str">
        <f>IF(topdowntables!$N$4=1, "    Blanding 1", "    Feed mixture 1")</f>
        <v xml:space="preserve">    Blanding 1</v>
      </c>
      <c r="D23" s="242">
        <f>(IF(AND('input-data'!$E$368=topdowntables!$C$25,'input-data'!H228&gt;'input-data'!F228,'input-data'!E36&gt;='input-data'!H228),('input-data'!H228-'input-data'!F228)/'input-data'!E37,0)
+IF(AND('input-data'!$E$368=topdowntables!$C$30,'input-data'!H228&gt;'input-data'!F228,'input-data'!E36&gt;='input-data'!H228),('input-data'!H228-'input-data'!F228)/'input-data'!E37,0)
+IF(AND('input-data'!$E$368=topdowntables!$C$25,'input-data'!H228&gt;'input-data'!F228,'input-data'!E36&lt;'input-data'!H228),('input-data'!E36-'input-data'!F228)/'input-data'!E37,0)
+IF(AND('input-data'!$E$368=topdowntables!$C$30,'input-data'!H228&gt;'input-data'!F228,'input-data'!E36&lt;'input-data'!H228),('input-data'!E36-'input-data'!F228)/'input-data'!E37,0)
+IF(OR('input-data'!$E$368=topdowntables!$C$26,'input-data'!$E$368=topdowntables!$C$31),0)
+IF(AND('input-data'!$E$368=topdowntables!$C$27,'input-data'!H228&gt;'input-data'!F228,'input-data'!F369&gt;'input-data'!F228,'input-data'!F369&lt;='input-data'!H228,'input-data'!H228&lt;='input-data'!E36),('input-data'!H228-'input-data'!F369)/'input-data'!E37,0)
+IF(AND('input-data'!$E$368=topdowntables!$C$32,'input-data'!H228&gt;'input-data'!F228,'input-data'!F369&gt;'input-data'!F228,'input-data'!F369&lt;='input-data'!H228,'input-data'!H228&lt;='input-data'!E36),('input-data'!H228-'input-data'!F369)/'input-data'!E37,0)
+IF(AND('input-data'!$E$368=topdowntables!$C$27,'input-data'!H228&gt;'input-data'!F228,'input-data'!F369&gt;'input-data'!F228,'input-data'!F369&lt;='input-data'!H228,'input-data'!H228&gt;'input-data'!E36),('input-data'!E36-'input-data'!F369)/'input-data'!E37,0)
+IF(AND('input-data'!$E$368=topdowntables!$C$32,'input-data'!H228&gt;'input-data'!F228,'input-data'!F369&gt;'input-data'!F228,'input-data'!F369&lt;='input-data'!H228,'input-data'!H228&gt;'input-data'!E36),('input-data'!E36-'input-data'!F369)/'input-data'!E37,0)
+IF(AND('input-data'!$E$368=topdowntables!$C$27,'input-data'!H228&gt;'input-data'!F228,'input-data'!F369&lt;='input-data'!F228,'input-data'!H228&lt;='input-data'!E36),('input-data'!H228-'input-data'!F228)/ 'input-data'!E37,0)
+IF(AND('input-data'!$E$368=topdowntables!$C$32,'input-data'!H228&gt;'input-data'!F228,'input-data'!F369&lt;='input-data'!F228,'input-data'!H228&lt;='input-data'!E36),('input-data'!H228-'input-data'!F228)/ 'input-data'!E37,0)
+IF(AND('input-data'!$E$368=topdowntables!$C$27,'input-data'!H228&gt;'input-data'!F228,'input-data'!F369&lt;='input-data'!F228,'input-data'!H228&gt;'input-data'!E36),('input-data'!E36-'input-data'!F228)/'input-data'!E37,0)
+IF(AND('input-data'!$E$368=topdowntables!$C$32,'input-data'!H228&gt;'input-data'!F228,'input-data'!F369&lt;='input-data'!F228,'input-data'!H228&gt;'input-data'!E36),('input-data'!E36-'input-data'!F228)/'input-data'!E37,0)
)*1000</f>
        <v>0</v>
      </c>
      <c r="E23" s="233"/>
      <c r="F23" s="110"/>
      <c r="G23" s="110"/>
      <c r="H23" s="110"/>
      <c r="I23" s="110"/>
      <c r="J23" s="110"/>
      <c r="K23" s="110"/>
      <c r="L23" s="110"/>
      <c r="M23" s="110"/>
      <c r="N23" s="110"/>
      <c r="O23" s="110"/>
      <c r="P23" s="110"/>
      <c r="Q23" s="110"/>
      <c r="R23" s="110"/>
      <c r="S23" s="110"/>
      <c r="T23" s="270"/>
      <c r="U23" s="270"/>
      <c r="V23" s="270"/>
      <c r="W23" s="270"/>
      <c r="X23" s="270"/>
      <c r="Y23" s="270"/>
      <c r="Z23" s="270"/>
      <c r="AA23" s="270"/>
      <c r="AB23" s="270"/>
    </row>
    <row r="24" spans="2:30" x14ac:dyDescent="0.2">
      <c r="B24" s="277"/>
      <c r="C24" s="264" t="str">
        <f>IF(topdowntables!$N$4=1, "    Blanding 2", "    Feed mixture 2")</f>
        <v xml:space="preserve">    Blanding 2</v>
      </c>
      <c r="D24" s="242">
        <f>(IF(AND('input-data'!$E$368=topdowntables!$C$25,'input-data'!H247&gt;'input-data'!F247,'input-data'!E36&gt;='input-data'!H247),('input-data'!H247-'input-data'!F247)/'input-data'!E37,0)
+IF(AND('input-data'!$E$368=topdowntables!$C$30,'input-data'!H247&gt;'input-data'!F247,'input-data'!E36&gt;='input-data'!H247),('input-data'!H247-'input-data'!F247)/'input-data'!E37,0)
+IF(AND('input-data'!$E$368=topdowntables!$C$25,'input-data'!H247&gt;'input-data'!F247,'input-data'!E36&lt;'input-data'!H247),('input-data'!E36-'input-data'!F247)/'input-data'!E37,0)
+IF(AND('input-data'!$E$368=topdowntables!$C$30,'input-data'!H247&gt;'input-data'!F247,'input-data'!E36&lt;'input-data'!H247),('input-data'!E36-'input-data'!F247)/'input-data'!E37,0)
+IF(OR('input-data'!$E$368=topdowntables!$C$26,'input-data'!$E$368=topdowntables!$C$31),0)
+IF(AND('input-data'!$E$368=topdowntables!$C$27,'input-data'!H247&gt;'input-data'!F247,'input-data'!F369&gt;'input-data'!F247,'input-data'!F369&lt;='input-data'!H247,'input-data'!H247&lt;='input-data'!E36),('input-data'!H247-'input-data'!F369)/'input-data'!E37,0)
+IF(AND('input-data'!$E$368=topdowntables!$C$32,'input-data'!H247&gt;'input-data'!F247,'input-data'!F369&gt;'input-data'!F247,'input-data'!F369&lt;='input-data'!H247,'input-data'!H247&lt;='input-data'!E36),('input-data'!H247-'input-data'!F369)/'input-data'!E37,0)
+IF(AND('input-data'!$E$368=topdowntables!$C$27,'input-data'!H247&gt;'input-data'!F247,'input-data'!F369&gt;'input-data'!F247,'input-data'!F369&lt;='input-data'!H247,'input-data'!H247&gt;'input-data'!E36),('input-data'!E36-'input-data'!F369)/'input-data'!E37,0)
+IF(AND('input-data'!$E$368=topdowntables!$C$32,'input-data'!H247&gt;'input-data'!F247,'input-data'!F369&gt;'input-data'!F247,'input-data'!F369&lt;='input-data'!H247,'input-data'!H247&gt;'input-data'!E36),('input-data'!E36-'input-data'!F369)/'input-data'!E37,0)
+IF(AND('input-data'!$E$368=topdowntables!$C$27,'input-data'!H247&gt;'input-data'!F247,'input-data'!F369&lt;='input-data'!F247,'input-data'!H247&lt;='input-data'!E36),('input-data'!H247-'input-data'!F247)/ 'input-data'!E37,0)
+IF(AND('input-data'!$E$368=topdowntables!$C$32,'input-data'!H247&gt;'input-data'!F247,'input-data'!F369&lt;='input-data'!F247,'input-data'!H247&lt;='input-data'!E36),('input-data'!H247-'input-data'!F247)/ 'input-data'!E37,0)
+IF(AND('input-data'!$E$368=topdowntables!$C$27,'input-data'!H247&gt;'input-data'!F247,'input-data'!F369&lt;='input-data'!F247,'input-data'!H247&gt;'input-data'!E36),('input-data'!E36-'input-data'!F247)/'input-data'!E37,0)
+IF(AND('input-data'!$E$368=topdowntables!$C$32,'input-data'!H247&gt;'input-data'!F247,'input-data'!F369&lt;='input-data'!F247,'input-data'!H247&gt;'input-data'!E36),('input-data'!E36-'input-data'!F247)/'input-data'!E37,0)
)*1000</f>
        <v>0</v>
      </c>
      <c r="E24" s="233"/>
      <c r="F24" s="110"/>
      <c r="G24" s="110"/>
      <c r="H24" s="110"/>
      <c r="I24" s="110"/>
      <c r="J24" s="110"/>
      <c r="K24" s="110"/>
      <c r="L24" s="110"/>
      <c r="M24" s="110"/>
      <c r="N24" s="110"/>
      <c r="O24" s="110"/>
      <c r="P24" s="110"/>
      <c r="Q24" s="110"/>
      <c r="R24" s="110"/>
      <c r="S24" s="110"/>
      <c r="T24" s="270"/>
      <c r="U24" s="270"/>
      <c r="V24" s="270"/>
      <c r="W24" s="270"/>
      <c r="X24" s="270"/>
      <c r="Y24" s="270"/>
      <c r="Z24" s="270"/>
      <c r="AA24" s="270"/>
      <c r="AB24" s="270"/>
    </row>
    <row r="25" spans="2:30" x14ac:dyDescent="0.2">
      <c r="B25" s="277"/>
      <c r="C25" s="264" t="str">
        <f>IF(topdowntables!$N$4=1, "    Blanding 3", "    Feed mixture 3")</f>
        <v xml:space="preserve">    Blanding 3</v>
      </c>
      <c r="D25" s="242">
        <f>(IF(AND('input-data'!$E$368=topdowntables!$C$25,'input-data'!H266&gt;'input-data'!F266),('input-data'!H266-'input-data'!F266)/'input-data'!E37,0)
+IF(AND('input-data'!$E$368=topdowntables!$C$30,'input-data'!H266&gt;'input-data'!F266),('input-data'!H266-'input-data'!F266)/'input-data'!E37,0)
+IF(OR('input-data'!$E$368=topdowntables!$C$26,'input-data'!$E$368=topdowntables!$C$31),0)
+IF(AND('input-data'!$E$368=topdowntables!$C$27,'input-data'!H266&gt;'input-data'!F266,'input-data'!F369&gt;'input-data'!F266,'input-data'!F369&lt;='input-data'!H266),('input-data'!H266-'input-data'!F369)/'input-data'!E37,0)
+IF(AND('input-data'!$E$368=topdowntables!$C$32,'input-data'!H266&gt;'input-data'!F266,'input-data'!F369&gt;'input-data'!F266,'input-data'!F369&lt;='input-data'!H266),('input-data'!H266-'input-data'!F369)/'input-data'!E37,0)
+IF(AND('input-data'!$E$368=topdowntables!$C$27,'input-data'!H266&gt;'input-data'!F266,'input-data'!F369&lt;='input-data'!F266),('input-data'!H266-'input-data'!F266)/ 'input-data'!E37,0)
+IF(AND('input-data'!$E$368=topdowntables!$C$32,'input-data'!H266&gt;'input-data'!F266,'input-data'!F369&lt;='input-data'!F266),('input-data'!H266-'input-data'!F266)/'input-data'!E37,0)
)*1000</f>
        <v>0</v>
      </c>
      <c r="E25" s="233"/>
      <c r="F25" s="110"/>
      <c r="G25" s="110"/>
      <c r="H25" s="110"/>
      <c r="I25" s="110"/>
      <c r="J25" s="110"/>
      <c r="K25" s="110"/>
      <c r="L25" s="110"/>
      <c r="M25" s="110"/>
      <c r="N25" s="110"/>
      <c r="O25" s="110"/>
      <c r="P25" s="110"/>
      <c r="Q25" s="110"/>
      <c r="R25" s="110"/>
      <c r="S25" s="110"/>
      <c r="T25" s="270"/>
      <c r="U25" s="270"/>
      <c r="V25" s="270"/>
      <c r="W25" s="270"/>
      <c r="X25" s="270"/>
      <c r="Y25" s="270"/>
      <c r="Z25" s="270"/>
      <c r="AA25" s="270"/>
      <c r="AB25" s="270"/>
    </row>
    <row r="26" spans="2:30" x14ac:dyDescent="0.2">
      <c r="B26" s="277"/>
      <c r="C26" s="63" t="str">
        <f>IF(topdowntables!N4=1, "Foderdage, inde ialt", "Feeding days, indoor total")</f>
        <v>Foderdage, inde ialt</v>
      </c>
      <c r="D26" s="242">
        <f>D23+D24+D25</f>
        <v>0</v>
      </c>
      <c r="E26" s="233"/>
      <c r="F26" s="110"/>
      <c r="G26" s="110"/>
      <c r="H26" s="110"/>
      <c r="I26" s="110"/>
      <c r="J26" s="110"/>
      <c r="K26" s="110"/>
      <c r="L26" s="110"/>
      <c r="M26" s="110"/>
      <c r="N26" s="110"/>
      <c r="O26" s="110"/>
      <c r="P26" s="110"/>
      <c r="Q26" s="110"/>
      <c r="R26" s="110"/>
      <c r="S26" s="110"/>
      <c r="T26" s="270"/>
      <c r="U26" s="270"/>
      <c r="V26" s="270"/>
      <c r="W26" s="270"/>
      <c r="X26" s="270"/>
      <c r="Y26" s="270"/>
      <c r="Z26" s="270"/>
      <c r="AA26" s="270"/>
      <c r="AB26" s="270"/>
    </row>
    <row r="27" spans="2:30" x14ac:dyDescent="0.2">
      <c r="B27" s="277"/>
      <c r="C27" s="63"/>
      <c r="D27" s="240"/>
      <c r="E27" s="233"/>
      <c r="F27" s="110"/>
      <c r="G27" s="110"/>
      <c r="H27" s="110"/>
      <c r="I27" s="110"/>
      <c r="J27" s="110"/>
      <c r="K27" s="110"/>
      <c r="L27" s="110"/>
      <c r="M27" s="110"/>
      <c r="N27" s="110"/>
      <c r="O27" s="110"/>
      <c r="P27" s="110"/>
      <c r="Q27" s="110"/>
      <c r="R27" s="110"/>
      <c r="S27" s="110"/>
      <c r="T27" s="270"/>
      <c r="U27" s="270"/>
      <c r="V27" s="270"/>
      <c r="W27" s="270"/>
      <c r="X27" s="270"/>
      <c r="Y27" s="270"/>
      <c r="Z27" s="270"/>
      <c r="AA27" s="270"/>
      <c r="AB27" s="270"/>
    </row>
    <row r="28" spans="2:30" x14ac:dyDescent="0.2">
      <c r="B28" s="277"/>
      <c r="C28" s="63" t="str">
        <f>IF(topdowntables!N4=1, "Foderdage, i alt", "Total feeding days")</f>
        <v>Foderdage, i alt</v>
      </c>
      <c r="D28" s="242">
        <f>D20+D26</f>
        <v>0</v>
      </c>
      <c r="E28" s="233"/>
      <c r="F28" s="110" t="e">
        <f>('input-data'!E36-'input-data'!F228)/'input-data'!E37*1000</f>
        <v>#DIV/0!</v>
      </c>
      <c r="G28" s="110"/>
      <c r="H28" s="110"/>
      <c r="I28" s="110"/>
      <c r="J28" s="110"/>
      <c r="K28" s="110"/>
      <c r="L28" s="110"/>
      <c r="M28" s="110"/>
      <c r="N28" s="110"/>
      <c r="O28" s="110"/>
      <c r="P28" s="110"/>
      <c r="Q28" s="110"/>
      <c r="R28" s="110"/>
      <c r="S28" s="110"/>
      <c r="T28" s="270"/>
      <c r="U28" s="270"/>
      <c r="V28" s="270"/>
      <c r="W28" s="270"/>
      <c r="X28" s="270"/>
      <c r="Y28" s="270"/>
      <c r="Z28" s="270"/>
      <c r="AA28" s="270"/>
      <c r="AB28" s="270"/>
    </row>
    <row r="29" spans="2:30" x14ac:dyDescent="0.2">
      <c r="B29" s="234" t="str">
        <f>IF(topdowntables!N4=1, "Kraffoder per produceret slagtesvin, FE:", "Concentrated feed, FU per produced slaughter pig")</f>
        <v>Kraffoder per produceret slagtesvin, FE:</v>
      </c>
      <c r="C29" s="235"/>
      <c r="D29" s="279"/>
      <c r="F29" s="233"/>
      <c r="G29" s="233"/>
      <c r="H29" s="110"/>
      <c r="I29" s="110"/>
      <c r="J29" s="110"/>
      <c r="K29" s="110"/>
      <c r="L29" s="110"/>
      <c r="M29" s="110"/>
      <c r="N29" s="110"/>
      <c r="O29" s="110"/>
      <c r="P29" s="110"/>
      <c r="Q29" s="110"/>
      <c r="R29" s="110"/>
      <c r="S29" s="110"/>
      <c r="T29" s="110"/>
      <c r="U29" s="110"/>
      <c r="V29" s="270"/>
      <c r="W29" s="270"/>
      <c r="X29" s="270"/>
      <c r="Y29" s="270"/>
      <c r="Z29" s="270"/>
      <c r="AA29" s="270"/>
      <c r="AB29" s="270"/>
      <c r="AC29" s="270"/>
      <c r="AD29" s="270"/>
    </row>
    <row r="30" spans="2:30" x14ac:dyDescent="0.2">
      <c r="B30" s="237"/>
      <c r="C30" s="654" t="str">
        <f>IF(topdowntables!$N$4=1, "Blanding 1", "Feed mixture 1")</f>
        <v>Blanding 1</v>
      </c>
      <c r="D30" s="242">
        <f>IFERROR((IF(AND('input-data'!H228&gt;'input-data'!F228,'input-data'!H228&lt;='input-data'!E36),'Flow slagtesvin'!D8*'input-data'!E227*('input-data'!H228-'input-data'!F228),0)
+IF(AND('input-data'!H228&gt;'input-data'!F228,'input-data'!H228&gt;'input-data'!E36),'Flow slagtesvin'!D8*'input-data'!E227*('input-data'!E36-'input-data'!F228),0)
+IF(AND('input-data'!H228&gt;'input-data'!F228,'input-data'!H228&lt;='input-data'!E36), 'Flow slagtesvin'!D10*'input-data'!E227*(('input-data'!E36-'input-data'!F228)/2)*(('input-data'!H228-'input-data'!F228)/('input-data'!E36-'input-data'!F228)),0)
+IF(AND('input-data'!H228&gt;'input-data'!F228,'input-data'!H228&gt;'input-data'!E36),'Flow slagtesvin'!D10*'input-data'!E227*(('input-data'!E36-'input-data'!F228)/2),0))/'Flow slagtesvin'!D8,0)</f>
        <v>0</v>
      </c>
      <c r="F30" s="233"/>
      <c r="G30" s="233"/>
      <c r="H30" s="110"/>
      <c r="I30" s="110"/>
      <c r="J30" s="110"/>
      <c r="K30" s="110"/>
      <c r="L30" s="110"/>
      <c r="M30" s="110"/>
      <c r="N30" s="110"/>
      <c r="O30" s="110"/>
      <c r="P30" s="110"/>
      <c r="Q30" s="110"/>
      <c r="R30" s="110"/>
      <c r="S30" s="110"/>
      <c r="T30" s="110"/>
      <c r="U30" s="110"/>
      <c r="V30" s="270"/>
      <c r="W30" s="270"/>
      <c r="X30" s="270"/>
      <c r="Y30" s="270"/>
      <c r="Z30" s="270"/>
      <c r="AA30" s="270"/>
      <c r="AB30" s="270"/>
      <c r="AC30" s="270"/>
      <c r="AD30" s="270"/>
    </row>
    <row r="31" spans="2:30" x14ac:dyDescent="0.2">
      <c r="B31" s="237"/>
      <c r="C31" s="654" t="str">
        <f>IF(topdowntables!$N$4=1, "Blanding 2", "Feed mixture 2")</f>
        <v>Blanding 2</v>
      </c>
      <c r="D31" s="242">
        <f>IFERROR((IF(AND('input-data'!F247&gt;='input-data'!F228,'input-data'!H247&gt;'input-data'!F247,'input-data'!H247&lt;='input-data'!E36),D8*'input-data'!E227*('input-data'!H247-'input-data'!F247),0)
+IF(AND('input-data'!F247&gt;='input-data'!F228,'input-data'!H247&gt;'input-data'!F247,'input-data'!H247&lt;='input-data'!E36),D10*'input-data'!E227*(('input-data'!E36-'input-data'!F228)/2)*(('input-data'!H247-'input-data'!F247)/('input-data'!E36-'input-data'!F228)),0)
+IF(AND('input-data'!F247&gt;='input-data'!F228,'input-data'!H247&gt;'input-data'!F247,'input-data'!F247&lt;'input-data'!E36, 'input-data'!H247&gt;'input-data'!E36),D8*'input-data'!E227*('input-data'!E36-'input-data'!F247),0)
+IF(AND('input-data'!F247&gt;='input-data'!F228,'input-data'!H247&gt;'input-data'!F247,'input-data'!F247&lt;'input-data'!E36, 'input-data'!H247&gt;'input-data'!E36),D10*'input-data'!E227*(('input-data'!E36-'input-data'!F228)/2),0)
+IF(AND('input-data'!F247&lt;'input-data'!F228,'input-data'!H247&gt;'input-data'!F228,'input-data'!H247&lt;='input-data'!E36),D8*'input-data'!E227*('input-data'!H247-'input-data'!F228),0)
+IF(AND('input-data'!F247&lt;'input-data'!F228,'input-data'!H247&gt;'input-data'!F228,'input-data'!H247&lt;='input-data'!E36),D10*'input-data'!E227*(('input-data'!E36-'input-data'!F228)/2)*(('input-data'!H247-'input-data'!F228)/('input-data'!E36-'input-data'!F228)),0)
+IF(AND('input-data'!F247&lt;'input-data'!F228,'input-data'!H247&gt;'input-data'!F228,'input-data'!H247&gt;'input-data'!E36),D8*'input-data'!E227*('input-data'!E36-'input-data'!F228),0)
+IF(AND('input-data'!F247&lt;'input-data'!F228,'input-data'!H247&gt;'input-data'!F228,'input-data'!H247&gt;'input-data'!E36),D10*'input-data'!E227*(('input-data'!E36-'input-data'!F228)/2)*(('input-data'!E36-'input-data'!F228)/('input-data'!E36-'input-data'!F228)),0))/D8,0)</f>
        <v>0</v>
      </c>
      <c r="F31" s="233"/>
      <c r="G31" s="233"/>
      <c r="H31" s="110"/>
      <c r="I31" s="110"/>
      <c r="J31" s="110"/>
      <c r="K31" s="110"/>
      <c r="L31" s="110"/>
      <c r="M31" s="110"/>
      <c r="N31" s="110"/>
      <c r="O31" s="110"/>
      <c r="P31" s="110"/>
      <c r="Q31" s="110"/>
      <c r="R31" s="110"/>
      <c r="S31" s="110"/>
      <c r="T31" s="110"/>
      <c r="U31" s="110"/>
      <c r="V31" s="270"/>
      <c r="W31" s="270"/>
      <c r="X31" s="270"/>
      <c r="Y31" s="270"/>
      <c r="Z31" s="270"/>
      <c r="AA31" s="270"/>
      <c r="AB31" s="270"/>
      <c r="AC31" s="270"/>
      <c r="AD31" s="270"/>
    </row>
    <row r="32" spans="2:30" x14ac:dyDescent="0.2">
      <c r="B32" s="237"/>
      <c r="C32" s="654" t="str">
        <f>IF(topdowntables!$N$4=1, "Blanding 3", "Feed mixture 3")</f>
        <v>Blanding 3</v>
      </c>
      <c r="D32" s="242">
        <f>IFERROR((IF(AND('input-data'!F266&gt;='input-data'!F228,'input-data'!E36&gt;'input-data'!H228,'input-data'!H247&gt;='input-data'!F247,'input-data'!E36&gt;'input-data'!F266),D8*'input-data'!E227*('input-data'!E36 -'input-data'!F266),0)
+IF(AND('input-data'!F266&gt;='input-data'!F228,'input-data'!E36&gt;'input-data'!H228,'input-data'!H247&gt;='input-data'!F247,'input-data'!E36&gt;'input-data'!F266),D10*'input-data'!E227*(('input-data'!E36-'input-data'!F228)/2)*(('input-data'!E36 -'input-data'!F266)/('input-data'!E36-'input-data'!F228)),0)
+IF(AND('input-data'!F266&gt;='input-data'!F228,'input-data'!E36&gt;'input-data'!H228,'input-data'!E36&gt;'input-data'!F266,'input-data'!H247&lt;='input-data'!F247),D8*'input-data'!E227*('input-data'!E36 -'input-data'!H228),0)
+IF(AND('input-data'!F266&gt;='input-data'!F228,'input-data'!E36&gt;'input-data'!H228,'input-data'!E36&gt;'input-data'!F266,'input-data'!H247&lt;='input-data'!F247),D10*'input-data'!E227*(('input-data'!E36-'input-data'!F228)/2)*(('input-data'!E36 -'input-data'!H228)/('input-data'!E36-'input-data'!F228)),0)
+IF(AND('input-data'!F266&lt;'input-data'!F228,'input-data'!F266&lt;'input-data'!F247,'input-data'!H228&gt;='input-data'!F228, 'input-data'!E36&gt;'input-data'!H228,'input-data'!E36&gt;'input-data'!F266),D8*'input-data'!E227*('input-data'!E36-'input-data'!H228),0)
+IF(AND('input-data'!F266&lt;'input-data'!F228,'input-data'!F266&lt;'input-data'!F247,'input-data'!H228&gt;='input-data'!F228,'input-data'!E36&gt;'input-data'!H228,'input-data'!E36&gt;'input-data'!F266),D10*'input-data'!E227*(('input-data'!E36-'input-data'!F228)/2)*(('input-data'!E36 -'input-data'!H228)/('input-data'!E36-'input-data'!F228)),0)
+IF(AND('input-data'!F266&lt;'input-data'!F228, 'input-data'!H228&lt;'input-data'!F228,'input-data'!E36&gt;'input-data'!F266),D8*'input-data'!E227*('input-data'!E36-'input-data'!F228),0)
+IF(AND('input-data'!F266&lt;'input-data'!F228,'input-data'!H228&lt;'input-data'!F228,'input-data'!E36&gt;'input-data'!F266),D10*'input-data'!E227*(('input-data'!E36-'input-data'!F228)/2)*(('input-data'!E36 -'input-data'!F228)/('input-data'!E36-'input-data'!F228)),0)
)/D8,0)</f>
        <v>0</v>
      </c>
      <c r="F32" s="233"/>
      <c r="G32" s="233"/>
      <c r="H32" s="110"/>
      <c r="I32" s="110"/>
      <c r="J32" s="110"/>
      <c r="K32" s="110"/>
      <c r="L32" s="110"/>
      <c r="M32" s="110"/>
      <c r="N32" s="110"/>
      <c r="O32" s="110"/>
      <c r="P32" s="110"/>
      <c r="Q32" s="110"/>
      <c r="R32" s="110"/>
      <c r="S32" s="110"/>
      <c r="T32" s="110"/>
      <c r="U32" s="110"/>
      <c r="V32" s="270"/>
      <c r="W32" s="270"/>
      <c r="X32" s="270"/>
      <c r="Y32" s="270"/>
      <c r="Z32" s="270"/>
      <c r="AA32" s="270"/>
      <c r="AB32" s="270"/>
      <c r="AC32" s="270"/>
      <c r="AD32" s="270"/>
    </row>
    <row r="33" spans="1:30" x14ac:dyDescent="0.2">
      <c r="B33" s="237"/>
      <c r="C33" s="63" t="str">
        <f>IF(topdowntables!N4=1,"Kraftfoder, ialt", "Concentrated feed, total")</f>
        <v>Kraftfoder, ialt</v>
      </c>
      <c r="D33" s="242">
        <f>D30+D31+D32</f>
        <v>0</v>
      </c>
      <c r="F33" s="233" t="e">
        <f>(('input-data'!H266-'input-data'!F228)*'input-data'!E227*D8+((('input-data'!H266-'input-data'!F228)/2)*'input-data'!E227*D10))/D8</f>
        <v>#DIV/0!</v>
      </c>
      <c r="G33" s="233"/>
      <c r="H33" s="110"/>
      <c r="I33" s="110"/>
      <c r="J33" s="110"/>
      <c r="K33" s="110"/>
      <c r="L33" s="110"/>
      <c r="M33" s="110"/>
      <c r="N33" s="110"/>
      <c r="O33" s="110"/>
      <c r="P33" s="110"/>
      <c r="Q33" s="110"/>
      <c r="R33" s="110"/>
      <c r="S33" s="110"/>
      <c r="T33" s="110"/>
      <c r="U33" s="110"/>
      <c r="V33" s="270"/>
      <c r="W33" s="270"/>
      <c r="X33" s="270"/>
      <c r="Y33" s="270"/>
      <c r="Z33" s="270"/>
      <c r="AA33" s="270"/>
      <c r="AB33" s="270"/>
      <c r="AC33" s="270"/>
      <c r="AD33" s="270"/>
    </row>
    <row r="34" spans="1:30" x14ac:dyDescent="0.2">
      <c r="B34" s="237"/>
      <c r="C34" s="63"/>
      <c r="D34" s="242"/>
      <c r="F34" s="233"/>
      <c r="G34" s="233"/>
      <c r="H34" s="110"/>
      <c r="I34" s="110"/>
      <c r="J34" s="110"/>
      <c r="K34" s="110"/>
      <c r="L34" s="110"/>
      <c r="M34" s="110"/>
      <c r="N34" s="110"/>
      <c r="O34" s="110"/>
      <c r="P34" s="110"/>
      <c r="Q34" s="110"/>
      <c r="R34" s="110"/>
      <c r="S34" s="110"/>
      <c r="T34" s="110"/>
      <c r="U34" s="110"/>
      <c r="V34" s="270"/>
      <c r="W34" s="270"/>
      <c r="X34" s="270"/>
      <c r="Y34" s="270"/>
      <c r="Z34" s="270"/>
      <c r="AA34" s="270"/>
      <c r="AB34" s="270"/>
      <c r="AC34" s="270"/>
      <c r="AD34" s="270"/>
    </row>
    <row r="35" spans="1:30" x14ac:dyDescent="0.2">
      <c r="B35" s="234" t="str">
        <f>IF(topdowntables!N4=1, "Grovfoder per produceret slagtesvin, kg:", "Roughage, kg per produced slaughter pig")</f>
        <v>Grovfoder per produceret slagtesvin, kg:</v>
      </c>
      <c r="C35" s="235"/>
      <c r="D35" s="279"/>
      <c r="F35" s="233">
        <f>D20*'NPK tal'!$B$34*('NPK tal'!$C$34/365)</f>
        <v>0</v>
      </c>
      <c r="G35" s="233"/>
      <c r="H35" s="110"/>
      <c r="I35" s="110"/>
      <c r="J35" s="110"/>
      <c r="K35" s="110"/>
      <c r="L35" s="110"/>
      <c r="M35" s="110"/>
      <c r="N35" s="110"/>
      <c r="O35" s="110"/>
      <c r="P35" s="110"/>
      <c r="Q35" s="110"/>
      <c r="R35" s="110"/>
      <c r="S35" s="110"/>
      <c r="T35" s="110"/>
      <c r="U35" s="110"/>
      <c r="V35" s="270"/>
      <c r="W35" s="270"/>
      <c r="X35" s="270"/>
      <c r="Y35" s="270"/>
      <c r="Z35" s="270"/>
      <c r="AA35" s="270"/>
      <c r="AB35" s="270"/>
      <c r="AC35" s="270"/>
      <c r="AD35" s="270"/>
    </row>
    <row r="36" spans="1:30" x14ac:dyDescent="0.2">
      <c r="B36" s="237"/>
      <c r="C36" s="655" t="str">
        <f>IF(topdowntables!N4=1, "Afgræsning (april-september)", "intake during grazing (April-September)")</f>
        <v>Afgræsning (april-september)</v>
      </c>
      <c r="D36" s="464">
        <f>IF(OR('input-data'!E368=topdowntables!$C$25,'input-data'!E368=topdowntables!$C$30),0)
+IF(OR('input-data'!E368=topdowntables!$C$26,'input-data'!E368=topdowntables!$C$31, 'input-data'!E368=topdowntables!$C$27, 'input-data'!E368=topdowntables!$C$32),D20*'NPK tal'!$B$34*('NPK tal'!$C$34/365))</f>
        <v>0</v>
      </c>
      <c r="F36" s="233"/>
      <c r="G36" s="233"/>
      <c r="H36" s="110"/>
      <c r="I36" s="110"/>
      <c r="J36" s="110"/>
      <c r="K36" s="110"/>
      <c r="L36" s="110"/>
      <c r="M36" s="110"/>
      <c r="N36" s="110"/>
      <c r="O36" s="110"/>
      <c r="P36" s="110"/>
      <c r="Q36" s="110"/>
      <c r="R36" s="110"/>
      <c r="S36" s="110"/>
      <c r="T36" s="110"/>
      <c r="U36" s="110"/>
      <c r="V36" s="270"/>
      <c r="W36" s="270"/>
      <c r="X36" s="270"/>
      <c r="Y36" s="270"/>
      <c r="Z36" s="270"/>
      <c r="AA36" s="270"/>
      <c r="AB36" s="270"/>
      <c r="AC36" s="270"/>
      <c r="AD36" s="270"/>
    </row>
    <row r="37" spans="1:30" x14ac:dyDescent="0.2">
      <c r="B37" s="237"/>
      <c r="C37" s="655" t="str">
        <f>IF(topdowntables!$N$4=1, "Tildelt grovfoder", "roughage, added to feed rations")</f>
        <v>Tildelt grovfoder</v>
      </c>
      <c r="D37" s="464">
        <f>D28*'input-data'!E286*('input-data'!E287/365)</f>
        <v>0</v>
      </c>
      <c r="F37" s="233"/>
      <c r="G37" s="233"/>
      <c r="H37" s="110"/>
      <c r="I37" s="110"/>
      <c r="J37" s="110"/>
      <c r="K37" s="110"/>
      <c r="L37" s="110"/>
      <c r="M37" s="110"/>
      <c r="N37" s="110"/>
      <c r="O37" s="110"/>
      <c r="P37" s="110"/>
      <c r="Q37" s="110"/>
      <c r="R37" s="110"/>
      <c r="S37" s="110"/>
      <c r="T37" s="110"/>
      <c r="U37" s="110"/>
      <c r="V37" s="270"/>
      <c r="W37" s="270"/>
      <c r="X37" s="270"/>
      <c r="Y37" s="270"/>
      <c r="Z37" s="270"/>
      <c r="AA37" s="270"/>
      <c r="AB37" s="270"/>
      <c r="AC37" s="270"/>
      <c r="AD37" s="270"/>
    </row>
    <row r="38" spans="1:30" x14ac:dyDescent="0.2">
      <c r="B38" s="237"/>
      <c r="C38" s="63" t="str">
        <f>IF(topdowntables!$N$4=1, "Grovfoder, ialt", "Roughage, total")</f>
        <v>Grovfoder, ialt</v>
      </c>
      <c r="D38" s="464">
        <f>D37+D36</f>
        <v>0</v>
      </c>
      <c r="F38" s="233"/>
      <c r="G38" s="233"/>
      <c r="H38" s="110"/>
      <c r="I38" s="110"/>
      <c r="J38" s="110"/>
      <c r="K38" s="110"/>
      <c r="L38" s="110"/>
      <c r="M38" s="110"/>
      <c r="N38" s="110"/>
      <c r="O38" s="110"/>
      <c r="P38" s="110"/>
      <c r="Q38" s="110"/>
      <c r="R38" s="110"/>
      <c r="S38" s="110"/>
      <c r="T38" s="110"/>
      <c r="U38" s="110"/>
      <c r="V38" s="270"/>
      <c r="W38" s="270"/>
      <c r="X38" s="270"/>
      <c r="Y38" s="270"/>
      <c r="Z38" s="270"/>
      <c r="AA38" s="270"/>
      <c r="AB38" s="270"/>
      <c r="AC38" s="270"/>
      <c r="AD38" s="270"/>
    </row>
    <row r="39" spans="1:30" x14ac:dyDescent="0.2">
      <c r="B39" s="237"/>
      <c r="C39" s="63"/>
      <c r="D39" s="295"/>
      <c r="F39" s="233"/>
      <c r="G39" s="233"/>
      <c r="H39" s="110"/>
      <c r="I39" s="110"/>
      <c r="J39" s="110"/>
      <c r="K39" s="110"/>
      <c r="L39" s="110"/>
      <c r="M39" s="110"/>
      <c r="N39" s="110"/>
      <c r="O39" s="110"/>
      <c r="P39" s="110"/>
      <c r="Q39" s="110"/>
      <c r="R39" s="110"/>
      <c r="S39" s="110"/>
      <c r="T39" s="110"/>
      <c r="U39" s="110"/>
      <c r="V39" s="270"/>
      <c r="W39" s="270"/>
      <c r="X39" s="270"/>
      <c r="Y39" s="270"/>
      <c r="Z39" s="270"/>
      <c r="AA39" s="270"/>
      <c r="AB39" s="270"/>
      <c r="AC39" s="270"/>
      <c r="AD39" s="270"/>
    </row>
    <row r="40" spans="1:30" x14ac:dyDescent="0.2">
      <c r="B40" s="234" t="str">
        <f>IF(topdowntables!N4=1, "Strøelseforbrug per produceret slagtesvin, kg", "Straw use, kg per produced slaughter pig")</f>
        <v>Strøelseforbrug per produceret slagtesvin, kg</v>
      </c>
      <c r="C40" s="235"/>
      <c r="D40" s="279"/>
      <c r="F40" s="233"/>
      <c r="G40" s="233"/>
      <c r="H40" s="110"/>
      <c r="I40" s="110"/>
      <c r="J40" s="110"/>
      <c r="K40" s="110"/>
      <c r="L40" s="110"/>
      <c r="M40" s="110"/>
      <c r="N40" s="110"/>
      <c r="O40" s="110"/>
      <c r="P40" s="110"/>
      <c r="Q40" s="110"/>
      <c r="R40" s="110"/>
      <c r="S40" s="110"/>
      <c r="T40" s="110"/>
      <c r="U40" s="110"/>
      <c r="V40" s="270"/>
      <c r="W40" s="270"/>
      <c r="X40" s="270"/>
      <c r="Y40" s="270"/>
      <c r="Z40" s="270"/>
      <c r="AA40" s="270"/>
      <c r="AB40" s="270"/>
      <c r="AC40" s="270"/>
      <c r="AD40" s="270"/>
    </row>
    <row r="41" spans="1:30" x14ac:dyDescent="0.2">
      <c r="B41" s="239"/>
      <c r="C41" s="655" t="str">
        <f>IF(topdowntables!$N$4=1, "Tildelt ude", "Used outdoor")</f>
        <v>Tildelt ude</v>
      </c>
      <c r="D41" s="242">
        <f>'Flow slagtesvin'!D20*'input-data'!E375</f>
        <v>0</v>
      </c>
      <c r="F41" s="233"/>
      <c r="G41" s="233"/>
      <c r="H41" s="110"/>
      <c r="I41" s="110"/>
      <c r="J41" s="110"/>
      <c r="K41" s="110"/>
      <c r="L41" s="110"/>
      <c r="M41" s="110"/>
      <c r="N41" s="110"/>
      <c r="O41" s="110"/>
      <c r="P41" s="110"/>
      <c r="Q41" s="110"/>
      <c r="R41" s="110"/>
      <c r="S41" s="110"/>
      <c r="T41" s="110"/>
      <c r="U41" s="110"/>
      <c r="V41" s="270"/>
      <c r="W41" s="270"/>
      <c r="X41" s="270"/>
      <c r="Y41" s="270"/>
      <c r="Z41" s="270"/>
      <c r="AA41" s="270"/>
      <c r="AB41" s="270"/>
      <c r="AC41" s="270"/>
      <c r="AD41" s="270"/>
    </row>
    <row r="42" spans="1:30" x14ac:dyDescent="0.2">
      <c r="B42" s="239"/>
      <c r="C42" s="656" t="str">
        <f>IF(topdowntables!$N$4=1, "Tildelt inde", "Used indoor")</f>
        <v>Tildelt inde</v>
      </c>
      <c r="D42" s="242">
        <f>'Flow slagtesvin'!D26*'input-data'!E382</f>
        <v>0</v>
      </c>
      <c r="F42" s="233"/>
      <c r="G42" s="233"/>
      <c r="H42" s="110"/>
      <c r="I42" s="110"/>
      <c r="J42" s="110"/>
      <c r="K42" s="110"/>
      <c r="L42" s="110"/>
      <c r="M42" s="110"/>
      <c r="N42" s="110"/>
      <c r="O42" s="110"/>
      <c r="P42" s="110"/>
      <c r="Q42" s="110"/>
      <c r="R42" s="110"/>
      <c r="S42" s="110"/>
      <c r="T42" s="110"/>
      <c r="U42" s="110"/>
      <c r="V42" s="270"/>
      <c r="W42" s="270"/>
      <c r="X42" s="270"/>
      <c r="Y42" s="270"/>
      <c r="Z42" s="270"/>
      <c r="AA42" s="270"/>
      <c r="AB42" s="270"/>
      <c r="AC42" s="270"/>
      <c r="AD42" s="270"/>
    </row>
    <row r="43" spans="1:30" x14ac:dyDescent="0.2">
      <c r="B43" s="239"/>
      <c r="C43" s="337" t="str">
        <f>IF(topdowntables!$N$4=1, "Strøelsesforbrug, ialt", "Straw used, total")</f>
        <v>Strøelsesforbrug, ialt</v>
      </c>
      <c r="D43" s="242">
        <f>D41+D42</f>
        <v>0</v>
      </c>
      <c r="F43" s="233"/>
      <c r="G43" s="233"/>
      <c r="H43" s="110"/>
      <c r="I43" s="110"/>
      <c r="J43" s="110"/>
      <c r="K43" s="110"/>
      <c r="L43" s="110"/>
      <c r="M43" s="110"/>
      <c r="N43" s="110"/>
      <c r="O43" s="110"/>
      <c r="P43" s="110"/>
      <c r="Q43" s="110"/>
      <c r="R43" s="110"/>
      <c r="S43" s="110"/>
      <c r="T43" s="110"/>
      <c r="U43" s="110"/>
      <c r="V43" s="270"/>
      <c r="W43" s="270"/>
      <c r="X43" s="270"/>
      <c r="Y43" s="270"/>
      <c r="Z43" s="270"/>
      <c r="AA43" s="270"/>
      <c r="AB43" s="270"/>
      <c r="AC43" s="270"/>
      <c r="AD43" s="270"/>
    </row>
    <row r="44" spans="1:30" ht="15" thickBot="1" x14ac:dyDescent="0.25">
      <c r="B44" s="246"/>
      <c r="C44" s="291"/>
      <c r="D44" s="248"/>
      <c r="F44" s="233"/>
      <c r="G44" s="233"/>
      <c r="H44" s="110"/>
      <c r="I44" s="110"/>
      <c r="J44" s="110"/>
      <c r="K44" s="110"/>
      <c r="L44" s="110"/>
      <c r="M44" s="110"/>
      <c r="N44" s="110"/>
      <c r="O44" s="110"/>
      <c r="P44" s="110"/>
      <c r="Q44" s="110"/>
      <c r="R44" s="110"/>
      <c r="S44" s="110"/>
      <c r="T44" s="110"/>
      <c r="U44" s="110"/>
      <c r="V44" s="270"/>
      <c r="W44" s="270"/>
      <c r="X44" s="270"/>
      <c r="Y44" s="270"/>
      <c r="Z44" s="270"/>
      <c r="AA44" s="270"/>
      <c r="AB44" s="270"/>
      <c r="AC44" s="270"/>
      <c r="AD44" s="270"/>
    </row>
    <row r="45" spans="1:30" ht="15" thickBot="1" x14ac:dyDescent="0.25">
      <c r="B45" s="63"/>
      <c r="C45" s="63"/>
      <c r="D45" s="265"/>
      <c r="E45" s="233"/>
      <c r="F45" s="110"/>
      <c r="G45" s="110"/>
      <c r="H45" s="110"/>
      <c r="I45" s="110"/>
      <c r="J45" s="110"/>
      <c r="K45" s="110"/>
      <c r="L45" s="110"/>
      <c r="M45" s="110"/>
      <c r="N45" s="110"/>
      <c r="O45" s="110"/>
      <c r="P45" s="110"/>
      <c r="Q45" s="110"/>
      <c r="R45" s="110"/>
      <c r="S45" s="110"/>
      <c r="T45" s="270"/>
      <c r="U45" s="270"/>
      <c r="V45" s="270"/>
      <c r="W45" s="270"/>
      <c r="X45" s="270"/>
      <c r="Y45" s="270"/>
      <c r="Z45" s="270"/>
      <c r="AA45" s="270"/>
      <c r="AB45" s="270"/>
    </row>
    <row r="46" spans="1:30" x14ac:dyDescent="0.2">
      <c r="B46" s="230" t="str">
        <f>IF(topdowntables!N4=1, "Foder og halm, N og P bidrag:", "Feed and straw, N and  P flow:")</f>
        <v>Foder og halm, N og P bidrag:</v>
      </c>
      <c r="C46" s="275"/>
      <c r="D46" s="276"/>
      <c r="E46" s="233"/>
      <c r="F46" s="110"/>
      <c r="G46" s="110"/>
      <c r="H46" s="110"/>
      <c r="I46" s="110"/>
      <c r="J46" s="110"/>
      <c r="K46" s="110"/>
      <c r="L46" s="110"/>
      <c r="M46" s="110"/>
      <c r="N46" s="110"/>
      <c r="O46" s="110"/>
      <c r="P46" s="110"/>
      <c r="Q46" s="110"/>
      <c r="R46" s="110"/>
      <c r="S46" s="110"/>
      <c r="T46" s="270"/>
      <c r="U46" s="270"/>
      <c r="V46" s="270"/>
      <c r="W46" s="270"/>
      <c r="X46" s="270"/>
      <c r="Y46" s="270"/>
      <c r="Z46" s="270"/>
      <c r="AA46" s="270"/>
      <c r="AB46" s="270"/>
    </row>
    <row r="47" spans="1:30" x14ac:dyDescent="0.2">
      <c r="A47" s="63"/>
      <c r="B47" s="234" t="str">
        <f>IF(topdowntables!N4=1, "Kraftfoder:", "Concentrated feed:")</f>
        <v>Kraftfoder:</v>
      </c>
      <c r="C47" s="235"/>
      <c r="D47" s="253"/>
      <c r="E47" s="233"/>
      <c r="F47" s="110"/>
      <c r="G47" s="110"/>
      <c r="H47" s="110"/>
      <c r="I47" s="110"/>
      <c r="J47" s="110"/>
      <c r="K47" s="110"/>
      <c r="L47" s="110"/>
      <c r="M47" s="110"/>
      <c r="N47" s="110"/>
      <c r="O47" s="110"/>
      <c r="P47" s="110"/>
      <c r="Q47" s="110"/>
      <c r="R47" s="110"/>
      <c r="S47" s="110"/>
      <c r="T47" s="270"/>
      <c r="U47" s="270"/>
      <c r="V47" s="270"/>
      <c r="W47" s="270"/>
      <c r="X47" s="270"/>
      <c r="Y47" s="270"/>
      <c r="Z47" s="270"/>
      <c r="AA47" s="270"/>
      <c r="AB47" s="270"/>
    </row>
    <row r="48" spans="1:30" x14ac:dyDescent="0.2">
      <c r="A48" s="63"/>
      <c r="B48" s="237"/>
      <c r="C48" s="256" t="str">
        <f>IF(topdowntables!N4=1, "Blanding 1:", "Feed mixture 1:")</f>
        <v>Blanding 1:</v>
      </c>
      <c r="D48" s="240"/>
      <c r="E48" s="233"/>
      <c r="F48" s="110"/>
      <c r="G48" s="110"/>
      <c r="H48" s="110"/>
      <c r="I48" s="110"/>
      <c r="J48" s="110"/>
      <c r="K48" s="110"/>
      <c r="L48" s="110"/>
      <c r="M48" s="110"/>
      <c r="N48" s="110"/>
      <c r="O48" s="110"/>
      <c r="P48" s="110"/>
      <c r="Q48" s="110"/>
      <c r="R48" s="110"/>
      <c r="S48" s="110"/>
      <c r="T48" s="270"/>
      <c r="U48" s="270"/>
      <c r="V48" s="270"/>
      <c r="W48" s="270"/>
      <c r="X48" s="270"/>
      <c r="Y48" s="270"/>
      <c r="Z48" s="270"/>
      <c r="AA48" s="270"/>
      <c r="AB48" s="270"/>
    </row>
    <row r="49" spans="1:28" x14ac:dyDescent="0.2">
      <c r="A49" s="63"/>
      <c r="B49" s="237"/>
      <c r="C49" s="110" t="str">
        <f>IF(topdowntables!N4=1, "FEsv/100 kg", "FUsl.pig/100 kg")</f>
        <v>FEsv/100 kg</v>
      </c>
      <c r="D49" s="296">
        <f>SUM((IFERROR(VLOOKUP('input-data'!$E$230,Fodertabel,3,FALSE),0)*'input-data'!I230/100)
+(IFERROR(VLOOKUP('input-data'!$E$231,Fodertabel,3,FALSE),0)*'input-data'!I231/100)
+(IFERROR(VLOOKUP('input-data'!$E$232,Fodertabel,3,FALSE),0)*'input-data'!I232/100)
+(IFERROR(VLOOKUP('input-data'!$E$233,Fodertabel,3,FALSE),0)*'input-data'!I233/100)
+(IFERROR(VLOOKUP('input-data'!$E$234,Fodertabel,3,FALSE),0)*'input-data'!I234/100)
+(IFERROR(VLOOKUP('input-data'!$E$235,Fodertabel,3,FALSE),0)*'input-data'!I235/100)
+(IFERROR(VLOOKUP('input-data'!$E$236,Fodertabel,3,FALSE),0)*'input-data'!I236/100)
+(IFERROR(VLOOKUP('input-data'!$E$237,Fodertabel,3,FALSE),0)*'input-data'!I237/100)
+(IFERROR(VLOOKUP('input-data'!$E$238,Fodertabel,3,FALSE),0)*'input-data'!I238/100)
+(IFERROR(VLOOKUP('input-data'!$E$239,Fodertabel,3,FALSE),0)*'input-data'!I239/100)
+(IFERROR(VLOOKUP('input-data'!$E$240,Fodertabel,3,FALSE),0)*'input-data'!I240/100)
+(IFERROR(VLOOKUP('input-data'!$E$241,Fodertabel,3,FALSE),0)*'input-data'!I241/100)
+(IFERROR(VLOOKUP('input-data'!$E$242,Fodertabel,3,FALSE),0)*'input-data'!I242/100)
+(IFERROR(VLOOKUP('input-data'!$E$243,Fodertabel,3,FALSE),0)*'input-data'!I243/100)
+(IFERROR(VLOOKUP('input-data'!$E$244,Fodertabel,3,FALSE),0)*'input-data'!I244/100))*100</f>
        <v>0</v>
      </c>
      <c r="E49" s="233"/>
      <c r="F49" s="110"/>
      <c r="G49" s="110"/>
      <c r="H49" s="110"/>
      <c r="I49" s="110"/>
      <c r="J49" s="110"/>
      <c r="K49" s="110"/>
      <c r="L49" s="110"/>
      <c r="M49" s="110"/>
      <c r="N49" s="110"/>
      <c r="O49" s="110"/>
      <c r="P49" s="110"/>
      <c r="Q49" s="110"/>
      <c r="R49" s="110"/>
      <c r="S49" s="110"/>
      <c r="T49" s="270"/>
      <c r="U49" s="270"/>
      <c r="V49" s="270"/>
      <c r="W49" s="270"/>
      <c r="X49" s="270"/>
      <c r="Y49" s="270"/>
      <c r="Z49" s="270"/>
      <c r="AA49" s="270"/>
      <c r="AB49" s="270"/>
    </row>
    <row r="50" spans="1:28" x14ac:dyDescent="0.2">
      <c r="A50" s="63"/>
      <c r="B50" s="237"/>
      <c r="C50" s="110" t="str">
        <f>IF(topdowntables!N4=1, "Tørstof, %", "Dry matter, %")</f>
        <v>Tørstof, %</v>
      </c>
      <c r="D50" s="296">
        <f>SUM((IFERROR(VLOOKUP('input-data'!$E$230,Fodertabel,9,FALSE),0)*'input-data'!I230/100)
+(IFERROR(VLOOKUP('input-data'!$E$231,Fodertabel,9,FALSE),0)*'input-data'!I231/100)
+(IFERROR(VLOOKUP('input-data'!$E$232,Fodertabel,9,FALSE),0)*'input-data'!I232/100)
+(IFERROR(VLOOKUP('input-data'!$E$233,Fodertabel,9,FALSE),0)*'input-data'!I233/100)
+(IFERROR(VLOOKUP('input-data'!$E$234,Fodertabel,9,FALSE),0)*'input-data'!I234/100)
+(IFERROR(VLOOKUP('input-data'!$E$235,Fodertabel,9,FALSE),0)*'input-data'!I235/100)
+(IFERROR(VLOOKUP('input-data'!$E$236,Fodertabel,9,FALSE),0)*'input-data'!I236/100)
+(IFERROR(VLOOKUP('input-data'!$E$237,Fodertabel,9,FALSE),0)*'input-data'!I237/100)
+(IFERROR(VLOOKUP('input-data'!$E$238,Fodertabel,9,FALSE),0)*'input-data'!I238/100)
+(IFERROR(VLOOKUP('input-data'!$E$239,Fodertabel,9,FALSE),0)*'input-data'!I239/100)
+(IFERROR(VLOOKUP('input-data'!$E$240,Fodertabel,9,FALSE),0)*'input-data'!I240/100)
+(IFERROR(VLOOKUP('input-data'!$E$241,Fodertabel,9,FALSE),0)*'input-data'!I241/100)
+(IFERROR(VLOOKUP('input-data'!$E$242,Fodertabel,9,FALSE),0)*'input-data'!I242/100)
+(IFERROR(VLOOKUP('input-data'!$E$243,Fodertabel,9,FALSE),0)*'input-data'!I243/100)
+(IFERROR(VLOOKUP('input-data'!$E$244,Fodertabel,9,FALSE),0)*'input-data'!I244/100))</f>
        <v>0</v>
      </c>
      <c r="E50" s="233"/>
      <c r="F50" s="110"/>
      <c r="G50" s="110"/>
      <c r="H50" s="110"/>
      <c r="I50" s="110"/>
      <c r="J50" s="110"/>
      <c r="K50" s="110"/>
      <c r="L50" s="110"/>
      <c r="M50" s="110"/>
      <c r="N50" s="110"/>
      <c r="O50" s="110"/>
      <c r="P50" s="110"/>
      <c r="Q50" s="110"/>
      <c r="R50" s="110"/>
      <c r="S50" s="110"/>
      <c r="T50" s="270"/>
      <c r="U50" s="270"/>
      <c r="V50" s="270"/>
      <c r="W50" s="270"/>
      <c r="X50" s="270"/>
      <c r="Y50" s="270"/>
      <c r="Z50" s="270"/>
      <c r="AA50" s="270"/>
      <c r="AB50" s="270"/>
    </row>
    <row r="51" spans="1:28" x14ac:dyDescent="0.2">
      <c r="A51" s="63"/>
      <c r="B51" s="237"/>
      <c r="C51" s="110" t="str">
        <f>IF(topdowntables!N4=1, "Råprotein, g per kg foder", "Crude protein, g per kg feed")</f>
        <v>Råprotein, g per kg foder</v>
      </c>
      <c r="D51" s="296">
        <f>SUM((IFERROR(VLOOKUP('input-data'!$E$230,Fodertabel,10,FALSE),0)*'input-data'!I230/100)
+(IFERROR(VLOOKUP('input-data'!$E$231,Fodertabel,10,FALSE),0)*'input-data'!I231/100)
+(IFERROR(VLOOKUP('input-data'!$E$232,Fodertabel,10,FALSE),0)*'input-data'!I232/100)
+(IFERROR(VLOOKUP('input-data'!$E$233,Fodertabel,10,FALSE),0)*'input-data'!I233/100)
+(IFERROR(VLOOKUP('input-data'!$E$234,Fodertabel,10,FALSE),0)*'input-data'!I234/100)
+(IFERROR(VLOOKUP('input-data'!$E$235,Fodertabel,10,FALSE),0)*'input-data'!I235/100)
+(IFERROR(VLOOKUP('input-data'!$E$236,Fodertabel,10,FALSE),0)*'input-data'!I236/100)
+(IFERROR(VLOOKUP('input-data'!$E$237,Fodertabel,10,FALSE),0)*'input-data'!I237/100)
+(IFERROR(VLOOKUP('input-data'!$E$238,Fodertabel,10,FALSE),0)*'input-data'!I238/100)
+(IFERROR(VLOOKUP('input-data'!$E$239,Fodertabel,10,FALSE),0)*'input-data'!I239/100)
+(IFERROR(VLOOKUP('input-data'!$E$240,Fodertabel,10,FALSE),0)*'input-data'!I240/100)
+(IFERROR(VLOOKUP('input-data'!$E$241,Fodertabel,10,FALSE),0)*'input-data'!I241/100)
+(IFERROR(VLOOKUP('input-data'!$E$242,Fodertabel,10,FALSE),0)*'input-data'!I242/100)
+(IFERROR(VLOOKUP('input-data'!$E$243,Fodertabel,10,FALSE),0)*'input-data'!I243/100)
+(IFERROR(VLOOKUP('input-data'!$E$244,Fodertabel,10,FALSE),0)*'input-data'!I244/100))
*10</f>
        <v>0</v>
      </c>
      <c r="E51" s="233"/>
      <c r="F51" s="110"/>
      <c r="G51" s="110"/>
      <c r="H51" s="110"/>
      <c r="I51" s="110"/>
      <c r="J51" s="110"/>
      <c r="K51" s="110"/>
      <c r="L51" s="110"/>
      <c r="M51" s="110"/>
      <c r="N51" s="110"/>
      <c r="O51" s="110"/>
      <c r="P51" s="110"/>
      <c r="Q51" s="110"/>
      <c r="R51" s="110"/>
      <c r="S51" s="110"/>
      <c r="T51" s="270"/>
      <c r="U51" s="270"/>
      <c r="V51" s="270"/>
      <c r="W51" s="270"/>
      <c r="X51" s="270"/>
      <c r="Y51" s="270"/>
      <c r="Z51" s="270"/>
      <c r="AA51" s="270"/>
      <c r="AB51" s="270"/>
    </row>
    <row r="52" spans="1:28" x14ac:dyDescent="0.2">
      <c r="A52" s="63"/>
      <c r="B52" s="237"/>
      <c r="C52" s="110" t="str">
        <f>IF(topdowntables!N4=1, "Fosfor, g per kg foder", "Phosphorus, g per kg feed")</f>
        <v>Fosfor, g per kg foder</v>
      </c>
      <c r="D52" s="240">
        <f>SUM((IFERROR(VLOOKUP('input-data'!$E$230,Fodertabel,79,FALSE),0)*'input-data'!I230/100)
+(IFERROR(VLOOKUP('input-data'!$E$231,Fodertabel,79,FALSE),0)*'input-data'!I231/100)
+(IFERROR(VLOOKUP('input-data'!$E$232,Fodertabel,79,FALSE),0)*'input-data'!I232/100)
+(IFERROR(VLOOKUP('input-data'!$E$233,Fodertabel,79,FALSE),0)*'input-data'!I233/100)
+(IFERROR(VLOOKUP('input-data'!$E$234,Fodertabel,79,FALSE),0)*'input-data'!I234/100)
+(IFERROR(VLOOKUP('input-data'!$E$235,Fodertabel,79,FALSE),0)*'input-data'!I235/100)
+(IFERROR(VLOOKUP('input-data'!$E$236,Fodertabel,79,FALSE),0)*'input-data'!I236/100)
+(IFERROR(VLOOKUP('input-data'!$E$237,Fodertabel,79,FALSE),0)*'input-data'!I237/100)
+(IFERROR(VLOOKUP('input-data'!$E$238,Fodertabel,79,FALSE),0)*'input-data'!I238/100)
+(IFERROR(VLOOKUP('input-data'!$E$239,Fodertabel,79,FALSE),0)*'input-data'!I239/100)
+(IFERROR(VLOOKUP('input-data'!$E$240,Fodertabel,79,FALSE),0)*'input-data'!I240/100)
+(IFERROR(VLOOKUP('input-data'!$E$241,Fodertabel,79,FALSE),0)*'input-data'!I241/100)
+(IFERROR(VLOOKUP('input-data'!$E$242,Fodertabel,79,FALSE),0)*'input-data'!I242/100)
+(IFERROR(VLOOKUP('input-data'!$E$243,Fodertabel,79,FALSE),0)*'input-data'!I243/100)
+(IFERROR(VLOOKUP('input-data'!$E$244,Fodertabel,79,FALSE),0)*'input-data'!I244/100))</f>
        <v>0</v>
      </c>
      <c r="E52" s="233"/>
      <c r="F52" s="110"/>
      <c r="G52" s="110"/>
      <c r="H52" s="110"/>
      <c r="I52" s="110"/>
      <c r="J52" s="110"/>
      <c r="K52" s="110"/>
      <c r="L52" s="110"/>
      <c r="M52" s="110"/>
      <c r="N52" s="110"/>
      <c r="O52" s="110"/>
      <c r="P52" s="110"/>
      <c r="Q52" s="110"/>
      <c r="R52" s="110"/>
      <c r="S52" s="110"/>
      <c r="T52" s="270"/>
      <c r="U52" s="270"/>
      <c r="V52" s="270"/>
      <c r="W52" s="270"/>
      <c r="X52" s="270"/>
      <c r="Y52" s="270"/>
      <c r="Z52" s="270"/>
      <c r="AA52" s="270"/>
      <c r="AB52" s="270"/>
    </row>
    <row r="53" spans="1:28" x14ac:dyDescent="0.2">
      <c r="A53" s="63"/>
      <c r="B53" s="237"/>
      <c r="C53" s="256" t="str">
        <f>IF(topdowntables!N4=1, "Blanding 2:", "Feed mixture 2:")</f>
        <v>Blanding 2:</v>
      </c>
      <c r="D53" s="240"/>
      <c r="E53" s="233"/>
      <c r="F53" s="110"/>
      <c r="G53" s="110"/>
      <c r="H53" s="110"/>
      <c r="I53" s="110"/>
      <c r="J53" s="110"/>
      <c r="K53" s="110"/>
      <c r="L53" s="110"/>
      <c r="M53" s="110"/>
      <c r="N53" s="110"/>
      <c r="O53" s="110"/>
      <c r="P53" s="110"/>
      <c r="Q53" s="110"/>
      <c r="R53" s="110"/>
      <c r="S53" s="110"/>
      <c r="T53" s="270"/>
      <c r="U53" s="270"/>
      <c r="V53" s="270"/>
      <c r="W53" s="270"/>
      <c r="X53" s="270"/>
      <c r="Y53" s="270"/>
      <c r="Z53" s="270"/>
      <c r="AA53" s="270"/>
      <c r="AB53" s="270"/>
    </row>
    <row r="54" spans="1:28" x14ac:dyDescent="0.2">
      <c r="A54" s="63"/>
      <c r="B54" s="237"/>
      <c r="C54" s="110" t="str">
        <f>IF(topdowntables!N4=1, "FEsv/100 kg", "FUsl.pig/100 kg")</f>
        <v>FEsv/100 kg</v>
      </c>
      <c r="D54" s="296">
        <f>SUM((IFERROR(VLOOKUP('input-data'!$E$249,Fodertabel,3,FALSE),0)*'input-data'!I249/100)
+(IFERROR(VLOOKUP('input-data'!$E$250,Fodertabel,3,FALSE),0)*'input-data'!I250/100)
+(IFERROR(VLOOKUP('input-data'!$E$251,Fodertabel,3,FALSE),0)*'input-data'!I251/100)
+(IFERROR(VLOOKUP('input-data'!$E$252,Fodertabel,3,FALSE),0)*'input-data'!I252/100)
+(IFERROR(VLOOKUP('input-data'!$E$253,Fodertabel,3,FALSE),0)*'input-data'!I253/100)
+(IFERROR(VLOOKUP('input-data'!$E$254,Fodertabel,3,FALSE),0)*'input-data'!I254/100)
+(IFERROR(VLOOKUP('input-data'!$E$255,Fodertabel,3,FALSE),0)*'input-data'!I255/100)
+(IFERROR(VLOOKUP('input-data'!$E$256,Fodertabel,3,FALSE),0)*'input-data'!I256/100)
+(IFERROR(VLOOKUP('input-data'!$E$257,Fodertabel,3,FALSE),0)*'input-data'!I257/100)
+(IFERROR(VLOOKUP('input-data'!$E$258,Fodertabel,3,FALSE),0)*'input-data'!I258/100)
+(IFERROR(VLOOKUP('input-data'!$E$259,Fodertabel,3,FALSE),0)*'input-data'!I259/100)
+(IFERROR(VLOOKUP('input-data'!$E$260,Fodertabel,3,FALSE),0)*'input-data'!I260/100)
+(IFERROR(VLOOKUP('input-data'!$E$261,Fodertabel,3,FALSE),0)*'input-data'!I261/100)
+(IFERROR(VLOOKUP('input-data'!$E$262,Fodertabel,3,FALSE),0)*'input-data'!I262/100)
+(IFERROR(VLOOKUP('input-data'!$E$263,Fodertabel,3,FALSE),0)*'input-data'!I263/100))
*100</f>
        <v>0</v>
      </c>
      <c r="E54" s="233"/>
      <c r="F54" s="110"/>
      <c r="G54" s="110"/>
      <c r="H54" s="110"/>
      <c r="I54" s="110"/>
      <c r="J54" s="110"/>
      <c r="K54" s="110"/>
      <c r="L54" s="110"/>
      <c r="M54" s="110"/>
      <c r="N54" s="110"/>
      <c r="O54" s="110"/>
      <c r="P54" s="110"/>
      <c r="Q54" s="110"/>
      <c r="R54" s="110"/>
      <c r="S54" s="110"/>
      <c r="T54" s="270"/>
      <c r="U54" s="270"/>
      <c r="V54" s="270"/>
      <c r="W54" s="270"/>
      <c r="X54" s="270"/>
      <c r="Y54" s="270"/>
      <c r="Z54" s="270"/>
      <c r="AA54" s="270"/>
      <c r="AB54" s="270"/>
    </row>
    <row r="55" spans="1:28" x14ac:dyDescent="0.2">
      <c r="A55" s="63"/>
      <c r="B55" s="237"/>
      <c r="C55" s="110" t="str">
        <f>IF(topdowntables!N4=1, "Tørstof, %", "Dry matter, %")</f>
        <v>Tørstof, %</v>
      </c>
      <c r="D55" s="296">
        <f>SUM((IFERROR(VLOOKUP('input-data'!$E$249,Fodertabel,9,FALSE),0)*'input-data'!I249/100)
+(IFERROR(VLOOKUP('input-data'!$E$250,Fodertabel,9,FALSE),0)*'input-data'!I250/100)
+(IFERROR(VLOOKUP('input-data'!$E$251,Fodertabel,9,FALSE),0)*'input-data'!I251/100)
+(IFERROR(VLOOKUP('input-data'!$E$252,Fodertabel,9,FALSE),0)*'input-data'!I252/100)
+(IFERROR(VLOOKUP('input-data'!$E$253,Fodertabel,9,FALSE),0)*'input-data'!I253/100)
+(IFERROR(VLOOKUP('input-data'!$E$254,Fodertabel,9,FALSE),0)*'input-data'!I254/100)
+(IFERROR(VLOOKUP('input-data'!$E$255,Fodertabel,9,FALSE),0)*'input-data'!I255/100)
+(IFERROR(VLOOKUP('input-data'!$E$256,Fodertabel,9,FALSE),0)*'input-data'!I256/100)
+(IFERROR(VLOOKUP('input-data'!$E$257,Fodertabel,9,FALSE),0)*'input-data'!I257/100)
+(IFERROR(VLOOKUP('input-data'!$E$258,Fodertabel,9,FALSE),0)*'input-data'!I258/100)
+(IFERROR(VLOOKUP('input-data'!$E$259,Fodertabel,9,FALSE),0)*'input-data'!I259/100)
+(IFERROR(VLOOKUP('input-data'!$E$260,Fodertabel,9,FALSE),0)*'input-data'!I260/100)
+(IFERROR(VLOOKUP('input-data'!$E$261,Fodertabel,9,FALSE),0)*'input-data'!I261/100)
+(IFERROR(VLOOKUP('input-data'!$E$262,Fodertabel,9,FALSE),0)*'input-data'!I262/100)
+(IFERROR(VLOOKUP('input-data'!$E$263,Fodertabel,9,FALSE),0)*'input-data'!I263/100))</f>
        <v>0</v>
      </c>
      <c r="E55" s="233"/>
      <c r="F55" s="110"/>
      <c r="G55" s="110"/>
      <c r="H55" s="110"/>
      <c r="I55" s="110"/>
      <c r="J55" s="110"/>
      <c r="K55" s="110"/>
      <c r="L55" s="110"/>
      <c r="M55" s="110"/>
      <c r="N55" s="110"/>
      <c r="O55" s="110"/>
      <c r="P55" s="110"/>
      <c r="Q55" s="110"/>
      <c r="R55" s="110"/>
      <c r="S55" s="110"/>
      <c r="T55" s="270"/>
      <c r="U55" s="270"/>
      <c r="V55" s="270"/>
      <c r="W55" s="270"/>
      <c r="X55" s="270"/>
      <c r="Y55" s="270"/>
      <c r="Z55" s="270"/>
      <c r="AA55" s="270"/>
      <c r="AB55" s="270"/>
    </row>
    <row r="56" spans="1:28" x14ac:dyDescent="0.2">
      <c r="A56" s="63"/>
      <c r="B56" s="237"/>
      <c r="C56" s="110" t="str">
        <f>IF(topdowntables!N4=1, "Råprotein, g per kg foder", "Crude protein, g per kg feed")</f>
        <v>Råprotein, g per kg foder</v>
      </c>
      <c r="D56" s="296">
        <f>SUM((IFERROR(VLOOKUP('input-data'!$E$249,Fodertabel,10,FALSE),0)*'input-data'!I249/100)
+(IFERROR(VLOOKUP('input-data'!$E$250,Fodertabel,10,FALSE),0)*'input-data'!I250/100)
+(IFERROR(VLOOKUP('input-data'!$E$251,Fodertabel,10,FALSE),0)*'input-data'!I251/100)
+(IFERROR(VLOOKUP('input-data'!$E$252,Fodertabel,10,FALSE),0)*'input-data'!I252/100)
+(IFERROR(VLOOKUP('input-data'!$E$253,Fodertabel,10,FALSE),0)*'input-data'!I253/100)
+(IFERROR(VLOOKUP('input-data'!$E$254,Fodertabel,10,FALSE),0)*'input-data'!I254/100)
+(IFERROR(VLOOKUP('input-data'!$E$255,Fodertabel,10,FALSE),0)*'input-data'!I255/100)
+(IFERROR(VLOOKUP('input-data'!$E$256,Fodertabel,10,FALSE),0)*'input-data'!I256/100)
+(IFERROR(VLOOKUP('input-data'!$E$257,Fodertabel,10,FALSE),0)*'input-data'!I257/100)
+(IFERROR(VLOOKUP('input-data'!$E$258,Fodertabel,10,FALSE),0)*'input-data'!I258/100)
+(IFERROR(VLOOKUP('input-data'!$E$259,Fodertabel,10,FALSE),0)*'input-data'!I259/100)
+(IFERROR(VLOOKUP('input-data'!$E$260,Fodertabel,10,FALSE),0)*'input-data'!I260/100)
+(IFERROR(VLOOKUP('input-data'!$E$261,Fodertabel,10,FALSE),0)*'input-data'!I261/100)
+(IFERROR(VLOOKUP('input-data'!$E$262,Fodertabel,10,FALSE),0)*'input-data'!I262/100)
+(IFERROR(VLOOKUP('input-data'!$E$263,Fodertabel,10,FALSE),0)*'input-data'!I263/100))
*10</f>
        <v>0</v>
      </c>
      <c r="E56" s="233"/>
      <c r="F56" s="110"/>
      <c r="G56" s="110"/>
      <c r="H56" s="110"/>
      <c r="I56" s="110"/>
      <c r="J56" s="110"/>
      <c r="K56" s="110"/>
      <c r="L56" s="110"/>
      <c r="M56" s="110"/>
      <c r="N56" s="110"/>
      <c r="O56" s="110"/>
      <c r="P56" s="110"/>
      <c r="Q56" s="110"/>
      <c r="R56" s="110"/>
      <c r="S56" s="110"/>
      <c r="T56" s="270"/>
      <c r="U56" s="270"/>
      <c r="V56" s="270"/>
      <c r="W56" s="270"/>
      <c r="X56" s="270"/>
      <c r="Y56" s="270"/>
      <c r="Z56" s="270"/>
      <c r="AA56" s="270"/>
      <c r="AB56" s="270"/>
    </row>
    <row r="57" spans="1:28" x14ac:dyDescent="0.2">
      <c r="A57" s="63"/>
      <c r="B57" s="237"/>
      <c r="C57" s="110" t="str">
        <f>IF(topdowntables!N4=1, "Fosfor, g per kg foder", "Phosphorus, g per kg feed")</f>
        <v>Fosfor, g per kg foder</v>
      </c>
      <c r="D57" s="297">
        <f>SUM((IFERROR(VLOOKUP('input-data'!$E$249,Fodertabel,79,FALSE),0)*'input-data'!I249/100)
+(IFERROR(VLOOKUP('input-data'!$E$250,Fodertabel,79,FALSE),0)*'input-data'!I250/100)
+(IFERROR(VLOOKUP('input-data'!$E$251,Fodertabel,79,FALSE),0)*'input-data'!I251/100)
+(IFERROR(VLOOKUP('input-data'!$E$252,Fodertabel,79,FALSE),0)*'input-data'!I252/100)
+(IFERROR(VLOOKUP('input-data'!$E$253,Fodertabel,79,FALSE),0)*'input-data'!I253/100)
+(IFERROR(VLOOKUP('input-data'!$E$254,Fodertabel,79,FALSE),0)*'input-data'!I254/100)
+(IFERROR(VLOOKUP('input-data'!$E$255,Fodertabel,79,FALSE),0)*'input-data'!I255/100)
+(IFERROR(VLOOKUP('input-data'!$E$256,Fodertabel,79,FALSE),0)*'input-data'!I256/100)
+(IFERROR(VLOOKUP('input-data'!$E$257,Fodertabel,79,FALSE),0)*'input-data'!I257/100)
+(IFERROR(VLOOKUP('input-data'!$E$258,Fodertabel,79,FALSE),0)*'input-data'!I258/100)
+(IFERROR(VLOOKUP('input-data'!$E$259,Fodertabel,79,FALSE),0)*'input-data'!I259/100)
+(IFERROR(VLOOKUP('input-data'!$E$260,Fodertabel,79,FALSE),0)*'input-data'!I260/100)
+(IFERROR(VLOOKUP('input-data'!$E$261,Fodertabel,79,FALSE),0)*'input-data'!I261/100)
+(IFERROR(VLOOKUP('input-data'!$E$262,Fodertabel,79,FALSE),0)*'input-data'!I262/100)
+(IFERROR(VLOOKUP('input-data'!$E$263,Fodertabel,79,FALSE),0)*'input-data'!I263/100))</f>
        <v>0</v>
      </c>
      <c r="E57" s="233"/>
      <c r="F57" s="110"/>
      <c r="G57" s="110"/>
      <c r="H57" s="110"/>
      <c r="I57" s="110"/>
      <c r="J57" s="110"/>
      <c r="K57" s="110"/>
      <c r="L57" s="110"/>
      <c r="M57" s="110"/>
      <c r="N57" s="110"/>
      <c r="O57" s="110"/>
      <c r="P57" s="110"/>
      <c r="Q57" s="110"/>
      <c r="R57" s="110"/>
      <c r="S57" s="110"/>
      <c r="T57" s="270"/>
      <c r="U57" s="270"/>
      <c r="V57" s="270"/>
      <c r="W57" s="270"/>
      <c r="X57" s="270"/>
      <c r="Y57" s="270"/>
      <c r="Z57" s="270"/>
      <c r="AA57" s="270"/>
      <c r="AB57" s="270"/>
    </row>
    <row r="58" spans="1:28" x14ac:dyDescent="0.2">
      <c r="A58" s="63"/>
      <c r="B58" s="237"/>
      <c r="C58" s="256" t="str">
        <f>IF(topdowntables!N4=1, "Blanding 3:", "Feed mixture 3:")</f>
        <v>Blanding 3:</v>
      </c>
      <c r="D58" s="240"/>
      <c r="E58" s="233"/>
      <c r="F58" s="110"/>
      <c r="G58" s="110"/>
      <c r="H58" s="110"/>
      <c r="I58" s="110"/>
      <c r="J58" s="110"/>
      <c r="K58" s="110"/>
      <c r="L58" s="110"/>
      <c r="M58" s="110"/>
      <c r="N58" s="110"/>
      <c r="O58" s="110"/>
      <c r="P58" s="110"/>
      <c r="Q58" s="110"/>
      <c r="R58" s="110"/>
      <c r="S58" s="110"/>
      <c r="T58" s="270"/>
      <c r="U58" s="270"/>
      <c r="V58" s="270"/>
      <c r="W58" s="270"/>
      <c r="X58" s="270"/>
      <c r="Y58" s="270"/>
      <c r="Z58" s="270"/>
      <c r="AA58" s="270"/>
      <c r="AB58" s="270"/>
    </row>
    <row r="59" spans="1:28" x14ac:dyDescent="0.2">
      <c r="A59" s="63"/>
      <c r="B59" s="237"/>
      <c r="C59" s="110" t="str">
        <f>IF(topdowntables!N4=1, "FEsv/100 kg", "FUsl.pig/100 kg")</f>
        <v>FEsv/100 kg</v>
      </c>
      <c r="D59" s="242">
        <f>SUM((IFERROR(VLOOKUP('input-data'!$E$268,Fodertabel,3,FALSE),0)*'input-data'!I268/100)
+(IFERROR(VLOOKUP('input-data'!$E$269,Fodertabel,3,FALSE),0)*'input-data'!I269/100)
+(IFERROR(VLOOKUP('input-data'!$E$270,Fodertabel,3,FALSE),0)*'input-data'!I270/100)
+(IFERROR(VLOOKUP('input-data'!$E$271,Fodertabel,3,FALSE),0)*'input-data'!I271/100)
+(IFERROR(VLOOKUP('input-data'!$E$272,Fodertabel,3,FALSE),0)*'input-data'!I272/100)
+(IFERROR(VLOOKUP('input-data'!$E$273,Fodertabel,3,FALSE),0)*'input-data'!I273/100)
+(IFERROR(VLOOKUP('input-data'!$E$274,Fodertabel,3,FALSE),0)*'input-data'!I274/100)
+(IFERROR(VLOOKUP('input-data'!$E$275,Fodertabel,3,FALSE),0)*'input-data'!I275/100)
+(IFERROR(VLOOKUP('input-data'!$E$276,Fodertabel,3,FALSE),0)*'input-data'!I276/100)
+(IFERROR(VLOOKUP('input-data'!$E$277,Fodertabel,3,FALSE),0)*'input-data'!I277/100)
+(IFERROR(VLOOKUP('input-data'!$E$278,Fodertabel,3,FALSE),0)*'input-data'!I278/100)
+(IFERROR(VLOOKUP('input-data'!$E$279,Fodertabel,3,FALSE),0)*'input-data'!I279/100)
+(IFERROR(VLOOKUP('input-data'!$E$280,Fodertabel,3,FALSE),0)*'input-data'!I280/100)
+(IFERROR(VLOOKUP('input-data'!$E$281,Fodertabel,3,FALSE),0)*'input-data'!I281/100)
+(IFERROR(VLOOKUP('input-data'!$E$282,Fodertabel,3,FALSE),0)*'input-data'!I282/100))
*100</f>
        <v>0</v>
      </c>
      <c r="E59" s="233"/>
      <c r="F59" s="110"/>
      <c r="G59" s="110"/>
      <c r="H59" s="110"/>
      <c r="I59" s="110"/>
      <c r="J59" s="110"/>
      <c r="K59" s="110"/>
      <c r="L59" s="110"/>
      <c r="M59" s="110"/>
      <c r="N59" s="110"/>
      <c r="O59" s="110"/>
      <c r="P59" s="110"/>
      <c r="Q59" s="110"/>
      <c r="R59" s="110"/>
      <c r="S59" s="110"/>
      <c r="T59" s="270"/>
      <c r="U59" s="270"/>
      <c r="V59" s="270"/>
      <c r="W59" s="270"/>
      <c r="X59" s="270"/>
      <c r="Y59" s="270"/>
      <c r="Z59" s="270"/>
      <c r="AA59" s="270"/>
      <c r="AB59" s="270"/>
    </row>
    <row r="60" spans="1:28" x14ac:dyDescent="0.2">
      <c r="A60" s="63"/>
      <c r="B60" s="237"/>
      <c r="C60" s="110" t="str">
        <f>IF(topdowntables!N4=1, "Tørstof, %", "Dry matter, %")</f>
        <v>Tørstof, %</v>
      </c>
      <c r="D60" s="296">
        <f>SUM((IFERROR(VLOOKUP('input-data'!$E$268,Fodertabel,9,FALSE),0)*'input-data'!I268/100)
+(IFERROR(VLOOKUP('input-data'!$E$269,Fodertabel,9,FALSE),0)*'input-data'!I269/100)
+(IFERROR(VLOOKUP('input-data'!$E$270,Fodertabel,9,FALSE),0)*'input-data'!I270/100)
+(IFERROR(VLOOKUP('input-data'!$E$271,Fodertabel,9,FALSE),0)*'input-data'!I271/100)
+(IFERROR(VLOOKUP('input-data'!$E$272,Fodertabel,9,FALSE),0)*'input-data'!I272/100)
+(IFERROR(VLOOKUP('input-data'!$E$273,Fodertabel,9,FALSE),0)*'input-data'!I273/100)
+(IFERROR(VLOOKUP('input-data'!$E$274,Fodertabel,9,FALSE),0)*'input-data'!I274/100)
+(IFERROR(VLOOKUP('input-data'!$E$275,Fodertabel,9,FALSE),0)*'input-data'!I275/100)
+(IFERROR(VLOOKUP('input-data'!$E$276,Fodertabel,9,FALSE),0)*'input-data'!I276/100)
+(IFERROR(VLOOKUP('input-data'!$E$277,Fodertabel,9,FALSE),0)*'input-data'!I277/100)
+(IFERROR(VLOOKUP('input-data'!$E$278,Fodertabel,9,FALSE),0)*'input-data'!I278/100)
+(IFERROR(VLOOKUP('input-data'!$E$279,Fodertabel,9,FALSE),0)*'input-data'!I279/100)
+(IFERROR(VLOOKUP('input-data'!$E$280,Fodertabel,9,FALSE),0)*'input-data'!I280/100)
+(IFERROR(VLOOKUP('input-data'!$E$281,Fodertabel,9,FALSE),0)*'input-data'!I281/100)
+(IFERROR(VLOOKUP('input-data'!$E$282,Fodertabel,9,FALSE),0)*'input-data'!I282/100))</f>
        <v>0</v>
      </c>
      <c r="E60" s="233"/>
      <c r="F60" s="110"/>
      <c r="G60" s="110"/>
      <c r="H60" s="110"/>
      <c r="I60" s="110"/>
      <c r="J60" s="110"/>
      <c r="K60" s="110"/>
      <c r="L60" s="110"/>
      <c r="M60" s="110"/>
      <c r="N60" s="110"/>
      <c r="O60" s="110"/>
      <c r="P60" s="110"/>
      <c r="Q60" s="110"/>
      <c r="R60" s="110"/>
      <c r="S60" s="110"/>
      <c r="T60" s="270"/>
      <c r="U60" s="270"/>
      <c r="V60" s="270"/>
      <c r="W60" s="270"/>
      <c r="X60" s="270"/>
      <c r="Y60" s="270"/>
      <c r="Z60" s="270"/>
      <c r="AA60" s="270"/>
      <c r="AB60" s="270"/>
    </row>
    <row r="61" spans="1:28" x14ac:dyDescent="0.2">
      <c r="A61" s="63"/>
      <c r="B61" s="237"/>
      <c r="C61" s="110" t="str">
        <f>IF(topdowntables!N4=1, "Råprotein, g per kg foder", "Crude protein, g per kg feed")</f>
        <v>Råprotein, g per kg foder</v>
      </c>
      <c r="D61" s="242">
        <f>SUM((IFERROR(VLOOKUP('input-data'!$E$268,Fodertabel,10,FALSE),0)*'input-data'!I268/100)
+(IFERROR(VLOOKUP('input-data'!$E$269,Fodertabel,10,FALSE),0)*'input-data'!I269/100)
+(IFERROR(VLOOKUP('input-data'!$E$270,Fodertabel,10,FALSE),0)*'input-data'!I270/100)
+(IFERROR(VLOOKUP('input-data'!$E$271,Fodertabel,10,FALSE),0)*'input-data'!I271/100)
+(IFERROR(VLOOKUP('input-data'!$E$272,Fodertabel,10,FALSE),0)*'input-data'!I272/100)
+(IFERROR(VLOOKUP('input-data'!$E$273,Fodertabel,10,FALSE),0)*'input-data'!I273/100)
+(IFERROR(VLOOKUP('input-data'!$E$274,Fodertabel,10,FALSE),0)*'input-data'!I274/100)
+(IFERROR(VLOOKUP('input-data'!$E$275,Fodertabel,10,FALSE),0)*'input-data'!I275/100)
+(IFERROR(VLOOKUP('input-data'!$E$276,Fodertabel,10,FALSE),0)*'input-data'!I276/100)
+(IFERROR(VLOOKUP('input-data'!$E$277,Fodertabel,10,FALSE),0)*'input-data'!I277/100)
+(IFERROR(VLOOKUP('input-data'!$E$278,Fodertabel,10,FALSE),0)*'input-data'!I278/100)
+(IFERROR(VLOOKUP('input-data'!$E$279,Fodertabel,10,FALSE),0)*'input-data'!I279/100)
+(IFERROR(VLOOKUP('input-data'!$E$280,Fodertabel,10,FALSE),0)*'input-data'!I280/100)
+(IFERROR(VLOOKUP('input-data'!$E$281,Fodertabel,10,FALSE),0)*'input-data'!I281/100)
+(IFERROR(VLOOKUP('input-data'!$E$282,Fodertabel,10,FALSE),0)*'input-data'!I282/100))
*10</f>
        <v>0</v>
      </c>
      <c r="E61" s="233"/>
      <c r="F61" s="110"/>
      <c r="G61" s="110"/>
      <c r="H61" s="110"/>
      <c r="I61" s="110"/>
      <c r="J61" s="110"/>
      <c r="K61" s="110"/>
      <c r="L61" s="110"/>
      <c r="M61" s="110"/>
      <c r="N61" s="110"/>
      <c r="O61" s="110"/>
      <c r="P61" s="110"/>
      <c r="Q61" s="110"/>
      <c r="R61" s="110"/>
      <c r="S61" s="110"/>
      <c r="T61" s="270"/>
      <c r="U61" s="270"/>
      <c r="V61" s="270"/>
      <c r="W61" s="270"/>
      <c r="X61" s="270"/>
      <c r="Y61" s="270"/>
      <c r="Z61" s="270"/>
      <c r="AA61" s="270"/>
      <c r="AB61" s="270"/>
    </row>
    <row r="62" spans="1:28" x14ac:dyDescent="0.2">
      <c r="A62" s="63"/>
      <c r="B62" s="237"/>
      <c r="C62" s="110" t="str">
        <f>IF(topdowntables!N4=1, "Fosfor, g per kg foder", "Phosphorus, g per kg feed")</f>
        <v>Fosfor, g per kg foder</v>
      </c>
      <c r="D62" s="240">
        <f>SUM((IFERROR(VLOOKUP('input-data'!$E$268,Fodertabel,79,FALSE),0)*'input-data'!I268/100)
+(IFERROR(VLOOKUP('input-data'!$E$269,Fodertabel,79,FALSE),0)*'input-data'!I269/100)
+(IFERROR(VLOOKUP('input-data'!$E$270,Fodertabel,79,FALSE),0)*'input-data'!I270/100)
+(IFERROR(VLOOKUP('input-data'!$E$271,Fodertabel,79,FALSE),0)*'input-data'!I271/100)
+(IFERROR(VLOOKUP('input-data'!$E$272,Fodertabel,79,FALSE),0)*'input-data'!I272/100)
+(IFERROR(VLOOKUP('input-data'!$E$273,Fodertabel,79,FALSE),0)*'input-data'!I273/100)
+(IFERROR(VLOOKUP('input-data'!$E$274,Fodertabel,79,FALSE),0)*'input-data'!I274/100)
+(IFERROR(VLOOKUP('input-data'!$E$275,Fodertabel,79,FALSE),0)*'input-data'!I275/100)
+(IFERROR(VLOOKUP('input-data'!$E$276,Fodertabel,79,FALSE),0)*'input-data'!I276/100)
+(IFERROR(VLOOKUP('input-data'!$E$277,Fodertabel,79,FALSE),0)*'input-data'!I277/100)
+(IFERROR(VLOOKUP('input-data'!$E$278,Fodertabel,79,FALSE),0)*'input-data'!I278/100)
+(IFERROR(VLOOKUP('input-data'!$E$279,Fodertabel,79,FALSE),0)*'input-data'!I279/100)
+(IFERROR(VLOOKUP('input-data'!$E$280,Fodertabel,79,FALSE),0)*'input-data'!I280/100)
+(IFERROR(VLOOKUP('input-data'!$E$281,Fodertabel,79,FALSE),0)*'input-data'!I281/100)
+(IFERROR(VLOOKUP('input-data'!$E$282,Fodertabel,79,FALSE),0)*'input-data'!I282/100))</f>
        <v>0</v>
      </c>
      <c r="E62" s="233"/>
      <c r="F62" s="110"/>
      <c r="G62" s="110"/>
      <c r="H62" s="110"/>
      <c r="I62" s="110"/>
      <c r="J62" s="110"/>
      <c r="K62" s="110"/>
      <c r="L62" s="110"/>
      <c r="M62" s="110"/>
      <c r="N62" s="110"/>
      <c r="O62" s="110"/>
      <c r="P62" s="110"/>
      <c r="Q62" s="110"/>
      <c r="R62" s="110"/>
      <c r="S62" s="110"/>
      <c r="T62" s="270"/>
      <c r="U62" s="270"/>
      <c r="V62" s="270"/>
      <c r="W62" s="270"/>
      <c r="X62" s="270"/>
      <c r="Y62" s="270"/>
      <c r="Z62" s="270"/>
      <c r="AA62" s="270"/>
      <c r="AB62" s="270"/>
    </row>
    <row r="63" spans="1:28" x14ac:dyDescent="0.2">
      <c r="A63" s="63"/>
      <c r="B63" s="237"/>
      <c r="C63" s="63"/>
      <c r="D63" s="240"/>
      <c r="E63" s="233"/>
      <c r="F63" s="110"/>
      <c r="G63" s="110"/>
      <c r="H63" s="110"/>
      <c r="I63" s="110"/>
      <c r="J63" s="110"/>
      <c r="K63" s="110"/>
      <c r="L63" s="110"/>
      <c r="M63" s="110"/>
      <c r="N63" s="110"/>
      <c r="O63" s="110"/>
      <c r="P63" s="110"/>
      <c r="Q63" s="110"/>
      <c r="R63" s="110"/>
      <c r="S63" s="110"/>
      <c r="T63" s="270"/>
      <c r="U63" s="270"/>
      <c r="V63" s="270"/>
      <c r="W63" s="270"/>
      <c r="X63" s="270"/>
      <c r="Y63" s="270"/>
      <c r="Z63" s="270"/>
      <c r="AA63" s="270"/>
      <c r="AB63" s="270"/>
    </row>
    <row r="64" spans="1:28" x14ac:dyDescent="0.2">
      <c r="A64" s="63"/>
      <c r="B64" s="237"/>
      <c r="C64" s="183" t="str">
        <f>IF(topdowntables!$N$4=1, "N og P bidrag fra kraftfodret, tildelt ude", "N and P content in concentrated feed, used outdoor")</f>
        <v>N og P bidrag fra kraftfodret, tildelt ude</v>
      </c>
      <c r="D64" s="241"/>
      <c r="E64" s="233"/>
      <c r="F64" s="110"/>
      <c r="G64" s="110"/>
      <c r="H64" s="110"/>
      <c r="I64" s="110"/>
      <c r="J64" s="110"/>
      <c r="K64" s="110"/>
      <c r="L64" s="110"/>
      <c r="M64" s="110"/>
      <c r="N64" s="110"/>
      <c r="O64" s="110"/>
      <c r="P64" s="110"/>
      <c r="Q64" s="110"/>
      <c r="R64" s="110"/>
      <c r="S64" s="110"/>
      <c r="T64" s="270"/>
      <c r="U64" s="270"/>
      <c r="V64" s="270"/>
      <c r="W64" s="270"/>
      <c r="X64" s="270"/>
      <c r="Y64" s="270"/>
      <c r="Z64" s="270"/>
      <c r="AA64" s="270"/>
      <c r="AB64" s="270"/>
    </row>
    <row r="65" spans="1:30" x14ac:dyDescent="0.2">
      <c r="A65" s="63"/>
      <c r="B65" s="237"/>
      <c r="C65" s="63" t="str">
        <f>IF(topdowntables!$N$4=1, "Råprotein pr. prod. slagtesvin, kg", "Crude protein, kg per prod. slaughter pig")</f>
        <v>Råprotein pr. prod. slagtesvin, kg</v>
      </c>
      <c r="D65" s="242">
        <f>SUM(IF(D17&lt;&gt;0,(D51*(D49/100)*(D30/(D17+D23))*D17),0)+IF(D18&lt;&gt;0, (D56*(D54/100)*(D31/(D18+D24))*D18),0)+ IF(D19&lt;&gt;0,(D61*(D59/100)*(D32/(D19+D25))*D19),0))/1000</f>
        <v>0</v>
      </c>
      <c r="E65" s="233"/>
      <c r="F65" s="110"/>
      <c r="G65" s="110"/>
      <c r="H65" s="110"/>
      <c r="I65" s="110"/>
      <c r="J65" s="110"/>
      <c r="K65" s="110"/>
      <c r="L65" s="110"/>
      <c r="M65" s="110"/>
      <c r="N65" s="110"/>
      <c r="O65" s="110"/>
      <c r="P65" s="110"/>
      <c r="Q65" s="110"/>
      <c r="R65" s="110"/>
      <c r="S65" s="110"/>
      <c r="T65" s="270"/>
      <c r="U65" s="270"/>
      <c r="V65" s="270"/>
      <c r="W65" s="270"/>
      <c r="X65" s="270"/>
      <c r="Y65" s="270"/>
      <c r="Z65" s="270"/>
      <c r="AA65" s="270"/>
      <c r="AB65" s="270"/>
    </row>
    <row r="66" spans="1:30" x14ac:dyDescent="0.2">
      <c r="A66" s="63"/>
      <c r="B66" s="237"/>
      <c r="C66" s="110" t="str">
        <f>IF(topdowntables!$N$4=1, "N pr. prod. slagtesvin, kg", "N, kg per prod. Slaughter  pig")</f>
        <v>N pr. prod. slagtesvin, kg</v>
      </c>
      <c r="D66" s="240">
        <f>D65/6.25</f>
        <v>0</v>
      </c>
      <c r="E66" s="233"/>
      <c r="F66" s="110"/>
      <c r="G66" s="110"/>
      <c r="H66" s="110"/>
      <c r="I66" s="110"/>
      <c r="J66" s="110"/>
      <c r="K66" s="110"/>
      <c r="L66" s="110"/>
      <c r="M66" s="110"/>
      <c r="N66" s="110"/>
      <c r="O66" s="110"/>
      <c r="P66" s="110"/>
      <c r="Q66" s="110"/>
      <c r="R66" s="110"/>
      <c r="S66" s="110"/>
      <c r="T66" s="270"/>
      <c r="U66" s="270"/>
      <c r="V66" s="270"/>
      <c r="W66" s="270"/>
      <c r="X66" s="270"/>
      <c r="Y66" s="270"/>
      <c r="Z66" s="270"/>
      <c r="AA66" s="270"/>
      <c r="AB66" s="270"/>
    </row>
    <row r="67" spans="1:30" x14ac:dyDescent="0.2">
      <c r="A67" s="63"/>
      <c r="B67" s="237"/>
      <c r="C67" s="110" t="str">
        <f>IF(topdowntables!$N$4=1, "P pr. prod. slagtesvin, kg", "P, kg per prod. Slaughter pig")</f>
        <v>P pr. prod. slagtesvin, kg</v>
      </c>
      <c r="D67" s="240">
        <f>SUM(IF(D17&lt;&gt;0,(D52*(D49/100)*(D30/(D17+D23))*D17),0)+ IF(D18&lt;&gt;0,(D57*(D54/100)*(D31/(D18+D24))*D18),0)+IF(D19&lt;&gt;0, (D62*(D59/100)*(D32/(D19+D25))*D19),0))/1000</f>
        <v>0</v>
      </c>
      <c r="E67" s="233"/>
      <c r="F67" s="110"/>
      <c r="G67" s="110"/>
      <c r="H67" s="110"/>
      <c r="I67" s="110"/>
      <c r="J67" s="110"/>
      <c r="K67" s="110"/>
      <c r="L67" s="110"/>
      <c r="M67" s="110"/>
      <c r="N67" s="110"/>
      <c r="O67" s="110"/>
      <c r="P67" s="110"/>
      <c r="Q67" s="110"/>
      <c r="R67" s="110"/>
      <c r="S67" s="110"/>
      <c r="T67" s="270"/>
      <c r="U67" s="270"/>
      <c r="V67" s="270"/>
      <c r="W67" s="270"/>
      <c r="X67" s="270"/>
      <c r="Y67" s="270"/>
      <c r="Z67" s="270"/>
      <c r="AA67" s="270"/>
      <c r="AB67" s="270"/>
    </row>
    <row r="68" spans="1:30" x14ac:dyDescent="0.2">
      <c r="A68" s="63"/>
      <c r="B68" s="237"/>
      <c r="C68" s="110"/>
      <c r="D68" s="241"/>
      <c r="E68" s="233"/>
      <c r="F68" s="110"/>
      <c r="G68" s="110"/>
      <c r="H68" s="110"/>
      <c r="I68" s="110"/>
      <c r="J68" s="110"/>
      <c r="K68" s="110"/>
      <c r="L68" s="110"/>
      <c r="M68" s="110"/>
      <c r="N68" s="110"/>
      <c r="O68" s="110"/>
      <c r="P68" s="110"/>
      <c r="Q68" s="110"/>
      <c r="R68" s="110"/>
      <c r="S68" s="110"/>
      <c r="T68" s="270"/>
      <c r="U68" s="270"/>
      <c r="V68" s="270"/>
      <c r="W68" s="270"/>
      <c r="X68" s="270"/>
      <c r="Y68" s="270"/>
      <c r="Z68" s="270"/>
      <c r="AA68" s="270"/>
      <c r="AB68" s="270"/>
    </row>
    <row r="69" spans="1:30" x14ac:dyDescent="0.2">
      <c r="A69" s="63"/>
      <c r="B69" s="237"/>
      <c r="C69" s="183" t="str">
        <f>IF(topdowntables!$N$4=1, "N og P bidrag fra kraftfodret, tildelt inde", "N and P content in concentrated feed, used indoor")</f>
        <v>N og P bidrag fra kraftfodret, tildelt inde</v>
      </c>
      <c r="D69" s="241"/>
      <c r="E69" s="233"/>
      <c r="F69" s="110"/>
      <c r="G69" s="110"/>
      <c r="H69" s="110"/>
      <c r="I69" s="110"/>
      <c r="J69" s="110"/>
      <c r="K69" s="110"/>
      <c r="L69" s="110"/>
      <c r="M69" s="110"/>
      <c r="N69" s="110"/>
      <c r="O69" s="110"/>
      <c r="P69" s="110"/>
      <c r="Q69" s="110"/>
      <c r="R69" s="110"/>
      <c r="S69" s="110"/>
      <c r="T69" s="270"/>
      <c r="U69" s="270"/>
      <c r="V69" s="270"/>
      <c r="W69" s="270"/>
      <c r="X69" s="270"/>
      <c r="Y69" s="270"/>
      <c r="Z69" s="270"/>
      <c r="AA69" s="270"/>
      <c r="AB69" s="270"/>
    </row>
    <row r="70" spans="1:30" x14ac:dyDescent="0.2">
      <c r="A70" s="63"/>
      <c r="B70" s="237"/>
      <c r="C70" s="63" t="str">
        <f>IF(topdowntables!$N$4=1, "Råprotein pr. prod. slagtesvin, kg", "Crude protein, kg per prod. Slaugther pig")</f>
        <v>Råprotein pr. prod. slagtesvin, kg</v>
      </c>
      <c r="D70" s="242">
        <f>SUM(IF(D23&lt;&gt;0,(D51*(D49/100)*(D30/(D17+D23))*D23),0)+IF(D24&lt;&gt;0,(D56*(D54/100)*(D31/(D18+D24))*D24),0)+IF(D25&lt;&gt;0,(D61*(D59/100)*(D32/(D19+D25))*D25),0))/1000</f>
        <v>0</v>
      </c>
      <c r="E70" s="233"/>
      <c r="F70" s="110"/>
      <c r="G70" s="110"/>
      <c r="H70" s="110"/>
      <c r="I70" s="110"/>
      <c r="J70" s="110"/>
      <c r="K70" s="110"/>
      <c r="L70" s="110"/>
      <c r="M70" s="110"/>
      <c r="N70" s="110"/>
      <c r="O70" s="110"/>
      <c r="P70" s="110"/>
      <c r="Q70" s="110"/>
      <c r="R70" s="110"/>
      <c r="S70" s="110"/>
      <c r="T70" s="270"/>
      <c r="U70" s="270"/>
      <c r="V70" s="270"/>
      <c r="W70" s="270"/>
      <c r="X70" s="270"/>
      <c r="Y70" s="270"/>
      <c r="Z70" s="270"/>
      <c r="AA70" s="270"/>
      <c r="AB70" s="270"/>
    </row>
    <row r="71" spans="1:30" x14ac:dyDescent="0.2">
      <c r="A71" s="63"/>
      <c r="B71" s="237"/>
      <c r="C71" s="110" t="str">
        <f>IF(topdowntables!$N$4=1, "N pr. prod. slagtesvin, kg", "N, kg per prod. Slaughter pig")</f>
        <v>N pr. prod. slagtesvin, kg</v>
      </c>
      <c r="D71" s="240">
        <f>D70/6.25</f>
        <v>0</v>
      </c>
      <c r="E71" s="233"/>
      <c r="F71" s="110"/>
      <c r="G71" s="110"/>
      <c r="H71" s="110"/>
      <c r="I71" s="110"/>
      <c r="J71" s="110"/>
      <c r="K71" s="110"/>
      <c r="L71" s="110"/>
      <c r="M71" s="110"/>
      <c r="N71" s="110"/>
      <c r="O71" s="110"/>
      <c r="P71" s="110"/>
      <c r="Q71" s="110"/>
      <c r="R71" s="110"/>
      <c r="S71" s="110"/>
      <c r="T71" s="270"/>
      <c r="U71" s="270"/>
      <c r="V71" s="270"/>
      <c r="W71" s="270"/>
      <c r="X71" s="270"/>
      <c r="Y71" s="270"/>
      <c r="Z71" s="270"/>
      <c r="AA71" s="270"/>
      <c r="AB71" s="270"/>
    </row>
    <row r="72" spans="1:30" x14ac:dyDescent="0.2">
      <c r="A72" s="63"/>
      <c r="B72" s="237"/>
      <c r="C72" s="110" t="str">
        <f>IF(topdowntables!$N$4=1, "P pr. prod. slagtesvin, kg", "P, kg per prod. Slaughter pig")</f>
        <v>P pr. prod. slagtesvin, kg</v>
      </c>
      <c r="D72" s="240">
        <f>SUM(IF(D23&lt;&gt;0,(D52*(D49/100)*(D30/(D17+D23))*D23),0)+IF(D24&lt;&gt;0,(D57*(D54/100)*(D31/(D18+D24))*D24),0)+IF(D25&lt;&gt;0,(D62*(D59/100)*(D32/(D19+D25))*D25),0))/1000</f>
        <v>0</v>
      </c>
      <c r="E72" s="233"/>
      <c r="F72" s="110"/>
      <c r="G72" s="110"/>
      <c r="H72" s="110"/>
      <c r="I72" s="110"/>
      <c r="J72" s="110"/>
      <c r="K72" s="110"/>
      <c r="L72" s="110"/>
      <c r="M72" s="110"/>
      <c r="N72" s="110"/>
      <c r="O72" s="110"/>
      <c r="P72" s="110"/>
      <c r="Q72" s="110"/>
      <c r="R72" s="110"/>
      <c r="S72" s="110"/>
      <c r="T72" s="270"/>
      <c r="U72" s="270"/>
      <c r="V72" s="270"/>
      <c r="W72" s="270"/>
      <c r="X72" s="270"/>
      <c r="Y72" s="270"/>
      <c r="Z72" s="270"/>
      <c r="AA72" s="270"/>
      <c r="AB72" s="270"/>
    </row>
    <row r="73" spans="1:30" x14ac:dyDescent="0.2">
      <c r="A73" s="63"/>
      <c r="B73" s="234" t="str">
        <f>IF(topdowntables!$N$4=1, "Grovfoder inkl. græs:", "Roughage incl. grazing:")</f>
        <v>Grovfoder inkl. græs:</v>
      </c>
      <c r="C73" s="235"/>
      <c r="D73" s="253"/>
      <c r="E73" s="233"/>
      <c r="F73" s="110"/>
      <c r="G73" s="110"/>
      <c r="H73" s="110"/>
      <c r="I73" s="110"/>
      <c r="J73" s="110"/>
      <c r="K73" s="110"/>
      <c r="L73" s="110"/>
      <c r="M73" s="110"/>
      <c r="N73" s="110"/>
      <c r="O73" s="110"/>
      <c r="P73" s="110"/>
      <c r="Q73" s="110"/>
      <c r="R73" s="110"/>
      <c r="S73" s="110"/>
      <c r="T73" s="270"/>
      <c r="U73" s="270"/>
      <c r="V73" s="270"/>
      <c r="W73" s="270"/>
      <c r="X73" s="270"/>
      <c r="Y73" s="270"/>
      <c r="Z73" s="270"/>
      <c r="AA73" s="270"/>
      <c r="AB73" s="270"/>
    </row>
    <row r="74" spans="1:30" x14ac:dyDescent="0.2">
      <c r="A74" s="63"/>
      <c r="B74" s="237"/>
      <c r="C74" s="110" t="str">
        <f>IF(topdowntables!N4=1, "FEsv/100 kg", "FUsl.pig/100 kg")</f>
        <v>FEsv/100 kg</v>
      </c>
      <c r="D74" s="240">
        <f xml:space="preserve"> SUM((IFERROR(VLOOKUP('input-data'!$E$289,Fodertabel,3,FALSE),0)*'input-data'!I289/100)
+(IFERROR(VLOOKUP('input-data'!$E$290,Fodertabel,3,FALSE),0)*'input-data'!I290/100)
+(IFERROR(VLOOKUP('input-data'!$E$291,Fodertabel,3,FALSE),0)*'input-data'!I291/100)
+(IFERROR(VLOOKUP('input-data'!$E$292,Fodertabel,3,FALSE),0)*'input-data'!I292/100)
+(IFERROR(VLOOKUP('input-data'!$E$293,Fodertabel,3,FALSE),0)*'input-data'!I293/100))*100</f>
        <v>0</v>
      </c>
      <c r="E74" s="233"/>
      <c r="F74" s="110"/>
      <c r="G74" s="110"/>
      <c r="H74" s="110"/>
      <c r="I74" s="110"/>
      <c r="J74" s="110"/>
      <c r="K74" s="110"/>
      <c r="L74" s="110"/>
      <c r="M74" s="110"/>
      <c r="N74" s="110"/>
      <c r="O74" s="110"/>
      <c r="P74" s="110"/>
      <c r="Q74" s="110"/>
      <c r="R74" s="110"/>
      <c r="S74" s="110"/>
      <c r="T74" s="270"/>
      <c r="U74" s="270"/>
      <c r="V74" s="270"/>
      <c r="W74" s="270"/>
      <c r="X74" s="270"/>
      <c r="Y74" s="270"/>
      <c r="Z74" s="270"/>
      <c r="AA74" s="270"/>
      <c r="AB74" s="270"/>
    </row>
    <row r="75" spans="1:30" x14ac:dyDescent="0.2">
      <c r="A75" s="63"/>
      <c r="B75" s="237"/>
      <c r="C75" s="110" t="str">
        <f>IF(topdowntables!N4=1, "Tørstof, %", "Dry matter, %")</f>
        <v>Tørstof, %</v>
      </c>
      <c r="D75" s="296">
        <f xml:space="preserve"> SUM((IFERROR(VLOOKUP('input-data'!$E$289,Fodertabel,9,FALSE),0)*'input-data'!I289/100)
+(IFERROR(VLOOKUP('input-data'!$E$290,Fodertabel,9,FALSE),0)*'input-data'!I290/100)
+(IFERROR(VLOOKUP('input-data'!$E$291,Fodertabel,9,FALSE),0)*'input-data'!I291/100)
+(IFERROR(VLOOKUP('input-data'!$E$292,Fodertabel,9,FALSE),0)*'input-data'!I292/100)
+(IFERROR(VLOOKUP('input-data'!$E$293,Fodertabel,9,FALSE),0)*'input-data'!I293/100))</f>
        <v>0</v>
      </c>
      <c r="E75" s="233"/>
      <c r="F75" s="110"/>
      <c r="G75" s="110"/>
      <c r="H75" s="110"/>
      <c r="I75" s="110"/>
      <c r="J75" s="110"/>
      <c r="K75" s="110"/>
      <c r="L75" s="110"/>
      <c r="M75" s="110"/>
      <c r="N75" s="110"/>
      <c r="O75" s="110"/>
      <c r="P75" s="110"/>
      <c r="Q75" s="110"/>
      <c r="R75" s="110"/>
      <c r="S75" s="110"/>
      <c r="T75" s="270"/>
      <c r="U75" s="270"/>
      <c r="V75" s="270"/>
      <c r="W75" s="270"/>
      <c r="X75" s="270"/>
      <c r="Y75" s="270"/>
      <c r="Z75" s="270"/>
      <c r="AA75" s="270"/>
      <c r="AB75" s="270"/>
    </row>
    <row r="76" spans="1:30" x14ac:dyDescent="0.2">
      <c r="A76" s="63"/>
      <c r="B76" s="237"/>
      <c r="C76" s="110" t="str">
        <f>IF(topdowntables!N4=1, "Råprotein, g per kg foder", "Crude protein, g per kg feed")</f>
        <v>Råprotein, g per kg foder</v>
      </c>
      <c r="D76" s="240">
        <f xml:space="preserve"> SUM((IFERROR(VLOOKUP('input-data'!$E$289,Fodertabel,10,FALSE),0)*'input-data'!I289/100)
+(IFERROR(VLOOKUP('input-data'!$E$290,Fodertabel,10,FALSE),0)*'input-data'!I290/100)
+(IFERROR(VLOOKUP('input-data'!$E$291,Fodertabel,10,FALSE),0)*'input-data'!I291/100)
+(IFERROR(VLOOKUP('input-data'!$E$292,Fodertabel,10,FALSE),0)*'input-data'!I292/100)
+(IFERROR(VLOOKUP('input-data'!$E$293,Fodertabel,10,FALSE),0)*'input-data'!I293/100))
*10</f>
        <v>0</v>
      </c>
      <c r="E76" s="233"/>
      <c r="F76" s="110"/>
      <c r="G76" s="110"/>
      <c r="H76" s="110"/>
      <c r="I76" s="110"/>
      <c r="J76" s="110"/>
      <c r="K76" s="110"/>
      <c r="L76" s="110"/>
      <c r="M76" s="110"/>
      <c r="N76" s="110"/>
      <c r="O76" s="110"/>
      <c r="P76" s="110"/>
      <c r="Q76" s="110"/>
      <c r="R76" s="110"/>
      <c r="S76" s="110"/>
      <c r="T76" s="270"/>
      <c r="U76" s="270"/>
      <c r="V76" s="270"/>
      <c r="W76" s="270"/>
      <c r="X76" s="270"/>
      <c r="Y76" s="270"/>
      <c r="Z76" s="270"/>
      <c r="AA76" s="270"/>
      <c r="AB76" s="270"/>
    </row>
    <row r="77" spans="1:30" x14ac:dyDescent="0.2">
      <c r="A77" s="63"/>
      <c r="B77" s="237"/>
      <c r="C77" s="110" t="str">
        <f>IF(topdowntables!N4=1, "Fosfor, g per kg foder", "Phosphorus, g per kg feed")</f>
        <v>Fosfor, g per kg foder</v>
      </c>
      <c r="D77" s="240">
        <f xml:space="preserve"> SUM((IFERROR(VLOOKUP('input-data'!$E$289,Fodertabel,79,FALSE),0)*'input-data'!I289/100)
+(IFERROR(VLOOKUP('input-data'!$E$290,Fodertabel,79,FALSE),0)*'input-data'!I290/100)
+(IFERROR(VLOOKUP('input-data'!$E$291,Fodertabel,79,FALSE),0)*'input-data'!I291/100)
+(IFERROR(VLOOKUP('input-data'!$E$292,Fodertabel,79,FALSE),0)*'input-data'!I292/100)
+(IFERROR(VLOOKUP('input-data'!$E$293,Fodertabel,79,FALSE),0)*'input-data'!I293/100))</f>
        <v>0</v>
      </c>
      <c r="E77" s="233"/>
      <c r="F77" s="110"/>
      <c r="G77" s="110"/>
      <c r="H77" s="110"/>
      <c r="I77" s="110"/>
      <c r="J77" s="110"/>
      <c r="K77" s="110"/>
      <c r="L77" s="110"/>
      <c r="M77" s="110"/>
      <c r="N77" s="110"/>
      <c r="O77" s="110"/>
      <c r="P77" s="110"/>
      <c r="Q77" s="110"/>
      <c r="R77" s="110"/>
      <c r="S77" s="110"/>
      <c r="T77" s="270"/>
      <c r="U77" s="270"/>
      <c r="V77" s="270"/>
      <c r="W77" s="270"/>
      <c r="X77" s="270"/>
      <c r="Y77" s="270"/>
      <c r="Z77" s="270"/>
      <c r="AA77" s="270"/>
      <c r="AB77" s="270"/>
    </row>
    <row r="78" spans="1:30" x14ac:dyDescent="0.2">
      <c r="B78" s="237"/>
      <c r="C78" s="110"/>
      <c r="D78" s="240"/>
      <c r="F78" s="252"/>
      <c r="G78" s="233"/>
      <c r="H78" s="110"/>
      <c r="I78" s="110"/>
      <c r="J78" s="110"/>
      <c r="K78" s="110"/>
      <c r="L78" s="110"/>
      <c r="M78" s="110"/>
      <c r="N78" s="110"/>
      <c r="O78" s="110"/>
      <c r="P78" s="110"/>
      <c r="Q78" s="110"/>
      <c r="R78" s="110"/>
      <c r="S78" s="110"/>
      <c r="T78" s="110"/>
      <c r="U78" s="110"/>
      <c r="V78" s="270"/>
      <c r="W78" s="270"/>
      <c r="X78" s="270"/>
      <c r="Y78" s="270"/>
      <c r="Z78" s="270"/>
      <c r="AA78" s="270"/>
      <c r="AB78" s="270"/>
      <c r="AC78" s="270"/>
      <c r="AD78" s="270"/>
    </row>
    <row r="79" spans="1:30" x14ac:dyDescent="0.2">
      <c r="B79" s="237"/>
      <c r="C79" s="183" t="str">
        <f>IF(topdowntables!$N$4=1, "Græs:", "Grass:")</f>
        <v>Græs:</v>
      </c>
      <c r="D79" s="240"/>
      <c r="F79" s="252"/>
      <c r="G79" s="233"/>
      <c r="H79" s="110"/>
      <c r="I79" s="110"/>
      <c r="J79" s="110"/>
      <c r="K79" s="110"/>
      <c r="L79" s="110"/>
      <c r="M79" s="110"/>
      <c r="N79" s="110"/>
      <c r="O79" s="110"/>
      <c r="P79" s="110"/>
      <c r="Q79" s="110"/>
      <c r="R79" s="110"/>
      <c r="S79" s="110"/>
      <c r="T79" s="110"/>
      <c r="U79" s="110"/>
      <c r="V79" s="270"/>
      <c r="W79" s="270"/>
      <c r="X79" s="270"/>
      <c r="Y79" s="270"/>
      <c r="Z79" s="270"/>
      <c r="AA79" s="270"/>
      <c r="AB79" s="270"/>
      <c r="AC79" s="270"/>
      <c r="AD79" s="270"/>
    </row>
    <row r="80" spans="1:30" x14ac:dyDescent="0.2">
      <c r="B80" s="237"/>
      <c r="C80" s="110" t="str">
        <f>IF(topdowntables!$N$4=1, "FEsv/100 kg", "FUpiglet/100 kg")</f>
        <v>FEsv/100 kg</v>
      </c>
      <c r="D80" s="242">
        <f xml:space="preserve"> SUM((IFERROR(VLOOKUP('input-data'!$E$372,Fodertabel!$D$353:$HU$356,3,FALSE),0)))*100</f>
        <v>0</v>
      </c>
      <c r="F80" s="252"/>
      <c r="G80" s="233"/>
      <c r="H80" s="110"/>
      <c r="I80" s="110"/>
      <c r="J80" s="110"/>
      <c r="K80" s="110"/>
      <c r="L80" s="110"/>
      <c r="M80" s="110"/>
      <c r="N80" s="110"/>
      <c r="O80" s="110"/>
      <c r="P80" s="110"/>
      <c r="Q80" s="110"/>
      <c r="R80" s="110"/>
      <c r="S80" s="110"/>
      <c r="T80" s="110"/>
      <c r="U80" s="110"/>
      <c r="V80" s="270"/>
      <c r="W80" s="270"/>
      <c r="X80" s="270"/>
      <c r="Y80" s="270"/>
      <c r="Z80" s="270"/>
      <c r="AA80" s="270"/>
      <c r="AB80" s="270"/>
      <c r="AC80" s="270"/>
      <c r="AD80" s="270"/>
    </row>
    <row r="81" spans="1:30" x14ac:dyDescent="0.2">
      <c r="B81" s="237"/>
      <c r="C81" s="110" t="str">
        <f>IF(topdowntables!$N$4=1, "Tørstof, %", "Dry matter, %")</f>
        <v>Tørstof, %</v>
      </c>
      <c r="D81" s="242">
        <f>SUM((IFERROR(VLOOKUP('input-data'!$E$372,Fodertabel!$D$353:$HU$356,9,FALSE),0)))</f>
        <v>0</v>
      </c>
      <c r="F81" s="252"/>
      <c r="G81" s="233"/>
      <c r="H81" s="110"/>
      <c r="I81" s="110"/>
      <c r="J81" s="110"/>
      <c r="K81" s="110"/>
      <c r="L81" s="110"/>
      <c r="M81" s="110"/>
      <c r="N81" s="110"/>
      <c r="O81" s="110"/>
      <c r="P81" s="110"/>
      <c r="Q81" s="110"/>
      <c r="R81" s="110"/>
      <c r="S81" s="110"/>
      <c r="T81" s="110"/>
      <c r="U81" s="110"/>
      <c r="V81" s="270"/>
      <c r="W81" s="270"/>
      <c r="X81" s="270"/>
      <c r="Y81" s="270"/>
      <c r="Z81" s="270"/>
      <c r="AA81" s="270"/>
      <c r="AB81" s="270"/>
      <c r="AC81" s="270"/>
      <c r="AD81" s="270"/>
    </row>
    <row r="82" spans="1:30" x14ac:dyDescent="0.2">
      <c r="B82" s="237"/>
      <c r="C82" s="110" t="str">
        <f>IF(topdowntables!$N$4=1, "Råprotein, g per kg foder", "Crude protein, g per kg feed")</f>
        <v>Råprotein, g per kg foder</v>
      </c>
      <c r="D82" s="242">
        <f>SUM((IFERROR(VLOOKUP('input-data'!$E$372,Fodertabel!$D$353:$HU$356,10,FALSE),0))*10)</f>
        <v>0</v>
      </c>
      <c r="F82" s="252"/>
      <c r="G82" s="233"/>
      <c r="H82" s="110"/>
      <c r="I82" s="110"/>
      <c r="J82" s="110"/>
      <c r="K82" s="110"/>
      <c r="L82" s="110"/>
      <c r="M82" s="110"/>
      <c r="N82" s="110"/>
      <c r="O82" s="110"/>
      <c r="P82" s="110"/>
      <c r="Q82" s="110"/>
      <c r="R82" s="110"/>
      <c r="S82" s="110"/>
      <c r="T82" s="110"/>
      <c r="U82" s="110"/>
      <c r="V82" s="270"/>
      <c r="W82" s="270"/>
      <c r="X82" s="270"/>
      <c r="Y82" s="270"/>
      <c r="Z82" s="270"/>
      <c r="AA82" s="270"/>
      <c r="AB82" s="270"/>
      <c r="AC82" s="270"/>
      <c r="AD82" s="270"/>
    </row>
    <row r="83" spans="1:30" x14ac:dyDescent="0.2">
      <c r="B83" s="237"/>
      <c r="C83" s="110" t="str">
        <f>IF(topdowntables!$N$4=1, "Fosfor, g per kg foder", "Phosphorus, g per kg feed")</f>
        <v>Fosfor, g per kg foder</v>
      </c>
      <c r="D83" s="240">
        <f>SUM((IFERROR(VLOOKUP('input-data'!$E$372,Fodertabel!$D$353:$HU$356,79,FALSE),0)))</f>
        <v>0</v>
      </c>
      <c r="F83" s="252"/>
      <c r="G83" s="233"/>
      <c r="H83" s="110"/>
      <c r="I83" s="110"/>
      <c r="J83" s="110"/>
      <c r="K83" s="110"/>
      <c r="L83" s="110"/>
      <c r="M83" s="110"/>
      <c r="N83" s="110"/>
      <c r="O83" s="110"/>
      <c r="P83" s="110"/>
      <c r="Q83" s="110"/>
      <c r="R83" s="110"/>
      <c r="S83" s="110"/>
      <c r="T83" s="110"/>
      <c r="U83" s="110"/>
      <c r="V83" s="270"/>
      <c r="W83" s="270"/>
      <c r="X83" s="270"/>
      <c r="Y83" s="270"/>
      <c r="Z83" s="270"/>
      <c r="AA83" s="270"/>
      <c r="AB83" s="270"/>
      <c r="AC83" s="270"/>
      <c r="AD83" s="270"/>
    </row>
    <row r="84" spans="1:30" x14ac:dyDescent="0.2">
      <c r="B84" s="237"/>
      <c r="C84" s="110"/>
      <c r="D84" s="240"/>
      <c r="F84" s="252"/>
      <c r="G84" s="233"/>
      <c r="H84" s="110"/>
      <c r="I84" s="110"/>
      <c r="J84" s="110"/>
      <c r="K84" s="110"/>
      <c r="L84" s="110"/>
      <c r="M84" s="110"/>
      <c r="N84" s="110"/>
      <c r="O84" s="110"/>
      <c r="P84" s="110"/>
      <c r="Q84" s="110"/>
      <c r="R84" s="110"/>
      <c r="S84" s="110"/>
      <c r="T84" s="110"/>
      <c r="U84" s="110"/>
      <c r="V84" s="270"/>
      <c r="W84" s="270"/>
      <c r="X84" s="270"/>
      <c r="Y84" s="270"/>
      <c r="Z84" s="270"/>
      <c r="AA84" s="270"/>
      <c r="AB84" s="270"/>
      <c r="AC84" s="270"/>
      <c r="AD84" s="270"/>
    </row>
    <row r="85" spans="1:30" x14ac:dyDescent="0.2">
      <c r="B85" s="237"/>
      <c r="C85" s="183" t="str">
        <f>IF(topdowntables!$N$4=1, "N og P bidrag fra grovfoder / græs, ude", "N and P content in roughage / grasse, outdoor")</f>
        <v>N og P bidrag fra grovfoder / græs, ude</v>
      </c>
      <c r="D85" s="240"/>
      <c r="F85" s="252" t="s">
        <v>1837</v>
      </c>
      <c r="G85" s="233"/>
      <c r="H85" s="110"/>
      <c r="I85" s="110"/>
      <c r="J85" s="110"/>
      <c r="K85" s="110"/>
      <c r="L85" s="110"/>
      <c r="M85" s="110"/>
      <c r="N85" s="110"/>
      <c r="O85" s="110"/>
      <c r="P85" s="110"/>
      <c r="Q85" s="110"/>
      <c r="R85" s="110"/>
      <c r="S85" s="110"/>
      <c r="T85" s="110"/>
      <c r="U85" s="110"/>
      <c r="V85" s="270"/>
      <c r="W85" s="270"/>
      <c r="X85" s="270"/>
      <c r="Y85" s="270"/>
      <c r="Z85" s="270"/>
      <c r="AA85" s="270"/>
      <c r="AB85" s="270"/>
      <c r="AC85" s="270"/>
      <c r="AD85" s="270"/>
    </row>
    <row r="86" spans="1:30" x14ac:dyDescent="0.2">
      <c r="B86" s="237"/>
      <c r="C86" s="63" t="str">
        <f>IF(topdowntables!$N$4=1, "Råprotein pr. prod. slagtesvin, kg", "Crude protein per prod. Slaughter pig, kg")</f>
        <v>Råprotein pr. prod. slagtesvin, kg</v>
      </c>
      <c r="D86" s="240">
        <f>IFERROR((D76*(IF(((D20/D28)&gt;('input-data'!F287/365)),D38*((D20/D28)-('input-data'!F287/365)),0))+(D82*D36))/1000,0)</f>
        <v>0</v>
      </c>
      <c r="E86" s="397"/>
      <c r="F86" s="278" t="s">
        <v>1838</v>
      </c>
      <c r="G86" s="233"/>
      <c r="H86" s="110"/>
      <c r="I86" s="110"/>
      <c r="J86" s="110"/>
      <c r="K86" s="110"/>
      <c r="L86" s="110"/>
      <c r="M86" s="110"/>
      <c r="N86" s="110"/>
      <c r="O86" s="110"/>
      <c r="P86" s="110"/>
      <c r="Q86" s="110"/>
      <c r="R86" s="110"/>
      <c r="S86" s="110"/>
      <c r="T86" s="110"/>
      <c r="U86" s="110"/>
      <c r="V86" s="270"/>
      <c r="W86" s="270"/>
      <c r="X86" s="270"/>
      <c r="Y86" s="270"/>
      <c r="Z86" s="270"/>
      <c r="AA86" s="270"/>
      <c r="AB86" s="270"/>
      <c r="AC86" s="270"/>
      <c r="AD86" s="270"/>
    </row>
    <row r="87" spans="1:30" x14ac:dyDescent="0.2">
      <c r="B87" s="237"/>
      <c r="C87" s="110" t="str">
        <f>IF(topdowntables!$N$4=1, "N pr. prod. slagtesvin, kg", "N, kg per prod. Slaughter pig")</f>
        <v>N pr. prod. slagtesvin, kg</v>
      </c>
      <c r="D87" s="240">
        <f>D86/6.25</f>
        <v>0</v>
      </c>
      <c r="E87" s="660" t="s">
        <v>1836</v>
      </c>
      <c r="F87" s="252" t="e">
        <f>(IF(((D20/D28)&gt;('input-data'!F287/365)),D38*((D20/D28)-('input-data'!F287/365)),0))+(IF(((D20/D28)&gt;('input-data'!F287/365)),D38*(1-(D20/D28)-('input-data'!F287/365)),D38))</f>
        <v>#DIV/0!</v>
      </c>
      <c r="G87" s="233"/>
      <c r="H87" s="110"/>
      <c r="I87" s="110"/>
      <c r="J87" s="110"/>
      <c r="K87" s="110"/>
      <c r="L87" s="110"/>
      <c r="M87" s="110"/>
      <c r="N87" s="110"/>
      <c r="O87" s="110"/>
      <c r="P87" s="110"/>
      <c r="Q87" s="110"/>
      <c r="R87" s="110"/>
      <c r="S87" s="110"/>
      <c r="T87" s="110"/>
      <c r="U87" s="110"/>
      <c r="V87" s="270"/>
      <c r="W87" s="270"/>
      <c r="X87" s="270"/>
      <c r="Y87" s="270"/>
      <c r="Z87" s="270"/>
      <c r="AA87" s="270"/>
      <c r="AB87" s="270"/>
      <c r="AC87" s="270"/>
      <c r="AD87" s="270"/>
    </row>
    <row r="88" spans="1:30" x14ac:dyDescent="0.2">
      <c r="B88" s="237"/>
      <c r="C88" s="110" t="str">
        <f>IF(topdowntables!$N$4=1, "P pr. prod. slagtesvin, kg", "P, kg per prod. Slaughter pig")</f>
        <v>P pr. prod. slagtesvin, kg</v>
      </c>
      <c r="D88" s="240">
        <f>IFERROR((D77*(IF(((D20/D28)&gt;('input-data'!F287/365)),D38*((D20/D28)-('input-data'!F287/365)),0))+(D83*D36))/1000,0)</f>
        <v>0</v>
      </c>
      <c r="F88" s="252"/>
      <c r="G88" s="233"/>
      <c r="H88" s="110"/>
      <c r="I88" s="110"/>
      <c r="J88" s="110"/>
      <c r="K88" s="110"/>
      <c r="L88" s="110"/>
      <c r="M88" s="110"/>
      <c r="N88" s="110"/>
      <c r="O88" s="110"/>
      <c r="P88" s="110"/>
      <c r="Q88" s="110"/>
      <c r="R88" s="110"/>
      <c r="S88" s="110"/>
      <c r="T88" s="110"/>
      <c r="U88" s="110"/>
      <c r="V88" s="270"/>
      <c r="W88" s="270"/>
      <c r="X88" s="270"/>
      <c r="Y88" s="270"/>
      <c r="Z88" s="270"/>
      <c r="AA88" s="270"/>
      <c r="AB88" s="270"/>
      <c r="AC88" s="270"/>
      <c r="AD88" s="270"/>
    </row>
    <row r="89" spans="1:30" x14ac:dyDescent="0.2">
      <c r="B89" s="237"/>
      <c r="C89" s="110"/>
      <c r="D89" s="240"/>
      <c r="F89" s="252"/>
      <c r="G89" s="233"/>
      <c r="H89" s="110"/>
      <c r="I89" s="110"/>
      <c r="J89" s="110"/>
      <c r="K89" s="110"/>
      <c r="L89" s="110"/>
      <c r="M89" s="110"/>
      <c r="N89" s="110"/>
      <c r="O89" s="110"/>
      <c r="P89" s="110"/>
      <c r="Q89" s="110"/>
      <c r="R89" s="110"/>
      <c r="S89" s="110"/>
      <c r="T89" s="110"/>
      <c r="U89" s="110"/>
      <c r="V89" s="270"/>
      <c r="W89" s="270"/>
      <c r="X89" s="270"/>
      <c r="Y89" s="270"/>
      <c r="Z89" s="270"/>
      <c r="AA89" s="270"/>
      <c r="AB89" s="270"/>
      <c r="AC89" s="270"/>
      <c r="AD89" s="270"/>
    </row>
    <row r="90" spans="1:30" x14ac:dyDescent="0.2">
      <c r="B90" s="237"/>
      <c r="C90" s="183" t="str">
        <f>IF(topdowntables!$N$4=1, "N og P bidrag fra grovfoder, tildelt inde", "N and P content in roughage, used indoor")</f>
        <v>N og P bidrag fra grovfoder, tildelt inde</v>
      </c>
      <c r="D90" s="240"/>
      <c r="F90" s="252"/>
      <c r="G90" s="233"/>
      <c r="H90" s="110"/>
      <c r="I90" s="110"/>
      <c r="J90" s="110"/>
      <c r="K90" s="110"/>
      <c r="L90" s="110"/>
      <c r="M90" s="110"/>
      <c r="N90" s="110"/>
      <c r="O90" s="110"/>
      <c r="P90" s="110"/>
      <c r="Q90" s="110"/>
      <c r="R90" s="110"/>
      <c r="S90" s="110"/>
      <c r="T90" s="110"/>
      <c r="U90" s="110"/>
      <c r="V90" s="270"/>
      <c r="W90" s="270"/>
      <c r="X90" s="270"/>
      <c r="Y90" s="270"/>
      <c r="Z90" s="270"/>
      <c r="AA90" s="270"/>
      <c r="AB90" s="270"/>
      <c r="AC90" s="270"/>
      <c r="AD90" s="270"/>
    </row>
    <row r="91" spans="1:30" x14ac:dyDescent="0.2">
      <c r="B91" s="237"/>
      <c r="C91" s="63" t="str">
        <f>IF(topdowntables!$N$4=1, "Råprotein pr. prod. Slagtesvin, kg", "Crude protein, kg per prod. Slaughter pig")</f>
        <v>Råprotein pr. prod. Slagtesvin, kg</v>
      </c>
      <c r="D91" s="240">
        <f>IFERROR((D76*(IF(((D20/D28)&gt;('input-data'!F287/365)),D38*(1-(D20/D28)-('input-data'!F287/365)),D38))+(D82*D36))/1000,0)</f>
        <v>0</v>
      </c>
      <c r="F91" s="252"/>
      <c r="G91" s="233"/>
      <c r="H91" s="110"/>
      <c r="I91" s="110"/>
      <c r="J91" s="110"/>
      <c r="K91" s="110"/>
      <c r="L91" s="110"/>
      <c r="M91" s="110"/>
      <c r="N91" s="110"/>
      <c r="O91" s="110"/>
      <c r="P91" s="110"/>
      <c r="Q91" s="110"/>
      <c r="R91" s="110"/>
      <c r="S91" s="110"/>
      <c r="T91" s="110"/>
      <c r="U91" s="110"/>
      <c r="V91" s="270"/>
      <c r="W91" s="270"/>
      <c r="X91" s="270"/>
      <c r="Y91" s="270"/>
      <c r="Z91" s="270"/>
      <c r="AA91" s="270"/>
      <c r="AB91" s="270"/>
      <c r="AC91" s="270"/>
      <c r="AD91" s="270"/>
    </row>
    <row r="92" spans="1:30" x14ac:dyDescent="0.2">
      <c r="B92" s="237"/>
      <c r="C92" s="110" t="str">
        <f>IF(topdowntables!$N$4=1, "N pr. prod. slagtesvin, kg", "N, kg per prod. Slaughter pig")</f>
        <v>N pr. prod. slagtesvin, kg</v>
      </c>
      <c r="D92" s="240">
        <f>D91/6.25</f>
        <v>0</v>
      </c>
      <c r="F92" s="252"/>
      <c r="G92" s="233"/>
      <c r="H92" s="110"/>
      <c r="I92" s="110"/>
      <c r="J92" s="110"/>
      <c r="K92" s="110"/>
      <c r="L92" s="110"/>
      <c r="M92" s="110"/>
      <c r="N92" s="110"/>
      <c r="O92" s="110"/>
      <c r="P92" s="110"/>
      <c r="Q92" s="110"/>
      <c r="R92" s="110"/>
      <c r="S92" s="110"/>
      <c r="T92" s="110"/>
      <c r="U92" s="110"/>
      <c r="V92" s="270"/>
      <c r="W92" s="270"/>
      <c r="X92" s="270"/>
      <c r="Y92" s="270"/>
      <c r="Z92" s="270"/>
      <c r="AA92" s="270"/>
      <c r="AB92" s="270"/>
      <c r="AC92" s="270"/>
      <c r="AD92" s="270"/>
    </row>
    <row r="93" spans="1:30" x14ac:dyDescent="0.2">
      <c r="B93" s="237"/>
      <c r="C93" s="110" t="str">
        <f>IF(topdowntables!$N$4=1, "P pr. prod. slagtesvin, kg", "P, kg per prod. Slaughter pig")</f>
        <v>P pr. prod. slagtesvin, kg</v>
      </c>
      <c r="D93" s="240">
        <f>IFERROR((D77*(IF(((D20/D28)&gt;('input-data'!F287/365)),D38*(1-(D20/D28)-('input-data'!F287/365)),D38))+(D83*D36))/1000,0)</f>
        <v>0</v>
      </c>
      <c r="F93" s="252"/>
      <c r="G93" s="233"/>
      <c r="H93" s="110"/>
      <c r="I93" s="110"/>
      <c r="J93" s="110"/>
      <c r="K93" s="110"/>
      <c r="L93" s="110"/>
      <c r="M93" s="110"/>
      <c r="N93" s="110"/>
      <c r="O93" s="110"/>
      <c r="P93" s="110"/>
      <c r="Q93" s="110"/>
      <c r="R93" s="110"/>
      <c r="S93" s="110"/>
      <c r="T93" s="110"/>
      <c r="U93" s="110"/>
      <c r="V93" s="270"/>
      <c r="W93" s="270"/>
      <c r="X93" s="270"/>
      <c r="Y93" s="270"/>
      <c r="Z93" s="270"/>
      <c r="AA93" s="270"/>
      <c r="AB93" s="270"/>
      <c r="AC93" s="270"/>
      <c r="AD93" s="270"/>
    </row>
    <row r="94" spans="1:30" x14ac:dyDescent="0.2">
      <c r="B94" s="234" t="str">
        <f>IF(topdowntables!N4=1, "Halm:", "Straw:")</f>
        <v>Halm:</v>
      </c>
      <c r="C94" s="235"/>
      <c r="D94" s="253"/>
      <c r="E94" s="233"/>
      <c r="F94" s="110"/>
      <c r="G94" s="110"/>
      <c r="H94" s="110"/>
      <c r="I94" s="110"/>
      <c r="J94" s="110"/>
      <c r="K94" s="110"/>
      <c r="L94" s="110"/>
      <c r="M94" s="110"/>
      <c r="N94" s="110"/>
      <c r="O94" s="110"/>
      <c r="P94" s="110"/>
      <c r="Q94" s="110"/>
      <c r="R94" s="110"/>
      <c r="S94" s="110"/>
      <c r="T94" s="270"/>
      <c r="U94" s="270"/>
      <c r="V94" s="270"/>
      <c r="W94" s="270"/>
      <c r="X94" s="270"/>
      <c r="Y94" s="270"/>
      <c r="Z94" s="270"/>
      <c r="AA94" s="270"/>
      <c r="AB94" s="270"/>
    </row>
    <row r="95" spans="1:30" x14ac:dyDescent="0.2">
      <c r="A95" s="63"/>
      <c r="B95" s="237"/>
      <c r="C95" s="110" t="str">
        <f>IF(topdowntables!N4=1, "Tørstof, %", "Dry matter, %")</f>
        <v>Tørstof, %</v>
      </c>
      <c r="D95" s="296">
        <f>IFERROR(SUM((IFERROR(VLOOKUP('input-data'!$E$376,Fodertabel,9,FALSE),0)*('input-data'!E375/( 'input-data'!E375+'input-data'!E382)))
+(IFERROR(VLOOKUP('input-data'!$E$383,Fodertabel,9,FALSE),0)*('input-data'!E382/( 'input-data'!E375+'input-data'!E382)))),0)</f>
        <v>0</v>
      </c>
      <c r="E95" s="233"/>
      <c r="F95" s="110"/>
      <c r="G95" s="110"/>
      <c r="H95" s="110"/>
      <c r="I95" s="110"/>
      <c r="J95" s="110"/>
      <c r="K95" s="110"/>
      <c r="L95" s="110"/>
      <c r="M95" s="110"/>
      <c r="N95" s="110"/>
      <c r="O95" s="110"/>
      <c r="P95" s="110"/>
      <c r="Q95" s="110"/>
      <c r="R95" s="110"/>
      <c r="S95" s="110"/>
      <c r="T95" s="270"/>
      <c r="U95" s="270"/>
      <c r="V95" s="270"/>
      <c r="W95" s="270"/>
      <c r="X95" s="270"/>
      <c r="Y95" s="270"/>
      <c r="Z95" s="270"/>
      <c r="AA95" s="270"/>
      <c r="AB95" s="270"/>
    </row>
    <row r="96" spans="1:30" x14ac:dyDescent="0.2">
      <c r="B96" s="237"/>
      <c r="C96" s="110" t="str">
        <f>IF(topdowntables!N4=1, "Råprotein, g per kg", "Crude protein, g per kg")</f>
        <v>Råprotein, g per kg</v>
      </c>
      <c r="D96" s="240">
        <f>IFERROR(SUM((IFERROR(VLOOKUP('input-data'!$E$376,Fodertabel,10,FALSE),0)*('input-data'!E375/( 'input-data'!E375+'input-data'!E382)))
+(IFERROR(VLOOKUP('input-data'!$E$383,Fodertabel,10,FALSE),0)*('input-data'!E382/( 'input-data'!E375+'input-data'!E382)))),0)</f>
        <v>0</v>
      </c>
      <c r="E96" s="233"/>
      <c r="F96" s="110"/>
      <c r="G96" s="110"/>
      <c r="H96" s="110"/>
      <c r="I96" s="110"/>
      <c r="J96" s="110"/>
      <c r="K96" s="110"/>
      <c r="L96" s="110"/>
      <c r="M96" s="110"/>
      <c r="N96" s="110"/>
      <c r="O96" s="110"/>
      <c r="P96" s="110"/>
      <c r="Q96" s="110"/>
      <c r="R96" s="110"/>
      <c r="S96" s="110"/>
      <c r="T96" s="270"/>
      <c r="U96" s="270"/>
      <c r="V96" s="270"/>
      <c r="W96" s="270"/>
      <c r="X96" s="270"/>
      <c r="Y96" s="270"/>
      <c r="Z96" s="270"/>
      <c r="AA96" s="270"/>
      <c r="AB96" s="270"/>
    </row>
    <row r="97" spans="2:28" x14ac:dyDescent="0.2">
      <c r="B97" s="239"/>
      <c r="C97" s="110" t="str">
        <f>IF(topdowntables!N4=1, "Fosfor, g per kg", "Phosphorus, g per kg")</f>
        <v>Fosfor, g per kg</v>
      </c>
      <c r="D97" s="240">
        <f>IFERROR(SUM((IFERROR(VLOOKUP('input-data'!$E$376,Fodertabel,79,FALSE),0)*('input-data'!E375/( 'input-data'!E375+'input-data'!E382)))
+(IFERROR(VLOOKUP('input-data'!$E$383,Fodertabel,79,FALSE),0)*('input-data'!E382/( 'input-data'!E375+'input-data'!E382)))),0)</f>
        <v>0</v>
      </c>
      <c r="E97" s="233"/>
      <c r="F97" s="110"/>
      <c r="G97" s="110"/>
      <c r="H97" s="110"/>
      <c r="I97" s="110"/>
      <c r="J97" s="110"/>
      <c r="K97" s="110"/>
      <c r="L97" s="110"/>
      <c r="M97" s="110"/>
      <c r="N97" s="110"/>
      <c r="O97" s="110"/>
      <c r="P97" s="110"/>
      <c r="Q97" s="110"/>
      <c r="R97" s="110"/>
      <c r="S97" s="110"/>
      <c r="T97" s="270"/>
      <c r="U97" s="270"/>
      <c r="V97" s="270"/>
      <c r="W97" s="270"/>
      <c r="X97" s="270"/>
      <c r="Y97" s="270"/>
      <c r="Z97" s="270"/>
      <c r="AA97" s="270"/>
      <c r="AB97" s="270"/>
    </row>
    <row r="98" spans="2:28" x14ac:dyDescent="0.2">
      <c r="B98" s="239"/>
      <c r="C98" s="110"/>
      <c r="D98" s="240"/>
      <c r="E98" s="233"/>
      <c r="F98" s="110"/>
      <c r="G98" s="110"/>
      <c r="H98" s="110"/>
      <c r="I98" s="110"/>
      <c r="J98" s="110"/>
      <c r="K98" s="110"/>
      <c r="L98" s="110"/>
      <c r="M98" s="110"/>
      <c r="N98" s="110"/>
      <c r="O98" s="110"/>
      <c r="P98" s="110"/>
      <c r="Q98" s="110"/>
      <c r="R98" s="110"/>
      <c r="S98" s="110"/>
      <c r="T98" s="270"/>
      <c r="U98" s="270"/>
      <c r="V98" s="270"/>
      <c r="W98" s="270"/>
      <c r="X98" s="270"/>
      <c r="Y98" s="270"/>
      <c r="Z98" s="270"/>
      <c r="AA98" s="270"/>
      <c r="AB98" s="270"/>
    </row>
    <row r="99" spans="2:28" x14ac:dyDescent="0.2">
      <c r="B99" s="239"/>
      <c r="C99" s="183" t="str">
        <f>IF(topdowntables!N4=1, "N og P bidrag fra halm, tildelt ude", "N and P content in straw, used outdoor")</f>
        <v>N og P bidrag fra halm, tildelt ude</v>
      </c>
      <c r="D99" s="240"/>
      <c r="E99" s="233"/>
      <c r="F99" s="110"/>
      <c r="G99" s="110"/>
      <c r="H99" s="110"/>
      <c r="I99" s="110"/>
      <c r="J99" s="110"/>
      <c r="K99" s="110"/>
      <c r="L99" s="110"/>
      <c r="M99" s="110"/>
      <c r="N99" s="110"/>
      <c r="O99" s="110"/>
      <c r="P99" s="110"/>
      <c r="Q99" s="110"/>
      <c r="R99" s="110"/>
      <c r="S99" s="110"/>
      <c r="T99" s="270"/>
      <c r="U99" s="270"/>
      <c r="V99" s="270"/>
      <c r="W99" s="270"/>
      <c r="X99" s="270"/>
      <c r="Y99" s="270"/>
      <c r="Z99" s="270"/>
      <c r="AA99" s="270"/>
      <c r="AB99" s="270"/>
    </row>
    <row r="100" spans="2:28" x14ac:dyDescent="0.2">
      <c r="B100" s="239"/>
      <c r="C100" s="63" t="str">
        <f>IF(topdowntables!N4=1, "Råprotein pr. prod. slagtesvin, kg", "Crude protein, kg per prod. Slaughter pig")</f>
        <v>Råprotein pr. prod. slagtesvin, kg</v>
      </c>
      <c r="D100" s="240">
        <f>(D41*D96)/1000</f>
        <v>0</v>
      </c>
      <c r="E100" s="233"/>
      <c r="F100" s="110"/>
      <c r="G100" s="110"/>
      <c r="H100" s="110"/>
      <c r="I100" s="110"/>
      <c r="J100" s="110"/>
      <c r="K100" s="110"/>
      <c r="L100" s="110"/>
      <c r="M100" s="110"/>
      <c r="N100" s="110"/>
      <c r="O100" s="110"/>
      <c r="P100" s="110"/>
      <c r="Q100" s="110"/>
      <c r="R100" s="110"/>
      <c r="S100" s="110"/>
      <c r="T100" s="270"/>
      <c r="U100" s="270"/>
      <c r="V100" s="270"/>
      <c r="W100" s="270"/>
      <c r="X100" s="270"/>
      <c r="Y100" s="270"/>
      <c r="Z100" s="270"/>
      <c r="AA100" s="270"/>
      <c r="AB100" s="270"/>
    </row>
    <row r="101" spans="2:28" x14ac:dyDescent="0.2">
      <c r="B101" s="239"/>
      <c r="C101" s="110" t="str">
        <f>IF(topdowntables!N4=1, "N pr. prod. slagtesvin, kg", "N, kg per prod. Slaughter pig")</f>
        <v>N pr. prod. slagtesvin, kg</v>
      </c>
      <c r="D101" s="240">
        <f>D100/6.25</f>
        <v>0</v>
      </c>
      <c r="E101" s="233"/>
      <c r="F101" s="110"/>
      <c r="G101" s="110"/>
      <c r="H101" s="110"/>
      <c r="I101" s="110"/>
      <c r="J101" s="110"/>
      <c r="K101" s="110"/>
      <c r="L101" s="110"/>
      <c r="M101" s="110"/>
      <c r="N101" s="110"/>
      <c r="O101" s="110"/>
      <c r="P101" s="110"/>
      <c r="Q101" s="110"/>
      <c r="R101" s="110"/>
      <c r="S101" s="110"/>
      <c r="T101" s="270"/>
      <c r="U101" s="270"/>
      <c r="V101" s="270"/>
      <c r="W101" s="270"/>
      <c r="X101" s="270"/>
      <c r="Y101" s="270"/>
      <c r="Z101" s="270"/>
      <c r="AA101" s="270"/>
      <c r="AB101" s="270"/>
    </row>
    <row r="102" spans="2:28" x14ac:dyDescent="0.2">
      <c r="B102" s="239"/>
      <c r="C102" s="261" t="str">
        <f>IF(topdowntables!N4=1,"P pr. prod. slagtesvin, kg","P, kg per prod. Slaughter pig")</f>
        <v>P pr. prod. slagtesvin, kg</v>
      </c>
      <c r="D102" s="240">
        <f>(D41*D97)/1000</f>
        <v>0</v>
      </c>
      <c r="E102" s="233"/>
      <c r="F102" s="110"/>
      <c r="G102" s="110"/>
      <c r="H102" s="110"/>
      <c r="I102" s="110"/>
      <c r="J102" s="110"/>
      <c r="K102" s="110"/>
      <c r="L102" s="110"/>
      <c r="M102" s="110"/>
      <c r="N102" s="110"/>
      <c r="O102" s="110"/>
      <c r="P102" s="110"/>
      <c r="Q102" s="110"/>
      <c r="R102" s="110"/>
      <c r="S102" s="110"/>
      <c r="T102" s="270"/>
      <c r="U102" s="270"/>
      <c r="V102" s="270"/>
      <c r="W102" s="270"/>
      <c r="X102" s="270"/>
      <c r="Y102" s="270"/>
      <c r="Z102" s="270"/>
      <c r="AA102" s="270"/>
      <c r="AB102" s="270"/>
    </row>
    <row r="103" spans="2:28" x14ac:dyDescent="0.2">
      <c r="B103" s="239"/>
      <c r="C103" s="110"/>
      <c r="D103" s="240"/>
      <c r="E103" s="233"/>
      <c r="F103" s="110"/>
      <c r="G103" s="110"/>
      <c r="H103" s="110"/>
      <c r="I103" s="110"/>
      <c r="J103" s="110"/>
      <c r="K103" s="110"/>
      <c r="L103" s="110"/>
      <c r="M103" s="110"/>
      <c r="N103" s="110"/>
      <c r="O103" s="110"/>
      <c r="P103" s="110"/>
      <c r="Q103" s="110"/>
      <c r="R103" s="110"/>
      <c r="S103" s="110"/>
      <c r="T103" s="270"/>
      <c r="U103" s="270"/>
      <c r="V103" s="270"/>
      <c r="W103" s="270"/>
      <c r="X103" s="270"/>
      <c r="Y103" s="270"/>
      <c r="Z103" s="270"/>
      <c r="AA103" s="270"/>
      <c r="AB103" s="270"/>
    </row>
    <row r="104" spans="2:28" x14ac:dyDescent="0.2">
      <c r="B104" s="237"/>
      <c r="C104" s="183" t="str">
        <f>IF(topdowntables!N4=1, "N og P bidrag fra halm, tildelt inde", "N and P content in straw, used indoor")</f>
        <v>N og P bidrag fra halm, tildelt inde</v>
      </c>
      <c r="D104" s="240"/>
      <c r="E104" s="233"/>
      <c r="F104" s="110"/>
      <c r="G104" s="110"/>
      <c r="H104" s="110"/>
      <c r="I104" s="110"/>
      <c r="J104" s="110"/>
      <c r="K104" s="110"/>
      <c r="L104" s="110"/>
      <c r="M104" s="110"/>
      <c r="N104" s="110"/>
      <c r="O104" s="110"/>
      <c r="P104" s="110"/>
      <c r="Q104" s="110"/>
      <c r="R104" s="110"/>
      <c r="S104" s="110"/>
      <c r="T104" s="270"/>
      <c r="U104" s="270"/>
      <c r="V104" s="270"/>
      <c r="W104" s="270"/>
      <c r="X104" s="270"/>
      <c r="Y104" s="270"/>
      <c r="Z104" s="270"/>
      <c r="AA104" s="270"/>
      <c r="AB104" s="270"/>
    </row>
    <row r="105" spans="2:28" x14ac:dyDescent="0.2">
      <c r="B105" s="237"/>
      <c r="C105" s="63" t="str">
        <f>IF(topdowntables!N4=1, "Råprotein pr. prod. slagtesvin, kg", "Crude protein, kg per prod. Slaughter pig")</f>
        <v>Råprotein pr. prod. slagtesvin, kg</v>
      </c>
      <c r="D105" s="240">
        <f>(D42*D96)/1000</f>
        <v>0</v>
      </c>
      <c r="E105" s="233"/>
      <c r="F105" s="110"/>
      <c r="G105" s="110"/>
      <c r="H105" s="110"/>
      <c r="I105" s="110"/>
      <c r="J105" s="110"/>
      <c r="K105" s="110"/>
      <c r="L105" s="110"/>
      <c r="M105" s="110"/>
      <c r="N105" s="110"/>
      <c r="O105" s="110"/>
      <c r="P105" s="110"/>
      <c r="Q105" s="110"/>
      <c r="R105" s="110"/>
      <c r="S105" s="110"/>
      <c r="T105" s="270"/>
      <c r="U105" s="270"/>
      <c r="V105" s="270"/>
      <c r="W105" s="270"/>
      <c r="X105" s="270"/>
      <c r="Y105" s="270"/>
      <c r="Z105" s="270"/>
      <c r="AA105" s="270"/>
      <c r="AB105" s="270"/>
    </row>
    <row r="106" spans="2:28" x14ac:dyDescent="0.2">
      <c r="B106" s="237"/>
      <c r="C106" s="110" t="str">
        <f>IF(topdowntables!N4=1, "N pr. prod. slagtesvin, kg", "N, kg per prod. slaughter pig")</f>
        <v>N pr. prod. slagtesvin, kg</v>
      </c>
      <c r="D106" s="240">
        <f>D105/6.25</f>
        <v>0</v>
      </c>
      <c r="E106" s="233"/>
      <c r="F106" s="110"/>
      <c r="G106" s="110"/>
      <c r="H106" s="110"/>
      <c r="I106" s="110"/>
      <c r="J106" s="110"/>
      <c r="K106" s="110"/>
      <c r="L106" s="110"/>
      <c r="M106" s="110"/>
      <c r="N106" s="110"/>
      <c r="O106" s="110"/>
      <c r="P106" s="110"/>
      <c r="Q106" s="110"/>
      <c r="R106" s="110"/>
      <c r="S106" s="110"/>
      <c r="T106" s="270"/>
      <c r="U106" s="270"/>
      <c r="V106" s="270"/>
      <c r="W106" s="270"/>
      <c r="X106" s="270"/>
      <c r="Y106" s="270"/>
      <c r="Z106" s="270"/>
      <c r="AA106" s="270"/>
      <c r="AB106" s="270"/>
    </row>
    <row r="107" spans="2:28" ht="15" thickBot="1" x14ac:dyDescent="0.25">
      <c r="B107" s="246"/>
      <c r="C107" s="292" t="str">
        <f>IF(topdowntables!N4=1, "P pr. prod. slagtesvin, kg", "P, kg per prod. Slaughter pig")</f>
        <v>P pr. prod. slagtesvin, kg</v>
      </c>
      <c r="D107" s="262">
        <f>(D42*D97)/1000</f>
        <v>0</v>
      </c>
      <c r="E107" s="233"/>
      <c r="F107" s="110"/>
      <c r="G107" s="110"/>
      <c r="H107" s="110"/>
      <c r="I107" s="110"/>
      <c r="J107" s="110"/>
      <c r="K107" s="110"/>
      <c r="L107" s="110"/>
      <c r="M107" s="110"/>
      <c r="N107" s="110"/>
      <c r="O107" s="110"/>
      <c r="P107" s="110"/>
      <c r="Q107" s="110"/>
      <c r="R107" s="110"/>
      <c r="S107" s="110"/>
      <c r="T107" s="270"/>
      <c r="U107" s="270"/>
      <c r="V107" s="270"/>
      <c r="W107" s="270"/>
      <c r="X107" s="270"/>
      <c r="Y107" s="270"/>
      <c r="Z107" s="270"/>
      <c r="AA107" s="270"/>
      <c r="AB107" s="270"/>
    </row>
    <row r="108" spans="2:28" x14ac:dyDescent="0.2">
      <c r="B108" s="63"/>
      <c r="C108" s="63"/>
      <c r="D108" s="65"/>
      <c r="F108" s="110"/>
      <c r="G108" s="110"/>
      <c r="H108" s="110"/>
      <c r="I108" s="110"/>
      <c r="J108" s="110"/>
      <c r="K108" s="110"/>
      <c r="L108" s="110"/>
      <c r="M108" s="110"/>
    </row>
    <row r="109" spans="2:28" x14ac:dyDescent="0.2">
      <c r="C109" s="110"/>
      <c r="D109" s="111"/>
      <c r="F109" s="110"/>
      <c r="G109" s="110"/>
      <c r="H109" s="110"/>
      <c r="I109" s="110"/>
      <c r="J109" s="110"/>
      <c r="K109" s="110"/>
      <c r="L109" s="110"/>
      <c r="M109" s="110"/>
    </row>
    <row r="110" spans="2:28" x14ac:dyDescent="0.2">
      <c r="C110" s="110"/>
      <c r="D110" s="111"/>
      <c r="F110" s="110"/>
      <c r="J110" s="110"/>
      <c r="K110" s="110"/>
      <c r="L110" s="110"/>
      <c r="M110" s="110"/>
    </row>
    <row r="111" spans="2:28" s="110" customFormat="1" x14ac:dyDescent="0.2">
      <c r="D111" s="111"/>
    </row>
    <row r="112" spans="2:28" s="110" customFormat="1" x14ac:dyDescent="0.2">
      <c r="C112" s="286"/>
      <c r="D112" s="287"/>
      <c r="E112" s="288"/>
      <c r="F112" s="288"/>
      <c r="G112" s="290"/>
      <c r="H112" s="290"/>
      <c r="I112" s="290"/>
      <c r="J112" s="288"/>
      <c r="K112" s="288"/>
      <c r="L112" s="288"/>
      <c r="M112" s="288"/>
      <c r="N112" s="288"/>
      <c r="O112" s="288"/>
    </row>
    <row r="113" spans="3:15" s="110" customFormat="1" x14ac:dyDescent="0.2">
      <c r="C113" s="286"/>
      <c r="D113" s="287"/>
      <c r="E113" s="288"/>
      <c r="F113" s="288"/>
      <c r="G113" s="290"/>
      <c r="H113" s="290"/>
      <c r="I113" s="290"/>
      <c r="J113" s="288"/>
      <c r="K113" s="288"/>
      <c r="L113" s="288"/>
      <c r="M113" s="288"/>
      <c r="N113" s="288"/>
      <c r="O113" s="288"/>
    </row>
    <row r="114" spans="3:15" s="110" customFormat="1" x14ac:dyDescent="0.2">
      <c r="D114" s="111"/>
    </row>
    <row r="115" spans="3:15" s="110" customFormat="1" x14ac:dyDescent="0.2">
      <c r="D115" s="111"/>
    </row>
    <row r="116" spans="3:15" s="110" customFormat="1" x14ac:dyDescent="0.2">
      <c r="D116" s="111"/>
    </row>
    <row r="117" spans="3:15" s="110" customFormat="1" x14ac:dyDescent="0.2">
      <c r="D117" s="111"/>
    </row>
    <row r="118" spans="3:15" s="110" customFormat="1" x14ac:dyDescent="0.2">
      <c r="D118" s="111"/>
    </row>
  </sheetData>
  <sheetProtection algorithmName="SHA-512" hashValue="qazEwPnm3ZEwbtm7KhaWSmpj2N4xwj5LwBhBGKxswiJFMwkjK1t/Q/qiR+FydjMf6fg+mbeBBSijqJqTejo5Yw==" saltValue="NGEdAcwA7D8FsYss4xY/sg==" spinCount="100000" sheet="1" objects="1" scenarios="1"/>
  <conditionalFormatting sqref="K112:O113">
    <cfRule type="cellIs" dxfId="1" priority="1" stopIfTrue="1" operator="greaterThan">
      <formula>999.9</formula>
    </cfRule>
    <cfRule type="cellIs" dxfId="0" priority="2" stopIfTrue="1" operator="greaterThan">
      <formula>99.9</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sheetPr>
  <dimension ref="A1:AA250"/>
  <sheetViews>
    <sheetView topLeftCell="A181" zoomScale="84" zoomScaleNormal="84" zoomScalePageLayoutView="84" workbookViewId="0">
      <selection activeCell="B212" sqref="B212"/>
    </sheetView>
  </sheetViews>
  <sheetFormatPr defaultColWidth="8.85546875" defaultRowHeight="15" x14ac:dyDescent="0.25"/>
  <cols>
    <col min="1" max="1" width="3.85546875" style="228" customWidth="1"/>
    <col min="2" max="2" width="24.85546875" style="228" customWidth="1"/>
    <col min="3" max="4" width="16.85546875" style="122" customWidth="1"/>
    <col min="5" max="6" width="12" style="122" customWidth="1"/>
    <col min="7" max="7" width="3.28515625" style="228" customWidth="1"/>
    <col min="8" max="8" width="2.42578125" style="122" customWidth="1"/>
    <col min="9" max="9" width="18.28515625" style="228" customWidth="1"/>
    <col min="10" max="10" width="2.85546875" style="228" customWidth="1"/>
    <col min="11" max="11" width="20.42578125" style="228" customWidth="1"/>
    <col min="12" max="27" width="8.85546875" style="228"/>
  </cols>
  <sheetData>
    <row r="1" spans="1:27" s="10" customFormat="1" x14ac:dyDescent="0.25">
      <c r="A1" s="110"/>
      <c r="B1" s="177" t="s">
        <v>1853</v>
      </c>
      <c r="C1" s="226" t="s">
        <v>971</v>
      </c>
      <c r="D1" s="226"/>
      <c r="E1" s="226"/>
      <c r="F1" s="226"/>
      <c r="G1" s="251"/>
      <c r="H1" s="177" t="s">
        <v>8</v>
      </c>
      <c r="I1" s="110"/>
      <c r="J1" s="110"/>
      <c r="K1" s="110"/>
      <c r="L1" s="110"/>
      <c r="M1" s="110"/>
      <c r="N1" s="110"/>
      <c r="O1" s="110"/>
      <c r="P1" s="110"/>
      <c r="Q1" s="110"/>
      <c r="R1" s="110"/>
      <c r="S1" s="110"/>
      <c r="T1" s="110"/>
      <c r="U1" s="110"/>
      <c r="V1" s="110"/>
      <c r="W1" s="110"/>
      <c r="X1" s="110"/>
      <c r="Y1" s="110"/>
      <c r="Z1" s="110"/>
      <c r="AA1" s="110"/>
    </row>
    <row r="2" spans="1:27" s="10" customFormat="1" ht="15.75" thickBot="1" x14ac:dyDescent="0.3">
      <c r="A2" s="110"/>
      <c r="B2" s="110"/>
      <c r="C2" s="111"/>
      <c r="D2" s="784"/>
      <c r="E2" s="663"/>
      <c r="F2" s="681"/>
      <c r="G2" s="110"/>
      <c r="H2" s="110"/>
      <c r="I2" s="110"/>
      <c r="J2" s="110"/>
      <c r="K2" s="110"/>
      <c r="L2" s="110"/>
      <c r="M2" s="110"/>
      <c r="N2" s="110"/>
      <c r="O2" s="110"/>
      <c r="P2" s="110"/>
      <c r="Q2" s="110"/>
      <c r="R2" s="110"/>
      <c r="S2" s="110"/>
      <c r="T2" s="110"/>
      <c r="U2" s="110"/>
      <c r="V2" s="110"/>
      <c r="W2" s="110"/>
      <c r="X2" s="110"/>
      <c r="Y2" s="110"/>
      <c r="Z2" s="110"/>
      <c r="AA2" s="110"/>
    </row>
    <row r="3" spans="1:27" s="10" customFormat="1" ht="29.25" x14ac:dyDescent="0.25">
      <c r="A3" s="110"/>
      <c r="B3" s="789" t="s">
        <v>1545</v>
      </c>
      <c r="C3" s="795" t="str">
        <f>IF(topdowntables!$N$4=1, "Total", "Total")</f>
        <v>Total</v>
      </c>
      <c r="D3" s="795" t="str">
        <f>IF(topdowntables!$N$4=1, "Per årso", "Per year sow")</f>
        <v>Per årso</v>
      </c>
      <c r="E3" s="795" t="str">
        <f>IF(topdowntables!$N$4=1, "Total", "Total")</f>
        <v>Total</v>
      </c>
      <c r="F3" s="806" t="str">
        <f>IF(topdowntables!$N$4=1, "Per årso", "Per year sow")</f>
        <v>Per årso</v>
      </c>
      <c r="G3" s="110"/>
      <c r="H3" s="110"/>
      <c r="I3" s="110"/>
      <c r="J3" s="110"/>
      <c r="K3" s="110"/>
      <c r="L3" s="110"/>
      <c r="M3" s="110"/>
      <c r="N3" s="110"/>
      <c r="O3" s="110"/>
      <c r="P3" s="110"/>
      <c r="Q3" s="110"/>
      <c r="R3" s="110"/>
      <c r="S3" s="110"/>
      <c r="T3" s="110"/>
      <c r="U3" s="110"/>
      <c r="V3" s="110"/>
      <c r="W3" s="110"/>
      <c r="X3" s="110"/>
      <c r="Y3" s="110"/>
      <c r="Z3" s="110"/>
      <c r="AA3" s="110"/>
    </row>
    <row r="4" spans="1:27" s="10" customFormat="1" x14ac:dyDescent="0.25">
      <c r="A4" s="110"/>
      <c r="B4" s="382" t="s">
        <v>1854</v>
      </c>
      <c r="C4" s="471" t="s">
        <v>1855</v>
      </c>
      <c r="D4" s="471" t="s">
        <v>1855</v>
      </c>
      <c r="E4" s="471" t="s">
        <v>1341</v>
      </c>
      <c r="F4" s="236" t="s">
        <v>1341</v>
      </c>
      <c r="G4" s="110"/>
      <c r="H4" s="110"/>
      <c r="I4" s="110"/>
      <c r="J4" s="110"/>
      <c r="K4" s="110"/>
      <c r="L4" s="110"/>
      <c r="M4" s="110"/>
      <c r="N4" s="110"/>
      <c r="O4" s="110"/>
      <c r="P4" s="110"/>
      <c r="Q4" s="110"/>
      <c r="R4" s="110"/>
      <c r="S4" s="110"/>
      <c r="T4" s="110"/>
      <c r="U4" s="110"/>
      <c r="V4" s="110"/>
      <c r="W4" s="110"/>
      <c r="X4" s="110"/>
      <c r="Y4" s="110"/>
      <c r="Z4" s="110"/>
      <c r="AA4" s="110"/>
    </row>
    <row r="5" spans="1:27" s="10" customFormat="1" x14ac:dyDescent="0.25">
      <c r="A5" s="110"/>
      <c r="B5" s="239" t="s">
        <v>1568</v>
      </c>
      <c r="C5" s="65"/>
      <c r="D5" s="65"/>
      <c r="E5" s="65"/>
      <c r="F5" s="241"/>
      <c r="G5" s="110"/>
      <c r="H5" s="110"/>
      <c r="I5" s="110"/>
      <c r="J5" s="110"/>
      <c r="K5" s="110"/>
      <c r="L5" s="110"/>
      <c r="M5" s="110"/>
      <c r="N5" s="110"/>
      <c r="O5" s="110"/>
      <c r="P5" s="110"/>
      <c r="Q5" s="110"/>
      <c r="R5" s="110"/>
      <c r="S5" s="110"/>
      <c r="T5" s="110"/>
      <c r="U5" s="110"/>
      <c r="V5" s="110"/>
      <c r="W5" s="110"/>
      <c r="X5" s="110"/>
      <c r="Y5" s="110"/>
      <c r="Z5" s="110"/>
      <c r="AA5" s="110"/>
    </row>
    <row r="6" spans="1:27" s="10" customFormat="1" x14ac:dyDescent="0.25">
      <c r="A6" s="110"/>
      <c r="B6" s="239" t="s">
        <v>1717</v>
      </c>
      <c r="C6" s="265">
        <f>'NPK tal'!$C$19*'NPK tal'!$B$4/1000*'Flow sohold'!D5</f>
        <v>0</v>
      </c>
      <c r="D6" s="266">
        <f>IFERROR(C6/'Flow sohold'!$D$5,0)</f>
        <v>0</v>
      </c>
      <c r="E6" s="265">
        <f>'NPK tal'!$C$19*'NPK tal'!$C$4/1000*'Flow sohold'!D5</f>
        <v>0</v>
      </c>
      <c r="F6" s="240">
        <f>IFERROR(E6/'Flow sohold'!$D$5,0)</f>
        <v>0</v>
      </c>
      <c r="G6" s="110"/>
      <c r="H6" s="110"/>
      <c r="I6" s="110" t="s">
        <v>1579</v>
      </c>
      <c r="J6" s="110"/>
      <c r="K6" s="110"/>
      <c r="L6" s="110"/>
      <c r="M6" s="110"/>
      <c r="N6" s="110"/>
      <c r="O6" s="110"/>
      <c r="P6" s="110"/>
      <c r="Q6" s="110"/>
      <c r="R6" s="110"/>
      <c r="S6" s="110"/>
      <c r="T6" s="110"/>
      <c r="U6" s="110"/>
      <c r="V6" s="110"/>
      <c r="W6" s="110"/>
      <c r="X6" s="110"/>
      <c r="Y6" s="110"/>
      <c r="Z6" s="110"/>
      <c r="AA6" s="110"/>
    </row>
    <row r="7" spans="1:27" s="10" customFormat="1" x14ac:dyDescent="0.25">
      <c r="A7" s="110"/>
      <c r="B7" s="239" t="str">
        <f>IF(topdowntables!$N$4=1, "Kraffoder:", "Concentrated feed:")</f>
        <v>Kraffoder:</v>
      </c>
      <c r="C7" s="265"/>
      <c r="D7" s="266"/>
      <c r="E7" s="265"/>
      <c r="F7" s="240"/>
      <c r="G7" s="110"/>
      <c r="H7" s="110"/>
      <c r="I7" s="110"/>
      <c r="J7" s="110"/>
      <c r="K7" s="110"/>
      <c r="L7" s="110"/>
      <c r="M7" s="110"/>
      <c r="N7" s="110"/>
      <c r="O7" s="110"/>
      <c r="P7" s="110"/>
      <c r="Q7" s="110"/>
      <c r="R7" s="110"/>
      <c r="S7" s="110"/>
      <c r="T7" s="110"/>
      <c r="U7" s="110"/>
      <c r="V7" s="110"/>
      <c r="W7" s="110"/>
      <c r="X7" s="110"/>
      <c r="Y7" s="110"/>
      <c r="Z7" s="110"/>
      <c r="AA7" s="110"/>
    </row>
    <row r="8" spans="1:27" s="10" customFormat="1" x14ac:dyDescent="0.25">
      <c r="A8" s="110"/>
      <c r="B8" s="239" t="s">
        <v>1555</v>
      </c>
      <c r="C8" s="265">
        <f>'Flow sohold'!D62*'Flow sohold'!D5</f>
        <v>0</v>
      </c>
      <c r="D8" s="266">
        <f>IFERROR(C8/'Flow sohold'!$D$5,0)</f>
        <v>0</v>
      </c>
      <c r="E8" s="265">
        <f>'Flow sohold'!D63*'Flow sohold'!D5</f>
        <v>0</v>
      </c>
      <c r="F8" s="240">
        <f>IFERROR(E8/'Flow sohold'!$D$5,0)</f>
        <v>0</v>
      </c>
      <c r="G8" s="110"/>
      <c r="H8" s="110"/>
      <c r="I8" s="110" t="s">
        <v>1554</v>
      </c>
      <c r="J8" s="110"/>
      <c r="K8" s="110"/>
      <c r="L8" s="110"/>
      <c r="M8" s="110"/>
      <c r="N8" s="110"/>
      <c r="O8" s="110"/>
      <c r="P8" s="110"/>
      <c r="Q8" s="110"/>
      <c r="R8" s="110"/>
      <c r="S8" s="110"/>
      <c r="T8" s="110"/>
      <c r="U8" s="110"/>
      <c r="V8" s="110"/>
      <c r="W8" s="110"/>
      <c r="X8" s="110"/>
      <c r="Y8" s="110"/>
      <c r="Z8" s="110"/>
      <c r="AA8" s="110"/>
    </row>
    <row r="9" spans="1:27" s="10" customFormat="1" x14ac:dyDescent="0.25">
      <c r="A9" s="110"/>
      <c r="B9" s="239" t="s">
        <v>1556</v>
      </c>
      <c r="C9" s="265">
        <f>'Flow sohold'!D73*'Flow sohold'!D5</f>
        <v>0</v>
      </c>
      <c r="D9" s="266">
        <f>IFERROR(C9/'Flow sohold'!$D$5,0)</f>
        <v>0</v>
      </c>
      <c r="E9" s="265">
        <f>'Flow sohold'!D74*'Flow sohold'!D5</f>
        <v>0</v>
      </c>
      <c r="F9" s="240">
        <f>IFERROR(E9/'Flow sohold'!$D$5,0)</f>
        <v>0</v>
      </c>
      <c r="G9" s="110"/>
      <c r="H9" s="110"/>
      <c r="I9" s="110" t="s">
        <v>1560</v>
      </c>
      <c r="J9" s="110"/>
      <c r="K9" s="110"/>
      <c r="L9" s="110"/>
      <c r="M9" s="110"/>
      <c r="N9" s="110"/>
      <c r="O9" s="110"/>
      <c r="P9" s="110"/>
      <c r="Q9" s="110"/>
      <c r="R9" s="110"/>
      <c r="S9" s="110"/>
      <c r="T9" s="110"/>
      <c r="U9" s="110"/>
      <c r="V9" s="110"/>
      <c r="W9" s="110"/>
      <c r="X9" s="110"/>
      <c r="Y9" s="110"/>
      <c r="Z9" s="110"/>
      <c r="AA9" s="110"/>
    </row>
    <row r="10" spans="1:27" s="10" customFormat="1" x14ac:dyDescent="0.25">
      <c r="A10" s="110"/>
      <c r="B10" s="239" t="s">
        <v>1564</v>
      </c>
      <c r="C10" s="265"/>
      <c r="D10" s="266"/>
      <c r="E10" s="265"/>
      <c r="F10" s="240"/>
      <c r="G10" s="110"/>
      <c r="H10" s="110"/>
      <c r="I10" s="110"/>
      <c r="J10" s="110"/>
      <c r="K10" s="110"/>
      <c r="L10" s="110"/>
      <c r="M10" s="110"/>
      <c r="N10" s="110"/>
      <c r="O10" s="110"/>
      <c r="P10" s="110"/>
      <c r="Q10" s="110"/>
      <c r="R10" s="110"/>
      <c r="S10" s="110"/>
      <c r="T10" s="110"/>
      <c r="U10" s="110"/>
      <c r="V10" s="110"/>
      <c r="W10" s="110"/>
      <c r="X10" s="110"/>
      <c r="Y10" s="110"/>
      <c r="Z10" s="110"/>
      <c r="AA10" s="110"/>
    </row>
    <row r="11" spans="1:27" s="10" customFormat="1" x14ac:dyDescent="0.25">
      <c r="A11" s="110"/>
      <c r="B11" s="239" t="s">
        <v>1846</v>
      </c>
      <c r="C11" s="265">
        <f>IF(OR('input-data'!E302=topdowntables!$C4,'input-data'!E302=topdowntables!$C$9),'Flow sohold'!D5*'Flow sohold'!D111,
IF(OR('input-data'!E302=topdowntables!$C$5,'input-data'!$E$302=topdowntables!$C$10),0,
IF((365-'input-data'!F303)&gt;='input-data'!E68,'Flow sohold'!D5*('Flow sohold'!D106*'Flow sohold'!D40/1000/6.25),
IF(OR('input-data'!E302=topdowntables!$C$6,'input-data'!$E$302=topdowntables!$C$11),('Flow sohold'!D5*('Flow sohold'!D100*'Flow sohold'!D41/1000/6.25)*(('input-data'!E68-(365-'input-data'!F303))/'input-data'!E68))+('Flow sohold'!D5*('Flow sohold'!D106*'Flow sohold'!D40/1000/6.25)),0))))</f>
        <v>0</v>
      </c>
      <c r="D11" s="266">
        <f>IFERROR(C11/'Flow sohold'!$D$5,0)</f>
        <v>0</v>
      </c>
      <c r="E11" s="265">
        <f>IF(OR('input-data'!E302=topdowntables!$C4,'input-data'!E302=topdowntables!$C$9),'Flow sohold'!D5*'Flow sohold'!D112,
IF(OR('input-data'!E302=topdowntables!$C$5,'input-data'!$E$302=topdowntables!$C$10),0,
IF((365-'input-data'!F303)&gt;='input-data'!E68,'Flow sohold'!D5*('Flow sohold'!D107*'Flow sohold'!D40/1000),
IF(OR('input-data'!E302=topdowntables!$C$6,'input-data'!$E$302=topdowntables!$C$11),('Flow sohold'!D5*('Flow sohold'!D101*'Flow sohold'!D41/1000)*(('input-data'!E68-(365-'input-data'!F303))/'input-data'!E68))+('Flow sohold'!D5*('Flow sohold'!D107*'Flow sohold'!D40/1000)),0))))</f>
        <v>0</v>
      </c>
      <c r="F11" s="240">
        <f>IFERROR(E11/'Flow sohold'!$D$5,0)</f>
        <v>0</v>
      </c>
      <c r="G11" s="110"/>
      <c r="H11" s="110"/>
      <c r="I11" s="110" t="s">
        <v>1569</v>
      </c>
      <c r="J11" s="110"/>
      <c r="K11" s="110"/>
      <c r="L11" s="110"/>
      <c r="M11" s="110"/>
      <c r="N11" s="110"/>
      <c r="O11" s="110"/>
      <c r="P11" s="110"/>
      <c r="Q11" s="110"/>
      <c r="R11" s="110"/>
      <c r="S11" s="110"/>
      <c r="T11" s="110"/>
      <c r="U11" s="110"/>
      <c r="V11" s="110"/>
      <c r="W11" s="110"/>
      <c r="X11" s="110"/>
      <c r="Y11" s="110"/>
      <c r="Z11" s="110"/>
      <c r="AA11" s="110"/>
    </row>
    <row r="12" spans="1:27" s="10" customFormat="1" x14ac:dyDescent="0.25">
      <c r="A12" s="110"/>
      <c r="B12" s="239" t="s">
        <v>1621</v>
      </c>
      <c r="C12" s="265">
        <f>IF(OR('input-data'!$E$302=topdowntables!$C$5,'input-data'!$E$302=topdowntables!$C$10),'Flow sohold'!D5*'Flow sohold'!D111,
IF(OR('input-data'!$E$302=topdowntables!$C$4,'input-data'!$E$302=topdowntables!$C$9),0,
IF((365-'input-data'!F303)&gt;='input-data'!E68,'Flow sohold'!D5*('Flow sohold'!D100*'Flow sohold'!D41/1000/6.25),
IF(OR('input-data'!$E$302=topdowntables!$C$6,'input-data'!$E$302=topdowntables!$C$11),'Flow sohold'!D5*('Flow sohold'!D100*'Flow sohold'!D41/1000/6.25)*((365-'input-data'!F303)/'input-data'!E68),0)))
)</f>
        <v>0</v>
      </c>
      <c r="D12" s="266">
        <f>IFERROR(C12/'Flow sohold'!$D$5,0)</f>
        <v>0</v>
      </c>
      <c r="E12" s="265">
        <f>IF(OR('input-data'!$E$302=topdowntables!$C$5,'input-data'!$E$302=topdowntables!$C$10),'Flow sohold'!D5*'Flow sohold'!D112,
IF(OR('input-data'!$E$302=topdowntables!$C$4,'input-data'!$E$302=topdowntables!$C$9),0,
IF((365-'input-data'!F303)&gt;='input-data'!E68,'Flow sohold'!D5*('Flow sohold'!D101*'Flow sohold'!D41/1000),
IF(OR('input-data'!$E$302=topdowntables!$C$6,'input-data'!$E$302=topdowntables!$C$11),'Flow sohold'!D5*('Flow sohold'!D101*'Flow sohold'!D41/1000)*((365-'input-data'!F303)/'input-data'!E68),0)))
)</f>
        <v>0</v>
      </c>
      <c r="F12" s="240">
        <f>IFERROR(E12/'Flow sohold'!$D$5,0)</f>
        <v>0</v>
      </c>
      <c r="G12" s="110"/>
      <c r="H12" s="110"/>
      <c r="I12" s="110"/>
      <c r="J12" s="110"/>
      <c r="K12" s="110"/>
      <c r="L12" s="110"/>
      <c r="M12" s="110"/>
      <c r="N12" s="110"/>
      <c r="O12" s="110"/>
      <c r="P12" s="110"/>
      <c r="Q12" s="110"/>
      <c r="R12" s="110"/>
      <c r="S12" s="110"/>
      <c r="T12" s="110"/>
      <c r="U12" s="110"/>
      <c r="V12" s="110"/>
      <c r="W12" s="110"/>
      <c r="X12" s="110"/>
      <c r="Y12" s="110"/>
      <c r="Z12" s="110"/>
      <c r="AA12" s="110"/>
    </row>
    <row r="13" spans="1:27" s="10" customFormat="1" x14ac:dyDescent="0.25">
      <c r="A13" s="110"/>
      <c r="B13" s="239" t="s">
        <v>1565</v>
      </c>
      <c r="C13" s="265"/>
      <c r="D13" s="266"/>
      <c r="E13" s="265"/>
      <c r="F13" s="240"/>
      <c r="G13" s="110"/>
      <c r="H13" s="110"/>
      <c r="I13" s="110"/>
      <c r="J13" s="110"/>
      <c r="K13" s="110"/>
      <c r="L13" s="110"/>
      <c r="M13" s="110"/>
      <c r="N13" s="110"/>
      <c r="O13" s="110"/>
      <c r="P13" s="110"/>
      <c r="Q13" s="110"/>
      <c r="R13" s="110"/>
      <c r="S13" s="110"/>
      <c r="T13" s="110"/>
      <c r="U13" s="110"/>
      <c r="V13" s="110"/>
      <c r="W13" s="110"/>
      <c r="X13" s="110"/>
      <c r="Y13" s="110"/>
      <c r="Z13" s="110"/>
      <c r="AA13" s="110"/>
    </row>
    <row r="14" spans="1:27" s="10" customFormat="1" x14ac:dyDescent="0.25">
      <c r="A14" s="110"/>
      <c r="B14" s="239" t="s">
        <v>1620</v>
      </c>
      <c r="C14" s="265">
        <f>IF(OR('input-data'!$E$302=topdowntables!$C$5,'input-data'!$E$302=topdowntables!$C$10),0,
IF(OR('input-data'!$E$302=topdowntables!$C$4,'input-data'!$E$302=topdowntables!$C$9), 'Flow sohold'!D5*'Flow sohold'!D138,
IF(OR('input-data'!$E$302=topdowntables!$C$6,'input-data'!$E$302=topdowntables!$C$11),'Flow sohold'!D5*('input-data'!E316*'input-data'!E15*('Flow sohold'!D134/6.25)/1000)*((365-'input-data'!F303)/365),0)))</f>
        <v>0</v>
      </c>
      <c r="D14" s="266">
        <f>IFERROR(C14/'Flow sohold'!$D$5,0)</f>
        <v>0</v>
      </c>
      <c r="E14" s="265">
        <f>IF(OR('input-data'!$E$302=topdowntables!$C$5,'input-data'!$E$302=topdowntables!$C$10),0,
IF(OR('input-data'!$E$302=topdowntables!$C$4,'input-data'!$E$302=topdowntables!$C$9),'Flow sohold'!D5*'Flow sohold'!D138,
IF(OR('input-data'!$E$302=topdowntables!$C$6,'input-data'!$E$302=topdowntables!$C$11),'Flow sohold'!D5*('input-data'!E316*'input-data'!E15*('Flow sohold'!D135)/1000)*((365-'input-data'!F303)/365),0)))</f>
        <v>0</v>
      </c>
      <c r="F14" s="240">
        <f>IFERROR(E14/'Flow sohold'!$D$5,0)</f>
        <v>0</v>
      </c>
      <c r="G14" s="110"/>
      <c r="H14" s="110"/>
      <c r="I14" s="110" t="s">
        <v>1569</v>
      </c>
      <c r="J14" s="110"/>
      <c r="K14" s="110"/>
      <c r="L14" s="110"/>
      <c r="M14" s="110"/>
      <c r="N14" s="110"/>
      <c r="O14" s="110"/>
      <c r="P14" s="110"/>
      <c r="Q14" s="110"/>
      <c r="R14" s="110"/>
      <c r="S14" s="110"/>
      <c r="T14" s="110"/>
      <c r="U14" s="110"/>
      <c r="V14" s="110"/>
      <c r="W14" s="110"/>
      <c r="X14" s="110"/>
      <c r="Y14" s="110"/>
      <c r="Z14" s="110"/>
      <c r="AA14" s="110"/>
    </row>
    <row r="15" spans="1:27" s="10" customFormat="1" x14ac:dyDescent="0.25">
      <c r="A15" s="110"/>
      <c r="B15" s="239" t="s">
        <v>1621</v>
      </c>
      <c r="C15" s="265">
        <f>IF(OR('input-data'!$E$302=topdowntables!$C$5,'input-data'!$E$302=topdowntables!$C$10),'Flow sohold'!D5*'Flow sohold'!D138,
IF(OR('input-data'!$E$302=topdowntables!$C$4,'input-data'!$E$302=topdowntables!$C$9),0,
IF(OR('input-data'!$E$302=topdowntables!$C$6,'input-data'!$E$302=topdowntables!$C$11), 'Flow sohold'!D5*('input-data'!E309*'input-data'!E15*('Flow sohold'!D134/6.25)/1000)*(('input-data'!F303)/365),0)))</f>
        <v>0</v>
      </c>
      <c r="D15" s="266">
        <f>IFERROR(C15/'Flow sohold'!$D$5,0)</f>
        <v>0</v>
      </c>
      <c r="E15" s="265">
        <f>IF(OR('input-data'!$E$302=topdowntables!$C$5,'input-data'!$E$302=topdowntables!$C$10),'Flow sohold'!D5*'Flow sohold'!D139,
IF(OR('input-data'!$E$302=topdowntables!$C$4,'input-data'!$E$302=topdowntables!$C$9),0,
IF(OR('input-data'!$E$302=topdowntables!$C$6,'input-data'!$E$302=topdowntables!$C$11),'Flow sohold'!D5*('input-data'!E309*'input-data'!E15*('Flow sohold'!D135)/1000)*(('input-data'!F303)/365),0)))</f>
        <v>0</v>
      </c>
      <c r="F15" s="240">
        <f>IFERROR(E15/'Flow sohold'!$D$5,0)</f>
        <v>0</v>
      </c>
      <c r="G15" s="110"/>
      <c r="H15" s="110"/>
      <c r="I15" s="110"/>
      <c r="J15" s="110"/>
      <c r="K15" s="110"/>
      <c r="L15" s="110"/>
      <c r="M15" s="110"/>
      <c r="N15" s="110"/>
      <c r="O15" s="110"/>
      <c r="P15" s="110"/>
      <c r="Q15" s="110"/>
      <c r="R15" s="110"/>
      <c r="S15" s="110"/>
      <c r="T15" s="110"/>
      <c r="U15" s="110"/>
      <c r="V15" s="110"/>
      <c r="W15" s="110"/>
      <c r="X15" s="110"/>
      <c r="Y15" s="110"/>
      <c r="Z15" s="110"/>
      <c r="AA15" s="110"/>
    </row>
    <row r="16" spans="1:27" s="10" customFormat="1" x14ac:dyDescent="0.25">
      <c r="A16" s="110"/>
      <c r="B16" s="239"/>
      <c r="C16" s="265"/>
      <c r="D16" s="266"/>
      <c r="E16" s="265"/>
      <c r="F16" s="240"/>
      <c r="G16" s="110"/>
      <c r="H16" s="110"/>
      <c r="I16" s="110"/>
      <c r="J16" s="110"/>
      <c r="K16" s="110"/>
      <c r="L16" s="110"/>
      <c r="M16" s="110"/>
      <c r="N16" s="110"/>
      <c r="O16" s="110"/>
      <c r="P16" s="110"/>
      <c r="Q16" s="110"/>
      <c r="R16" s="110"/>
      <c r="S16" s="110"/>
      <c r="T16" s="110"/>
      <c r="U16" s="110"/>
      <c r="V16" s="110"/>
      <c r="W16" s="110"/>
      <c r="X16" s="110"/>
      <c r="Y16" s="110"/>
      <c r="Z16" s="110"/>
      <c r="AA16" s="110"/>
    </row>
    <row r="17" spans="1:27" s="10" customFormat="1" x14ac:dyDescent="0.25">
      <c r="A17" s="225"/>
      <c r="B17" s="382" t="s">
        <v>1856</v>
      </c>
      <c r="C17" s="471" t="s">
        <v>1855</v>
      </c>
      <c r="D17" s="797" t="s">
        <v>1855</v>
      </c>
      <c r="E17" s="471" t="s">
        <v>1341</v>
      </c>
      <c r="F17" s="798" t="s">
        <v>1341</v>
      </c>
      <c r="G17" s="110"/>
      <c r="H17" s="110"/>
      <c r="I17" s="110"/>
      <c r="J17" s="110"/>
      <c r="K17" s="110"/>
      <c r="L17" s="110"/>
      <c r="M17" s="110"/>
      <c r="N17" s="110"/>
      <c r="O17" s="110"/>
      <c r="P17" s="110"/>
      <c r="Q17" s="110"/>
      <c r="R17" s="110"/>
      <c r="S17" s="110"/>
      <c r="T17" s="110"/>
      <c r="U17" s="110"/>
      <c r="V17" s="110"/>
      <c r="W17" s="110"/>
      <c r="X17" s="110"/>
      <c r="Y17" s="110"/>
      <c r="Z17" s="110"/>
      <c r="AA17" s="110"/>
    </row>
    <row r="18" spans="1:27" s="10" customFormat="1" x14ac:dyDescent="0.25">
      <c r="A18" s="110"/>
      <c r="B18" s="239" t="s">
        <v>1568</v>
      </c>
      <c r="C18" s="265"/>
      <c r="D18" s="266"/>
      <c r="E18" s="265"/>
      <c r="F18" s="240"/>
      <c r="G18" s="110"/>
      <c r="H18" s="110"/>
      <c r="I18" s="110"/>
      <c r="J18" s="110"/>
      <c r="K18" s="110"/>
      <c r="L18" s="110"/>
      <c r="M18" s="110"/>
      <c r="N18" s="110"/>
      <c r="O18" s="110"/>
      <c r="P18" s="110"/>
      <c r="Q18" s="110"/>
      <c r="R18" s="110"/>
      <c r="S18" s="110"/>
      <c r="T18" s="110"/>
      <c r="U18" s="110"/>
      <c r="V18" s="110"/>
      <c r="W18" s="110"/>
      <c r="X18" s="110"/>
      <c r="Y18" s="110"/>
      <c r="Z18" s="110"/>
      <c r="AA18" s="110"/>
    </row>
    <row r="19" spans="1:27" s="10" customFormat="1" x14ac:dyDescent="0.25">
      <c r="A19" s="110"/>
      <c r="B19" s="239" t="s">
        <v>1566</v>
      </c>
      <c r="C19" s="265">
        <f>'Flow sohold'!D18*'Flow sohold'!D21*'NPK tal'!$B$5/1000</f>
        <v>0</v>
      </c>
      <c r="D19" s="266">
        <f>IFERROR(C19/'Flow sohold'!$D$5,0)</f>
        <v>0</v>
      </c>
      <c r="E19" s="265">
        <f>'Flow sohold'!D18*'Flow sohold'!D21*'NPK tal'!$C$5/1000</f>
        <v>0</v>
      </c>
      <c r="F19" s="240">
        <f>IFERROR(E19/'Flow sohold'!$D$5,0)</f>
        <v>0</v>
      </c>
      <c r="G19" s="110"/>
      <c r="H19" s="110"/>
      <c r="I19" s="110" t="s">
        <v>1561</v>
      </c>
      <c r="J19" s="110"/>
      <c r="K19" s="110"/>
      <c r="L19" s="110"/>
      <c r="M19" s="110"/>
      <c r="N19" s="110"/>
      <c r="O19" s="110"/>
      <c r="P19" s="110"/>
      <c r="Q19" s="110"/>
      <c r="R19" s="110"/>
      <c r="S19" s="110"/>
      <c r="T19" s="110"/>
      <c r="U19" s="110"/>
      <c r="V19" s="110"/>
      <c r="W19" s="110"/>
      <c r="X19" s="110"/>
      <c r="Y19" s="110"/>
      <c r="Z19" s="110"/>
      <c r="AA19" s="110"/>
    </row>
    <row r="20" spans="1:27" s="10" customFormat="1" x14ac:dyDescent="0.25">
      <c r="A20" s="110"/>
      <c r="B20" s="239" t="s">
        <v>1567</v>
      </c>
      <c r="C20" s="265">
        <f>'Flow sohold'!D22*(0.2*'Flow sohold'!D21)*'NPK tal'!$B$5/1000</f>
        <v>0</v>
      </c>
      <c r="D20" s="266">
        <f>IFERROR(C20/'Flow sohold'!$D$5,0)</f>
        <v>0</v>
      </c>
      <c r="E20" s="265">
        <f>'Flow sohold'!D22*(0.2*'Flow sohold'!D21)*'NPK tal'!$C$5/1000</f>
        <v>0</v>
      </c>
      <c r="F20" s="240">
        <f>IFERROR(E20/'Flow sohold'!$D$5,0)</f>
        <v>0</v>
      </c>
      <c r="G20" s="110"/>
      <c r="H20" s="110"/>
      <c r="I20" s="110" t="s">
        <v>1562</v>
      </c>
      <c r="J20" s="110"/>
      <c r="K20" s="110"/>
      <c r="L20" s="110"/>
      <c r="M20" s="110"/>
      <c r="N20" s="110"/>
      <c r="O20" s="110"/>
      <c r="P20" s="110"/>
      <c r="Q20" s="110"/>
      <c r="R20" s="110"/>
      <c r="S20" s="110"/>
      <c r="T20" s="110"/>
      <c r="U20" s="110"/>
      <c r="V20" s="110"/>
      <c r="W20" s="110"/>
      <c r="X20" s="110"/>
      <c r="Y20" s="110"/>
      <c r="Z20" s="110"/>
      <c r="AA20" s="110"/>
    </row>
    <row r="21" spans="1:27" s="10" customFormat="1" x14ac:dyDescent="0.25">
      <c r="A21" s="110"/>
      <c r="B21" s="239"/>
      <c r="C21" s="265"/>
      <c r="D21" s="266"/>
      <c r="E21" s="265"/>
      <c r="F21" s="240"/>
      <c r="G21" s="110"/>
      <c r="H21" s="110"/>
      <c r="I21" s="110"/>
      <c r="J21" s="110"/>
      <c r="K21" s="110"/>
      <c r="L21" s="110"/>
      <c r="M21" s="110"/>
      <c r="N21" s="110"/>
      <c r="O21" s="110"/>
      <c r="P21" s="110"/>
      <c r="Q21" s="110"/>
      <c r="R21" s="110"/>
      <c r="S21" s="110"/>
      <c r="T21" s="110"/>
      <c r="U21" s="110"/>
      <c r="V21" s="110"/>
      <c r="W21" s="110"/>
      <c r="X21" s="110"/>
      <c r="Y21" s="110"/>
      <c r="Z21" s="110"/>
      <c r="AA21" s="110"/>
    </row>
    <row r="22" spans="1:27" s="10" customFormat="1" x14ac:dyDescent="0.25">
      <c r="A22" s="110"/>
      <c r="B22" s="382" t="s">
        <v>1857</v>
      </c>
      <c r="C22" s="471" t="s">
        <v>1855</v>
      </c>
      <c r="D22" s="797" t="s">
        <v>1855</v>
      </c>
      <c r="E22" s="471" t="s">
        <v>1341</v>
      </c>
      <c r="F22" s="798" t="s">
        <v>1341</v>
      </c>
      <c r="G22" s="110"/>
      <c r="H22" s="110"/>
      <c r="I22" s="391"/>
      <c r="J22" s="110"/>
      <c r="K22" s="257"/>
      <c r="L22" s="110"/>
      <c r="M22" s="110"/>
      <c r="N22" s="110"/>
      <c r="O22" s="110"/>
      <c r="P22" s="110"/>
      <c r="Q22" s="110"/>
      <c r="R22" s="110"/>
      <c r="S22" s="110"/>
      <c r="T22" s="110"/>
      <c r="U22" s="110"/>
      <c r="V22" s="110"/>
      <c r="W22" s="110"/>
      <c r="X22" s="110"/>
      <c r="Y22" s="110"/>
      <c r="Z22" s="110"/>
      <c r="AA22" s="110"/>
    </row>
    <row r="23" spans="1:27" s="10" customFormat="1" x14ac:dyDescent="0.25">
      <c r="A23" s="110"/>
      <c r="B23" s="239" t="s">
        <v>1629</v>
      </c>
      <c r="C23" s="265">
        <f>IF(OR('input-data'!$E$302=topdowntables!$C$4,'input-data'!$E$302=topdowntables!$C$9), C6+C8+C9+C11-C19-C20,
IF(OR('input-data'!$E$302=topdowntables!$C$5,'input-data'!$E$302=topdowntables!$C$10),0,
IF(OR('input-data'!$E$302=topdowntables!$C$6,'input-data'!$E$302=topdowntables!$C$11), ((C6+C8+C9)*('input-data'!F303/365))-((C19+C20)*('input-data'!F303/365))+C11,0)))</f>
        <v>0</v>
      </c>
      <c r="D23" s="266">
        <f>IFERROR(C23/'Flow sohold'!$D$5,0)</f>
        <v>0</v>
      </c>
      <c r="E23" s="265">
        <f>IF(OR('input-data'!$E$302=topdowntables!$C$4,'input-data'!$E$302=topdowntables!$C$9), E6+E8+E9+E11+E14-E19-E20,
IF(OR('input-data'!$E$302=topdowntables!$C$5,'input-data'!$E$302=topdowntables!$C$10),0,
IF(OR('input-data'!$E$302=topdowntables!$C$6,'input-data'!$E$302=topdowntables!$C$11), ((E6+E8+E9)*('input-data'!G303/365))-((E19+E20)*('input-data'!G303/365))+E11+E14,0)))</f>
        <v>0</v>
      </c>
      <c r="F23" s="240">
        <f>IFERROR(E23/'Flow sohold'!$D$5,0)</f>
        <v>0</v>
      </c>
      <c r="G23" s="110"/>
      <c r="H23" s="110"/>
      <c r="I23" s="258"/>
      <c r="J23" s="110"/>
      <c r="K23" s="257"/>
      <c r="L23" s="110"/>
      <c r="M23" s="110"/>
      <c r="N23" s="110"/>
      <c r="O23" s="110"/>
      <c r="P23" s="110"/>
      <c r="Q23" s="110"/>
      <c r="R23" s="110"/>
      <c r="S23" s="110"/>
      <c r="T23" s="110"/>
      <c r="U23" s="110"/>
      <c r="V23" s="110"/>
      <c r="W23" s="110"/>
      <c r="X23" s="110"/>
      <c r="Y23" s="110"/>
      <c r="Z23" s="110"/>
      <c r="AA23" s="110"/>
    </row>
    <row r="24" spans="1:27" s="10" customFormat="1" x14ac:dyDescent="0.25">
      <c r="A24" s="110"/>
      <c r="B24" s="239" t="s">
        <v>1630</v>
      </c>
      <c r="C24" s="265">
        <f>IF(OR('input-data'!$E$302=topdowntables!$C$5,'input-data'!$E$302=topdowntables!$C$10), C6+C8+C9+C12-C19-C20,
IF(OR('input-data'!$E$302=topdowntables!$C$4,'input-data'!$E$302=topdowntables!$C$9),0,
IF(OR('input-data'!$E$302=topdowntables!$C$6,'input-data'!$E$302=topdowntables!$C$11),
((C6+C8+C9)*((365-'input-data'!F303)/365))-((C19+C20)*((365-'input-data'!F303)/365))+C12,0)))</f>
        <v>0</v>
      </c>
      <c r="D24" s="266">
        <f>IFERROR(C24/'Flow sohold'!$D$5,0)</f>
        <v>0</v>
      </c>
      <c r="E24" s="265">
        <f>IF(OR('input-data'!$E$302=topdowntables!$C$5,'input-data'!$E$302=topdowntables!$C$10), E6+E8+E9+E12+E14-E19-E20,
IF(OR('input-data'!$E$302=topdowntables!$C$4,'input-data'!$E$302=topdowntables!$C$9),0,
IF(OR('input-data'!$E$302=topdowntables!$C$6,'input-data'!$E$302=topdowntables!$C$11),
((E6+E8+E9)*((365-'input-data'!G303)/365))-((E19+E20)*((365-'input-data'!G303)/365))+E12+E15,0)))</f>
        <v>0</v>
      </c>
      <c r="F24" s="240">
        <f>IFERROR(E24/'Flow sohold'!$D$5,0)</f>
        <v>0</v>
      </c>
      <c r="G24" s="110"/>
      <c r="H24" s="110"/>
      <c r="I24" s="257"/>
      <c r="J24" s="110"/>
      <c r="K24" s="257"/>
      <c r="L24" s="110"/>
      <c r="M24" s="110"/>
      <c r="N24" s="110"/>
      <c r="O24" s="110"/>
      <c r="P24" s="110"/>
      <c r="Q24" s="110"/>
      <c r="R24" s="110"/>
      <c r="S24" s="110"/>
      <c r="T24" s="110"/>
      <c r="U24" s="110"/>
      <c r="V24" s="110"/>
      <c r="W24" s="110"/>
      <c r="X24" s="110"/>
      <c r="Y24" s="110"/>
      <c r="Z24" s="110"/>
      <c r="AA24" s="110"/>
    </row>
    <row r="25" spans="1:27" s="10" customFormat="1" ht="15.75" thickBot="1" x14ac:dyDescent="0.3">
      <c r="A25" s="110"/>
      <c r="B25" s="239"/>
      <c r="C25" s="265"/>
      <c r="D25" s="266"/>
      <c r="E25" s="792"/>
      <c r="F25" s="248"/>
      <c r="G25" s="110"/>
      <c r="H25" s="110"/>
      <c r="I25" s="257"/>
      <c r="J25" s="110"/>
      <c r="K25" s="257"/>
      <c r="L25" s="110"/>
      <c r="M25" s="110"/>
      <c r="N25" s="110"/>
      <c r="O25" s="110"/>
      <c r="P25" s="110"/>
      <c r="Q25" s="110"/>
      <c r="R25" s="110"/>
      <c r="S25" s="110"/>
      <c r="T25" s="110"/>
      <c r="U25" s="110"/>
      <c r="V25" s="110"/>
      <c r="W25" s="110"/>
      <c r="X25" s="110"/>
      <c r="Y25" s="110"/>
      <c r="Z25" s="110"/>
      <c r="AA25" s="110"/>
    </row>
    <row r="26" spans="1:27" s="10" customFormat="1" x14ac:dyDescent="0.25">
      <c r="A26" s="110"/>
      <c r="B26" s="382" t="s">
        <v>1631</v>
      </c>
      <c r="C26" s="679" t="s">
        <v>1914</v>
      </c>
      <c r="D26" s="798" t="s">
        <v>1914</v>
      </c>
      <c r="E26" s="265"/>
      <c r="F26" s="265"/>
      <c r="G26" s="63"/>
      <c r="H26" s="110"/>
      <c r="I26" s="392"/>
      <c r="J26" s="110"/>
      <c r="K26" s="110"/>
      <c r="L26" s="110"/>
      <c r="M26" s="110"/>
      <c r="N26" s="110"/>
      <c r="O26" s="110"/>
      <c r="P26" s="110"/>
      <c r="Q26" s="110"/>
      <c r="R26" s="110"/>
      <c r="S26" s="110"/>
      <c r="T26" s="110"/>
      <c r="U26" s="110"/>
      <c r="V26" s="110"/>
      <c r="W26" s="110"/>
      <c r="X26" s="110"/>
      <c r="Y26" s="110"/>
      <c r="Z26" s="110"/>
      <c r="AA26" s="110"/>
    </row>
    <row r="27" spans="1:27" s="10" customFormat="1" x14ac:dyDescent="0.25">
      <c r="A27" s="110"/>
      <c r="B27" s="239" t="s">
        <v>1629</v>
      </c>
      <c r="C27" s="265">
        <f>IF(OR('input-data'!$E$302=topdowntables!$C$4,'input-data'!$E$302=topdowntables!$C$9), C23-((C8*(1-('NPK tal'!B27/100)))+(C9*(1-('NPK tal'!B28/100)))),
IF(OR('input-data'!$E$302=topdowntables!$C$5,'input-data'!$E$302=topdowntables!$C$10),0,
IF(OR('input-data'!$E$302=topdowntables!$C$6,'input-data'!$E$302=topdowntables!$C$11),
C23-((C8*(1-('NPK tal'!B27/100))*(('input-data'!F303)/365))+(C9*(1-('NPK tal'!B28/100)))*(('input-data'!F303)/365)),0)))</f>
        <v>0</v>
      </c>
      <c r="D27" s="240">
        <f>IFERROR(C27/'Flow sohold'!$D$5,0)</f>
        <v>0</v>
      </c>
      <c r="E27" s="265"/>
      <c r="F27" s="265"/>
      <c r="G27" s="110"/>
      <c r="H27" s="110"/>
      <c r="I27" s="257" t="s">
        <v>1591</v>
      </c>
      <c r="J27" s="110"/>
      <c r="K27" s="110"/>
      <c r="L27" s="110"/>
      <c r="M27" s="110"/>
      <c r="N27" s="110"/>
      <c r="O27" s="110"/>
      <c r="P27" s="110"/>
      <c r="Q27" s="110"/>
      <c r="R27" s="110"/>
      <c r="S27" s="110"/>
      <c r="T27" s="110"/>
      <c r="U27" s="110"/>
      <c r="V27" s="110"/>
      <c r="W27" s="110"/>
      <c r="X27" s="110"/>
      <c r="Y27" s="110"/>
      <c r="Z27" s="110"/>
      <c r="AA27" s="110"/>
    </row>
    <row r="28" spans="1:27" s="10" customFormat="1" x14ac:dyDescent="0.25">
      <c r="A28" s="110"/>
      <c r="B28" s="239" t="s">
        <v>1630</v>
      </c>
      <c r="C28" s="265">
        <f>IF(OR('input-data'!$E$302=topdowntables!$C$5,'input-data'!$E$302=topdowntables!$C$10), C24-((C8*(1-('NPK tal'!$B$27/100)))+(C9*(1-('NPK tal'!$B$28/100)))),
IF(OR('input-data'!$E$302=topdowntables!$C$4,'input-data'!$E$302=topdowntables!$C$9),0,
IF(OR('input-data'!$E$302=topdowntables!$C$6,'input-data'!$E$302=topdowntables!$C$11),
C24-((C8*(1-('NPK tal'!B27/100))*((365-'input-data'!F303)/365))+(C9*(1-('NPK tal'!B28/100)))*((365-'input-data'!F303)/365)),0)))</f>
        <v>0</v>
      </c>
      <c r="D28" s="240">
        <f>IFERROR(C28/'Flow sohold'!$D$5,0)</f>
        <v>0</v>
      </c>
      <c r="E28" s="265"/>
      <c r="F28" s="265"/>
      <c r="G28" s="110"/>
      <c r="H28" s="110"/>
      <c r="I28" s="257"/>
      <c r="J28" s="110"/>
      <c r="K28" s="110"/>
      <c r="L28" s="110"/>
      <c r="M28" s="110"/>
      <c r="N28" s="110"/>
      <c r="O28" s="110"/>
      <c r="P28" s="110"/>
      <c r="Q28" s="110"/>
      <c r="R28" s="110"/>
      <c r="S28" s="110"/>
      <c r="T28" s="110"/>
      <c r="U28" s="110"/>
      <c r="V28" s="110"/>
      <c r="W28" s="110"/>
      <c r="X28" s="110"/>
      <c r="Y28" s="110"/>
      <c r="Z28" s="110"/>
      <c r="AA28" s="110"/>
    </row>
    <row r="29" spans="1:27" s="10" customFormat="1" x14ac:dyDescent="0.25">
      <c r="A29" s="110"/>
      <c r="B29" s="239"/>
      <c r="C29" s="265"/>
      <c r="D29" s="240"/>
      <c r="E29" s="265"/>
      <c r="F29" s="265"/>
      <c r="G29" s="110"/>
      <c r="H29" s="110"/>
      <c r="I29" s="257"/>
      <c r="J29" s="110"/>
      <c r="K29" s="110"/>
      <c r="L29" s="110"/>
      <c r="M29" s="110"/>
      <c r="N29" s="110"/>
      <c r="O29" s="110"/>
      <c r="P29" s="110"/>
      <c r="Q29" s="110"/>
      <c r="R29" s="110"/>
      <c r="S29" s="110"/>
      <c r="T29" s="110"/>
      <c r="U29" s="110"/>
      <c r="V29" s="110"/>
      <c r="W29" s="110"/>
      <c r="X29" s="110"/>
      <c r="Y29" s="110"/>
      <c r="Z29" s="110"/>
      <c r="AA29" s="110"/>
    </row>
    <row r="30" spans="1:27" s="10" customFormat="1" x14ac:dyDescent="0.25">
      <c r="A30" s="110"/>
      <c r="B30" s="382" t="s">
        <v>1714</v>
      </c>
      <c r="C30" s="679" t="s">
        <v>1915</v>
      </c>
      <c r="D30" s="798" t="s">
        <v>1915</v>
      </c>
      <c r="E30" s="675"/>
      <c r="F30" s="675"/>
      <c r="G30" s="110"/>
      <c r="H30" s="110"/>
      <c r="I30" s="257"/>
      <c r="J30" s="110"/>
      <c r="K30" s="110"/>
      <c r="L30" s="110"/>
      <c r="M30" s="110"/>
      <c r="N30" s="110"/>
      <c r="O30" s="110"/>
      <c r="P30" s="110"/>
      <c r="Q30" s="110"/>
      <c r="R30" s="110"/>
      <c r="S30" s="110"/>
      <c r="T30" s="110"/>
      <c r="U30" s="110"/>
      <c r="V30" s="110"/>
      <c r="W30" s="110"/>
      <c r="X30" s="110"/>
      <c r="Y30" s="110"/>
    </row>
    <row r="31" spans="1:27" s="10" customFormat="1" x14ac:dyDescent="0.25">
      <c r="A31" s="110"/>
      <c r="B31" s="239" t="s">
        <v>1629</v>
      </c>
      <c r="C31" s="265">
        <f>IF(OR('input-data'!$E$302=topdowntables!$C$5,'input-data'!$E$302=topdowntables!$C$10),0,
IF(OR('input-data'!$E$302=topdowntables!$C$4,'input-data'!$E$302=topdowntables!$C$9),C14+((C8*(1-('NPK tal'!$B$27/100)))+(C9*(1-('NPK tal'!$B$28/100)))),
IF(OR('input-data'!$E$302=topdowntables!$C$6,'input-data'!$E$302=topdowntables!$C$11),
C14+((C8*(1-('NPK tal'!B27/100))*(('input-data'!F303)/365))+(C9*(1-('NPK tal'!B28/100)))*(('input-data'!F303)/365)),0)))</f>
        <v>0</v>
      </c>
      <c r="D31" s="240">
        <f>IFERROR(C31/'Flow sohold'!$D$5,0)</f>
        <v>0</v>
      </c>
      <c r="E31" s="265"/>
      <c r="F31" s="265"/>
      <c r="G31" s="110"/>
      <c r="H31" s="110"/>
      <c r="I31" s="257" t="s">
        <v>1715</v>
      </c>
      <c r="J31" s="110"/>
      <c r="K31" s="110"/>
      <c r="L31" s="110"/>
      <c r="M31" s="110"/>
      <c r="N31" s="110"/>
      <c r="O31" s="110"/>
      <c r="P31" s="110"/>
      <c r="Q31" s="110"/>
      <c r="R31" s="110"/>
      <c r="S31" s="110"/>
      <c r="T31" s="110"/>
      <c r="U31" s="110"/>
      <c r="V31" s="110"/>
      <c r="W31" s="110"/>
      <c r="X31" s="110"/>
      <c r="Y31" s="110"/>
    </row>
    <row r="32" spans="1:27" s="10" customFormat="1" x14ac:dyDescent="0.25">
      <c r="A32" s="110"/>
      <c r="B32" s="239" t="s">
        <v>1630</v>
      </c>
      <c r="C32" s="265">
        <f>IF(OR('input-data'!$E$302=topdowntables!$C$5,'input-data'!$E$302=topdowntables!$C$10),C15+((C8*(1-('NPK tal'!B27/100)))+(C9*(1-('NPK tal'!B28/100)))),
IF(OR('input-data'!$E$302=topdowntables!$C$4,'input-data'!$E$302=topdowntables!$C$9),0,
IF(OR('input-data'!$E$302=topdowntables!$C$6,'input-data'!$E$302=topdowntables!$C$11),
 C15+((C8*(1-('NPK tal'!B27/100))*((365-'input-data'!F303)/365))+(C9*(1-('NPK tal'!B28/100)))*((365-'input-data'!F303)/365)),0)))</f>
        <v>0</v>
      </c>
      <c r="D32" s="240">
        <f>IFERROR(C32/'Flow sohold'!$D$5,0)</f>
        <v>0</v>
      </c>
      <c r="E32" s="265"/>
      <c r="F32" s="265"/>
      <c r="G32" s="110"/>
      <c r="H32" s="110"/>
      <c r="I32" s="257"/>
      <c r="J32" s="110"/>
      <c r="K32" s="110"/>
      <c r="L32" s="110"/>
      <c r="M32" s="110"/>
      <c r="N32" s="110"/>
      <c r="O32" s="110"/>
      <c r="P32" s="110"/>
      <c r="Q32" s="110"/>
      <c r="R32" s="110"/>
      <c r="S32" s="110"/>
      <c r="T32" s="110"/>
      <c r="U32" s="110"/>
      <c r="V32" s="110"/>
      <c r="W32" s="110"/>
      <c r="X32" s="110"/>
      <c r="Y32" s="110"/>
    </row>
    <row r="33" spans="1:27" s="10" customFormat="1" x14ac:dyDescent="0.25">
      <c r="A33" s="110"/>
      <c r="B33" s="239"/>
      <c r="C33" s="265"/>
      <c r="D33" s="240"/>
      <c r="E33" s="265"/>
      <c r="F33" s="265"/>
      <c r="G33" s="110"/>
      <c r="H33" s="110"/>
      <c r="I33" s="257"/>
      <c r="J33" s="110"/>
      <c r="K33" s="110"/>
      <c r="L33" s="110"/>
      <c r="M33" s="110"/>
      <c r="N33" s="110"/>
      <c r="O33" s="110"/>
      <c r="P33" s="110"/>
      <c r="Q33" s="110"/>
      <c r="R33" s="110"/>
      <c r="S33" s="110"/>
      <c r="T33" s="110"/>
      <c r="U33" s="110"/>
      <c r="V33" s="110"/>
      <c r="W33" s="110"/>
      <c r="X33" s="110"/>
      <c r="Y33" s="110"/>
      <c r="Z33" s="110"/>
      <c r="AA33" s="110"/>
    </row>
    <row r="34" spans="1:27" s="10" customFormat="1" x14ac:dyDescent="0.25">
      <c r="A34" s="110"/>
      <c r="B34" s="382" t="s">
        <v>1729</v>
      </c>
      <c r="C34" s="679" t="s">
        <v>1855</v>
      </c>
      <c r="D34" s="798" t="s">
        <v>1855</v>
      </c>
      <c r="E34" s="675"/>
      <c r="F34" s="675"/>
      <c r="G34" s="110"/>
      <c r="H34" s="110"/>
      <c r="T34" s="110"/>
      <c r="U34" s="110"/>
      <c r="V34" s="110"/>
      <c r="W34" s="110"/>
      <c r="X34" s="110"/>
      <c r="Y34" s="110"/>
      <c r="Z34" s="110"/>
      <c r="AA34" s="110"/>
    </row>
    <row r="35" spans="1:27" s="10" customFormat="1" x14ac:dyDescent="0.25">
      <c r="A35" s="110"/>
      <c r="B35" s="239" t="s">
        <v>1720</v>
      </c>
      <c r="C35" s="265"/>
      <c r="D35" s="240"/>
      <c r="E35" s="265"/>
      <c r="F35" s="265"/>
      <c r="G35" s="110"/>
      <c r="H35" s="110"/>
      <c r="T35" s="110"/>
      <c r="U35" s="110"/>
      <c r="V35" s="110"/>
      <c r="W35" s="110"/>
      <c r="X35" s="110"/>
      <c r="Y35" s="110"/>
      <c r="Z35" s="110"/>
      <c r="AA35" s="110"/>
    </row>
    <row r="36" spans="1:27" s="10" customFormat="1" x14ac:dyDescent="0.25">
      <c r="A36" s="110"/>
      <c r="B36" s="239" t="s">
        <v>1681</v>
      </c>
      <c r="C36" s="265">
        <f>SUM((IFERROR(VLOOKUP('input-data'!E306,'Opstaldingsform-Housing '!$B$30:$O$38,4,FALSE),0))+(IFERROR(VLOOKUP('input-data'!E306,'Opstaldingsform-Housing '!$B$69:$O$75,4,FALSE),0)))*C27</f>
        <v>0</v>
      </c>
      <c r="D36" s="240">
        <f>IFERROR(C36/'Flow sohold'!$D$5,0)</f>
        <v>0</v>
      </c>
      <c r="E36" s="265"/>
      <c r="F36" s="265"/>
      <c r="G36" s="110"/>
      <c r="H36" s="110"/>
      <c r="T36" s="110"/>
      <c r="U36" s="110"/>
      <c r="V36" s="110"/>
      <c r="W36" s="110"/>
      <c r="X36" s="110"/>
      <c r="Y36" s="110"/>
      <c r="Z36" s="110"/>
      <c r="AA36" s="110"/>
    </row>
    <row r="37" spans="1:27" s="10" customFormat="1" x14ac:dyDescent="0.25">
      <c r="A37" s="110"/>
      <c r="B37" s="239" t="s">
        <v>1728</v>
      </c>
      <c r="C37" s="265">
        <f>(SUM(IFERROR(VLOOKUP('input-data'!E306,'Opstaldingsform-Housing '!$B$32:$O$38,8,FALSE),0))+(IFERROR(VLOOKUP('input-data'!E306,'Opstaldingsform-Housing '!$B$69:$O$75,8,FALSE),0)))*(C27+C31)</f>
        <v>0</v>
      </c>
      <c r="D37" s="240">
        <f>IFERROR(C37/'Flow sohold'!$D$5,0)</f>
        <v>0</v>
      </c>
      <c r="E37" s="265"/>
      <c r="F37" s="265"/>
      <c r="G37" s="110"/>
      <c r="H37" s="110"/>
      <c r="K37" s="461"/>
      <c r="T37" s="110"/>
      <c r="U37" s="110"/>
      <c r="V37" s="110"/>
      <c r="W37" s="110"/>
      <c r="X37" s="110"/>
      <c r="Y37" s="110"/>
      <c r="Z37" s="110"/>
      <c r="AA37" s="110"/>
    </row>
    <row r="38" spans="1:27" s="10" customFormat="1" x14ac:dyDescent="0.25">
      <c r="A38" s="110"/>
      <c r="B38" s="239" t="s">
        <v>1725</v>
      </c>
      <c r="C38" s="265">
        <f>SUM((IFERROR(VLOOKUP('input-data'!E306,'Opstaldingsform-Housing '!$B$30:$O$38,10,FALSE),0))+(IFERROR(VLOOKUP('input-data'!E306,'Opstaldingsform-Housing '!$B$69:$O$75,10,FALSE),0)))*(C27+C31)</f>
        <v>0</v>
      </c>
      <c r="D38" s="240">
        <f>IFERROR(C38/'Flow sohold'!$D$5,0)</f>
        <v>0</v>
      </c>
      <c r="E38" s="265"/>
      <c r="F38" s="265"/>
      <c r="G38" s="110"/>
      <c r="H38" s="110"/>
      <c r="T38" s="110"/>
      <c r="U38" s="110"/>
      <c r="V38" s="110"/>
      <c r="W38" s="110"/>
      <c r="X38" s="110"/>
      <c r="Y38" s="110"/>
      <c r="Z38" s="110"/>
      <c r="AA38" s="110"/>
    </row>
    <row r="39" spans="1:27" s="10" customFormat="1" x14ac:dyDescent="0.25">
      <c r="A39" s="110"/>
      <c r="B39" s="239" t="s">
        <v>1726</v>
      </c>
      <c r="C39" s="265">
        <f>(SUM(IFERROR(VLOOKUP('input-data'!E306,'Opstaldingsform-Housing '!$B$30:$O$38,12,FALSE),0))+(IFERROR(VLOOKUP('input-data'!E306,'Opstaldingsform-Housing '!$B$69:$O$75,12,FALSE),0)))*(C27+C31)</f>
        <v>0</v>
      </c>
      <c r="D39" s="240">
        <f>IFERROR(C39/'Flow sohold'!$D$5,0)</f>
        <v>0</v>
      </c>
      <c r="E39" s="265"/>
      <c r="F39" s="265"/>
      <c r="G39" s="110"/>
      <c r="H39" s="110"/>
      <c r="T39" s="110"/>
      <c r="U39" s="110"/>
      <c r="V39" s="110"/>
      <c r="W39" s="110"/>
      <c r="X39" s="110"/>
      <c r="Y39" s="110"/>
      <c r="Z39" s="110"/>
      <c r="AA39" s="110"/>
    </row>
    <row r="40" spans="1:27" s="10" customFormat="1" x14ac:dyDescent="0.25">
      <c r="A40" s="110"/>
      <c r="B40" s="237" t="s">
        <v>1721</v>
      </c>
      <c r="C40" s="265">
        <f>C27+C31-C36-C37-C38-C39</f>
        <v>0</v>
      </c>
      <c r="D40" s="240">
        <f>IFERROR(C40/'Flow sohold'!$D$5,0)</f>
        <v>0</v>
      </c>
      <c r="E40" s="265"/>
      <c r="F40" s="265"/>
      <c r="G40" s="110"/>
      <c r="H40" s="110"/>
      <c r="T40" s="110"/>
      <c r="U40" s="110"/>
      <c r="V40" s="110"/>
      <c r="W40" s="110"/>
      <c r="X40" s="110"/>
      <c r="Y40" s="110"/>
      <c r="Z40" s="110"/>
      <c r="AA40" s="110"/>
    </row>
    <row r="41" spans="1:27" s="10" customFormat="1" x14ac:dyDescent="0.25">
      <c r="A41" s="110"/>
      <c r="B41" s="237"/>
      <c r="C41" s="265"/>
      <c r="D41" s="240"/>
      <c r="E41" s="265"/>
      <c r="F41" s="265"/>
      <c r="G41" s="110"/>
      <c r="H41" s="110"/>
      <c r="T41" s="110"/>
      <c r="U41" s="110"/>
      <c r="V41" s="110"/>
      <c r="W41" s="110"/>
      <c r="X41" s="110"/>
      <c r="Y41" s="110"/>
      <c r="Z41" s="110"/>
      <c r="AA41" s="110"/>
    </row>
    <row r="42" spans="1:27" s="10" customFormat="1" x14ac:dyDescent="0.25">
      <c r="A42" s="110"/>
      <c r="B42" s="239" t="s">
        <v>1718</v>
      </c>
      <c r="C42" s="265"/>
      <c r="D42" s="240"/>
      <c r="E42" s="265"/>
      <c r="F42" s="265"/>
      <c r="G42" s="110"/>
      <c r="H42" s="110"/>
      <c r="I42" s="10" t="s">
        <v>1841</v>
      </c>
      <c r="T42" s="110"/>
      <c r="U42" s="110"/>
      <c r="V42" s="110"/>
      <c r="W42" s="110"/>
      <c r="X42" s="110"/>
      <c r="Y42" s="110"/>
      <c r="Z42" s="110"/>
      <c r="AA42" s="110"/>
    </row>
    <row r="43" spans="1:27" s="10" customFormat="1" x14ac:dyDescent="0.25">
      <c r="A43" s="110"/>
      <c r="B43" s="239" t="s">
        <v>1681</v>
      </c>
      <c r="C43" s="265">
        <f>'NPK tal'!$B$37*(SUM(IFERROR(VLOOKUP('input-data'!E313,'Opstaldingsform-Housing '!$B$7:$O$19,4,FALSE),0))+(IFERROR(VLOOKUP('input-data'!E313,'Opstaldingsform-Housing '!$B$44:$O$56,4,FALSE),0)))*(
IF(OR('input-data'!$E$313='Opstaldingsform-Housing '!$B$8,'input-data'!$E$313='Opstaldingsform-Housing '!$B$45,
'input-data'!$E$313='Opstaldingsform-Housing '!$B$9,'input-data'!$E$313='Opstaldingsform-Housing '!$B$46,
'input-data'!$E$313='Opstaldingsform-Housing '!$B$10,'input-data'!$E$313='Opstaldingsform-Housing '!$B$47),C28+C32,C28))
+ ('NPK tal'!$C$37*(SUM(IFERROR(VLOOKUP('input-data'!E314,'Opstaldingsform-Housing '!$B$20:$O$57,4,FALSE),0))+(IFERROR(VLOOKUP('input-data'!E314,'Opstaldingsform-Housing '!$B$57:$O$65,4,FALSE),0)))*C28)</f>
        <v>0</v>
      </c>
      <c r="D43" s="240">
        <f>IFERROR(C43/'Flow sohold'!$D$5,0)</f>
        <v>0</v>
      </c>
      <c r="E43" s="265"/>
      <c r="F43" s="265"/>
      <c r="G43" s="110"/>
      <c r="H43" s="110"/>
      <c r="I43" s="10" t="s">
        <v>1685</v>
      </c>
      <c r="T43" s="110"/>
      <c r="U43" s="110"/>
      <c r="V43" s="110"/>
      <c r="W43" s="110"/>
      <c r="X43" s="110"/>
      <c r="Y43" s="110"/>
      <c r="Z43" s="110"/>
      <c r="AA43" s="110"/>
    </row>
    <row r="44" spans="1:27" s="10" customFormat="1" x14ac:dyDescent="0.25">
      <c r="A44" s="110"/>
      <c r="B44" s="239" t="s">
        <v>1727</v>
      </c>
      <c r="C44" s="265">
        <f>'NPK tal'!$B$37*(SUM(IFERROR(VLOOKUP('input-data'!E313,'Opstaldingsform-Housing '!$B$7:$O$19,8,FALSE),0))+(IFERROR(VLOOKUP('input-data'!E313,'Opstaldingsform-Housing '!$B$44:$O$56,8,FALSE),0)))*(C28+C32)+
('NPK tal'!$C$37*(SUM(IFERROR(VLOOKUP('input-data'!E314,'Opstaldingsform-Housing '!$B$20:$O$28,8,FALSE),0))+(IFERROR(VLOOKUP('input-data'!E314,'Opstaldingsform-Housing '!$B$57:$O$65,8,FALSE),0)))*(C28+C32))</f>
        <v>0</v>
      </c>
      <c r="D44" s="240">
        <f>IFERROR(C44/'Flow sohold'!$D$5,0)</f>
        <v>0</v>
      </c>
      <c r="E44" s="265"/>
      <c r="F44" s="265"/>
      <c r="G44" s="110"/>
      <c r="H44" s="110"/>
      <c r="I44" s="10" t="s">
        <v>1842</v>
      </c>
      <c r="T44" s="110"/>
      <c r="U44" s="110"/>
      <c r="V44" s="110"/>
      <c r="W44" s="110"/>
      <c r="X44" s="110"/>
      <c r="Y44" s="110"/>
      <c r="Z44" s="110"/>
      <c r="AA44" s="110"/>
    </row>
    <row r="45" spans="1:27" s="10" customFormat="1" x14ac:dyDescent="0.25">
      <c r="A45" s="110"/>
      <c r="B45" s="239" t="s">
        <v>1725</v>
      </c>
      <c r="C45" s="265">
        <f>'NPK tal'!$B$37*(SUM(IFERROR(VLOOKUP('input-data'!E313,'Opstaldingsform-Housing '!$B$7:$O$19,10,FALSE),0))+(IFERROR(VLOOKUP('input-data'!E313,'Opstaldingsform-Housing '!$B$44:$O$56,10,FALSE),0)))*(C28+C32)+
('NPK tal'!$C$37*(SUM(IFERROR(VLOOKUP('input-data'!E314,'Opstaldingsform-Housing '!$B$20:$O$28,10,FALSE),0))+(IFERROR(VLOOKUP('input-data'!E314,'Opstaldingsform-Housing '!$B$57:$O$65,10,FALSE),0)))*(C28+C32))</f>
        <v>0</v>
      </c>
      <c r="D45" s="240">
        <f>IFERROR(C45/'Flow sohold'!$D$5,0)</f>
        <v>0</v>
      </c>
      <c r="E45" s="265"/>
      <c r="F45" s="265"/>
      <c r="G45" s="110"/>
      <c r="H45" s="110"/>
      <c r="T45" s="110"/>
      <c r="U45" s="110"/>
      <c r="V45" s="110"/>
      <c r="W45" s="110"/>
      <c r="X45" s="110"/>
      <c r="Y45" s="110"/>
      <c r="Z45" s="110"/>
      <c r="AA45" s="110"/>
    </row>
    <row r="46" spans="1:27" s="10" customFormat="1" x14ac:dyDescent="0.25">
      <c r="A46" s="110"/>
      <c r="B46" s="239" t="s">
        <v>2089</v>
      </c>
      <c r="C46" s="265">
        <f>'NPK tal'!$B$37*(SUM(IFERROR(VLOOKUP('input-data'!E313,'Opstaldingsform-Housing '!$B$7:$O$19,12,FALSE),0))+(IFERROR(VLOOKUP('input-data'!E313,'Opstaldingsform-Housing '!$B$44:$O$56,12,FALSE),0)))*(C28+C32)+
('NPK tal'!$C$37*(SUM(IFERROR(VLOOKUP('input-data'!E314,'Opstaldingsform-Housing '!$B$20:$O$28,12,FALSE),0))+(IFERROR(VLOOKUP('input-data'!E314,'Opstaldingsform-Housing '!$B$57:$O$65,12,FALSE),0)))*(C28+C32))</f>
        <v>0</v>
      </c>
      <c r="D46" s="240">
        <f>IFERROR(C46/'Flow sohold'!$D$5,0)</f>
        <v>0</v>
      </c>
      <c r="E46" s="265"/>
      <c r="F46" s="265"/>
      <c r="G46" s="110"/>
      <c r="H46" s="110"/>
      <c r="T46" s="110"/>
      <c r="U46" s="110"/>
      <c r="V46" s="110"/>
      <c r="W46" s="110"/>
      <c r="X46" s="110"/>
      <c r="Y46" s="110"/>
      <c r="Z46" s="110"/>
      <c r="AA46" s="110"/>
    </row>
    <row r="47" spans="1:27" s="10" customFormat="1" x14ac:dyDescent="0.25">
      <c r="A47" s="110"/>
      <c r="B47" s="237" t="s">
        <v>1719</v>
      </c>
      <c r="C47" s="265">
        <f>C28+C32-C43-C44-C45-C46</f>
        <v>0</v>
      </c>
      <c r="D47" s="240">
        <f>IFERROR(C47/'Flow sohold'!$D$5,0)</f>
        <v>0</v>
      </c>
      <c r="E47" s="265"/>
      <c r="F47" s="265"/>
      <c r="G47" s="110"/>
      <c r="H47" s="110"/>
      <c r="I47" s="463"/>
      <c r="T47" s="110"/>
      <c r="U47" s="110"/>
      <c r="V47" s="110"/>
      <c r="W47" s="110"/>
      <c r="X47" s="110"/>
      <c r="Y47" s="110"/>
      <c r="Z47" s="110"/>
      <c r="AA47" s="110"/>
    </row>
    <row r="48" spans="1:27" s="10" customFormat="1" x14ac:dyDescent="0.25">
      <c r="A48" s="110"/>
      <c r="B48" s="239" t="s">
        <v>1756</v>
      </c>
      <c r="C48" s="265"/>
      <c r="D48" s="240"/>
      <c r="E48" s="265"/>
      <c r="F48" s="265"/>
      <c r="G48" s="110"/>
      <c r="H48" s="110"/>
      <c r="T48" s="110"/>
      <c r="U48" s="110"/>
      <c r="V48" s="110"/>
      <c r="W48" s="110"/>
      <c r="X48" s="110"/>
      <c r="Y48" s="110"/>
      <c r="Z48" s="110"/>
      <c r="AA48" s="110"/>
    </row>
    <row r="49" spans="1:27" s="10" customFormat="1" x14ac:dyDescent="0.25">
      <c r="A49" s="110"/>
      <c r="B49" s="237" t="s">
        <v>1755</v>
      </c>
      <c r="C49" s="671">
        <f>'NPK tal'!B37*(C28+C32)*(SUM(IFERROR(VLOOKUP('input-data'!E313,'Opstaldingsform-Housing '!$B$7:$O$19,3,FALSE),0))+(IFERROR(VLOOKUP('input-data'!E313,'Opstaldingsform-Housing '!$B$44:$O$56,3,FALSE),0)))
+('NPK tal'!C37*(C28+C32)*((SUM(IFERROR(VLOOKUP('input-data'!E314,'Opstaldingsform-Housing '!$B$20:$O$28,3,FALSE),0))+(IFERROR(VLOOKUP('input-data'!E314,'Opstaldingsform-Housing '!$B$57:$O$65,3,FALSE),0)))
))-(('NPK tal'!B37*(SUM(IFERROR(VLOOKUP('input-data'!E313,'Opstaldingsform-Housing '!$B$7:$O$19,4,FALSE),0))+(IFERROR(VLOOKUP('input-data'!E313,'Opstaldingsform-Housing '!$B$44:$O$56,4,FALSE),0)))*(
IF(OR('input-data'!$E$313='Opstaldingsform-Housing '!$B$8,'input-data'!$E$313='Opstaldingsform-Housing '!$B$45,
'input-data'!$E$313='Opstaldingsform-Housing '!$B$9,'input-data'!$E$313='Opstaldingsform-Housing '!$B$46,
'input-data'!$E$313='Opstaldingsform-Housing '!$B$10,'input-data'!$E$313='Opstaldingsform-Housing '!$B$47),0,C28))
+ ('NPK tal'!C37*(SUM(IFERROR(VLOOKUP('input-data'!E314,'Opstaldingsform-Housing '!$B$20:$O$28,4,FALSE),0))+(IFERROR(VLOOKUP('input-data'!E314,'Opstaldingsform-Housing '!$B$57:$O$65,4,FALSE),0)))*C28)))-('NPK tal'!B37*(SUM(IFERROR(VLOOKUP('input-data'!E313,'Opstaldingsform-Housing '!$B$7:$O$19,8,FALSE),0))+(IFERROR(VLOOKUP('input-data'!E313,'Opstaldingsform-Housing '!$B$44:$O$56,8,FALSE),0)))*(
IF(OR('input-data'!$E$313='Opstaldingsform-Housing '!$B$8,'input-data'!$E$313='Opstaldingsform-Housing '!$B$45,
'input-data'!$E$313='Opstaldingsform-Housing '!$B$9,'input-data'!$E$313='Opstaldingsform-Housing '!$B$46,
'input-data'!$E$313='Opstaldingsform-Housing '!$B$10,'input-data'!$E$313='Opstaldingsform-Housing '!$B$47),0,C28+C32))+
('NPK tal'!C37*(SUM(IFERROR(VLOOKUP('input-data'!E314,'Opstaldingsform-Housing '!$B$20:$O$28,8,FALSE),0))+(IFERROR(VLOOKUP('input-data'!E314,'Opstaldingsform-Housing '!$B$57:$O$65,8,FALSE),0)))*(C28+C32)))-(('NPK tal'!B37*(SUM(IFERROR(VLOOKUP('input-data'!E313,'Opstaldingsform-Housing '!$B$7:$O$19,10,FALSE),0))+(IFERROR(VLOOKUP('input-data'!E313,'Opstaldingsform-Housing '!$B$44:$O$56,10,FALSE),0)))*
IF(OR('input-data'!$E$313='Opstaldingsform-Housing '!$B$8,'input-data'!$E$313='Opstaldingsform-Housing '!$B$45,
'input-data'!$E$313='Opstaldingsform-Housing '!$B$9,'input-data'!$E$313='Opstaldingsform-Housing '!$B$46,
'input-data'!$E$313='Opstaldingsform-Housing '!$B$10,'input-data'!$E$313='Opstaldingsform-Housing '!$B$47),0,C28+C32))+
('NPK tal'!C37*(SUM(IFERROR(VLOOKUP('input-data'!E314,'Opstaldingsform-Housing '!$B$20:$O$28,10,FALSE),0))+(IFERROR(VLOOKUP('input-data'!E314,'Opstaldingsform-Housing '!$B$57:$O$65,10,FALSE),0)))*(C28+C32)))-('NPK tal'!B37*(SUM(IFERROR(VLOOKUP('input-data'!E313,'Opstaldingsform-Housing '!$B$7:$O$19,12,FALSE),0))+(IFERROR(VLOOKUP('input-data'!E313,'Opstaldingsform-Housing '!$B$44:$O$56,12,FALSE),0)))*
IF(OR('input-data'!$E$313='Opstaldingsform-Housing '!$B$8,'input-data'!$E$313='Opstaldingsform-Housing '!$B$45,
'input-data'!$E$313='Opstaldingsform-Housing '!$B$9,'input-data'!$E$313='Opstaldingsform-Housing '!$B$46,
'input-data'!$E$313='Opstaldingsform-Housing '!$B$10,'input-data'!$E$313='Opstaldingsform-Housing '!$B$47),0,(C28+C32))+
('NPK tal'!C37*(SUM(IFERROR(VLOOKUP('input-data'!E314,'Opstaldingsform-Housing '!$B$20:$O$28,12,FALSE),0))+(IFERROR(VLOOKUP('input-data'!E314,'Opstaldingsform-Housing '!$B$57:$O$65,12,FALSE),0)))*(C28+C32)))</f>
        <v>0</v>
      </c>
      <c r="D49" s="240">
        <f>IFERROR(C49/'Flow sohold'!$D$5,0)</f>
        <v>0</v>
      </c>
      <c r="E49" s="671"/>
      <c r="F49" s="671"/>
      <c r="G49" s="110"/>
      <c r="H49" s="338"/>
      <c r="I49" s="463"/>
      <c r="J49" s="463"/>
      <c r="K49" s="463"/>
      <c r="M49" s="463"/>
      <c r="T49" s="110"/>
      <c r="U49" s="110"/>
      <c r="V49" s="110"/>
      <c r="W49" s="110"/>
      <c r="X49" s="110"/>
      <c r="Y49" s="110"/>
      <c r="Z49" s="110"/>
      <c r="AA49" s="110"/>
    </row>
    <row r="50" spans="1:27" s="10" customFormat="1" x14ac:dyDescent="0.25">
      <c r="A50" s="110"/>
      <c r="B50" s="237" t="s">
        <v>1760</v>
      </c>
      <c r="C50" s="672">
        <f>'NPK tal'!B37*(C28+C32)*(1-SUM(IFERROR(VLOOKUP('input-data'!E313,'Opstaldingsform-Housing '!$B$7:$O$19,3,FALSE),0))+(IFERROR(VLOOKUP('input-data'!E313,'Opstaldingsform-Housing '!$B$44:$O$56,3,FALSE),0)))
+ ('NPK tal'!C37*(C28+C32)*(1-SUM(IFERROR(VLOOKUP('input-data'!E314,'Opstaldingsform-Housing '!$B$20:$O$28,3,FALSE),0))+(IFERROR(VLOOKUP('input-data'!E314,'Opstaldingsform-Housing '!$B$57:$O$65,3,FALSE),0))))-('NPK tal'!B37*(SUM(IFERROR(VLOOKUP('input-data'!E313,'Opstaldingsform-Housing '!$B$7:$O$19,4,FALSE),0))+(IFERROR(VLOOKUP('input-data'!E313,'Opstaldingsform-Housing '!$B$44:$O$56,4,FALSE),0)))*(
IF(OR('input-data'!$E$313='Opstaldingsform-Housing '!$B$8,'input-data'!$E$313='Opstaldingsform-Housing '!$B$45,
'input-data'!$E$313='Opstaldingsform-Housing '!$B$9,'input-data'!$E$313='Opstaldingsform-Housing '!$B$46,
'input-data'!$E$313='Opstaldingsform-Housing '!$B$10,'input-data'!$E$313='Opstaldingsform-Housing '!$B$47),C28+C32,0)))-('NPK tal'!B37*(SUM(IFERROR(VLOOKUP('input-data'!E313,'Opstaldingsform-Housing '!$B$7:$O$19,8,FALSE),0))+(IFERROR(VLOOKUP('input-data'!E313,'Opstaldingsform-Housing '!$B$44:$O$56,8,FALSE),0)))*(
IF(OR('input-data'!$E$313='Opstaldingsform-Housing '!$B$8,'input-data'!$E$313='Opstaldingsform-Housing '!$B$45,
'input-data'!$E$313='Opstaldingsform-Housing '!$B$9,'input-data'!$E$313='Opstaldingsform-Housing '!$B$46,
'input-data'!$E$313='Opstaldingsform-Housing '!$B$10,'input-data'!$E$313='Opstaldingsform-Housing '!$B$47),C28+C32,0)))-('NPK tal'!B37*(SUM(IFERROR(VLOOKUP('input-data'!E313,'Opstaldingsform-Housing '!$B$7:$O$19,10,FALSE),0))+(IFERROR(VLOOKUP('input-data'!E313,'Opstaldingsform-Housing '!$B$44:$O$56,10,FALSE),0)))*
IF(OR('input-data'!$E$313='Opstaldingsform-Housing '!$B$8,'input-data'!$E$313='Opstaldingsform-Housing '!$B$45,
'input-data'!$E$313='Opstaldingsform-Housing '!$B$9,'input-data'!$E$313='Opstaldingsform-Housing '!$B$46,
'input-data'!$E$313='Opstaldingsform-Housing '!$B$10,'input-data'!$E$313='Opstaldingsform-Housing '!$B$47),C28+C32,0))-('NPK tal'!B37*(SUM(IFERROR(VLOOKUP('input-data'!E313,'Opstaldingsform-Housing '!$B$7:$O$19,12,FALSE),0))+(IFERROR(VLOOKUP('input-data'!E313,'Opstaldingsform-Housing '!$B$44:$O$56,12,FALSE),0)))*
IF(OR('input-data'!$E$313='Opstaldingsform-Housing '!$B$8,'input-data'!$E$313='Opstaldingsform-Housing '!$B$45,
'input-data'!$E$313='Opstaldingsform-Housing '!$B$9,'input-data'!$E$313='Opstaldingsform-Housing '!$B$46,
'input-data'!$E$313='Opstaldingsform-Housing '!$B$10,'input-data'!$E$313='Opstaldingsform-Housing '!$B$47),(C28+C32),0))</f>
        <v>0</v>
      </c>
      <c r="D50" s="240">
        <f>IFERROR(C50/'Flow sohold'!$D$5,0)</f>
        <v>0</v>
      </c>
      <c r="E50" s="672"/>
      <c r="F50" s="672"/>
      <c r="G50" s="110"/>
      <c r="H50" s="110"/>
      <c r="I50" s="463"/>
      <c r="T50" s="110"/>
      <c r="U50" s="110"/>
      <c r="V50" s="110"/>
      <c r="W50" s="110"/>
      <c r="X50" s="110"/>
      <c r="Y50" s="110"/>
      <c r="Z50" s="110"/>
      <c r="AA50" s="110"/>
    </row>
    <row r="51" spans="1:27" s="10" customFormat="1" x14ac:dyDescent="0.25">
      <c r="A51" s="110"/>
      <c r="B51" s="239"/>
      <c r="C51" s="673"/>
      <c r="D51" s="240"/>
      <c r="E51" s="673"/>
      <c r="F51" s="673"/>
      <c r="G51" s="110"/>
      <c r="H51" s="110"/>
      <c r="I51" s="463"/>
      <c r="M51" s="463"/>
      <c r="T51" s="110"/>
      <c r="U51" s="110"/>
      <c r="V51" s="110"/>
      <c r="W51" s="110"/>
      <c r="X51" s="110"/>
      <c r="Y51" s="110"/>
      <c r="Z51" s="110"/>
      <c r="AA51" s="110"/>
    </row>
    <row r="52" spans="1:27" s="10" customFormat="1" x14ac:dyDescent="0.25">
      <c r="A52" s="110"/>
      <c r="B52" s="382" t="s">
        <v>1722</v>
      </c>
      <c r="C52" s="679" t="s">
        <v>1855</v>
      </c>
      <c r="D52" s="798" t="s">
        <v>1855</v>
      </c>
      <c r="E52" s="675"/>
      <c r="F52" s="675"/>
      <c r="G52" s="110"/>
      <c r="H52" s="110"/>
      <c r="T52" s="110"/>
      <c r="U52" s="110"/>
      <c r="V52" s="110"/>
      <c r="W52" s="110"/>
      <c r="X52" s="110"/>
      <c r="Y52" s="110"/>
      <c r="Z52" s="110"/>
      <c r="AA52" s="110"/>
    </row>
    <row r="53" spans="1:27" s="10" customFormat="1" x14ac:dyDescent="0.25">
      <c r="A53" s="110"/>
      <c r="B53" s="239" t="s">
        <v>1745</v>
      </c>
      <c r="C53" s="90"/>
      <c r="D53" s="240"/>
      <c r="E53" s="90"/>
      <c r="F53" s="90"/>
      <c r="G53" s="110"/>
      <c r="H53" s="462"/>
      <c r="K53" s="463"/>
      <c r="T53" s="110"/>
      <c r="U53" s="110"/>
      <c r="V53" s="110"/>
      <c r="W53" s="110"/>
      <c r="X53" s="110"/>
      <c r="Y53" s="110"/>
      <c r="Z53" s="110"/>
      <c r="AA53" s="110"/>
    </row>
    <row r="54" spans="1:27" s="10" customFormat="1" x14ac:dyDescent="0.25">
      <c r="A54" s="110"/>
      <c r="B54" s="239" t="s">
        <v>1681</v>
      </c>
      <c r="C54" s="265">
        <f>IFERROR(IF(OR('input-data'!$E$302=topdowntables!$C$4, 'input-data'!$E$302=topdowntables!$C$9),0,(0.95*(C49-((C49*'input-data'!E319/100)+(C49-(C49*'input-data'!E319/100))*(C49/(C49+C50))*'input-data'!E318/100))*(SUM(IFERROR(VLOOKUP('input-data'!E392,'Lagring-Storage'!B6:M11,3,FALSE),0))+(IFERROR(VLOOKUP('input-data'!E392,'Opstaldingsform-Housing '!$B$46:$O$51,3,FALSE),0)))
+(0.05*(C49-((C49*'input-data'!E319/100)+(C49-(C49*'input-data'!E319/100))*(C49/(C49+C50))*'input-data'!E318/100))*'Lagring-Storage'!$D$7))), 0)</f>
        <v>0</v>
      </c>
      <c r="D54" s="240">
        <f>IFERROR(C54/'Flow sohold'!$D$5,0)</f>
        <v>0</v>
      </c>
      <c r="E54" s="265"/>
      <c r="F54" s="265"/>
      <c r="G54" s="110"/>
      <c r="H54" s="110"/>
      <c r="T54" s="110"/>
      <c r="U54" s="110"/>
      <c r="V54" s="110"/>
      <c r="W54" s="110"/>
      <c r="X54" s="110"/>
      <c r="Y54" s="110"/>
      <c r="Z54" s="110"/>
      <c r="AA54" s="110"/>
    </row>
    <row r="55" spans="1:27" s="10" customFormat="1" x14ac:dyDescent="0.25">
      <c r="A55" s="110"/>
      <c r="B55" s="239" t="s">
        <v>1728</v>
      </c>
      <c r="C55" s="265">
        <f>IFERROR(IF(OR('input-data'!$E$302=topdowntables!$C$4, 'input-data'!$E$302=topdowntables!$C$9),0,(0.95*(C49-((C49*'input-data'!E319/100)+(C49-(C49*'input-data'!E319/100))*(C49/(C49+C50))*'input-data'!E318/100))*(SUM(IFERROR(VLOOKUP('input-data'!E392,'Lagring-Storage'!B6:M11,5,FALSE),0))+(IFERROR(VLOOKUP('input-data'!E392,'Opstaldingsform-Housing '!$B$46:$O$51,5,FALSE),0)))
+(0.05*(C49-((C49*'input-data'!E319/100)+(C49-(C49*'input-data'!E319/100))*(C49/(C49+C50))*'input-data'!E318/100))*'Lagring-Storage'!$F$7))), 0)</f>
        <v>0</v>
      </c>
      <c r="D55" s="240">
        <f>IFERROR(C55/'Flow sohold'!$D$5,0)</f>
        <v>0</v>
      </c>
      <c r="E55" s="265"/>
      <c r="F55" s="265"/>
      <c r="G55" s="110"/>
      <c r="H55" s="110"/>
      <c r="T55" s="110"/>
      <c r="U55" s="110"/>
      <c r="V55" s="110"/>
      <c r="W55" s="110"/>
      <c r="X55" s="110"/>
      <c r="Y55" s="110"/>
      <c r="Z55" s="110"/>
      <c r="AA55" s="110"/>
    </row>
    <row r="56" spans="1:27" s="10" customFormat="1" x14ac:dyDescent="0.25">
      <c r="A56" s="110"/>
      <c r="B56" s="239" t="s">
        <v>1725</v>
      </c>
      <c r="C56" s="265">
        <f>IFERROR(IF(OR('input-data'!$E$302=topdowntables!$C$4, 'input-data'!$E$302=topdowntables!$C$9),0,(0.95*(C49-((C49*'input-data'!E319/100)+(C49-(C49*'input-data'!E319/100))*(C49/(C49+C50))*'input-data'!E318/100))*(SUM(IFERROR(VLOOKUP('input-data'!E392,'Lagring-Storage'!B6:M11,7,FALSE),0))+(IFERROR(VLOOKUP('input-data'!E392,'Opstaldingsform-Housing '!$B$46:$O$51,7,FALSE),0)))
+(0.05*(C49-((C49*'input-data'!E319/100)+(C49-(C49*'input-data'!E319/100))*(C49/(C49+C50))*'input-data'!E318/100))*'Lagring-Storage'!$H$7))), 0)</f>
        <v>0</v>
      </c>
      <c r="D56" s="240">
        <f>IFERROR(C56/'Flow sohold'!$D$5,0)</f>
        <v>0</v>
      </c>
      <c r="E56" s="265"/>
      <c r="F56" s="265"/>
      <c r="G56" s="110"/>
      <c r="H56" s="110"/>
      <c r="T56" s="110"/>
      <c r="U56" s="110"/>
      <c r="V56" s="110"/>
      <c r="W56" s="110"/>
      <c r="X56" s="110"/>
      <c r="Y56" s="110"/>
      <c r="Z56" s="110"/>
      <c r="AA56" s="110"/>
    </row>
    <row r="57" spans="1:27" s="10" customFormat="1" x14ac:dyDescent="0.25">
      <c r="A57" s="110"/>
      <c r="B57" s="239" t="s">
        <v>2090</v>
      </c>
      <c r="C57" s="265">
        <f>IFERROR(IF(OR('input-data'!$E$302=topdowntables!$C$4, 'input-data'!$E$302=topdowntables!$C$9),0,(0.95*(C49-((C49*'input-data'!E319/100)+(C49-(C49*'input-data'!E319/100))*(C49/(C49+C50))*'input-data'!E318/100))*(SUM(IFERROR(VLOOKUP('input-data'!E392,'Lagring-Storage'!B6:M11,9,FALSE),0))+(IFERROR(VLOOKUP('input-data'!E392,'Opstaldingsform-Housing '!$B$46:$O$51,9,FALSE),0)))
+(0.05*(C49-((C49*'input-data'!E319/100)+(C49-(C49*'input-data'!E319/100))*(C49/(C49+C50))*'input-data'!E318/100))*'Lagring-Storage'!$J$7))),0)</f>
        <v>0</v>
      </c>
      <c r="D57" s="240">
        <f>IFERROR(C57/'Flow sohold'!$D$5,0)</f>
        <v>0</v>
      </c>
      <c r="E57" s="265"/>
      <c r="F57" s="265"/>
      <c r="G57" s="110"/>
      <c r="H57" s="110"/>
      <c r="K57" s="463"/>
      <c r="T57" s="110"/>
      <c r="U57" s="110"/>
      <c r="V57" s="110"/>
      <c r="W57" s="110"/>
      <c r="X57" s="110"/>
      <c r="Y57" s="110"/>
      <c r="Z57" s="110"/>
      <c r="AA57" s="110"/>
    </row>
    <row r="58" spans="1:27" s="10" customFormat="1" x14ac:dyDescent="0.25">
      <c r="A58" s="110"/>
      <c r="B58" s="237" t="s">
        <v>1747</v>
      </c>
      <c r="C58" s="674">
        <f>IFERROR(IF(OR('input-data'!$E$302=topdowntables!$C$4, 'input-data'!$E$302=topdowntables!$C$9),0,(C49-((C49*'input-data'!E319/100)+(C49-(C49*'input-data'!E319/100))*(C49/(C49+C50))*'input-data'!E318/100)-(C54+C55+C56+C57))),0)</f>
        <v>0</v>
      </c>
      <c r="D58" s="240">
        <f>IFERROR(C58/'Flow sohold'!$D$5,0)</f>
        <v>0</v>
      </c>
      <c r="E58" s="674"/>
      <c r="F58" s="674"/>
      <c r="G58" s="110"/>
      <c r="H58" s="110"/>
      <c r="I58" s="465"/>
      <c r="T58" s="110"/>
      <c r="U58" s="110"/>
      <c r="V58" s="110"/>
      <c r="W58" s="110"/>
      <c r="X58" s="110"/>
      <c r="Y58" s="110"/>
      <c r="Z58" s="110"/>
      <c r="AA58" s="110"/>
    </row>
    <row r="59" spans="1:27" s="10" customFormat="1" x14ac:dyDescent="0.25">
      <c r="A59" s="110"/>
      <c r="B59" s="237"/>
      <c r="C59" s="265"/>
      <c r="D59" s="240"/>
      <c r="E59" s="265"/>
      <c r="F59" s="265"/>
      <c r="G59" s="110"/>
      <c r="H59" s="110"/>
      <c r="K59" s="463"/>
      <c r="L59" s="463"/>
      <c r="T59" s="110"/>
      <c r="U59" s="110"/>
      <c r="V59" s="110"/>
      <c r="W59" s="110"/>
      <c r="X59" s="110"/>
      <c r="Y59" s="110"/>
      <c r="Z59" s="110"/>
      <c r="AA59" s="110"/>
    </row>
    <row r="60" spans="1:27" s="10" customFormat="1" x14ac:dyDescent="0.25">
      <c r="A60" s="110"/>
      <c r="B60" s="239" t="s">
        <v>1746</v>
      </c>
      <c r="C60" s="265"/>
      <c r="D60" s="240"/>
      <c r="E60" s="265"/>
      <c r="F60" s="265"/>
      <c r="G60" s="110"/>
      <c r="H60" s="462"/>
      <c r="T60" s="110"/>
      <c r="U60" s="110"/>
      <c r="V60" s="110"/>
      <c r="W60" s="110"/>
      <c r="X60" s="110"/>
      <c r="Y60" s="110"/>
      <c r="Z60" s="110"/>
      <c r="AA60" s="110"/>
    </row>
    <row r="61" spans="1:27" s="10" customFormat="1" x14ac:dyDescent="0.25">
      <c r="A61" s="110"/>
      <c r="B61" s="239" t="s">
        <v>1681</v>
      </c>
      <c r="C61" s="265">
        <f>IFERROR(IF(OR('input-data'!$E$302=topdowntables!$C$4, 'input-data'!$E$302=topdowntables!$C$9),0,((0.95*(C50-((C50*'input-data'!E320/100)+((C50-(C50*'input-data'!E320/100))*(C50/(C49+C50))*'input-data'!E318/100)))*(SUM(IFERROR(VLOOKUP('input-data'!E393,'Lagring-Storage'!B33:M36,3,FALSE),0))+(IFERROR(VLOOKUP('input-data'!E393,'Opstaldingsform-Housing '!$B$71:$O$75,3,FALSE),0))))
+(0.05*( C50-((C50*'input-data'!E320/100)+((C50-(C50*'input-data'!E320/100))*(C50/(C49+C50))*'input-data'!E318/100)))*'Lagring-Storage'!$D$34))),0)</f>
        <v>0</v>
      </c>
      <c r="D61" s="240">
        <f>IFERROR(C61/'Flow sohold'!$D$5,0)</f>
        <v>0</v>
      </c>
      <c r="E61" s="265"/>
      <c r="F61" s="265"/>
      <c r="G61" s="110"/>
      <c r="H61" s="110"/>
      <c r="T61" s="110"/>
      <c r="U61" s="110"/>
      <c r="V61" s="110"/>
      <c r="W61" s="110"/>
      <c r="X61" s="110"/>
      <c r="Y61" s="110"/>
      <c r="Z61" s="110"/>
      <c r="AA61" s="110"/>
    </row>
    <row r="62" spans="1:27" s="10" customFormat="1" x14ac:dyDescent="0.25">
      <c r="A62" s="110"/>
      <c r="B62" s="239" t="s">
        <v>1728</v>
      </c>
      <c r="C62" s="265">
        <f>IFERROR(IF(OR('input-data'!$E$302=topdowntables!$C$4, 'input-data'!$E$302=topdowntables!$C$9),0,((0.95*(C50-((C50*'input-data'!E320/100)+((C50-(C50*'input-data'!E320/100))*(C50/(C49+C50))*'input-data'!E318/100)))*(SUM(IFERROR(VLOOKUP('input-data'!E393,'Lagring-Storage'!B33:M36,5,FALSE),0))+(IFERROR(VLOOKUP('input-data'!E393,'Opstaldingsform-Housing '!$B$71:$O$75,5,FALSE),0))))
+(0.05*( C50-((C50*'input-data'!E320/100)+((C50-(C50*'input-data'!E320/100))*(C50/(C49+C50))*'input-data'!E318/100)))*'Lagring-Storage'!$F$34))),0)</f>
        <v>0</v>
      </c>
      <c r="D62" s="240">
        <f>IFERROR(C62/'Flow sohold'!$D$5,0)</f>
        <v>0</v>
      </c>
      <c r="E62" s="265"/>
      <c r="F62" s="265"/>
      <c r="G62" s="110"/>
      <c r="H62" s="110"/>
      <c r="T62" s="110"/>
      <c r="U62" s="110"/>
      <c r="V62" s="110"/>
      <c r="W62" s="110"/>
      <c r="X62" s="110"/>
      <c r="Y62" s="110"/>
      <c r="Z62" s="110"/>
      <c r="AA62" s="110"/>
    </row>
    <row r="63" spans="1:27" s="10" customFormat="1" x14ac:dyDescent="0.25">
      <c r="A63" s="110"/>
      <c r="B63" s="239" t="s">
        <v>1725</v>
      </c>
      <c r="C63" s="265">
        <f>IFERROR(IF(OR('input-data'!$E$302=topdowntables!$C$4, 'input-data'!$E$302=topdowntables!$C$9),0,((0.95*(C50-((C50*'input-data'!E320/100)+((C50-(C50*'input-data'!E320/100))*(C50/(C49+C50))*'input-data'!E318/100)))*(SUM(IFERROR(VLOOKUP('input-data'!E393,'Lagring-Storage'!B33:M36,7,FALSE),0))+(IFERROR(VLOOKUP('input-data'!E393,'Opstaldingsform-Housing '!$B$71:$O$75,7,FALSE),0))))
+(0.05*( C50-((C50*'input-data'!E320/100)+((C50-(C50*'input-data'!E320/100))*(C50/(C49+C50))*'input-data'!E318/100)))*'Lagring-Storage'!$H$34))),0)</f>
        <v>0</v>
      </c>
      <c r="D63" s="240">
        <f>IFERROR(C63/'Flow sohold'!$D$5,0)</f>
        <v>0</v>
      </c>
      <c r="E63" s="265"/>
      <c r="F63" s="265"/>
      <c r="G63" s="110"/>
      <c r="H63" s="110"/>
      <c r="T63" s="110"/>
      <c r="U63" s="110"/>
      <c r="V63" s="110"/>
      <c r="W63" s="110"/>
      <c r="X63" s="110"/>
      <c r="Y63" s="110"/>
      <c r="Z63" s="110"/>
      <c r="AA63" s="110"/>
    </row>
    <row r="64" spans="1:27" s="10" customFormat="1" x14ac:dyDescent="0.25">
      <c r="A64" s="110"/>
      <c r="B64" s="239" t="s">
        <v>2090</v>
      </c>
      <c r="C64" s="265">
        <f>IFERROR(IF(OR('input-data'!$E$302=topdowntables!$C$4, 'input-data'!$E$302=topdowntables!$C$9),0,((0.95*(C50-((C50*'input-data'!E320/100)+((C50-(C50*'input-data'!E320/100))*(C50/(C49+C50))*'input-data'!E318/100)))*(SUM(IFERROR(VLOOKUP('input-data'!E393,'Lagring-Storage'!B33:M36,9,FALSE),0))+(IFERROR(VLOOKUP('input-data'!E393,'Opstaldingsform-Housing '!$B$71:$O$75,9,FALSE),0))))
+(0.05*( C50-((C50*'input-data'!E320/100)+((C50-(C50*'input-data'!E320/100))*(C50/(C49+C50))*'input-data'!E318/100)))*'Lagring-Storage'!$J$34))),0)</f>
        <v>0</v>
      </c>
      <c r="D64" s="240">
        <f>IFERROR(C64/'Flow sohold'!$D$5,0)</f>
        <v>0</v>
      </c>
      <c r="E64" s="265"/>
      <c r="F64" s="265"/>
      <c r="G64" s="110"/>
      <c r="H64" s="110"/>
      <c r="T64" s="110"/>
      <c r="U64" s="110"/>
      <c r="V64" s="110"/>
      <c r="W64" s="110"/>
      <c r="X64" s="110"/>
      <c r="Y64" s="110"/>
      <c r="Z64" s="110"/>
      <c r="AA64" s="110"/>
    </row>
    <row r="65" spans="1:27" s="10" customFormat="1" x14ac:dyDescent="0.25">
      <c r="A65" s="110"/>
      <c r="B65" s="237" t="s">
        <v>1754</v>
      </c>
      <c r="C65" s="674">
        <f>IFERROR(IF(OR('input-data'!$E$302=topdowntables!$C$4, 'input-data'!$E$302=topdowntables!$C$9),0,(C50-((C50*'input-data'!E320/100)+((C50-(C50*'input-data'!E320/100))*(C50/(C49+C50))*'input-data'!E318/100))-(C61+C62+C63+C64))),0)</f>
        <v>0</v>
      </c>
      <c r="D65" s="240">
        <f>IFERROR(C65/'Flow sohold'!$D$5,0)</f>
        <v>0</v>
      </c>
      <c r="E65" s="674"/>
      <c r="F65" s="674"/>
      <c r="G65" s="110"/>
      <c r="H65" s="110"/>
      <c r="T65" s="110"/>
      <c r="U65" s="110"/>
      <c r="V65" s="110"/>
      <c r="W65" s="110"/>
      <c r="X65" s="110"/>
      <c r="Y65" s="110"/>
      <c r="Z65" s="110"/>
      <c r="AA65" s="110"/>
    </row>
    <row r="66" spans="1:27" s="10" customFormat="1" x14ac:dyDescent="0.25">
      <c r="A66" s="110"/>
      <c r="B66" s="239"/>
      <c r="C66" s="265"/>
      <c r="D66" s="240"/>
      <c r="E66" s="265"/>
      <c r="F66" s="265"/>
      <c r="G66" s="110"/>
      <c r="H66" s="110"/>
      <c r="T66" s="110"/>
      <c r="U66" s="110"/>
      <c r="V66" s="110"/>
      <c r="W66" s="110"/>
      <c r="X66" s="110"/>
      <c r="Y66" s="110"/>
      <c r="Z66" s="110"/>
      <c r="AA66" s="110"/>
    </row>
    <row r="67" spans="1:27" s="10" customFormat="1" x14ac:dyDescent="0.25">
      <c r="A67" s="110"/>
      <c r="B67" s="239" t="s">
        <v>1733</v>
      </c>
      <c r="C67" s="265"/>
      <c r="D67" s="240"/>
      <c r="E67" s="265"/>
      <c r="F67" s="265"/>
      <c r="G67" s="110"/>
      <c r="H67" s="110"/>
      <c r="T67" s="110"/>
      <c r="U67" s="110"/>
      <c r="V67" s="110"/>
      <c r="W67" s="110"/>
      <c r="X67" s="110"/>
      <c r="Y67" s="110"/>
      <c r="Z67" s="110"/>
      <c r="AA67" s="110"/>
    </row>
    <row r="68" spans="1:27" s="10" customFormat="1" x14ac:dyDescent="0.25">
      <c r="A68" s="110"/>
      <c r="B68" s="239" t="s">
        <v>1681</v>
      </c>
      <c r="C68" s="265">
        <f>IF(OR('input-data'!$E$302=topdowntables!$C$4, 'input-data'!$E$302=topdowntables!$C$9),0,(IF('input-data'!E318&gt;0,0.95*(((C49-(C49*'input-data'!E319/100))*(C49/(C49+C50))*'input-data'!E318/100)+
(C50-(C50*'input-data'!E320/100)*(C50/(C49+C50))*'input-data'!E318/100))*(SUM(IFERROR(VLOOKUP('input-data'!E392,'Lagring-Storage'!B6:M11,3,FALSE),0))+(IFERROR(VLOOKUP('input-data'!E392,'Opstaldingsform-Housing '!$B$46:$O$51,3,FALSE),0)))
+(0.05*(((C49-(C49*'input-data'!E319/100))*(C49/(C49+C50))*'input-data'!E318/100)+
(C50-(C50*'input-data'!E320/100)*(C50/(C49+C50))*'input-data'!E318/100))*('Lagring-Storage'!$D$13)),0)))</f>
        <v>0</v>
      </c>
      <c r="D68" s="240">
        <f>IFERROR(C68/'Flow sohold'!$D$5,0)</f>
        <v>0</v>
      </c>
      <c r="E68" s="265"/>
      <c r="F68" s="265"/>
      <c r="G68" s="110"/>
      <c r="H68" s="110"/>
      <c r="I68" s="10" t="s">
        <v>1761</v>
      </c>
      <c r="T68" s="110"/>
      <c r="U68" s="110"/>
      <c r="V68" s="110"/>
      <c r="W68" s="110"/>
      <c r="X68" s="110"/>
      <c r="Y68" s="110"/>
      <c r="Z68" s="110"/>
      <c r="AA68" s="110"/>
    </row>
    <row r="69" spans="1:27" s="10" customFormat="1" x14ac:dyDescent="0.25">
      <c r="A69" s="110"/>
      <c r="B69" s="239" t="s">
        <v>1727</v>
      </c>
      <c r="C69" s="265">
        <f>IF(OR('input-data'!$E$302=topdowntables!$C$4, 'input-data'!$E$302=topdowntables!$C$9),0,(IF('input-data'!E318&gt;0,0.95*(((C49-(C49*'input-data'!E319/100))*(C49/(C49+C50))*'input-data'!E318/100)+
(C50-(C50*'input-data'!E320/100)*(C50/(C49+C50))*'input-data'!E318/100))*(SUM(IFERROR(VLOOKUP('input-data'!E392,'Lagring-Storage'!B6:M11,5,FALSE),0))+(IFERROR(VLOOKUP('input-data'!E392,'Opstaldingsform-Housing '!$B$46:$O$51,5,FALSE),0)))
+(0.05*(((C49-(C49*'input-data'!E319/100))*(C49/(C49+C50))*'input-data'!E318/100)+
(C50-(C50*'input-data'!E320/100)*(C50/(C49+C50))*'input-data'!E318/100))*('Lagring-Storage'!$F$13)),0)))</f>
        <v>0</v>
      </c>
      <c r="D69" s="240">
        <f>IFERROR(C69/'Flow sohold'!$D$5,0)</f>
        <v>0</v>
      </c>
      <c r="E69" s="265"/>
      <c r="F69" s="265"/>
      <c r="G69" s="110"/>
      <c r="H69" s="110"/>
      <c r="T69" s="110"/>
      <c r="U69" s="110"/>
      <c r="V69" s="110"/>
      <c r="W69" s="110"/>
      <c r="X69" s="110"/>
      <c r="Y69" s="110"/>
      <c r="Z69" s="110"/>
      <c r="AA69" s="110"/>
    </row>
    <row r="70" spans="1:27" s="10" customFormat="1" x14ac:dyDescent="0.25">
      <c r="A70" s="110"/>
      <c r="B70" s="239" t="s">
        <v>1683</v>
      </c>
      <c r="C70" s="265">
        <f>IF(OR('input-data'!$E$302=topdowntables!$C$4, 'input-data'!$E$302=topdowntables!$C$9),0,(IF('input-data'!E318&gt;0,0.95*(((C49-(C49*'input-data'!E319/100))*(C49/(C49+C50))*'input-data'!E318/100)+
(C50-(C50*'input-data'!E320/100)*(C50/(C49+C50))*'input-data'!E318/100))*(SUM(IFERROR(VLOOKUP('input-data'!E392,'Lagring-Storage'!B6:M11,7,FALSE),0))+(IFERROR(VLOOKUP('input-data'!E392,'Opstaldingsform-Housing '!$B$46:$O$51,7,FALSE),0)))
+(0.05*(((C49-(C49*'input-data'!E319/100))*(C49/(C49+C50))*'input-data'!E318/100)+
(C50-(C50*'input-data'!E320/100)*(C50/(C49+C50))*'input-data'!E318/100))*('Lagring-Storage'!$H$13)),0)))</f>
        <v>0</v>
      </c>
      <c r="D70" s="240">
        <f>IFERROR(C70/'Flow sohold'!$D$5,0)</f>
        <v>0</v>
      </c>
      <c r="E70" s="265"/>
      <c r="F70" s="265"/>
      <c r="G70" s="110"/>
      <c r="H70" s="110"/>
      <c r="T70" s="110"/>
      <c r="U70" s="110"/>
      <c r="V70" s="110"/>
      <c r="W70" s="110"/>
      <c r="X70" s="110"/>
      <c r="Y70" s="110"/>
      <c r="Z70" s="110"/>
      <c r="AA70" s="110"/>
    </row>
    <row r="71" spans="1:27" s="10" customFormat="1" x14ac:dyDescent="0.25">
      <c r="A71" s="110"/>
      <c r="B71" s="239" t="s">
        <v>2090</v>
      </c>
      <c r="C71" s="265">
        <f>IF(OR('input-data'!$E$302=topdowntables!$C$4, 'input-data'!$E$302=topdowntables!$C$9),0,(IF('input-data'!E318&gt;0,0.95*(((C49-(C49*'input-data'!E319/100))*(C49/(C49+C50))*'input-data'!E318/100)+
(C50-(C50*'input-data'!E320/100)*(C50/(C49+C50))*'input-data'!E318/100))*(SUM(IFERROR(VLOOKUP('input-data'!E392,'Lagring-Storage'!B6:M11,9,FALSE),0))+(IFERROR(VLOOKUP('input-data'!E392,'Opstaldingsform-Housing '!$B$46:$O$51,9,FALSE),0)))
+(0.05*(((C49-(C49*'input-data'!E319/100))*(C49/(C49+C50))*'input-data'!E318/100)+
(C50-(C50*'input-data'!E320/100)*(C50/(C49+C50))*'input-data'!E318/100))*('Lagring-Storage'!$J$13)),0)))</f>
        <v>0</v>
      </c>
      <c r="D71" s="240">
        <f>IFERROR(C71/'Flow sohold'!$D$5,0)</f>
        <v>0</v>
      </c>
      <c r="E71" s="265"/>
      <c r="F71" s="265"/>
      <c r="G71" s="110"/>
      <c r="H71" s="110"/>
      <c r="T71" s="110"/>
      <c r="U71" s="110"/>
      <c r="V71" s="110"/>
      <c r="W71" s="110"/>
      <c r="X71" s="110"/>
      <c r="Y71" s="110"/>
      <c r="Z71" s="110"/>
      <c r="AA71" s="110"/>
    </row>
    <row r="72" spans="1:27" s="10" customFormat="1" x14ac:dyDescent="0.25">
      <c r="A72" s="281"/>
      <c r="B72" s="237" t="s">
        <v>1735</v>
      </c>
      <c r="C72" s="674">
        <f>IFERROR(IF(OR('input-data'!$E$302=topdowntables!$C$4, 'input-data'!$E$302=topdowntables!$C$9),0,(((C49-(C49*'input-data'!E319/100))*(C49/(C49+C50))*'input-data'!E318/100)+
((C50-(C50*'input-data'!E320/100))*(C50/(C49+C50))*'input-data'!E318/100)
-(C68+C69+C70+C71))),0)</f>
        <v>0</v>
      </c>
      <c r="D72" s="240">
        <f>IFERROR(C72/'Flow sohold'!$D$5,0)</f>
        <v>0</v>
      </c>
      <c r="E72" s="674"/>
      <c r="F72" s="674"/>
      <c r="G72" s="110"/>
      <c r="H72" s="110"/>
      <c r="T72" s="110"/>
      <c r="U72" s="110"/>
      <c r="V72" s="110"/>
      <c r="W72" s="110"/>
      <c r="X72" s="110"/>
      <c r="Y72" s="110"/>
      <c r="Z72" s="110"/>
      <c r="AA72" s="110"/>
    </row>
    <row r="73" spans="1:27" s="10" customFormat="1" x14ac:dyDescent="0.25">
      <c r="A73" s="110"/>
      <c r="B73" s="239"/>
      <c r="C73" s="90"/>
      <c r="D73" s="240"/>
      <c r="E73" s="90"/>
      <c r="F73" s="90"/>
      <c r="G73" s="110"/>
      <c r="H73" s="110"/>
      <c r="T73" s="110"/>
      <c r="U73" s="110"/>
      <c r="V73" s="110"/>
      <c r="W73" s="110"/>
      <c r="X73" s="110"/>
      <c r="Y73" s="110"/>
      <c r="Z73" s="110"/>
      <c r="AA73" s="110"/>
    </row>
    <row r="74" spans="1:27" s="10" customFormat="1" x14ac:dyDescent="0.25">
      <c r="A74" s="110"/>
      <c r="B74" s="239" t="s">
        <v>1734</v>
      </c>
      <c r="C74" s="90"/>
      <c r="D74" s="240"/>
      <c r="E74" s="90"/>
      <c r="F74" s="90"/>
      <c r="G74" s="110"/>
      <c r="H74" s="110"/>
      <c r="T74" s="110"/>
      <c r="U74" s="110"/>
      <c r="V74" s="110"/>
      <c r="W74" s="110"/>
      <c r="X74" s="110"/>
      <c r="Y74" s="110"/>
      <c r="Z74" s="110"/>
      <c r="AA74" s="110"/>
    </row>
    <row r="75" spans="1:27" s="10" customFormat="1" x14ac:dyDescent="0.25">
      <c r="A75" s="110"/>
      <c r="B75" s="239" t="s">
        <v>1681</v>
      </c>
      <c r="C75" s="265">
        <f>0.95*C49*'input-data'!E319/100*(SUM(IFERROR(VLOOKUP('input-data'!E392,'Lagring-Storage'!B17:M22,3,FALSE),0))+(IFERROR(VLOOKUP('input-data'!E392,'Opstaldingsform-Housing '!$B$44:$O$56,3,FALSE),0)))
+(0.05* C49*'input-data'!E319/100*('Lagring-Storage'!$D$18))</f>
        <v>0</v>
      </c>
      <c r="D75" s="240">
        <f>IFERROR(C75/'Flow sohold'!$D$5,0)</f>
        <v>0</v>
      </c>
      <c r="E75" s="265"/>
      <c r="F75" s="265"/>
      <c r="G75" s="110"/>
      <c r="H75" s="110"/>
      <c r="T75" s="110"/>
      <c r="U75" s="110"/>
      <c r="V75" s="110"/>
      <c r="W75" s="110"/>
      <c r="X75" s="110"/>
      <c r="Y75" s="110"/>
      <c r="Z75" s="110"/>
      <c r="AA75" s="110"/>
    </row>
    <row r="76" spans="1:27" s="10" customFormat="1" x14ac:dyDescent="0.25">
      <c r="A76" s="110"/>
      <c r="B76" s="239" t="s">
        <v>1727</v>
      </c>
      <c r="C76" s="265">
        <f>0.95*C49*'input-data'!E319/100*(SUM(IFERROR(VLOOKUP('input-data'!E392,'Lagring-Storage'!B17:M22,5,FALSE),0))+(IFERROR(VLOOKUP('input-data'!E392,'Opstaldingsform-Housing '!$B$44:$O$56,5,FALSE),0)))
+(0.05* C49*'input-data'!E319/100*('Lagring-Storage'!$F$18))</f>
        <v>0</v>
      </c>
      <c r="D76" s="240">
        <f>IFERROR(C76/'Flow sohold'!$D$5,0)</f>
        <v>0</v>
      </c>
      <c r="E76" s="265"/>
      <c r="F76" s="265"/>
      <c r="G76" s="110"/>
      <c r="H76" s="110"/>
      <c r="T76" s="110"/>
      <c r="U76" s="110"/>
      <c r="V76" s="110"/>
      <c r="W76" s="110"/>
      <c r="X76" s="110"/>
      <c r="Y76" s="110"/>
      <c r="Z76" s="110"/>
      <c r="AA76" s="110"/>
    </row>
    <row r="77" spans="1:27" s="10" customFormat="1" x14ac:dyDescent="0.25">
      <c r="A77" s="110"/>
      <c r="B77" s="239" t="s">
        <v>1683</v>
      </c>
      <c r="C77" s="265">
        <f>0.95*C49*'input-data'!E319/100*(SUM(IFERROR(VLOOKUP('input-data'!E392,'Lagring-Storage'!B17:M22,7,FALSE),0))+(IFERROR(VLOOKUP('input-data'!E392,'Opstaldingsform-Housing '!$B$44:$O$56,7,FALSE),0)))
+(0.05* C49*'input-data'!E319/100*('Lagring-Storage'!$H$18))</f>
        <v>0</v>
      </c>
      <c r="D77" s="240">
        <f>IFERROR(C77/'Flow sohold'!$D$5,0)</f>
        <v>0</v>
      </c>
      <c r="E77" s="265"/>
      <c r="F77" s="265"/>
      <c r="G77" s="110"/>
      <c r="H77" s="110"/>
      <c r="T77" s="110"/>
      <c r="U77" s="110"/>
      <c r="V77" s="110"/>
      <c r="W77" s="110"/>
      <c r="X77" s="110"/>
      <c r="Y77" s="110"/>
      <c r="Z77" s="110"/>
      <c r="AA77" s="110"/>
    </row>
    <row r="78" spans="1:27" s="10" customFormat="1" x14ac:dyDescent="0.25">
      <c r="A78" s="110"/>
      <c r="B78" s="239" t="s">
        <v>2090</v>
      </c>
      <c r="C78" s="265">
        <f>0.95*C49*'input-data'!E319/100*(SUM(IFERROR(VLOOKUP('input-data'!E392,'Lagring-Storage'!B17:M22,9,FALSE),0))+(IFERROR(VLOOKUP('input-data'!E392,'Opstaldingsform-Housing '!$B$44:$O$56,9,FALSE),0)))
+(0.05* C49*'input-data'!E319/100*('Lagring-Storage'!$J$18))</f>
        <v>0</v>
      </c>
      <c r="D78" s="240">
        <f>IFERROR(C78/'Flow sohold'!$D$5,0)</f>
        <v>0</v>
      </c>
      <c r="E78" s="265"/>
      <c r="F78" s="265"/>
      <c r="G78" s="110"/>
      <c r="H78" s="110"/>
      <c r="T78" s="110"/>
      <c r="U78" s="110"/>
      <c r="V78" s="110"/>
      <c r="W78" s="110"/>
      <c r="X78" s="110"/>
      <c r="Y78" s="110"/>
      <c r="Z78" s="110"/>
      <c r="AA78" s="110"/>
    </row>
    <row r="79" spans="1:27" s="10" customFormat="1" x14ac:dyDescent="0.25">
      <c r="A79" s="110"/>
      <c r="B79" s="237" t="s">
        <v>1736</v>
      </c>
      <c r="C79" s="674">
        <f>C49*'input-data'!E319/100-(C75+C76+C77+C78)</f>
        <v>0</v>
      </c>
      <c r="D79" s="240">
        <f>IFERROR(C79/'Flow sohold'!$D$5,0)</f>
        <v>0</v>
      </c>
      <c r="E79" s="674"/>
      <c r="F79" s="674"/>
      <c r="G79" s="110"/>
      <c r="H79" s="110"/>
      <c r="T79" s="110"/>
      <c r="U79" s="110"/>
      <c r="V79" s="110"/>
      <c r="W79" s="110"/>
      <c r="X79" s="110"/>
      <c r="Y79" s="110"/>
      <c r="Z79" s="110"/>
      <c r="AA79" s="110"/>
    </row>
    <row r="80" spans="1:27" s="10" customFormat="1" x14ac:dyDescent="0.25">
      <c r="A80" s="110"/>
      <c r="B80" s="237"/>
      <c r="C80" s="674"/>
      <c r="D80" s="240"/>
      <c r="E80" s="674"/>
      <c r="F80" s="674"/>
      <c r="G80" s="110"/>
      <c r="H80" s="110"/>
      <c r="T80" s="110"/>
      <c r="U80" s="110"/>
      <c r="V80" s="110"/>
      <c r="W80" s="110"/>
      <c r="X80" s="110"/>
      <c r="Y80" s="110"/>
      <c r="Z80" s="110"/>
      <c r="AA80" s="110"/>
    </row>
    <row r="81" spans="1:27" s="10" customFormat="1" x14ac:dyDescent="0.25">
      <c r="A81" s="110"/>
      <c r="B81" s="382" t="s">
        <v>1742</v>
      </c>
      <c r="C81" s="679" t="s">
        <v>1855</v>
      </c>
      <c r="D81" s="798" t="s">
        <v>1855</v>
      </c>
      <c r="E81" s="675"/>
      <c r="F81" s="675"/>
      <c r="G81" s="110"/>
      <c r="H81" s="110"/>
      <c r="T81" s="110"/>
      <c r="U81" s="110"/>
      <c r="V81" s="110"/>
      <c r="W81" s="110"/>
      <c r="X81" s="110"/>
      <c r="Y81" s="110"/>
      <c r="Z81" s="110"/>
      <c r="AA81" s="110"/>
    </row>
    <row r="82" spans="1:27" s="10" customFormat="1" x14ac:dyDescent="0.25">
      <c r="A82" s="110"/>
      <c r="B82" s="239" t="s">
        <v>1757</v>
      </c>
      <c r="C82" s="90"/>
      <c r="D82" s="240"/>
      <c r="E82" s="90"/>
      <c r="F82" s="90"/>
      <c r="G82" s="110"/>
      <c r="H82" s="462"/>
      <c r="T82" s="110"/>
      <c r="U82" s="110"/>
      <c r="V82" s="110"/>
      <c r="W82" s="110"/>
      <c r="X82" s="110"/>
      <c r="Y82" s="110"/>
      <c r="Z82" s="110"/>
      <c r="AA82" s="110"/>
    </row>
    <row r="83" spans="1:27" s="10" customFormat="1" x14ac:dyDescent="0.25">
      <c r="A83" s="110"/>
      <c r="B83" s="239" t="s">
        <v>1681</v>
      </c>
      <c r="C83" s="265">
        <f>C58*'Udbringning af gylleApplication'!C6</f>
        <v>0</v>
      </c>
      <c r="D83" s="240">
        <f>IFERROR(C83/'Flow sohold'!$D$5,0)</f>
        <v>0</v>
      </c>
      <c r="E83" s="265"/>
      <c r="F83" s="265"/>
      <c r="G83" s="110"/>
      <c r="H83" s="110"/>
      <c r="T83" s="110"/>
      <c r="U83" s="110"/>
      <c r="V83" s="110"/>
      <c r="W83" s="110"/>
      <c r="X83" s="110"/>
      <c r="Y83" s="110"/>
      <c r="Z83" s="110"/>
      <c r="AA83" s="110"/>
    </row>
    <row r="84" spans="1:27" s="10" customFormat="1" x14ac:dyDescent="0.25">
      <c r="A84" s="110"/>
      <c r="B84" s="239" t="s">
        <v>1682</v>
      </c>
      <c r="C84" s="265">
        <f>C58*'Udbringning af gylleApplication'!E6</f>
        <v>0</v>
      </c>
      <c r="D84" s="240">
        <f>IFERROR(C84/'Flow sohold'!$D$5,0)</f>
        <v>0</v>
      </c>
      <c r="E84" s="265"/>
      <c r="F84" s="265"/>
      <c r="G84" s="110"/>
      <c r="H84" s="110"/>
      <c r="T84" s="110"/>
      <c r="U84" s="110"/>
      <c r="V84" s="110"/>
      <c r="W84" s="110"/>
      <c r="X84" s="110"/>
      <c r="Y84" s="110"/>
      <c r="Z84" s="110"/>
      <c r="AA84" s="110"/>
    </row>
    <row r="85" spans="1:27" s="10" customFormat="1" x14ac:dyDescent="0.25">
      <c r="A85" s="110"/>
      <c r="B85" s="239" t="s">
        <v>1683</v>
      </c>
      <c r="C85" s="265">
        <f>C58*'Udbringning af gylleApplication'!G6</f>
        <v>0</v>
      </c>
      <c r="D85" s="240">
        <f>IFERROR(C85/'Flow sohold'!$D$5,0)</f>
        <v>0</v>
      </c>
      <c r="E85" s="265"/>
      <c r="F85" s="265"/>
      <c r="G85" s="110"/>
      <c r="H85" s="110"/>
      <c r="T85" s="110"/>
      <c r="U85" s="110"/>
      <c r="V85" s="110"/>
      <c r="W85" s="110"/>
      <c r="X85" s="110"/>
      <c r="Y85" s="110"/>
      <c r="Z85" s="110"/>
      <c r="AA85" s="110"/>
    </row>
    <row r="86" spans="1:27" s="10" customFormat="1" x14ac:dyDescent="0.25">
      <c r="A86" s="110"/>
      <c r="B86" s="239" t="s">
        <v>2090</v>
      </c>
      <c r="C86" s="265">
        <f>C58*'Udbringning af gylleApplication'!I6</f>
        <v>0</v>
      </c>
      <c r="D86" s="240">
        <f>IFERROR(C86/'Flow sohold'!$D$5,0)</f>
        <v>0</v>
      </c>
      <c r="E86" s="265"/>
      <c r="F86" s="265"/>
      <c r="G86" s="110"/>
      <c r="H86" s="110"/>
      <c r="K86" s="463"/>
      <c r="T86" s="110"/>
      <c r="U86" s="110"/>
      <c r="V86" s="110"/>
      <c r="W86" s="110"/>
      <c r="X86" s="110"/>
      <c r="Y86" s="110"/>
      <c r="Z86" s="110"/>
      <c r="AA86" s="110"/>
    </row>
    <row r="87" spans="1:27" s="10" customFormat="1" x14ac:dyDescent="0.25">
      <c r="A87" s="110"/>
      <c r="B87" s="237" t="s">
        <v>1762</v>
      </c>
      <c r="C87" s="265">
        <f>C58-(C83+C84+C85+C86)</f>
        <v>0</v>
      </c>
      <c r="D87" s="240">
        <f>IFERROR(C87/'Flow sohold'!$D$5,0)</f>
        <v>0</v>
      </c>
      <c r="E87" s="265"/>
      <c r="F87" s="265"/>
      <c r="G87" s="110"/>
      <c r="H87" s="110"/>
      <c r="T87" s="110"/>
      <c r="U87" s="110"/>
      <c r="V87" s="110"/>
      <c r="W87" s="110"/>
      <c r="X87" s="110"/>
      <c r="Y87" s="110"/>
      <c r="Z87" s="110"/>
      <c r="AA87" s="110"/>
    </row>
    <row r="88" spans="1:27" s="10" customFormat="1" x14ac:dyDescent="0.25">
      <c r="A88" s="110"/>
      <c r="B88" s="237"/>
      <c r="C88" s="265"/>
      <c r="D88" s="240"/>
      <c r="E88" s="265"/>
      <c r="F88" s="265"/>
      <c r="G88" s="110"/>
      <c r="H88" s="110"/>
      <c r="T88" s="110"/>
      <c r="U88" s="110"/>
      <c r="V88" s="110"/>
      <c r="W88" s="110"/>
      <c r="X88" s="110"/>
      <c r="Y88" s="110"/>
      <c r="Z88" s="110"/>
      <c r="AA88" s="110"/>
    </row>
    <row r="89" spans="1:27" s="10" customFormat="1" x14ac:dyDescent="0.25">
      <c r="A89" s="110"/>
      <c r="B89" s="239" t="s">
        <v>1283</v>
      </c>
      <c r="C89" s="265"/>
      <c r="D89" s="240"/>
      <c r="E89" s="265"/>
      <c r="F89" s="265"/>
      <c r="G89" s="110"/>
      <c r="H89" s="462"/>
      <c r="T89" s="110"/>
      <c r="U89" s="110"/>
      <c r="V89" s="110"/>
      <c r="W89" s="110"/>
      <c r="X89" s="110"/>
      <c r="Y89" s="110"/>
      <c r="Z89" s="110"/>
      <c r="AA89" s="110"/>
    </row>
    <row r="90" spans="1:27" s="10" customFormat="1" x14ac:dyDescent="0.25">
      <c r="A90" s="110"/>
      <c r="B90" s="239" t="s">
        <v>1681</v>
      </c>
      <c r="C90" s="265">
        <f>(C65+(C50*'input-data'!E386/100))*'Udbringning af gylleApplication'!C9</f>
        <v>0</v>
      </c>
      <c r="D90" s="240">
        <f>IFERROR(C90/'Flow sohold'!$D$5,0)</f>
        <v>0</v>
      </c>
      <c r="E90" s="265"/>
      <c r="F90" s="265"/>
      <c r="G90" s="110"/>
      <c r="H90" s="110"/>
      <c r="T90" s="110"/>
      <c r="U90" s="110"/>
      <c r="V90" s="110"/>
      <c r="W90" s="110"/>
      <c r="X90" s="110"/>
      <c r="Y90" s="110"/>
      <c r="Z90" s="110"/>
      <c r="AA90" s="110"/>
    </row>
    <row r="91" spans="1:27" s="10" customFormat="1" x14ac:dyDescent="0.25">
      <c r="A91" s="110"/>
      <c r="B91" s="239" t="s">
        <v>1682</v>
      </c>
      <c r="C91" s="265">
        <f>(C65+(C50*'input-data'!E386/100))*'Udbringning af gylleApplication'!E9</f>
        <v>0</v>
      </c>
      <c r="D91" s="240">
        <f>IFERROR(C91/'Flow sohold'!$D$5,0)</f>
        <v>0</v>
      </c>
      <c r="E91" s="265"/>
      <c r="F91" s="265"/>
      <c r="G91" s="110"/>
      <c r="H91" s="110"/>
      <c r="T91" s="110"/>
      <c r="U91" s="110"/>
      <c r="V91" s="110"/>
      <c r="W91" s="110"/>
      <c r="X91" s="110"/>
      <c r="Y91" s="110"/>
      <c r="Z91" s="110"/>
      <c r="AA91" s="110"/>
    </row>
    <row r="92" spans="1:27" s="10" customFormat="1" x14ac:dyDescent="0.25">
      <c r="A92" s="110"/>
      <c r="B92" s="239" t="s">
        <v>1683</v>
      </c>
      <c r="C92" s="265">
        <f>(C65+(C50*'input-data'!E386/100))*'Udbringning af gylleApplication'!G9</f>
        <v>0</v>
      </c>
      <c r="D92" s="240">
        <f>IFERROR(C92/'Flow sohold'!$D$5,0)</f>
        <v>0</v>
      </c>
      <c r="E92" s="265"/>
      <c r="F92" s="265"/>
      <c r="G92" s="110"/>
      <c r="H92" s="110"/>
      <c r="T92" s="110"/>
      <c r="U92" s="110"/>
      <c r="V92" s="110"/>
      <c r="W92" s="110"/>
      <c r="X92" s="110"/>
      <c r="Y92" s="110"/>
      <c r="Z92" s="110"/>
      <c r="AA92" s="110"/>
    </row>
    <row r="93" spans="1:27" s="10" customFormat="1" x14ac:dyDescent="0.25">
      <c r="A93" s="110"/>
      <c r="B93" s="239" t="s">
        <v>2090</v>
      </c>
      <c r="C93" s="265">
        <f>(C65+(C50*'input-data'!E386/100))*'Udbringning af gylleApplication'!I9</f>
        <v>0</v>
      </c>
      <c r="D93" s="240">
        <f>IFERROR(C93/'Flow sohold'!$D$5,0)</f>
        <v>0</v>
      </c>
      <c r="E93" s="265"/>
      <c r="F93" s="265"/>
      <c r="G93" s="110"/>
      <c r="H93" s="110"/>
      <c r="T93" s="110"/>
      <c r="U93" s="110"/>
      <c r="V93" s="110"/>
      <c r="W93" s="110"/>
      <c r="X93" s="110"/>
      <c r="Y93" s="110"/>
      <c r="Z93" s="110"/>
      <c r="AA93" s="110"/>
    </row>
    <row r="94" spans="1:27" s="10" customFormat="1" x14ac:dyDescent="0.25">
      <c r="A94" s="110"/>
      <c r="B94" s="237" t="s">
        <v>1764</v>
      </c>
      <c r="C94" s="265">
        <f>C65-(C90+C91+C92+C93)+(C50*'input-data'!E386/100)</f>
        <v>0</v>
      </c>
      <c r="D94" s="240">
        <f>IFERROR(C94/'Flow sohold'!$D$5,0)</f>
        <v>0</v>
      </c>
      <c r="E94" s="265"/>
      <c r="F94" s="265"/>
      <c r="G94" s="110"/>
      <c r="H94" s="110"/>
      <c r="I94" s="10" t="s">
        <v>1763</v>
      </c>
      <c r="T94" s="110"/>
      <c r="U94" s="110"/>
      <c r="V94" s="110"/>
      <c r="W94" s="110"/>
      <c r="X94" s="110"/>
      <c r="Y94" s="110"/>
      <c r="Z94" s="110"/>
      <c r="AA94" s="110"/>
    </row>
    <row r="95" spans="1:27" s="10" customFormat="1" x14ac:dyDescent="0.25">
      <c r="A95" s="110"/>
      <c r="B95" s="239"/>
      <c r="C95" s="265"/>
      <c r="D95" s="240"/>
      <c r="E95" s="265"/>
      <c r="F95" s="265"/>
      <c r="G95" s="110"/>
      <c r="H95" s="110"/>
      <c r="T95" s="110"/>
      <c r="U95" s="110"/>
      <c r="V95" s="110"/>
      <c r="W95" s="110"/>
      <c r="X95" s="110"/>
      <c r="Y95" s="110"/>
      <c r="Z95" s="110"/>
      <c r="AA95" s="110"/>
    </row>
    <row r="96" spans="1:27" s="10" customFormat="1" x14ac:dyDescent="0.25">
      <c r="A96" s="110"/>
      <c r="B96" s="239" t="s">
        <v>1758</v>
      </c>
      <c r="C96" s="265"/>
      <c r="D96" s="240"/>
      <c r="E96" s="265"/>
      <c r="F96" s="265"/>
      <c r="G96" s="110"/>
      <c r="H96" s="110"/>
      <c r="T96" s="110"/>
      <c r="U96" s="110"/>
      <c r="V96" s="110"/>
      <c r="W96" s="110"/>
      <c r="X96" s="110"/>
      <c r="Y96" s="110"/>
      <c r="Z96" s="110"/>
      <c r="AA96" s="110"/>
    </row>
    <row r="97" spans="1:27" s="10" customFormat="1" x14ac:dyDescent="0.25">
      <c r="A97" s="110"/>
      <c r="B97" s="239" t="s">
        <v>1681</v>
      </c>
      <c r="C97" s="265">
        <f>C72*'Udbringning af gylleApplication'!C7</f>
        <v>0</v>
      </c>
      <c r="D97" s="240">
        <f>IFERROR(C97/'Flow sohold'!$D$5,0)</f>
        <v>0</v>
      </c>
      <c r="E97" s="265"/>
      <c r="F97" s="265"/>
      <c r="G97" s="110"/>
      <c r="H97" s="110"/>
      <c r="T97" s="110"/>
      <c r="U97" s="110"/>
      <c r="V97" s="110"/>
      <c r="W97" s="110"/>
      <c r="X97" s="110"/>
      <c r="Y97" s="110"/>
      <c r="Z97" s="110"/>
      <c r="AA97" s="110"/>
    </row>
    <row r="98" spans="1:27" s="10" customFormat="1" x14ac:dyDescent="0.25">
      <c r="A98" s="110"/>
      <c r="B98" s="239" t="s">
        <v>1682</v>
      </c>
      <c r="C98" s="265">
        <f>C72*'Udbringning af gylleApplication'!E7</f>
        <v>0</v>
      </c>
      <c r="D98" s="240">
        <f>IFERROR(C98/'Flow sohold'!$D$5,0)</f>
        <v>0</v>
      </c>
      <c r="E98" s="265"/>
      <c r="F98" s="265"/>
      <c r="G98" s="110"/>
      <c r="H98" s="110"/>
      <c r="T98" s="110"/>
      <c r="U98" s="110"/>
      <c r="V98" s="110"/>
      <c r="W98" s="110"/>
      <c r="X98" s="110"/>
      <c r="Y98" s="110"/>
      <c r="Z98" s="110"/>
      <c r="AA98" s="110"/>
    </row>
    <row r="99" spans="1:27" s="10" customFormat="1" x14ac:dyDescent="0.25">
      <c r="A99" s="110"/>
      <c r="B99" s="239" t="s">
        <v>1683</v>
      </c>
      <c r="C99" s="265">
        <f>C72*'Udbringning af gylleApplication'!G7</f>
        <v>0</v>
      </c>
      <c r="D99" s="240">
        <f>IFERROR(C99/'Flow sohold'!$D$5,0)</f>
        <v>0</v>
      </c>
      <c r="E99" s="265"/>
      <c r="F99" s="265"/>
      <c r="G99" s="110"/>
      <c r="H99" s="110"/>
      <c r="T99" s="110"/>
      <c r="U99" s="110"/>
      <c r="V99" s="110"/>
      <c r="W99" s="110"/>
      <c r="X99" s="110"/>
      <c r="Y99" s="110"/>
      <c r="Z99" s="110"/>
      <c r="AA99" s="110"/>
    </row>
    <row r="100" spans="1:27" s="10" customFormat="1" x14ac:dyDescent="0.25">
      <c r="A100" s="110"/>
      <c r="B100" s="239" t="s">
        <v>2090</v>
      </c>
      <c r="C100" s="265">
        <f>C72*'Udbringning af gylleApplication'!I7</f>
        <v>0</v>
      </c>
      <c r="D100" s="240">
        <f>IFERROR(C100/'Flow sohold'!$D$5,0)</f>
        <v>0</v>
      </c>
      <c r="E100" s="265"/>
      <c r="F100" s="265"/>
      <c r="G100" s="110"/>
      <c r="H100" s="110"/>
      <c r="T100" s="110"/>
      <c r="U100" s="110"/>
      <c r="V100" s="110"/>
      <c r="W100" s="110"/>
      <c r="X100" s="110"/>
      <c r="Y100" s="110"/>
      <c r="Z100" s="110"/>
      <c r="AA100" s="110"/>
    </row>
    <row r="101" spans="1:27" s="10" customFormat="1" x14ac:dyDescent="0.25">
      <c r="A101" s="281"/>
      <c r="B101" s="237" t="s">
        <v>1765</v>
      </c>
      <c r="C101" s="265">
        <f>C72-(C97+C98+C99+C100)</f>
        <v>0</v>
      </c>
      <c r="D101" s="240">
        <f>IFERROR(C101/'Flow sohold'!$D$5,0)</f>
        <v>0</v>
      </c>
      <c r="E101" s="265"/>
      <c r="F101" s="265"/>
      <c r="G101" s="110"/>
      <c r="H101" s="110"/>
      <c r="T101" s="110"/>
      <c r="U101" s="110"/>
      <c r="V101" s="110"/>
      <c r="W101" s="110"/>
      <c r="X101" s="110"/>
      <c r="Y101" s="110"/>
      <c r="Z101" s="110"/>
      <c r="AA101" s="110"/>
    </row>
    <row r="102" spans="1:27" s="10" customFormat="1" x14ac:dyDescent="0.25">
      <c r="A102" s="110"/>
      <c r="B102" s="239"/>
      <c r="C102" s="90"/>
      <c r="D102" s="240"/>
      <c r="E102" s="90"/>
      <c r="F102" s="90"/>
      <c r="G102" s="110"/>
      <c r="H102" s="110"/>
      <c r="T102" s="110"/>
      <c r="U102" s="110"/>
      <c r="V102" s="110"/>
      <c r="W102" s="110"/>
      <c r="X102" s="110"/>
      <c r="Y102" s="110"/>
      <c r="Z102" s="110"/>
      <c r="AA102" s="110"/>
    </row>
    <row r="103" spans="1:27" s="10" customFormat="1" x14ac:dyDescent="0.25">
      <c r="A103" s="110"/>
      <c r="B103" s="239" t="s">
        <v>1759</v>
      </c>
      <c r="C103" s="90"/>
      <c r="D103" s="240"/>
      <c r="E103" s="90"/>
      <c r="F103" s="90"/>
      <c r="G103" s="110"/>
      <c r="H103" s="110"/>
      <c r="T103" s="110"/>
      <c r="U103" s="110"/>
      <c r="V103" s="110"/>
      <c r="W103" s="110"/>
      <c r="X103" s="110"/>
      <c r="Y103" s="110"/>
      <c r="Z103" s="110"/>
      <c r="AA103" s="110"/>
    </row>
    <row r="104" spans="1:27" s="10" customFormat="1" x14ac:dyDescent="0.25">
      <c r="A104" s="110"/>
      <c r="B104" s="239" t="s">
        <v>1681</v>
      </c>
      <c r="C104" s="265">
        <f>C79*'Udbringning af gylleApplication'!C8</f>
        <v>0</v>
      </c>
      <c r="D104" s="240">
        <f>IFERROR(C104/'Flow sohold'!$D$5,0)</f>
        <v>0</v>
      </c>
      <c r="E104" s="265"/>
      <c r="F104" s="265"/>
      <c r="G104" s="110"/>
      <c r="H104" s="110"/>
      <c r="T104" s="110"/>
      <c r="U104" s="110"/>
      <c r="V104" s="110"/>
      <c r="W104" s="110"/>
      <c r="X104" s="110"/>
      <c r="Y104" s="110"/>
      <c r="Z104" s="110"/>
      <c r="AA104" s="110"/>
    </row>
    <row r="105" spans="1:27" s="10" customFormat="1" x14ac:dyDescent="0.25">
      <c r="A105" s="110"/>
      <c r="B105" s="239" t="s">
        <v>1682</v>
      </c>
      <c r="C105" s="265">
        <f>C79*'Udbringning af gylleApplication'!E8</f>
        <v>0</v>
      </c>
      <c r="D105" s="240">
        <f>IFERROR(C105/'Flow sohold'!$D$5,0)</f>
        <v>0</v>
      </c>
      <c r="E105" s="265"/>
      <c r="F105" s="265"/>
      <c r="G105" s="110"/>
      <c r="H105" s="110"/>
      <c r="T105" s="110"/>
      <c r="U105" s="110"/>
      <c r="V105" s="110"/>
      <c r="W105" s="110"/>
      <c r="X105" s="110"/>
      <c r="Y105" s="110"/>
      <c r="Z105" s="110"/>
      <c r="AA105" s="110"/>
    </row>
    <row r="106" spans="1:27" s="10" customFormat="1" x14ac:dyDescent="0.25">
      <c r="A106" s="110"/>
      <c r="B106" s="239" t="s">
        <v>1683</v>
      </c>
      <c r="C106" s="265">
        <f>C79*'Udbringning af gylleApplication'!G8</f>
        <v>0</v>
      </c>
      <c r="D106" s="240">
        <f>IFERROR(C106/'Flow sohold'!$D$5,0)</f>
        <v>0</v>
      </c>
      <c r="E106" s="265"/>
      <c r="F106" s="265"/>
      <c r="G106" s="110"/>
      <c r="H106" s="110"/>
      <c r="T106" s="110"/>
      <c r="U106" s="110"/>
      <c r="V106" s="110"/>
      <c r="W106" s="110"/>
      <c r="X106" s="110"/>
      <c r="Y106" s="110"/>
      <c r="Z106" s="110"/>
      <c r="AA106" s="110"/>
    </row>
    <row r="107" spans="1:27" s="10" customFormat="1" x14ac:dyDescent="0.25">
      <c r="A107" s="110"/>
      <c r="B107" s="239" t="s">
        <v>1684</v>
      </c>
      <c r="C107" s="265">
        <f>C79*'Udbringning af gylleApplication'!I8</f>
        <v>0</v>
      </c>
      <c r="D107" s="240">
        <f>IFERROR(C107/'Flow sohold'!$D$5,0)</f>
        <v>0</v>
      </c>
      <c r="E107" s="265"/>
      <c r="F107" s="265"/>
      <c r="G107" s="110"/>
      <c r="H107" s="110"/>
      <c r="T107" s="110"/>
      <c r="U107" s="110"/>
      <c r="V107" s="110"/>
      <c r="W107" s="110"/>
      <c r="X107" s="110"/>
      <c r="Y107" s="110"/>
      <c r="Z107" s="110"/>
      <c r="AA107" s="110"/>
    </row>
    <row r="108" spans="1:27" s="10" customFormat="1" x14ac:dyDescent="0.25">
      <c r="A108" s="110"/>
      <c r="B108" s="237" t="s">
        <v>1736</v>
      </c>
      <c r="C108" s="265">
        <f>C79-(C104+C105+C106+C107)</f>
        <v>0</v>
      </c>
      <c r="D108" s="240">
        <f>IFERROR(C108/'Flow sohold'!$D$5,0)</f>
        <v>0</v>
      </c>
      <c r="E108" s="265"/>
      <c r="F108" s="265"/>
      <c r="G108" s="110"/>
      <c r="H108" s="110"/>
      <c r="T108" s="110"/>
      <c r="U108" s="110"/>
      <c r="V108" s="110"/>
      <c r="W108" s="110"/>
      <c r="X108" s="110"/>
      <c r="Y108" s="110"/>
      <c r="Z108" s="110"/>
      <c r="AA108" s="110"/>
    </row>
    <row r="109" spans="1:27" s="10" customFormat="1" ht="15.75" thickBot="1" x14ac:dyDescent="0.3">
      <c r="A109" s="110"/>
      <c r="B109" s="379"/>
      <c r="C109" s="791"/>
      <c r="D109" s="248"/>
      <c r="E109" s="381"/>
      <c r="F109" s="381"/>
      <c r="G109" s="110"/>
      <c r="H109" s="110"/>
      <c r="T109" s="110"/>
      <c r="U109" s="110"/>
      <c r="V109" s="110"/>
      <c r="W109" s="110"/>
      <c r="X109" s="110"/>
      <c r="Y109" s="110"/>
      <c r="Z109" s="110"/>
      <c r="AA109" s="110"/>
    </row>
    <row r="110" spans="1:27" s="10" customFormat="1" ht="15.75" thickBot="1" x14ac:dyDescent="0.3">
      <c r="A110" s="110"/>
      <c r="B110" s="793"/>
      <c r="C110" s="676"/>
      <c r="D110" s="790"/>
      <c r="E110" s="791"/>
      <c r="F110" s="791"/>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s="10" customFormat="1" ht="29.25" x14ac:dyDescent="0.25">
      <c r="A111" s="110"/>
      <c r="B111" s="788" t="s">
        <v>1570</v>
      </c>
      <c r="C111" s="787" t="str">
        <f>IF(topdowntables!$N$4=1, "Total", "Total")</f>
        <v>Total</v>
      </c>
      <c r="D111" s="787" t="str">
        <f>IF(topdowntables!$N$4=1, "Per årso", "Per year sow")</f>
        <v>Per årso</v>
      </c>
      <c r="E111" s="787" t="str">
        <f>IF(topdowntables!$N$4=1, "Total", "Total")</f>
        <v>Total</v>
      </c>
      <c r="F111" s="232" t="str">
        <f>IF(topdowntables!$N$4=1, "Per årso", "Per year sow")</f>
        <v>Per årso</v>
      </c>
      <c r="G111" s="110"/>
      <c r="H111" s="110"/>
      <c r="I111" s="110"/>
      <c r="J111" s="110"/>
      <c r="K111" s="110"/>
      <c r="L111" s="110"/>
      <c r="M111" s="110"/>
      <c r="N111" s="110"/>
      <c r="O111" s="110"/>
      <c r="P111" s="110"/>
      <c r="Q111" s="110"/>
      <c r="R111" s="110"/>
      <c r="S111" s="110"/>
      <c r="T111" s="110"/>
      <c r="U111" s="110"/>
      <c r="V111" s="110"/>
      <c r="W111" s="110"/>
      <c r="X111" s="110"/>
      <c r="Y111" s="110"/>
      <c r="Z111" s="110"/>
      <c r="AA111" s="110"/>
    </row>
    <row r="112" spans="1:27" s="10" customFormat="1" x14ac:dyDescent="0.25">
      <c r="A112" s="110"/>
      <c r="B112" s="382" t="s">
        <v>1854</v>
      </c>
      <c r="C112" s="471" t="s">
        <v>1855</v>
      </c>
      <c r="D112" s="471" t="s">
        <v>1855</v>
      </c>
      <c r="E112" s="471" t="s">
        <v>1341</v>
      </c>
      <c r="F112" s="236" t="s">
        <v>1341</v>
      </c>
      <c r="G112" s="110"/>
      <c r="H112" s="110"/>
      <c r="I112" s="110"/>
      <c r="J112" s="110"/>
      <c r="K112" s="110"/>
      <c r="L112" s="110"/>
      <c r="M112" s="110"/>
      <c r="N112" s="110"/>
      <c r="O112" s="110"/>
      <c r="P112" s="110"/>
      <c r="Q112" s="110"/>
      <c r="R112" s="110"/>
      <c r="S112" s="110"/>
      <c r="T112" s="110"/>
      <c r="U112" s="110"/>
      <c r="V112" s="110"/>
      <c r="W112" s="110"/>
      <c r="X112" s="110"/>
      <c r="Y112" s="110"/>
      <c r="Z112" s="110"/>
      <c r="AA112" s="110"/>
    </row>
    <row r="113" spans="1:27" s="10" customFormat="1" x14ac:dyDescent="0.25">
      <c r="A113" s="110"/>
      <c r="B113" s="239" t="s">
        <v>1563</v>
      </c>
      <c r="C113" s="265"/>
      <c r="D113" s="265"/>
      <c r="E113" s="265"/>
      <c r="F113" s="242"/>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s="10" customFormat="1" x14ac:dyDescent="0.25">
      <c r="A114" s="110"/>
      <c r="B114" s="239" t="s">
        <v>1555</v>
      </c>
      <c r="C114" s="265">
        <f>'Flow sohold'!D93*'Flow sohold'!D5</f>
        <v>0</v>
      </c>
      <c r="D114" s="266">
        <f>IFERROR(C114/'Flow sohold'!$D$5,0)</f>
        <v>0</v>
      </c>
      <c r="E114" s="265">
        <f>'Flow sohold'!D5*'Flow sohold'!D94</f>
        <v>0</v>
      </c>
      <c r="F114" s="240">
        <f>IFERROR(E114/'Flow sohold'!$D$5,0)</f>
        <v>0</v>
      </c>
      <c r="G114" s="110"/>
      <c r="H114" s="110"/>
      <c r="I114" s="110" t="s">
        <v>1554</v>
      </c>
      <c r="J114" s="110"/>
      <c r="K114" s="110"/>
      <c r="L114" s="110"/>
      <c r="M114" s="110"/>
      <c r="N114" s="110"/>
      <c r="O114" s="110"/>
      <c r="P114" s="110"/>
      <c r="Q114" s="110"/>
      <c r="R114" s="110"/>
      <c r="S114" s="110"/>
      <c r="T114" s="110"/>
      <c r="U114" s="110"/>
      <c r="V114" s="110"/>
      <c r="W114" s="110"/>
      <c r="X114" s="110"/>
      <c r="Y114" s="110"/>
      <c r="Z114" s="110"/>
      <c r="AA114" s="110"/>
    </row>
    <row r="115" spans="1:27" s="10" customFormat="1" x14ac:dyDescent="0.25">
      <c r="A115" s="110"/>
      <c r="B115" s="239" t="s">
        <v>1564</v>
      </c>
      <c r="C115" s="265"/>
      <c r="D115" s="266"/>
      <c r="E115" s="265"/>
      <c r="F115" s="24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s="10" customFormat="1" x14ac:dyDescent="0.25">
      <c r="A116" s="110"/>
      <c r="B116" s="239" t="s">
        <v>1620</v>
      </c>
      <c r="C116" s="265">
        <f>IF(OR('input-data'!E324=topdowntables!$C$4,'input-data'!E324=topdowntables!$C$9),'Flow sohold'!D5*'Flow sohold'!D128,
IF(OR('input-data'!E324=topdowntables!$C$5,'input-data'!$E$324=topdowntables!$C$10),0,
IF((365-'input-data'!F325)&gt;='input-data'!E145,'Flow sohold'!D5*('Flow sohold'!D123*'Flow sohold'!D44/1000/6.25),
IF(OR('input-data'!E324=topdowntables!$C$6,'input-data'!$E$324=topdowntables!$C$11),('Flow sohold'!D5*('Flow sohold'!D117*'Flow sohold'!D45/1000/6.25)*(('input-data'!E145-(365-'input-data'!F325))/'input-data'!E145))+('Flow sohold'!D5*('Flow sohold'!D123*'Flow sohold'!D44/1000/6.25)),0))))</f>
        <v>0</v>
      </c>
      <c r="D116" s="266">
        <f>IFERROR(C116/'Flow sohold'!$D$5,0)</f>
        <v>0</v>
      </c>
      <c r="E116" s="265">
        <f>IF(OR('input-data'!E324=topdowntables!$C$4,'input-data'!E324=topdowntables!$C$9),'Flow sohold'!D5*'Flow sohold'!D129,
IF(OR('input-data'!E324=topdowntables!$C$5,'input-data'!$E$324=topdowntables!$C$10),0,
IF((365-'input-data'!F325)&gt;='input-data'!E145,'Flow sohold'!D5*('Flow sohold'!D124*'Flow sohold'!D44/1000),
IF(OR('input-data'!E324=topdowntables!$C$6,'input-data'!$E$324=topdowntables!$C$11),('Flow sohold'!D5*('Flow sohold'!D118*'Flow sohold'!D45/1000)*(('input-data'!E145-(365-'input-data'!F325))/'input-data'!E145))+('Flow sohold'!D5*('Flow sohold'!D124*'Flow sohold'!D44/1000)),0))))</f>
        <v>0</v>
      </c>
      <c r="F116" s="240">
        <f>IFERROR(E116/'Flow sohold'!$D$5,0)</f>
        <v>0</v>
      </c>
      <c r="G116" s="110"/>
      <c r="H116" s="110"/>
      <c r="I116" s="110" t="s">
        <v>1569</v>
      </c>
      <c r="J116" s="110"/>
      <c r="K116" s="110"/>
      <c r="L116" s="110"/>
      <c r="M116" s="110"/>
      <c r="N116" s="110"/>
      <c r="O116" s="110"/>
      <c r="P116" s="110"/>
      <c r="Q116" s="110"/>
      <c r="R116" s="110"/>
      <c r="S116" s="110"/>
      <c r="T116" s="110"/>
      <c r="U116" s="110"/>
      <c r="V116" s="110"/>
      <c r="W116" s="110"/>
      <c r="X116" s="110"/>
      <c r="Y116" s="110"/>
      <c r="Z116" s="110"/>
      <c r="AA116" s="110"/>
    </row>
    <row r="117" spans="1:27" s="10" customFormat="1" x14ac:dyDescent="0.25">
      <c r="A117" s="110"/>
      <c r="B117" s="239" t="s">
        <v>1621</v>
      </c>
      <c r="C117" s="265">
        <f>IF(OR('input-data'!$E$324=topdowntables!$C$5,'input-data'!$E$324=topdowntables!$C$10),'Flow sohold'!D5*'Flow sohold'!D128,
IF(OR('input-data'!$E$324=topdowntables!$C$4,'input-data'!$E$324=topdowntables!$C$9),0,
IF((365-'input-data'!F325)&gt;='input-data'!E145,'Flow sohold'!D5*('Flow sohold'!D117*'Flow sohold'!D45/1000/6.25),
IF(OR('input-data'!$E$324=topdowntables!$C$6,'input-data'!$E$324=topdowntables!$C$11),'Flow sohold'!D5*('Flow sohold'!D117*'Flow sohold'!D45/1000/6.25)*((365-'input-data'!F325)/'input-data'!E145),0)))
)</f>
        <v>0</v>
      </c>
      <c r="D117" s="266">
        <f>IFERROR(C117/'Flow sohold'!$D$5,0)</f>
        <v>0</v>
      </c>
      <c r="E117" s="265">
        <f>IF(OR('input-data'!$E$324=topdowntables!$C$5,'input-data'!$E$324=topdowntables!$C$10),'Flow sohold'!D5*'Flow sohold'!D129,
IF(OR('input-data'!$E$324=topdowntables!$C$4,'input-data'!$E$324=topdowntables!$C$9),0,
IF((365-'input-data'!F325)&gt;='input-data'!E145,'Flow sohold'!D5*('Flow sohold'!D118*'Flow sohold'!D45/1000),
IF(OR('input-data'!$E$324=topdowntables!$C$6,'input-data'!$E$324=topdowntables!$C$11),'Flow sohold'!D5*('Flow sohold'!D118*'Flow sohold'!D45/1000)*((365-'input-data'!F325)/'input-data'!E145),0))))</f>
        <v>0</v>
      </c>
      <c r="F117" s="240">
        <f>IFERROR(E117/'Flow sohold'!$D$5,0)</f>
        <v>0</v>
      </c>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s="10" customFormat="1" x14ac:dyDescent="0.25">
      <c r="A118" s="110"/>
      <c r="B118" s="239" t="s">
        <v>1565</v>
      </c>
      <c r="C118" s="265"/>
      <c r="D118" s="266"/>
      <c r="E118" s="265"/>
      <c r="F118" s="240"/>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s="10" customFormat="1" x14ac:dyDescent="0.25">
      <c r="A119" s="110"/>
      <c r="B119" s="239" t="s">
        <v>1620</v>
      </c>
      <c r="C119" s="265">
        <f>IF(OR('input-data'!$E$324=topdowntables!$C$4,'input-data'!$E$324=topdowntables!$C$9),'Flow sohold'!D5*'Flow sohold'!D147,
IF(OR('input-data'!$E$324=topdowntables!$C$5,'input-data'!$E$324=topdowntables!$C$10),0,
IF(OR('input-data'!$E$324=topdowntables!$C$6,'input-data'!$E$324=topdowntables!$C$11),'Flow sohold'!D5*'Flow sohold'!D147*('input-data'!F325/365),0)))</f>
        <v>0</v>
      </c>
      <c r="D119" s="266">
        <f>IFERROR(C119/'Flow sohold'!$D$5,0)</f>
        <v>0</v>
      </c>
      <c r="E119" s="265">
        <f>IF(OR('input-data'!$E$324=topdowntables!$C$4,'input-data'!$E$324=topdowntables!$C$9),'Flow sohold'!D5*'Flow sohold'!D148,
IF(OR('input-data'!$E$324=topdowntables!$C$5,'input-data'!$E$324=topdowntables!$C$10),0,
IF(OR('input-data'!$E$324=topdowntables!$C$6,'input-data'!$E$324=topdowntables!$C$11),'Flow sohold'!D5*'Flow sohold'!D148*('input-data'!F325/365),0)))</f>
        <v>0</v>
      </c>
      <c r="F119" s="240">
        <f>IFERROR(E119/'Flow sohold'!$D$5,0)</f>
        <v>0</v>
      </c>
      <c r="G119" s="110"/>
      <c r="H119" s="110"/>
      <c r="I119" s="110" t="s">
        <v>1569</v>
      </c>
      <c r="J119" s="110"/>
      <c r="K119" s="110"/>
      <c r="L119" s="110"/>
      <c r="M119" s="110"/>
      <c r="N119" s="110"/>
      <c r="O119" s="110"/>
      <c r="P119" s="110"/>
      <c r="Q119" s="110"/>
      <c r="R119" s="110"/>
      <c r="S119" s="110"/>
      <c r="T119" s="110"/>
      <c r="U119" s="110"/>
      <c r="V119" s="110"/>
      <c r="W119" s="110"/>
      <c r="X119" s="110"/>
      <c r="Y119" s="110"/>
      <c r="Z119" s="110"/>
      <c r="AA119" s="110"/>
    </row>
    <row r="120" spans="1:27" s="10" customFormat="1" x14ac:dyDescent="0.25">
      <c r="A120" s="110"/>
      <c r="B120" s="239" t="s">
        <v>1621</v>
      </c>
      <c r="C120" s="265">
        <f>IF(OR('input-data'!$E$324=topdowntables!$C$5,'input-data'!$E$324=topdowntables!$C$10),'Flow sohold'!D5*'Flow sohold'!D147,
IF(OR('input-data'!$E$324=topdowntables!$C$4,'input-data'!$E$324=topdowntables!$C$9),0,
IF(OR('input-data'!$E$324=topdowntables!$C$6,'input-data'!$E$324=topdowntables!$C$11),'Flow sohold'!D5*'Flow sohold'!D147*((365-'input-data'!F325)/365),0)))</f>
        <v>0</v>
      </c>
      <c r="D120" s="266">
        <f>IFERROR(C120/'Flow sohold'!$D$5,0)</f>
        <v>0</v>
      </c>
      <c r="E120" s="265">
        <f>IF(OR('input-data'!$E$324=topdowntables!$C$5,'input-data'!$E$324=topdowntables!$C$10),'Flow sohold'!D5*'Flow sohold'!D148,
IF(OR('input-data'!$E$324=topdowntables!$C$4,'input-data'!$E$324=topdowntables!$C$9),0,
IF(OR('input-data'!$E$324=topdowntables!$C$6,'input-data'!$E$324=topdowntables!$C$11),'Flow sohold'!D5*'Flow sohold'!D148*((365-'input-data'!F325)/365),0)))</f>
        <v>0</v>
      </c>
      <c r="F120" s="240">
        <f>IFERROR(E120/'Flow sohold'!$D$5,0)</f>
        <v>0</v>
      </c>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s="10" customFormat="1" x14ac:dyDescent="0.25">
      <c r="A121" s="110"/>
      <c r="B121" s="239"/>
      <c r="C121" s="265"/>
      <c r="D121" s="266"/>
      <c r="E121" s="265"/>
      <c r="F121" s="24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s="10" customFormat="1" x14ac:dyDescent="0.25">
      <c r="A122" s="225"/>
      <c r="B122" s="382" t="s">
        <v>1856</v>
      </c>
      <c r="C122" s="471" t="s">
        <v>1855</v>
      </c>
      <c r="D122" s="797" t="s">
        <v>1855</v>
      </c>
      <c r="E122" s="471" t="s">
        <v>1341</v>
      </c>
      <c r="F122" s="798"/>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s="10" customFormat="1" x14ac:dyDescent="0.25">
      <c r="A123" s="110"/>
      <c r="B123" s="239" t="s">
        <v>1568</v>
      </c>
      <c r="C123" s="265"/>
      <c r="D123" s="266"/>
      <c r="E123" s="265"/>
      <c r="F123" s="240"/>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s="10" customFormat="1" x14ac:dyDescent="0.25">
      <c r="A124" s="110"/>
      <c r="B124" s="239" t="s">
        <v>1583</v>
      </c>
      <c r="C124" s="265">
        <f>('NPK tal'!$C$15+'NPK tal'!$C$16+'NPK tal'!$C$17+'NPK tal'!$C$19)*'NPK tal'!$B$10/1000*'Flow sohold'!D5</f>
        <v>0</v>
      </c>
      <c r="D124" s="266">
        <f>IFERROR(C124/'Flow sohold'!$D$5,0)</f>
        <v>0</v>
      </c>
      <c r="E124" s="265">
        <f>('NPK tal'!$C$15+'NPK tal'!$C$16+'NPK tal'!$C$17+'NPK tal'!$C$19)*'NPK tal'!$C$10/1000*'Flow sohold'!D5</f>
        <v>0</v>
      </c>
      <c r="F124" s="240">
        <f>IFERROR(E124/'Flow sohold'!$D$5,0)</f>
        <v>0</v>
      </c>
      <c r="G124" s="110"/>
      <c r="H124" s="110"/>
      <c r="I124" s="110" t="s">
        <v>1584</v>
      </c>
      <c r="J124" s="110"/>
      <c r="K124" s="110"/>
      <c r="L124" s="110"/>
      <c r="M124" s="110"/>
      <c r="N124" s="110"/>
      <c r="O124" s="110"/>
      <c r="P124" s="110"/>
      <c r="Q124" s="110"/>
      <c r="R124" s="110"/>
      <c r="S124" s="110"/>
      <c r="T124" s="110"/>
      <c r="U124" s="110"/>
      <c r="V124" s="110"/>
      <c r="W124" s="110"/>
      <c r="X124" s="110"/>
      <c r="Y124" s="110"/>
      <c r="Z124" s="110"/>
      <c r="AA124" s="110"/>
    </row>
    <row r="125" spans="1:27" s="10" customFormat="1" x14ac:dyDescent="0.25">
      <c r="A125" s="110"/>
      <c r="B125" s="239"/>
      <c r="C125" s="265"/>
      <c r="D125" s="266"/>
      <c r="E125" s="265"/>
      <c r="F125" s="240"/>
      <c r="G125" s="110"/>
      <c r="H125" s="110"/>
      <c r="I125" s="258"/>
      <c r="J125" s="110"/>
      <c r="K125" s="110"/>
      <c r="L125" s="110"/>
      <c r="M125" s="110"/>
      <c r="N125" s="110"/>
      <c r="O125" s="110"/>
      <c r="P125" s="110"/>
      <c r="Q125" s="110"/>
      <c r="R125" s="110"/>
      <c r="S125" s="110"/>
      <c r="T125" s="110"/>
      <c r="U125" s="110"/>
      <c r="V125" s="110"/>
      <c r="W125" s="110"/>
      <c r="X125" s="110"/>
      <c r="Y125" s="110"/>
      <c r="Z125" s="110"/>
      <c r="AA125" s="110"/>
    </row>
    <row r="126" spans="1:27" s="10" customFormat="1" x14ac:dyDescent="0.25">
      <c r="A126" s="110"/>
      <c r="B126" s="382" t="s">
        <v>1857</v>
      </c>
      <c r="C126" s="471" t="s">
        <v>1855</v>
      </c>
      <c r="D126" s="797" t="s">
        <v>1855</v>
      </c>
      <c r="E126" s="471" t="s">
        <v>1341</v>
      </c>
      <c r="F126" s="798"/>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s="10" customFormat="1" x14ac:dyDescent="0.25">
      <c r="A127" s="110"/>
      <c r="B127" s="239" t="s">
        <v>1629</v>
      </c>
      <c r="C127" s="265">
        <f>IF(OR('input-data'!$E$324=topdowntables!$C$4,'input-data'!$E$324=topdowntables!$C$9), C114+C116-C124,
IF(OR('input-data'!$E$324=topdowntables!$C$5,'input-data'!$E$324=topdowntables!$C$10),0,
IF(OR('input-data'!$E$324=topdowntables!$C$6,'input-data'!$E$324=topdowntables!$C$11),(C114 *('input-data'!F325/365))-(C124*('input-data'!F325/365))+(C116),0)))</f>
        <v>0</v>
      </c>
      <c r="D127" s="266">
        <f>IFERROR(C127/'Flow sohold'!$D$5,0)</f>
        <v>0</v>
      </c>
      <c r="E127" s="265">
        <f>IF(OR('input-data'!$E$324=topdowntables!$C$4,'input-data'!$E$324=topdowntables!$C$9), E114+E116+E119-E124,
IF(OR('input-data'!$E$324=topdowntables!$C$5,'input-data'!$E$324=topdowntables!$C$10),0,
IF(OR('input-data'!$E$324=topdowntables!$C$6,'input-data'!$E$324=topdowntables!$C$11),(E114 *('input-data'!F325/365))-(E124*('input-data'!F325/365))+(E116+E119),0)))</f>
        <v>0</v>
      </c>
      <c r="F127" s="240">
        <f>IFERROR(E127/'Flow sohold'!$D$5,0)</f>
        <v>0</v>
      </c>
      <c r="G127" s="110"/>
      <c r="H127" s="110"/>
      <c r="I127" s="257"/>
      <c r="J127" s="110"/>
      <c r="K127" s="110"/>
      <c r="L127" s="110"/>
      <c r="M127" s="110"/>
      <c r="N127" s="110"/>
      <c r="O127" s="110"/>
      <c r="P127" s="110"/>
      <c r="Q127" s="110"/>
      <c r="R127" s="110"/>
      <c r="S127" s="110"/>
      <c r="T127" s="110"/>
      <c r="U127" s="110"/>
      <c r="V127" s="110"/>
      <c r="W127" s="110"/>
      <c r="X127" s="110"/>
      <c r="Y127" s="110"/>
      <c r="Z127" s="110"/>
      <c r="AA127" s="110"/>
    </row>
    <row r="128" spans="1:27" s="10" customFormat="1" x14ac:dyDescent="0.25">
      <c r="A128" s="110"/>
      <c r="B128" s="239" t="s">
        <v>1630</v>
      </c>
      <c r="C128" s="265">
        <f>IF(OR('input-data'!$E$324=topdowntables!$C$5,'input-data'!$E$324=topdowntables!$C$10), C114+C117-C124,
IF(OR('input-data'!$E$324=topdowntables!$C$4,'input-data'!$E$324=topdowntables!$C$9),0,
IF(OR('input-data'!$E$324=topdowntables!$C$6,'input-data'!$E$324=topdowntables!$C$11),(C114*((365-'input-data'!F325)/365))-(C124*((365-'input-data'!F325)/365))+(C117),0)))</f>
        <v>0</v>
      </c>
      <c r="D128" s="266">
        <f>IFERROR(C128/'Flow sohold'!$D$5,0)</f>
        <v>0</v>
      </c>
      <c r="E128" s="265">
        <f>IF(OR('input-data'!$E$324=topdowntables!$C$5,'input-data'!$E$324=topdowntables!$C$10), E114+E117+E120-E124,
IF(OR('input-data'!$E$324=topdowntables!$C$4,'input-data'!$E$324=topdowntables!$C$9),0,
IF(OR('input-data'!$E$324=topdowntables!$C$6,'input-data'!$E$324=topdowntables!$C$11),(E114*((365-'input-data'!F325)/365))-(E124*((365-'input-data'!F325)/365))+(E117+E120),0)))</f>
        <v>0</v>
      </c>
      <c r="F128" s="240">
        <f>IFERROR(E128/'Flow sohold'!$D$5,0)</f>
        <v>0</v>
      </c>
      <c r="G128" s="110"/>
      <c r="H128" s="110"/>
      <c r="I128" s="257"/>
      <c r="J128" s="110"/>
      <c r="K128" s="110"/>
      <c r="L128" s="110"/>
      <c r="M128" s="110"/>
      <c r="N128" s="110"/>
      <c r="O128" s="110"/>
      <c r="P128" s="110"/>
      <c r="Q128" s="110"/>
      <c r="R128" s="110"/>
      <c r="S128" s="110"/>
      <c r="T128" s="110"/>
      <c r="U128" s="110"/>
      <c r="V128" s="110"/>
      <c r="W128" s="110"/>
      <c r="X128" s="110"/>
      <c r="Y128" s="110"/>
      <c r="Z128" s="110"/>
      <c r="AA128" s="110"/>
    </row>
    <row r="129" spans="1:27" s="10" customFormat="1" ht="15.75" thickBot="1" x14ac:dyDescent="0.3">
      <c r="A129" s="110"/>
      <c r="B129" s="239"/>
      <c r="C129" s="265"/>
      <c r="D129" s="266"/>
      <c r="E129" s="792"/>
      <c r="F129" s="248"/>
      <c r="G129" s="110"/>
      <c r="H129" s="110"/>
      <c r="I129" s="257"/>
      <c r="J129" s="110"/>
      <c r="K129" s="110"/>
      <c r="L129" s="110"/>
      <c r="M129" s="110"/>
      <c r="N129" s="110"/>
      <c r="O129" s="110"/>
      <c r="P129" s="110"/>
      <c r="Q129" s="110"/>
      <c r="R129" s="110"/>
      <c r="S129" s="110"/>
      <c r="T129" s="110"/>
      <c r="U129" s="110"/>
      <c r="V129" s="110"/>
      <c r="W129" s="110"/>
      <c r="X129" s="110"/>
      <c r="Y129" s="110"/>
      <c r="Z129" s="110"/>
      <c r="AA129" s="110"/>
    </row>
    <row r="130" spans="1:27" s="10" customFormat="1" x14ac:dyDescent="0.25">
      <c r="A130" s="110"/>
      <c r="B130" s="382" t="s">
        <v>1631</v>
      </c>
      <c r="C130" s="679" t="s">
        <v>1916</v>
      </c>
      <c r="D130" s="798" t="s">
        <v>1916</v>
      </c>
      <c r="E130" s="675"/>
      <c r="F130" s="675"/>
      <c r="G130" s="63"/>
      <c r="H130" s="110"/>
      <c r="I130" s="392"/>
      <c r="J130" s="110"/>
      <c r="K130" s="110"/>
      <c r="L130" s="110"/>
      <c r="M130" s="110"/>
      <c r="N130" s="110"/>
      <c r="O130" s="110"/>
      <c r="P130" s="110"/>
      <c r="Q130" s="110"/>
      <c r="R130" s="110"/>
      <c r="S130" s="110"/>
      <c r="T130" s="110"/>
      <c r="U130" s="110"/>
      <c r="V130" s="110"/>
      <c r="W130" s="110"/>
      <c r="X130" s="110"/>
      <c r="Y130" s="110"/>
      <c r="Z130" s="110"/>
      <c r="AA130" s="110"/>
    </row>
    <row r="131" spans="1:27" s="10" customFormat="1" x14ac:dyDescent="0.25">
      <c r="A131" s="110"/>
      <c r="B131" s="239" t="s">
        <v>1629</v>
      </c>
      <c r="C131" s="265">
        <f>IF(OR('input-data'!$E$324=topdowntables!$C$4,'input-data'!$E$324=topdowntables!$C$9), C127-((C114+C116)*(1-('NPK tal'!$B$27/100))),
IF(OR('input-data'!$E$324=topdowntables!$C$5,'input-data'!$E$324=topdowntables!$C$10),0,
IF(OR('input-data'!$E$324=topdowntables!$C$6,'input-data'!$E$324=topdowntables!$C$11),
C127- (((C114+C116)*(1-('NPK tal'!$B$27/100))*('input-data'!F325/365))),0)))</f>
        <v>0</v>
      </c>
      <c r="D131" s="240">
        <f>IFERROR(C131/'Flow sohold'!$D$5,0)</f>
        <v>0</v>
      </c>
      <c r="E131" s="265"/>
      <c r="F131" s="265"/>
      <c r="G131" s="63"/>
      <c r="H131" s="110"/>
      <c r="I131" s="257" t="s">
        <v>1591</v>
      </c>
      <c r="J131" s="110"/>
      <c r="K131" s="110"/>
      <c r="L131" s="110"/>
      <c r="M131" s="110"/>
      <c r="N131" s="110"/>
      <c r="O131" s="110"/>
      <c r="P131" s="110"/>
      <c r="Q131" s="110"/>
      <c r="R131" s="110"/>
      <c r="S131" s="110"/>
      <c r="T131" s="110"/>
      <c r="U131" s="110"/>
      <c r="V131" s="110"/>
      <c r="W131" s="110"/>
      <c r="X131" s="110"/>
      <c r="Y131" s="110"/>
      <c r="Z131" s="110"/>
      <c r="AA131" s="110"/>
    </row>
    <row r="132" spans="1:27" s="10" customFormat="1" x14ac:dyDescent="0.25">
      <c r="A132" s="110"/>
      <c r="B132" s="239" t="s">
        <v>1630</v>
      </c>
      <c r="C132" s="265">
        <f>IF(OR('input-data'!$E$324=topdowntables!$C$5,'input-data'!$E$324=topdowntables!$C$10), C128-((C114+C117)*(1-('NPK tal'!B27/100))),
IF(OR('input-data'!$E$324=topdowntables!$C$4,'input-data'!$E$324=topdowntables!$C$9),0,
IF(OR('input-data'!$E$324=topdowntables!$C$6,'input-data'!$E$324=topdowntables!$C$11),
C128-(((C114+C117)*(1-('NPK tal'!B27/100))*((365-'input-data'!F325)/365))),0)))</f>
        <v>0</v>
      </c>
      <c r="D132" s="240">
        <f>IFERROR(C132/'Flow sohold'!$D$5,0)</f>
        <v>0</v>
      </c>
      <c r="E132" s="265"/>
      <c r="F132" s="265"/>
      <c r="G132" s="63"/>
      <c r="H132" s="110"/>
      <c r="I132" s="257"/>
      <c r="J132" s="110"/>
      <c r="K132" s="257"/>
      <c r="L132" s="110"/>
      <c r="M132" s="110"/>
      <c r="N132" s="110"/>
      <c r="O132" s="110"/>
      <c r="P132" s="110"/>
      <c r="Q132" s="110"/>
      <c r="R132" s="110"/>
      <c r="S132" s="110"/>
      <c r="T132" s="110"/>
      <c r="U132" s="110"/>
      <c r="V132" s="110"/>
      <c r="W132" s="110"/>
      <c r="X132" s="110"/>
      <c r="Y132" s="110"/>
      <c r="Z132" s="110"/>
      <c r="AA132" s="110"/>
    </row>
    <row r="133" spans="1:27" s="10" customFormat="1" x14ac:dyDescent="0.25">
      <c r="A133" s="110"/>
      <c r="B133" s="239"/>
      <c r="C133" s="265"/>
      <c r="D133" s="240"/>
      <c r="E133" s="265"/>
      <c r="F133" s="265"/>
      <c r="G133" s="63"/>
      <c r="H133" s="110"/>
      <c r="I133" s="257"/>
      <c r="J133" s="110"/>
      <c r="K133" s="110"/>
      <c r="L133" s="110"/>
      <c r="M133" s="110"/>
      <c r="N133" s="110"/>
      <c r="O133" s="110"/>
      <c r="P133" s="110"/>
      <c r="Q133" s="110"/>
      <c r="R133" s="110"/>
      <c r="S133" s="110"/>
      <c r="T133" s="110"/>
      <c r="U133" s="110"/>
      <c r="V133" s="110"/>
      <c r="W133" s="110"/>
      <c r="X133" s="110"/>
      <c r="Y133" s="110"/>
      <c r="Z133" s="110"/>
      <c r="AA133" s="110"/>
    </row>
    <row r="134" spans="1:27" s="10" customFormat="1" x14ac:dyDescent="0.25">
      <c r="A134" s="110"/>
      <c r="B134" s="382" t="s">
        <v>1714</v>
      </c>
      <c r="C134" s="679" t="s">
        <v>1915</v>
      </c>
      <c r="D134" s="798" t="s">
        <v>1915</v>
      </c>
      <c r="E134" s="675"/>
      <c r="F134" s="675"/>
      <c r="G134" s="63"/>
      <c r="H134" s="110"/>
      <c r="I134" s="257"/>
      <c r="J134" s="110"/>
      <c r="K134" s="110"/>
      <c r="L134" s="110"/>
      <c r="M134" s="110"/>
      <c r="N134" s="110"/>
      <c r="O134" s="110"/>
      <c r="P134" s="110"/>
      <c r="Q134" s="110"/>
      <c r="R134" s="110"/>
      <c r="S134" s="110"/>
      <c r="T134" s="110"/>
      <c r="U134" s="110"/>
      <c r="V134" s="110"/>
      <c r="W134" s="110"/>
      <c r="X134" s="110"/>
      <c r="Y134" s="110"/>
    </row>
    <row r="135" spans="1:27" s="10" customFormat="1" x14ac:dyDescent="0.25">
      <c r="A135" s="110"/>
      <c r="B135" s="239" t="s">
        <v>1629</v>
      </c>
      <c r="C135" s="265">
        <f>IF(OR('input-data'!$E$324=topdowntables!$C$4,'input-data'!$E$324=topdowntables!$C$9), C119+((C114+C116)*(1-('NPK tal'!$B$27/100))),
IF(OR('input-data'!$E$324=topdowntables!$C$5,'input-data'!$E$324=topdowntables!$C$10),0,
IF(OR('input-data'!$E$324=topdowntables!$C$6,'input-data'!$E$324=topdowntables!$C$11),
C119+ (((C114+C116)*(1-('NPK tal'!$B$27/100))*('input-data'!F325/365))),0)))</f>
        <v>0</v>
      </c>
      <c r="D135" s="240">
        <f>IFERROR(C135/'Flow sohold'!$D$5,0)</f>
        <v>0</v>
      </c>
      <c r="E135" s="265"/>
      <c r="F135" s="265"/>
      <c r="G135" s="63"/>
      <c r="H135" s="110"/>
      <c r="I135" s="257" t="s">
        <v>1715</v>
      </c>
      <c r="J135" s="110"/>
      <c r="K135" s="110"/>
      <c r="L135" s="110"/>
      <c r="M135" s="110"/>
      <c r="N135" s="110"/>
      <c r="O135" s="110"/>
      <c r="P135" s="110"/>
      <c r="Q135" s="110"/>
      <c r="R135" s="110"/>
      <c r="S135" s="110"/>
      <c r="T135" s="110"/>
      <c r="U135" s="110"/>
      <c r="V135" s="110"/>
      <c r="W135" s="110"/>
      <c r="X135" s="110"/>
      <c r="Y135" s="110"/>
    </row>
    <row r="136" spans="1:27" s="10" customFormat="1" x14ac:dyDescent="0.25">
      <c r="A136" s="110"/>
      <c r="B136" s="239" t="s">
        <v>1630</v>
      </c>
      <c r="C136" s="265">
        <f>IF(OR('input-data'!$E$324=topdowntables!$C$5,'input-data'!$E$324=topdowntables!$C$10), C120+((C114+C117)*(1-('NPK tal'!B27/100))),
IF(OR('input-data'!$E$324=topdowntables!$C$4,'input-data'!$E$324=topdowntables!$C$9),0,
IF(OR('input-data'!$E$324=topdowntables!$C$6,'input-data'!$E$324=topdowntables!$C$11),
C120+(((C114+C117)*(1-('NPK tal'!B27/100))*((365-'input-data'!F325)/365))),0)))</f>
        <v>0</v>
      </c>
      <c r="D136" s="240">
        <f>IFERROR(C136/'Flow sohold'!$D$5,0)</f>
        <v>0</v>
      </c>
      <c r="E136" s="265"/>
      <c r="F136" s="265"/>
      <c r="G136" s="63"/>
      <c r="H136" s="110"/>
      <c r="I136" s="257"/>
      <c r="J136" s="110"/>
      <c r="K136" s="110"/>
      <c r="L136" s="110"/>
      <c r="M136" s="110"/>
      <c r="N136" s="110"/>
      <c r="O136" s="110"/>
      <c r="P136" s="110"/>
      <c r="Q136" s="110"/>
      <c r="R136" s="110"/>
      <c r="S136" s="110"/>
      <c r="T136" s="110"/>
      <c r="U136" s="110"/>
      <c r="V136" s="110"/>
      <c r="W136" s="110"/>
      <c r="X136" s="110"/>
      <c r="Y136" s="110"/>
    </row>
    <row r="137" spans="1:27" s="10" customFormat="1" x14ac:dyDescent="0.25">
      <c r="A137" s="110"/>
      <c r="B137" s="239"/>
      <c r="C137" s="265"/>
      <c r="D137" s="240"/>
      <c r="E137" s="265"/>
      <c r="F137" s="265"/>
      <c r="G137" s="63"/>
      <c r="H137" s="110"/>
      <c r="I137" s="257"/>
      <c r="J137" s="110"/>
      <c r="K137" s="110"/>
      <c r="L137" s="110"/>
      <c r="M137" s="110"/>
      <c r="N137" s="110"/>
      <c r="O137" s="110"/>
      <c r="P137" s="110"/>
      <c r="Q137" s="110"/>
      <c r="R137" s="110"/>
      <c r="S137" s="110"/>
      <c r="T137" s="110"/>
      <c r="U137" s="110"/>
      <c r="V137" s="110"/>
      <c r="W137" s="110"/>
      <c r="X137" s="110"/>
      <c r="Y137" s="110"/>
      <c r="Z137" s="110"/>
      <c r="AA137" s="110"/>
    </row>
    <row r="138" spans="1:27" s="10" customFormat="1" x14ac:dyDescent="0.25">
      <c r="A138" s="110"/>
      <c r="B138" s="382" t="s">
        <v>1729</v>
      </c>
      <c r="C138" s="679" t="s">
        <v>1855</v>
      </c>
      <c r="D138" s="798" t="s">
        <v>1855</v>
      </c>
      <c r="E138" s="675"/>
      <c r="F138" s="675"/>
      <c r="G138" s="63"/>
      <c r="H138" s="110"/>
      <c r="T138" s="110"/>
      <c r="U138" s="110"/>
      <c r="V138" s="110"/>
      <c r="W138" s="110"/>
      <c r="X138" s="110"/>
      <c r="Y138" s="110"/>
      <c r="Z138" s="110"/>
      <c r="AA138" s="110"/>
    </row>
    <row r="139" spans="1:27" s="10" customFormat="1" x14ac:dyDescent="0.25">
      <c r="A139" s="110"/>
      <c r="B139" s="239" t="s">
        <v>1720</v>
      </c>
      <c r="C139" s="265"/>
      <c r="D139" s="240"/>
      <c r="E139" s="265"/>
      <c r="F139" s="265"/>
      <c r="G139" s="63"/>
      <c r="H139" s="110"/>
      <c r="T139" s="110"/>
      <c r="U139" s="110"/>
      <c r="V139" s="110"/>
      <c r="W139" s="110"/>
      <c r="X139" s="110"/>
      <c r="Y139" s="110"/>
      <c r="Z139" s="110"/>
      <c r="AA139" s="110"/>
    </row>
    <row r="140" spans="1:27" s="10" customFormat="1" x14ac:dyDescent="0.25">
      <c r="A140" s="110"/>
      <c r="B140" s="239" t="s">
        <v>1681</v>
      </c>
      <c r="C140" s="265">
        <f>SUM((IFERROR(VLOOKUP('input-data'!E328,'Opstaldingsform-Housing '!$B$30:$O$38,4,FALSE),0))+(IFERROR(VLOOKUP('input-data'!E328,'Opstaldingsform-Housing '!$B$69:$O$75,4,FALSE),0)))*C131</f>
        <v>0</v>
      </c>
      <c r="D140" s="240">
        <f>IFERROR(C140/'Flow sohold'!$D$5,0)</f>
        <v>0</v>
      </c>
      <c r="E140" s="265"/>
      <c r="F140" s="265"/>
      <c r="G140" s="63"/>
      <c r="H140" s="110"/>
      <c r="T140" s="110"/>
      <c r="U140" s="110"/>
      <c r="V140" s="110"/>
      <c r="W140" s="110"/>
      <c r="X140" s="110"/>
      <c r="Y140" s="110"/>
      <c r="Z140" s="110"/>
      <c r="AA140" s="110"/>
    </row>
    <row r="141" spans="1:27" s="10" customFormat="1" x14ac:dyDescent="0.25">
      <c r="A141" s="110"/>
      <c r="B141" s="239" t="s">
        <v>1728</v>
      </c>
      <c r="C141" s="265">
        <f>SUM((IFERROR(VLOOKUP('input-data'!E328,'Opstaldingsform-Housing '!$B$30:$O$38,8,FALSE),0))+(IFERROR(VLOOKUP('input-data'!E328,'Opstaldingsform-Housing '!$B$69:$O$75,8,FALSE),0)))*(C131+C135)</f>
        <v>0</v>
      </c>
      <c r="D141" s="240">
        <f>IFERROR(C141/'Flow sohold'!$D$5,0)</f>
        <v>0</v>
      </c>
      <c r="E141" s="265"/>
      <c r="F141" s="265"/>
      <c r="G141" s="63"/>
      <c r="H141" s="110"/>
      <c r="K141" s="461"/>
      <c r="T141" s="110"/>
      <c r="U141" s="110"/>
      <c r="V141" s="110"/>
      <c r="W141" s="110"/>
      <c r="X141" s="110"/>
      <c r="Y141" s="110"/>
      <c r="Z141" s="110"/>
      <c r="AA141" s="110"/>
    </row>
    <row r="142" spans="1:27" s="10" customFormat="1" x14ac:dyDescent="0.25">
      <c r="A142" s="110"/>
      <c r="B142" s="239" t="s">
        <v>1725</v>
      </c>
      <c r="C142" s="265">
        <f>SUM((IFERROR(VLOOKUP('input-data'!E328,'Opstaldingsform-Housing '!$B$30:$O$38,10,FALSE),0))+(IFERROR(VLOOKUP('input-data'!E328,'Opstaldingsform-Housing '!$B$69:$O$75,10,FALSE),0)))*(C131+C135)</f>
        <v>0</v>
      </c>
      <c r="D142" s="240">
        <f>IFERROR(C142/'Flow sohold'!$D$5,0)</f>
        <v>0</v>
      </c>
      <c r="E142" s="265"/>
      <c r="F142" s="265"/>
      <c r="G142" s="63"/>
      <c r="H142" s="110"/>
      <c r="T142" s="110"/>
      <c r="U142" s="110"/>
      <c r="V142" s="110"/>
      <c r="W142" s="110"/>
      <c r="X142" s="110"/>
      <c r="Y142" s="110"/>
      <c r="Z142" s="110"/>
      <c r="AA142" s="110"/>
    </row>
    <row r="143" spans="1:27" s="10" customFormat="1" x14ac:dyDescent="0.25">
      <c r="A143" s="110"/>
      <c r="B143" s="239" t="s">
        <v>2089</v>
      </c>
      <c r="C143" s="265">
        <f>SUM((IFERROR(VLOOKUP('input-data'!E328,'Opstaldingsform-Housing '!$B$30:$O$38,12,FALSE),0))+(IFERROR(VLOOKUP('input-data'!E328,'Opstaldingsform-Housing '!$B$69:$O$75,12,FALSE),0)))*(C131+C135)</f>
        <v>0</v>
      </c>
      <c r="D143" s="240">
        <f>IFERROR(C143/'Flow sohold'!$D$5,0)</f>
        <v>0</v>
      </c>
      <c r="E143" s="265"/>
      <c r="F143" s="265"/>
      <c r="G143" s="63"/>
      <c r="H143" s="110"/>
      <c r="T143" s="110"/>
      <c r="U143" s="110"/>
      <c r="V143" s="110"/>
      <c r="W143" s="110"/>
      <c r="X143" s="110"/>
      <c r="Y143" s="110"/>
      <c r="Z143" s="110"/>
      <c r="AA143" s="110"/>
    </row>
    <row r="144" spans="1:27" s="10" customFormat="1" x14ac:dyDescent="0.25">
      <c r="A144" s="110"/>
      <c r="B144" s="237" t="s">
        <v>1721</v>
      </c>
      <c r="C144" s="265">
        <f>C131+C135-C140-C141-C142-C143</f>
        <v>0</v>
      </c>
      <c r="D144" s="240">
        <f>IFERROR(C144/'Flow sohold'!$D$5,0)</f>
        <v>0</v>
      </c>
      <c r="E144" s="265"/>
      <c r="F144" s="265"/>
      <c r="G144" s="63"/>
      <c r="H144" s="110"/>
      <c r="T144" s="110"/>
      <c r="U144" s="110"/>
      <c r="V144" s="110"/>
      <c r="W144" s="110"/>
      <c r="X144" s="110"/>
      <c r="Y144" s="110"/>
      <c r="Z144" s="110"/>
      <c r="AA144" s="110"/>
    </row>
    <row r="145" spans="1:27" s="10" customFormat="1" x14ac:dyDescent="0.25">
      <c r="A145" s="110"/>
      <c r="B145" s="237"/>
      <c r="C145" s="265"/>
      <c r="D145" s="240"/>
      <c r="E145" s="265"/>
      <c r="F145" s="265"/>
      <c r="G145" s="63"/>
      <c r="H145" s="110"/>
      <c r="T145" s="110"/>
      <c r="U145" s="110"/>
      <c r="V145" s="110"/>
      <c r="W145" s="110"/>
      <c r="X145" s="110"/>
      <c r="Y145" s="110"/>
      <c r="Z145" s="110"/>
      <c r="AA145" s="110"/>
    </row>
    <row r="146" spans="1:27" s="10" customFormat="1" x14ac:dyDescent="0.25">
      <c r="A146" s="110"/>
      <c r="B146" s="239" t="s">
        <v>1718</v>
      </c>
      <c r="C146" s="265"/>
      <c r="D146" s="240"/>
      <c r="E146" s="265"/>
      <c r="F146" s="265"/>
      <c r="G146" s="63"/>
      <c r="H146" s="110"/>
      <c r="I146" s="10" t="s">
        <v>1843</v>
      </c>
      <c r="T146" s="110"/>
      <c r="U146" s="110"/>
      <c r="V146" s="110"/>
      <c r="W146" s="110"/>
      <c r="X146" s="110"/>
      <c r="Y146" s="110"/>
      <c r="Z146" s="110"/>
      <c r="AA146" s="110"/>
    </row>
    <row r="147" spans="1:27" s="10" customFormat="1" x14ac:dyDescent="0.25">
      <c r="A147" s="110"/>
      <c r="B147" s="239" t="s">
        <v>1681</v>
      </c>
      <c r="C147" s="265">
        <f>'NPK tal'!B37*(SUM(IFERROR(VLOOKUP('input-data'!E335,'Opstaldingsform-Housing '!$B$7:$O$19,4,FALSE),0))+(IFERROR(VLOOKUP('input-data'!E335,'Opstaldingsform-Housing '!$B$44:$O$56,4,FALSE),0)))*(
IF(OR('input-data'!$E$335='Opstaldingsform-Housing '!$B$8,'input-data'!$E$335='Opstaldingsform-Housing '!$B$45,
'input-data'!$E$335='Opstaldingsform-Housing '!$B$9,'input-data'!$E$335='Opstaldingsform-Housing '!$B$46,
'input-data'!$E$335='Opstaldingsform-Housing '!$B$10,'input-data'!$E$335='Opstaldingsform-Housing '!$B$47),C132+C136,C132))
+ ('NPK tal'!C37*(SUM(IFERROR(VLOOKUP('input-data'!E336,'Opstaldingsform-Housing '!$B$20:$O$28,4,FALSE),0))+(IFERROR(VLOOKUP('input-data'!E336,'Opstaldingsform-Housing '!$B$57:$O$65,4,FALSE),0)))*C132)</f>
        <v>0</v>
      </c>
      <c r="D147" s="240">
        <f>IFERROR(C147/'Flow sohold'!$D$5,0)</f>
        <v>0</v>
      </c>
      <c r="E147" s="265"/>
      <c r="F147" s="265"/>
      <c r="G147" s="63"/>
      <c r="H147" s="110"/>
      <c r="I147" s="10" t="s">
        <v>1685</v>
      </c>
      <c r="T147" s="110"/>
      <c r="U147" s="110"/>
      <c r="V147" s="110"/>
      <c r="W147" s="110"/>
      <c r="X147" s="110"/>
      <c r="Y147" s="110"/>
      <c r="Z147" s="110"/>
      <c r="AA147" s="110"/>
    </row>
    <row r="148" spans="1:27" s="10" customFormat="1" x14ac:dyDescent="0.25">
      <c r="A148" s="110"/>
      <c r="B148" s="239" t="s">
        <v>1727</v>
      </c>
      <c r="C148" s="265">
        <f>'NPK tal'!B37*(SUM(IFERROR(VLOOKUP('input-data'!E335,'Opstaldingsform-Housing '!$B$7:$O$19,8,FALSE),0))+(IFERROR(VLOOKUP('input-data'!E335,'Opstaldingsform-Housing '!$B$44:$O$56,8,FALSE),0)))*(C132+C136)+
('NPK tal'!C37*(SUM(IFERROR(VLOOKUP('input-data'!E336,'Opstaldingsform-Housing '!$B$20:$O$28,8,FALSE),0))+(IFERROR(VLOOKUP('input-data'!E336,'Opstaldingsform-Housing '!$B$57:$O$65,8,FALSE),0)))*(C132+C136)
)</f>
        <v>0</v>
      </c>
      <c r="D148" s="240">
        <f>IFERROR(C148/'Flow sohold'!$D$5,0)</f>
        <v>0</v>
      </c>
      <c r="E148" s="265"/>
      <c r="F148" s="265"/>
      <c r="G148" s="63"/>
      <c r="H148" s="110"/>
      <c r="I148" s="10" t="s">
        <v>1844</v>
      </c>
      <c r="T148" s="110"/>
      <c r="U148" s="110"/>
      <c r="V148" s="110"/>
      <c r="W148" s="110"/>
      <c r="X148" s="110"/>
      <c r="Y148" s="110"/>
      <c r="Z148" s="110"/>
      <c r="AA148" s="110"/>
    </row>
    <row r="149" spans="1:27" s="10" customFormat="1" x14ac:dyDescent="0.25">
      <c r="A149" s="110"/>
      <c r="B149" s="239" t="s">
        <v>1725</v>
      </c>
      <c r="C149" s="265">
        <f>'NPK tal'!B37*(SUM(IFERROR(VLOOKUP('input-data'!E335,'Opstaldingsform-Housing '!$B$7:$O$19,10,FALSE),0))+(IFERROR(VLOOKUP('input-data'!E335,'Opstaldingsform-Housing '!$B$44:$O$56,10,FALSE),0)))*(C132+C136)+
('NPK tal'!C37*(SUM(IFERROR(VLOOKUP('input-data'!E336,'Opstaldingsform-Housing '!$B$20:$O$28,10,FALSE),0))+(IFERROR(VLOOKUP('input-data'!E336,'Opstaldingsform-Housing '!$B$57:$O$65,10,FALSE),0)))*(C132+C136))</f>
        <v>0</v>
      </c>
      <c r="D149" s="240">
        <f>IFERROR(C149/'Flow sohold'!$D$5,0)</f>
        <v>0</v>
      </c>
      <c r="E149" s="265"/>
      <c r="F149" s="265"/>
      <c r="G149" s="63"/>
      <c r="H149" s="110"/>
      <c r="T149" s="110"/>
      <c r="U149" s="110"/>
      <c r="V149" s="110"/>
      <c r="W149" s="110"/>
      <c r="X149" s="110"/>
      <c r="Y149" s="110"/>
      <c r="Z149" s="110"/>
      <c r="AA149" s="110"/>
    </row>
    <row r="150" spans="1:27" s="10" customFormat="1" x14ac:dyDescent="0.25">
      <c r="A150" s="110"/>
      <c r="B150" s="239" t="s">
        <v>2089</v>
      </c>
      <c r="C150" s="265">
        <f>'NPK tal'!B37*(SUM(IFERROR(VLOOKUP('input-data'!E335,'Opstaldingsform-Housing '!$B$7:$O$19,12,FALSE),0))+(IFERROR(VLOOKUP('input-data'!E335,'Opstaldingsform-Housing '!$B$44:$O$56,12,FALSE),0)))*(C132+C136)+
('NPK tal'!C37*(SUM(IFERROR(VLOOKUP('input-data'!E336,'Opstaldingsform-Housing '!$B$20:$O$28,12,FALSE),0))+(IFERROR(VLOOKUP('input-data'!E336,'Opstaldingsform-Housing '!$B$57:$O$65,12,FALSE),0)))*(C132+C136))</f>
        <v>0</v>
      </c>
      <c r="D150" s="240">
        <f>IFERROR(C150/'Flow sohold'!$D$5,0)</f>
        <v>0</v>
      </c>
      <c r="E150" s="265"/>
      <c r="F150" s="265"/>
      <c r="G150" s="63"/>
      <c r="H150" s="110"/>
      <c r="T150" s="110"/>
      <c r="U150" s="110"/>
      <c r="V150" s="110"/>
      <c r="W150" s="110"/>
      <c r="X150" s="110"/>
      <c r="Y150" s="110"/>
      <c r="Z150" s="110"/>
      <c r="AA150" s="110"/>
    </row>
    <row r="151" spans="1:27" s="10" customFormat="1" x14ac:dyDescent="0.25">
      <c r="A151" s="110"/>
      <c r="B151" s="237" t="s">
        <v>1719</v>
      </c>
      <c r="C151" s="265">
        <f>C132+C136-C147-C148-C149-C150</f>
        <v>0</v>
      </c>
      <c r="D151" s="240">
        <f>IFERROR(C151/'Flow sohold'!$D$5,0)</f>
        <v>0</v>
      </c>
      <c r="E151" s="265"/>
      <c r="F151" s="265"/>
      <c r="G151" s="63"/>
      <c r="H151" s="110"/>
      <c r="T151" s="110"/>
      <c r="U151" s="110"/>
      <c r="V151" s="110"/>
      <c r="W151" s="110"/>
      <c r="X151" s="110"/>
      <c r="Y151" s="110"/>
      <c r="Z151" s="110"/>
      <c r="AA151" s="110"/>
    </row>
    <row r="152" spans="1:27" s="10" customFormat="1" x14ac:dyDescent="0.25">
      <c r="A152" s="110"/>
      <c r="B152" s="239" t="s">
        <v>1756</v>
      </c>
      <c r="C152" s="265"/>
      <c r="D152" s="240"/>
      <c r="E152" s="265"/>
      <c r="F152" s="265"/>
      <c r="G152" s="63"/>
      <c r="H152" s="110"/>
      <c r="T152" s="110"/>
      <c r="U152" s="110"/>
      <c r="V152" s="110"/>
      <c r="W152" s="110"/>
      <c r="X152" s="110"/>
      <c r="Y152" s="110"/>
      <c r="Z152" s="110"/>
      <c r="AA152" s="110"/>
    </row>
    <row r="153" spans="1:27" s="10" customFormat="1" x14ac:dyDescent="0.25">
      <c r="A153" s="110"/>
      <c r="B153" s="237" t="s">
        <v>1755</v>
      </c>
      <c r="C153" s="671">
        <f>'NPK tal'!B37*(C132+C136)*(SUM(IFERROR(VLOOKUP('input-data'!E335,'Opstaldingsform-Housing '!$B$7:$O$19,3,FALSE),0))+(IFERROR(VLOOKUP('input-data'!E335,'Opstaldingsform-Housing '!$B$44:$O$56,3,FALSE),0)))
+('NPK tal'!C37*(C132+C136)*((SUM(IFERROR(VLOOKUP('input-data'!E336,'Opstaldingsform-Housing '!$B$20:$O$28,3,FALSE),0))+(IFERROR(VLOOKUP('input-data'!E336,'Opstaldingsform-Housing '!$B$57:$O$65,3,FALSE),0)))
))-(('NPK tal'!B37*(SUM(IFERROR(VLOOKUP('input-data'!E335,'Opstaldingsform-Housing '!$B$7:$O$19,4,FALSE),0))+(IFERROR(VLOOKUP('input-data'!E335,'Opstaldingsform-Housing '!$B$44:$O$56,4,FALSE),0)))*(
IF(OR('input-data'!$E$335='Opstaldingsform-Housing '!$B$8,'input-data'!$E$335='Opstaldingsform-Housing '!$B$45,
'input-data'!$E$335='Opstaldingsform-Housing '!$B$9,'input-data'!$E$335='Opstaldingsform-Housing '!$B$46,
'input-data'!$E$335='Opstaldingsform-Housing '!$B$10,'input-data'!$E$335='Opstaldingsform-Housing '!$B$47),0,C132))
+ ('NPK tal'!C37*(SUM(IFERROR(VLOOKUP('input-data'!E336,'Opstaldingsform-Housing '!$B$20:$O$28,4,FALSE),0))+(IFERROR(VLOOKUP('input-data'!E336,'Opstaldingsform-Housing '!$B$57:$O$65,4,FALSE),0)))*C132)))-('NPK tal'!B37*(SUM(IFERROR(VLOOKUP('input-data'!E335,'Opstaldingsform-Housing '!$B$7:$O$19,8,FALSE),0))+(IFERROR(VLOOKUP('input-data'!E335,'Opstaldingsform-Housing '!$B$44:$O$56,8,FALSE),0)))*(
IF(OR('input-data'!$E$335='Opstaldingsform-Housing '!$B$8,'input-data'!$E$335='Opstaldingsform-Housing '!$B$45,
'input-data'!$E$335='Opstaldingsform-Housing '!$B$9,'input-data'!$E$335='Opstaldingsform-Housing '!$B$46,
'input-data'!$E$335='Opstaldingsform-Housing '!$B$10,'input-data'!$E$335='Opstaldingsform-Housing '!$B$47),0,C132+C136))+
('NPK tal'!C37*(SUM(IFERROR(VLOOKUP('input-data'!E336,'Opstaldingsform-Housing '!$B$20:$O$28,8,FALSE),0))+(IFERROR(VLOOKUP('input-data'!E336,'Opstaldingsform-Housing '!$B$57:$O$65,8,FALSE),0)))*(C132+C136)))-(('NPK tal'!B37*(SUM(IFERROR(VLOOKUP('input-data'!E335,'Opstaldingsform-Housing '!$B$7:$O$19,10,FALSE),0))+(IFERROR(VLOOKUP('input-data'!E335,'Opstaldingsform-Housing '!$B$44:$O$56,10,FALSE),0)))*
IF(OR('input-data'!$E$335='Opstaldingsform-Housing '!$B$8,'input-data'!$E$335='Opstaldingsform-Housing '!$B$45,
'input-data'!$E$335='Opstaldingsform-Housing '!$B$9,'input-data'!$E$335='Opstaldingsform-Housing '!$B$46,
'input-data'!$E$335='Opstaldingsform-Housing '!$B$10,'input-data'!$E$335='Opstaldingsform-Housing '!$B$47),0,C132+C136))+
('NPK tal'!C37*(SUM(IFERROR(VLOOKUP('input-data'!E336,'Opstaldingsform-Housing '!$B$20:$O$28,10,FALSE),0))+(IFERROR(VLOOKUP('input-data'!E336,'Opstaldingsform-Housing '!$B$57:$O$65,10,FALSE),0)))*(C132+C136)))-('NPK tal'!B37*(SUM(IFERROR(VLOOKUP('input-data'!E335,'Opstaldingsform-Housing '!$B$7:$O$19,12,FALSE),0))+(IFERROR(VLOOKUP('input-data'!E335,'Opstaldingsform-Housing '!$B$44:$O$56,12,FALSE),0)))*
IF(OR('input-data'!$E$335='Opstaldingsform-Housing '!$B$8,'input-data'!$E$335='Opstaldingsform-Housing '!$B$45,
'input-data'!$E$335='Opstaldingsform-Housing '!$B$9,'input-data'!$E$335='Opstaldingsform-Housing '!$B$46,
'input-data'!$E$335='Opstaldingsform-Housing '!$B$10,'input-data'!$E$335='Opstaldingsform-Housing '!$B$47),0,(C132+C136))+
('NPK tal'!C37*(SUM(IFERROR(VLOOKUP('input-data'!E336,'Opstaldingsform-Housing '!$B$20:$O$28,12,FALSE),0))+(IFERROR(VLOOKUP('input-data'!E336,'Opstaldingsform-Housing '!$B$57:$O$65,12,FALSE),0)))*(C132+C136)))</f>
        <v>0</v>
      </c>
      <c r="D153" s="240">
        <f>IFERROR(C153/'Flow sohold'!$D$5,0)</f>
        <v>0</v>
      </c>
      <c r="E153" s="671"/>
      <c r="F153" s="671"/>
      <c r="G153" s="63"/>
      <c r="H153" s="338"/>
      <c r="I153" s="463"/>
      <c r="J153" s="463"/>
      <c r="K153" s="463"/>
      <c r="M153" s="463"/>
      <c r="T153" s="110"/>
      <c r="U153" s="110"/>
      <c r="V153" s="110"/>
      <c r="W153" s="110"/>
      <c r="X153" s="110"/>
      <c r="Y153" s="110"/>
      <c r="Z153" s="110"/>
      <c r="AA153" s="110"/>
    </row>
    <row r="154" spans="1:27" s="10" customFormat="1" x14ac:dyDescent="0.25">
      <c r="A154" s="110"/>
      <c r="B154" s="237" t="s">
        <v>1760</v>
      </c>
      <c r="C154" s="672">
        <f>'NPK tal'!B37*(C132+C136)*(1-SUM(IFERROR(VLOOKUP('input-data'!E335,'Opstaldingsform-Housing '!$B$7:$O$19,3,FALSE),0))+(IFERROR(VLOOKUP('input-data'!E335,'Opstaldingsform-Housing '!$B$44:$O$56,3,FALSE),0)))
+ ('NPK tal'!C37*(C132+C136)*(1-SUM(IFERROR(VLOOKUP('input-data'!E336,'Opstaldingsform-Housing '!$B$20:$O$28,3,FALSE),0))+(IFERROR(VLOOKUP('input-data'!E336,'Opstaldingsform-Housing '!$B$57:$O$65,3,FALSE),0))))-('NPK tal'!B37*(SUM(IFERROR(VLOOKUP('input-data'!E335,'Opstaldingsform-Housing '!$B$7:$O$19,4,FALSE),0))+(IFERROR(VLOOKUP('input-data'!E335,'Opstaldingsform-Housing '!$B$44:$O$56,4,FALSE),0)))*(
IF(OR('input-data'!$E$335='Opstaldingsform-Housing '!$B$8,'input-data'!$E$335='Opstaldingsform-Housing '!$B$45,
'input-data'!$E$335='Opstaldingsform-Housing '!$B$9,'input-data'!$E$335='Opstaldingsform-Housing '!$B$46,
'input-data'!$E$335='Opstaldingsform-Housing '!$B$10,'input-data'!$E$335='Opstaldingsform-Housing '!$B$47),C132+C136,0)))-('NPK tal'!B37*(SUM(IFERROR(VLOOKUP('input-data'!E335,'Opstaldingsform-Housing '!$B$7:$O$19,8,FALSE),0))+(IFERROR(VLOOKUP('input-data'!E335,'Opstaldingsform-Housing '!$B$44:$O$56,8,FALSE),0)))*(
IF(OR('input-data'!$E$335='Opstaldingsform-Housing '!$B$8,'input-data'!$E$335='Opstaldingsform-Housing '!$B$45,
'input-data'!$E$335='Opstaldingsform-Housing '!$B$9,'input-data'!$E$335='Opstaldingsform-Housing '!$B$46,
'input-data'!$E$335='Opstaldingsform-Housing '!$B$10,'input-data'!$E$335='Opstaldingsform-Housing '!$B$47),C132+C136,0)))-('NPK tal'!B37*(SUM(IFERROR(VLOOKUP('input-data'!E335,'Opstaldingsform-Housing '!$B$7:$O$19,10,FALSE),0))+(IFERROR(VLOOKUP('input-data'!E335,'Opstaldingsform-Housing '!$B$44:$O$56,10,FALSE),0)))*
IF(OR('input-data'!$E$335='Opstaldingsform-Housing '!$B$8,'input-data'!$E$335='Opstaldingsform-Housing '!$B$45,
'input-data'!$E$335='Opstaldingsform-Housing '!$B$9,'input-data'!$E$335='Opstaldingsform-Housing '!$B$46,
'input-data'!$E$335='Opstaldingsform-Housing '!$B$10,'input-data'!$E$335='Opstaldingsform-Housing '!$B$47),C132+C136,0))-('NPK tal'!B37*(SUM(IFERROR(VLOOKUP('input-data'!E335,'Opstaldingsform-Housing '!$B$7:$O$19,12,FALSE),0))+(IFERROR(VLOOKUP('input-data'!E335,'Opstaldingsform-Housing '!$B$44:$O$56,12,FALSE),0)))*
IF(OR('input-data'!$E$335='Opstaldingsform-Housing '!$B$8,'input-data'!$E$335='Opstaldingsform-Housing '!$B$45,
'input-data'!$E$335='Opstaldingsform-Housing '!$B$9,'input-data'!$E$335='Opstaldingsform-Housing '!$B$46,
'input-data'!$E$335='Opstaldingsform-Housing '!$B$10,'input-data'!$E$335='Opstaldingsform-Housing '!$B$47),(C132+C136),0))</f>
        <v>0</v>
      </c>
      <c r="D154" s="240">
        <f>IFERROR(C154/'Flow sohold'!$D$5,0)</f>
        <v>0</v>
      </c>
      <c r="E154" s="672"/>
      <c r="F154" s="672"/>
      <c r="G154" s="63"/>
      <c r="H154" s="110"/>
      <c r="I154" s="463"/>
      <c r="T154" s="110"/>
      <c r="U154" s="110"/>
      <c r="V154" s="110"/>
      <c r="W154" s="110"/>
      <c r="X154" s="110"/>
      <c r="Y154" s="110"/>
      <c r="Z154" s="110"/>
      <c r="AA154" s="110"/>
    </row>
    <row r="155" spans="1:27" s="10" customFormat="1" x14ac:dyDescent="0.25">
      <c r="A155" s="110"/>
      <c r="B155" s="239"/>
      <c r="C155" s="673"/>
      <c r="D155" s="240"/>
      <c r="E155" s="673"/>
      <c r="F155" s="673"/>
      <c r="G155" s="63"/>
      <c r="H155" s="110"/>
      <c r="I155" s="463"/>
      <c r="M155" s="463"/>
      <c r="T155" s="110"/>
      <c r="U155" s="110"/>
      <c r="V155" s="110"/>
      <c r="W155" s="110"/>
      <c r="X155" s="110"/>
      <c r="Y155" s="110"/>
      <c r="Z155" s="110"/>
      <c r="AA155" s="110"/>
    </row>
    <row r="156" spans="1:27" s="10" customFormat="1" x14ac:dyDescent="0.25">
      <c r="A156" s="110"/>
      <c r="B156" s="382" t="s">
        <v>1722</v>
      </c>
      <c r="C156" s="679" t="s">
        <v>1855</v>
      </c>
      <c r="D156" s="798" t="s">
        <v>1855</v>
      </c>
      <c r="E156" s="675"/>
      <c r="F156" s="675"/>
      <c r="G156" s="63"/>
      <c r="H156" s="110"/>
      <c r="T156" s="110"/>
      <c r="U156" s="110"/>
      <c r="V156" s="110"/>
      <c r="W156" s="110"/>
      <c r="X156" s="110"/>
      <c r="Y156" s="110"/>
      <c r="Z156" s="110"/>
      <c r="AA156" s="110"/>
    </row>
    <row r="157" spans="1:27" s="10" customFormat="1" x14ac:dyDescent="0.25">
      <c r="A157" s="110"/>
      <c r="B157" s="239" t="s">
        <v>1745</v>
      </c>
      <c r="C157" s="90"/>
      <c r="D157" s="240"/>
      <c r="E157" s="90"/>
      <c r="F157" s="90"/>
      <c r="G157" s="63"/>
      <c r="H157" s="462"/>
      <c r="K157" s="463"/>
      <c r="T157" s="110"/>
      <c r="U157" s="110"/>
      <c r="V157" s="110"/>
      <c r="W157" s="110"/>
      <c r="X157" s="110"/>
      <c r="Y157" s="110"/>
      <c r="Z157" s="110"/>
      <c r="AA157" s="110"/>
    </row>
    <row r="158" spans="1:27" s="10" customFormat="1" x14ac:dyDescent="0.25">
      <c r="A158" s="110"/>
      <c r="B158" s="239" t="s">
        <v>1681</v>
      </c>
      <c r="C158" s="265">
        <f>IFERROR(IF(OR('input-data'!$E$324=topdowntables!$C$4, 'input-data'!$E$324=topdowntables!$C$9),0,(0.95*(C153-((C153*'input-data'!E341/100)+(C153-(C153*'input-data'!E341/100))*(C153/(C153+C154))*'input-data'!E340/100))*(SUM(IFERROR(VLOOKUP('input-data'!E392,'Lagring-Storage'!B6:M11,3,FALSE),0))+(IFERROR(VLOOKUP('input-data'!E392,'Opstaldingsform-Housing '!$B$46:$O$51,3,FALSE),0)))
+(0.05*(C153-((C153*'input-data'!E341/100)+(C153-(C153*'input-data'!E341/100))*(C153/(C153+C154))*'input-data'!E340/100))*'Lagring-Storage'!$D$7))),0)</f>
        <v>0</v>
      </c>
      <c r="D158" s="240">
        <f>IFERROR(C158/'Flow sohold'!$D$5,0)</f>
        <v>0</v>
      </c>
      <c r="E158" s="265"/>
      <c r="F158" s="265"/>
      <c r="G158" s="63"/>
      <c r="H158" s="110"/>
      <c r="T158" s="110"/>
      <c r="U158" s="110"/>
      <c r="V158" s="110"/>
      <c r="W158" s="110"/>
      <c r="X158" s="110"/>
      <c r="Y158" s="110"/>
      <c r="Z158" s="110"/>
      <c r="AA158" s="110"/>
    </row>
    <row r="159" spans="1:27" s="10" customFormat="1" x14ac:dyDescent="0.25">
      <c r="A159" s="110"/>
      <c r="B159" s="239" t="s">
        <v>1728</v>
      </c>
      <c r="C159" s="265">
        <f>IFERROR(IF(OR('input-data'!$E$324=topdowntables!$C$4, 'input-data'!$E$324=topdowntables!$C$9),0,(0.95*(C153-((C153*'input-data'!E341/100)+(C153-(C153*'input-data'!E341/100))*(C153/(C153+C154))*'input-data'!E340/100))*(SUM(IFERROR(VLOOKUP('input-data'!E392,'Lagring-Storage'!B6:M11,5,FALSE),0))+(IFERROR(VLOOKUP('input-data'!E392,'Opstaldingsform-Housing '!$B$46:$O$51,5,FALSE),0)))
+(0.05*(C153-((C153*'input-data'!E341/100)+(C153-(C153*'input-data'!E341/100))*(C153/(C153+C154))*'input-data'!E340/100))*'Lagring-Storage'!$F$7))),0)</f>
        <v>0</v>
      </c>
      <c r="D159" s="240">
        <f>IFERROR(C159/'Flow sohold'!$D$5,0)</f>
        <v>0</v>
      </c>
      <c r="E159" s="265"/>
      <c r="F159" s="265"/>
      <c r="G159" s="63"/>
      <c r="H159" s="110"/>
      <c r="T159" s="110"/>
      <c r="U159" s="110"/>
      <c r="V159" s="110"/>
      <c r="W159" s="110"/>
      <c r="X159" s="110"/>
      <c r="Y159" s="110"/>
      <c r="Z159" s="110"/>
      <c r="AA159" s="110"/>
    </row>
    <row r="160" spans="1:27" s="10" customFormat="1" x14ac:dyDescent="0.25">
      <c r="A160" s="110"/>
      <c r="B160" s="239" t="s">
        <v>1725</v>
      </c>
      <c r="C160" s="265">
        <f>IFERROR(IF(OR('input-data'!$E$324=topdowntables!$C$4, 'input-data'!$E$324=topdowntables!$C$9),0,(0.95*(C153-((C153*'input-data'!E341/100)+(C153-(C153*'input-data'!E341/100))*(C153/(C153+C154))*'input-data'!E340/100))*(SUM(IFERROR(VLOOKUP('input-data'!E392,'Lagring-Storage'!B6:M11,7,FALSE),0))+(IFERROR(VLOOKUP('input-data'!E392,'Opstaldingsform-Housing '!$B$46:$O$51,7,FALSE),0)))
+(0.05*(C153-((C153*'input-data'!E341/100)+(C153-(C153*'input-data'!E341/100))*(C153/(C153+C154))*'input-data'!E340/100))*'Lagring-Storage'!$H$7))),0)</f>
        <v>0</v>
      </c>
      <c r="D160" s="240">
        <f>IFERROR(C160/'Flow sohold'!$D$5,0)</f>
        <v>0</v>
      </c>
      <c r="E160" s="265"/>
      <c r="F160" s="265"/>
      <c r="G160" s="63"/>
      <c r="H160" s="110"/>
      <c r="T160" s="110"/>
      <c r="U160" s="110"/>
      <c r="V160" s="110"/>
      <c r="W160" s="110"/>
      <c r="X160" s="110"/>
      <c r="Y160" s="110"/>
      <c r="Z160" s="110"/>
      <c r="AA160" s="110"/>
    </row>
    <row r="161" spans="1:27" s="10" customFormat="1" x14ac:dyDescent="0.25">
      <c r="A161" s="110"/>
      <c r="B161" s="239" t="s">
        <v>2090</v>
      </c>
      <c r="C161" s="265">
        <f>IFERROR(IF(OR('input-data'!$E$324=topdowntables!$C$4, 'input-data'!$E$324=topdowntables!$C$9),0,(0.95*(C153-((C153*'input-data'!E341/100)+(C153-(C153*'input-data'!E341/100))*(C153/(C153+C154))*'input-data'!E340/100))*(SUM(IFERROR(VLOOKUP('input-data'!E392,'Lagring-Storage'!B6:M11,9,FALSE),0))+(IFERROR(VLOOKUP('input-data'!E392,'Opstaldingsform-Housing '!$B$46:$O$51,9,FALSE),0)))
+(0.05*(C153-((C153*'input-data'!E341/100)+(C153-(C153*'input-data'!E341/100))*(C153/(C153+C154))*'input-data'!E340/100))*'Lagring-Storage'!$J$7))),0)</f>
        <v>0</v>
      </c>
      <c r="D161" s="240">
        <f>IFERROR(C161/'Flow sohold'!$D$5,0)</f>
        <v>0</v>
      </c>
      <c r="E161" s="265"/>
      <c r="F161" s="265"/>
      <c r="G161" s="63"/>
      <c r="H161" s="110"/>
      <c r="K161" s="463"/>
      <c r="T161" s="110"/>
      <c r="U161" s="110"/>
      <c r="V161" s="110"/>
      <c r="W161" s="110"/>
      <c r="X161" s="110"/>
      <c r="Y161" s="110"/>
      <c r="Z161" s="110"/>
      <c r="AA161" s="110"/>
    </row>
    <row r="162" spans="1:27" s="10" customFormat="1" x14ac:dyDescent="0.25">
      <c r="A162" s="110"/>
      <c r="B162" s="237" t="s">
        <v>1747</v>
      </c>
      <c r="C162" s="674">
        <f>IFERROR(IF(OR('input-data'!$E$324=topdowntables!$C$4, 'input-data'!$E$324=topdowntables!$C$9),0,(C153-((C153*'input-data'!E341/100)+(C153-(C153*'input-data'!E341/100))*(C153/(C153+C154))*'input-data'!E340/100)-(C158+C159+C160+C161))),0)</f>
        <v>0</v>
      </c>
      <c r="D162" s="240">
        <f>IFERROR(C162/'Flow sohold'!$D$5,0)</f>
        <v>0</v>
      </c>
      <c r="E162" s="674"/>
      <c r="F162" s="674"/>
      <c r="G162" s="63"/>
      <c r="H162" s="110"/>
      <c r="I162" s="465"/>
      <c r="T162" s="110"/>
      <c r="U162" s="110"/>
      <c r="V162" s="110"/>
      <c r="W162" s="110"/>
      <c r="X162" s="110"/>
      <c r="Y162" s="110"/>
      <c r="Z162" s="110"/>
      <c r="AA162" s="110"/>
    </row>
    <row r="163" spans="1:27" s="10" customFormat="1" x14ac:dyDescent="0.25">
      <c r="A163" s="110"/>
      <c r="B163" s="237"/>
      <c r="C163" s="265"/>
      <c r="D163" s="240"/>
      <c r="E163" s="265"/>
      <c r="F163" s="265"/>
      <c r="G163" s="63"/>
      <c r="H163" s="110"/>
      <c r="K163" s="463"/>
      <c r="L163" s="463"/>
      <c r="T163" s="110"/>
      <c r="U163" s="110"/>
      <c r="V163" s="110"/>
      <c r="W163" s="110"/>
      <c r="X163" s="110"/>
      <c r="Y163" s="110"/>
      <c r="Z163" s="110"/>
      <c r="AA163" s="110"/>
    </row>
    <row r="164" spans="1:27" s="10" customFormat="1" x14ac:dyDescent="0.25">
      <c r="A164" s="110"/>
      <c r="B164" s="239" t="s">
        <v>1746</v>
      </c>
      <c r="C164" s="265"/>
      <c r="D164" s="240"/>
      <c r="E164" s="265"/>
      <c r="F164" s="265"/>
      <c r="G164" s="63"/>
      <c r="H164" s="462"/>
      <c r="T164" s="110"/>
      <c r="U164" s="110"/>
      <c r="V164" s="110"/>
      <c r="W164" s="110"/>
      <c r="X164" s="110"/>
      <c r="Y164" s="110"/>
      <c r="Z164" s="110"/>
      <c r="AA164" s="110"/>
    </row>
    <row r="165" spans="1:27" s="10" customFormat="1" x14ac:dyDescent="0.25">
      <c r="A165" s="110"/>
      <c r="B165" s="239" t="s">
        <v>1681</v>
      </c>
      <c r="C165" s="265">
        <f>IFERROR(IF(OR('input-data'!$E$324=topdowntables!$C$4, 'input-data'!$E$324=topdowntables!$C$9),0,((0.95*(C154-((C154*'input-data'!E342/100)+((C154-(C154*'input-data'!E342/100))*(C154/(C153+C154))*'input-data'!E340/100)))*(SUM(IFERROR(VLOOKUP('input-data'!E393,'Lagring-Storage'!B33:M36,3,FALSE),0))+(IFERROR(VLOOKUP('input-data'!E393,'Opstaldingsform-Housing '!$B$71:$O$75,3,FALSE),0))))
+(0.05*( C154-((C154*'input-data'!E342/100)+((C154-(C154*'input-data'!E342/100))*(C154/(C153+C154))*'input-data'!E340/100)))*'Lagring-Storage'!$D$34))),0)</f>
        <v>0</v>
      </c>
      <c r="D165" s="240">
        <f>IFERROR(C165/'Flow sohold'!$D$5,0)</f>
        <v>0</v>
      </c>
      <c r="E165" s="265"/>
      <c r="F165" s="265"/>
      <c r="G165" s="63"/>
      <c r="H165" s="110"/>
      <c r="T165" s="110"/>
      <c r="U165" s="110"/>
      <c r="V165" s="110"/>
      <c r="W165" s="110"/>
      <c r="X165" s="110"/>
      <c r="Y165" s="110"/>
      <c r="Z165" s="110"/>
      <c r="AA165" s="110"/>
    </row>
    <row r="166" spans="1:27" s="10" customFormat="1" x14ac:dyDescent="0.25">
      <c r="A166" s="110"/>
      <c r="B166" s="239" t="s">
        <v>1728</v>
      </c>
      <c r="C166" s="265">
        <f>IFERROR(IF(OR('input-data'!$E$324=topdowntables!$C$4, 'input-data'!$E$324=topdowntables!$C$9),0,((0.95*(C154-((C154*'input-data'!E342/100)+((C154-(C154*'input-data'!E342/100))*(C154/(C153+C154))*'input-data'!E340/100)))*(SUM(IFERROR(VLOOKUP('input-data'!E393,'Lagring-Storage'!B33:M36,5,FALSE),0))+(IFERROR(VLOOKUP('input-data'!E393,'Opstaldingsform-Housing '!$B$71:$O$75,5,FALSE),0))))
+(0.05*( C154-((C154*'input-data'!E342/100)+((C154-(C154*'input-data'!E342/100))*(C154/(C153+C154))*'input-data'!E340/100)))*'Lagring-Storage'!$F$34))),0)</f>
        <v>0</v>
      </c>
      <c r="D166" s="240">
        <f>IFERROR(C166/'Flow sohold'!$D$5,0)</f>
        <v>0</v>
      </c>
      <c r="E166" s="265"/>
      <c r="F166" s="265"/>
      <c r="G166" s="63"/>
      <c r="H166" s="110"/>
      <c r="T166" s="110"/>
      <c r="U166" s="110"/>
      <c r="V166" s="110"/>
      <c r="W166" s="110"/>
      <c r="X166" s="110"/>
      <c r="Y166" s="110"/>
      <c r="Z166" s="110"/>
      <c r="AA166" s="110"/>
    </row>
    <row r="167" spans="1:27" s="10" customFormat="1" x14ac:dyDescent="0.25">
      <c r="A167" s="110"/>
      <c r="B167" s="239" t="s">
        <v>1725</v>
      </c>
      <c r="C167" s="265">
        <f>IFERROR(IF(OR('input-data'!$E$324=topdowntables!$C$4, 'input-data'!$E$324=topdowntables!$C$9),0,((0.95*(C154-((C154*'input-data'!E342/100)+((C154-(C154*'input-data'!E342/100))*(C154/(C153+C154))*'input-data'!E340/100)))*(SUM(IFERROR(VLOOKUP('input-data'!E393,'Lagring-Storage'!B33:M36,7,FALSE),0))+(IFERROR(VLOOKUP('input-data'!E393,'Opstaldingsform-Housing '!$B$71:$O$75,7,FALSE),0))))
+(0.05*( C154-((C154*'input-data'!E342/100)+((C154-(C154*'input-data'!E342/100))*(C154/(C153+C154))*'input-data'!E340/100)))*'Lagring-Storage'!$H$34))),0)</f>
        <v>0</v>
      </c>
      <c r="D167" s="240">
        <f>IFERROR(C167/'Flow sohold'!$D$5,0)</f>
        <v>0</v>
      </c>
      <c r="E167" s="265"/>
      <c r="F167" s="265"/>
      <c r="G167" s="63"/>
      <c r="H167" s="110"/>
      <c r="T167" s="110"/>
      <c r="U167" s="110"/>
      <c r="V167" s="110"/>
      <c r="W167" s="110"/>
      <c r="X167" s="110"/>
      <c r="Y167" s="110"/>
      <c r="Z167" s="110"/>
      <c r="AA167" s="110"/>
    </row>
    <row r="168" spans="1:27" s="10" customFormat="1" x14ac:dyDescent="0.25">
      <c r="A168" s="110"/>
      <c r="B168" s="239" t="s">
        <v>2090</v>
      </c>
      <c r="C168" s="265">
        <f>IFERROR(IF(OR('input-data'!$E$324=topdowntables!$C$4, 'input-data'!$E$324=topdowntables!$C$9),0,((0.95*(C154-((C154*'input-data'!E342/100)+((C154-(C154*'input-data'!E342/100))*(C154/(C153+C154))*'input-data'!E340/100)))*(SUM(IFERROR(VLOOKUP('input-data'!E393,'Lagring-Storage'!B33:M36,9,FALSE),0))+(IFERROR(VLOOKUP('input-data'!E393,'Opstaldingsform-Housing '!$B$71:$O$75,9,FALSE),0))))
+(0.05*( C154-((C154*'input-data'!E342/100)+((C154-(C154*'input-data'!E342/100))*(C154/(C153+C154))*'input-data'!E340/100)))*'Lagring-Storage'!$J$34))),0)</f>
        <v>0</v>
      </c>
      <c r="D168" s="240">
        <f>IFERROR(C168/'Flow sohold'!$D$5,0)</f>
        <v>0</v>
      </c>
      <c r="E168" s="265"/>
      <c r="F168" s="265"/>
      <c r="G168" s="63"/>
      <c r="H168" s="110"/>
      <c r="T168" s="110"/>
      <c r="U168" s="110"/>
      <c r="V168" s="110"/>
      <c r="W168" s="110"/>
      <c r="X168" s="110"/>
      <c r="Y168" s="110"/>
      <c r="Z168" s="110"/>
      <c r="AA168" s="110"/>
    </row>
    <row r="169" spans="1:27" s="10" customFormat="1" x14ac:dyDescent="0.25">
      <c r="A169" s="110"/>
      <c r="B169" s="237" t="s">
        <v>1754</v>
      </c>
      <c r="C169" s="674">
        <f>IFERROR(IF(OR('input-data'!$E$324=topdowntables!$C$4, 'input-data'!$E$324=topdowntables!$C$9),0,(C154-((C154*'input-data'!E342/100)+((C154-(C154*'input-data'!E342/100))*(C154/(C153+C154))*'input-data'!E340/100))-(C165+C166+C167+C168))),0)</f>
        <v>0</v>
      </c>
      <c r="D169" s="240">
        <f>IFERROR(C169/'Flow sohold'!$D$5,0)</f>
        <v>0</v>
      </c>
      <c r="E169" s="674"/>
      <c r="F169" s="674"/>
      <c r="G169" s="63"/>
      <c r="H169" s="110"/>
      <c r="T169" s="110"/>
      <c r="U169" s="110"/>
      <c r="V169" s="110"/>
      <c r="W169" s="110"/>
      <c r="X169" s="110"/>
      <c r="Y169" s="110"/>
      <c r="Z169" s="110"/>
      <c r="AA169" s="110"/>
    </row>
    <row r="170" spans="1:27" s="10" customFormat="1" x14ac:dyDescent="0.25">
      <c r="A170" s="110"/>
      <c r="B170" s="239"/>
      <c r="C170" s="265"/>
      <c r="D170" s="240"/>
      <c r="E170" s="265"/>
      <c r="F170" s="265"/>
      <c r="G170" s="63"/>
      <c r="H170" s="110"/>
      <c r="T170" s="110"/>
      <c r="U170" s="110"/>
      <c r="V170" s="110"/>
      <c r="W170" s="110"/>
      <c r="X170" s="110"/>
      <c r="Y170" s="110"/>
      <c r="Z170" s="110"/>
      <c r="AA170" s="110"/>
    </row>
    <row r="171" spans="1:27" s="10" customFormat="1" x14ac:dyDescent="0.25">
      <c r="A171" s="110"/>
      <c r="B171" s="239" t="s">
        <v>1733</v>
      </c>
      <c r="C171" s="265"/>
      <c r="D171" s="240"/>
      <c r="E171" s="265"/>
      <c r="F171" s="265"/>
      <c r="G171" s="63"/>
      <c r="H171" s="110"/>
      <c r="T171" s="110"/>
      <c r="U171" s="110"/>
      <c r="V171" s="110"/>
      <c r="W171" s="110"/>
      <c r="X171" s="110"/>
      <c r="Y171" s="110"/>
      <c r="Z171" s="110"/>
      <c r="AA171" s="110"/>
    </row>
    <row r="172" spans="1:27" s="10" customFormat="1" x14ac:dyDescent="0.25">
      <c r="A172" s="110"/>
      <c r="B172" s="239" t="s">
        <v>1681</v>
      </c>
      <c r="C172" s="265">
        <f>IF(OR('input-data'!$E$324=topdowntables!$C$4, 'input-data'!$E$324=topdowntables!$C$9),0,(IF('input-data'!E340&gt;0,0.95*(((C153-(C153*'input-data'!E341/100))*(C153/(C153+C154))*'input-data'!E340/100)+
(C154-(C154*'input-data'!E342/100)*(C154/(C153+C154))*'input-data'!E340/100))*(SUM(IFERROR(VLOOKUP('input-data'!E392,'Lagring-Storage'!B6:M11,3,FALSE),0))+(IFERROR(VLOOKUP('input-data'!E392,'Opstaldingsform-Housing '!$B$46:$O$51,3,FALSE),0)))
+(0.05*(((C153-(C153*'input-data'!E341/100))*(C153/(C153+C154))*'input-data'!E340/100)+
(C154-(C154*'input-data'!E342/100)*(C154/(C153+C154))*'input-data'!E340/100))*('Lagring-Storage'!$D$13)),0)))</f>
        <v>0</v>
      </c>
      <c r="D172" s="240">
        <f>IFERROR(C172/'Flow sohold'!$D$5,0)</f>
        <v>0</v>
      </c>
      <c r="E172" s="265"/>
      <c r="F172" s="265"/>
      <c r="G172" s="63"/>
      <c r="H172" s="110"/>
      <c r="I172" s="10" t="s">
        <v>1761</v>
      </c>
      <c r="T172" s="110"/>
      <c r="U172" s="110"/>
      <c r="V172" s="110"/>
      <c r="W172" s="110"/>
      <c r="X172" s="110"/>
      <c r="Y172" s="110"/>
      <c r="Z172" s="110"/>
      <c r="AA172" s="110"/>
    </row>
    <row r="173" spans="1:27" s="10" customFormat="1" x14ac:dyDescent="0.25">
      <c r="A173" s="110"/>
      <c r="B173" s="239" t="s">
        <v>1727</v>
      </c>
      <c r="C173" s="265">
        <f>IF(OR('input-data'!$E$324=topdowntables!$C$4, 'input-data'!$E$324=topdowntables!$C$9),0,(IF('input-data'!E340&gt;0,0.95*(((C153-(C153*'input-data'!E341/100))*(C153/(C153+C154))*'input-data'!E340/100)+
(C154-(C154*'input-data'!E342/100)*(C154/(C153+C154))*'input-data'!E340/100))*(SUM(IFERROR(VLOOKUP('input-data'!E392,'Lagring-Storage'!B6:M11,5,FALSE),0))+(IFERROR(VLOOKUP('input-data'!E392,'Opstaldingsform-Housing '!$B$46:$O$51,5,FALSE),0)))
+(0.05*(((C153-(C153*'input-data'!E341/100))*(C153/(C153+C154))*'input-data'!E340/100)+
(C154-(C154*'input-data'!E342/100)*(C154/(C153+C154))*'input-data'!E340/100))*('Lagring-Storage'!$F$13)),0)))</f>
        <v>0</v>
      </c>
      <c r="D173" s="240">
        <f>IFERROR(C173/'Flow sohold'!$D$5,0)</f>
        <v>0</v>
      </c>
      <c r="E173" s="265"/>
      <c r="F173" s="265"/>
      <c r="G173" s="63"/>
      <c r="H173" s="110"/>
      <c r="T173" s="110"/>
      <c r="U173" s="110"/>
      <c r="V173" s="110"/>
      <c r="W173" s="110"/>
      <c r="X173" s="110"/>
      <c r="Y173" s="110"/>
      <c r="Z173" s="110"/>
      <c r="AA173" s="110"/>
    </row>
    <row r="174" spans="1:27" s="10" customFormat="1" x14ac:dyDescent="0.25">
      <c r="A174" s="110"/>
      <c r="B174" s="239" t="s">
        <v>1683</v>
      </c>
      <c r="C174" s="265">
        <f>IF(OR('input-data'!$E$324=topdowntables!$C$4, 'input-data'!$E$324=topdowntables!$C$9),0,(IF('input-data'!E340&gt;0,0.95*(((C153-(C153*'input-data'!E341/100))*(C153/(C153+C154))*'input-data'!E340/100)+
(C154-(C154*'input-data'!E342/100)*(C154/(C153+C154))*'input-data'!E340/100))*(SUM(IFERROR(VLOOKUP('input-data'!E392,'Lagring-Storage'!B6:M11,7,FALSE),0))+(IFERROR(VLOOKUP('input-data'!E392,'Opstaldingsform-Housing '!$B$46:$O$51,7,FALSE),0)))
+(0.05*(((C153-(C153*'input-data'!E341/100))*(C153/(C153+C154))*'input-data'!E340/100)+
(C154-(C154*'input-data'!E342/100)*(C154/(C153+C154))*'input-data'!E340/100))*('Lagring-Storage'!$H$13)),0)))</f>
        <v>0</v>
      </c>
      <c r="D174" s="240">
        <f>IFERROR(C174/'Flow sohold'!$D$5,0)</f>
        <v>0</v>
      </c>
      <c r="E174" s="265"/>
      <c r="F174" s="265"/>
      <c r="G174" s="63"/>
      <c r="H174" s="110"/>
      <c r="T174" s="110"/>
      <c r="U174" s="110"/>
      <c r="V174" s="110"/>
      <c r="W174" s="110"/>
      <c r="X174" s="110"/>
      <c r="Y174" s="110"/>
      <c r="Z174" s="110"/>
      <c r="AA174" s="110"/>
    </row>
    <row r="175" spans="1:27" s="10" customFormat="1" x14ac:dyDescent="0.25">
      <c r="A175" s="110"/>
      <c r="B175" s="239" t="s">
        <v>2090</v>
      </c>
      <c r="C175" s="265">
        <f>IF(OR('input-data'!$E$324=topdowntables!$C$4, 'input-data'!$E$324=topdowntables!$C$9),0,(IF('input-data'!E340&gt;0,0.95*(((C153-(C153*'input-data'!E341/100))*(C153/(C153+C154))*'input-data'!E340/100)+
(C154-(C154*'input-data'!E342/100)*(C154/(C153+C154))*'input-data'!E340/100))*(SUM(IFERROR(VLOOKUP('input-data'!E392,'Lagring-Storage'!B6:M11,9,FALSE),0))+(IFERROR(VLOOKUP('input-data'!E392,'Opstaldingsform-Housing '!$B$46:$O$51,9,FALSE),0)))
+(0.05*(((C153-(C153*'input-data'!E341/100))*(C153/(C153+C154))*'input-data'!E340/100)+
(C154-(C154*'input-data'!E342/100)*(C154/(C153+C154))*'input-data'!E340/100))*('Lagring-Storage'!$J$13)),0)))</f>
        <v>0</v>
      </c>
      <c r="D175" s="240">
        <f>IFERROR(C175/'Flow sohold'!$D$5,0)</f>
        <v>0</v>
      </c>
      <c r="E175" s="265"/>
      <c r="F175" s="265"/>
      <c r="G175" s="63"/>
      <c r="H175" s="110"/>
      <c r="T175" s="110"/>
      <c r="U175" s="110"/>
      <c r="V175" s="110"/>
      <c r="W175" s="110"/>
      <c r="X175" s="110"/>
      <c r="Y175" s="110"/>
      <c r="Z175" s="110"/>
      <c r="AA175" s="110"/>
    </row>
    <row r="176" spans="1:27" s="10" customFormat="1" x14ac:dyDescent="0.25">
      <c r="A176" s="281"/>
      <c r="B176" s="237" t="s">
        <v>1735</v>
      </c>
      <c r="C176" s="674">
        <f>IFERROR(IF(OR('input-data'!$E$324=topdowntables!$C$4, 'input-data'!$E$324=topdowntables!$C$9),0,(((C153-(C153*'input-data'!E341/100))*(C153/(C153+C154))*'input-data'!E340/100)+
((C154-(C154*'input-data'!E342/100))*(C154/(C153+C154))*'input-data'!E340/100)
-(C172+C173+C174+C175))),0)</f>
        <v>0</v>
      </c>
      <c r="D176" s="240">
        <f>IFERROR(C176/'Flow sohold'!$D$5,0)</f>
        <v>0</v>
      </c>
      <c r="E176" s="674"/>
      <c r="F176" s="674"/>
      <c r="G176" s="63"/>
      <c r="H176" s="110"/>
      <c r="T176" s="110"/>
      <c r="U176" s="110"/>
      <c r="V176" s="110"/>
      <c r="W176" s="110"/>
      <c r="X176" s="110"/>
      <c r="Y176" s="110"/>
      <c r="Z176" s="110"/>
      <c r="AA176" s="110"/>
    </row>
    <row r="177" spans="1:27" s="10" customFormat="1" x14ac:dyDescent="0.25">
      <c r="A177" s="110"/>
      <c r="B177" s="239"/>
      <c r="C177" s="90"/>
      <c r="D177" s="240"/>
      <c r="E177" s="90"/>
      <c r="F177" s="90"/>
      <c r="G177" s="63"/>
      <c r="H177" s="110"/>
      <c r="T177" s="110"/>
      <c r="U177" s="110"/>
      <c r="V177" s="110"/>
      <c r="W177" s="110"/>
      <c r="X177" s="110"/>
      <c r="Y177" s="110"/>
      <c r="Z177" s="110"/>
      <c r="AA177" s="110"/>
    </row>
    <row r="178" spans="1:27" s="10" customFormat="1" x14ac:dyDescent="0.25">
      <c r="A178" s="110"/>
      <c r="B178" s="239" t="s">
        <v>1734</v>
      </c>
      <c r="C178" s="90"/>
      <c r="D178" s="240"/>
      <c r="E178" s="90"/>
      <c r="F178" s="90"/>
      <c r="G178" s="63"/>
      <c r="H178" s="110"/>
      <c r="T178" s="110"/>
      <c r="U178" s="110"/>
      <c r="V178" s="110"/>
      <c r="W178" s="110"/>
      <c r="X178" s="110"/>
      <c r="Y178" s="110"/>
      <c r="Z178" s="110"/>
      <c r="AA178" s="110"/>
    </row>
    <row r="179" spans="1:27" s="10" customFormat="1" x14ac:dyDescent="0.25">
      <c r="A179" s="110"/>
      <c r="B179" s="239" t="s">
        <v>1681</v>
      </c>
      <c r="C179" s="265">
        <f>0.95*C153*'input-data'!E341/100*(SUM(IFERROR(VLOOKUP('input-data'!E392,'Lagring-Storage'!B17:M22,3,FALSE),0))+(IFERROR(VLOOKUP('input-data'!E392,'Opstaldingsform-Housing '!$B$44:$O$56,3,FALSE),0)))
+(0.05* C153*'input-data'!E341/100*('Lagring-Storage'!$D$18))</f>
        <v>0</v>
      </c>
      <c r="D179" s="240">
        <f>IFERROR(C179/'Flow sohold'!$D$5,0)</f>
        <v>0</v>
      </c>
      <c r="E179" s="265"/>
      <c r="F179" s="265"/>
      <c r="G179" s="63"/>
      <c r="H179" s="110"/>
      <c r="T179" s="110"/>
      <c r="U179" s="110"/>
      <c r="V179" s="110"/>
      <c r="W179" s="110"/>
      <c r="X179" s="110"/>
      <c r="Y179" s="110"/>
      <c r="Z179" s="110"/>
      <c r="AA179" s="110"/>
    </row>
    <row r="180" spans="1:27" s="10" customFormat="1" x14ac:dyDescent="0.25">
      <c r="A180" s="110"/>
      <c r="B180" s="239" t="s">
        <v>1727</v>
      </c>
      <c r="C180" s="265">
        <f>0.95*C153*'input-data'!E341/100*(SUM(IFERROR(VLOOKUP('input-data'!E392,'Lagring-Storage'!B17:M22,5,FALSE),0))+(IFERROR(VLOOKUP('input-data'!E392,'Opstaldingsform-Housing '!$B$44:$O$56,5,FALSE),0)))
+(0.05* C153*'input-data'!E341/100*('Lagring-Storage'!$F$18))</f>
        <v>0</v>
      </c>
      <c r="D180" s="240">
        <f>IFERROR(C180/'Flow sohold'!$D$5,0)</f>
        <v>0</v>
      </c>
      <c r="E180" s="265"/>
      <c r="F180" s="265"/>
      <c r="G180" s="63"/>
      <c r="H180" s="110"/>
      <c r="T180" s="110"/>
      <c r="U180" s="110"/>
      <c r="V180" s="110"/>
      <c r="W180" s="110"/>
      <c r="X180" s="110"/>
      <c r="Y180" s="110"/>
      <c r="Z180" s="110"/>
      <c r="AA180" s="110"/>
    </row>
    <row r="181" spans="1:27" s="10" customFormat="1" x14ac:dyDescent="0.25">
      <c r="A181" s="110"/>
      <c r="B181" s="239" t="s">
        <v>1683</v>
      </c>
      <c r="C181" s="265">
        <f>0.95*C153*'input-data'!E341/100*(SUM(IFERROR(VLOOKUP('input-data'!E392,'Lagring-Storage'!B17:M22,7,FALSE),0))+(IFERROR(VLOOKUP('input-data'!E392,'Opstaldingsform-Housing '!$B$44:$O$56,7,FALSE),0)))
+(0.05* C153*'input-data'!E341/100*('Lagring-Storage'!$H$18))</f>
        <v>0</v>
      </c>
      <c r="D181" s="240">
        <f>IFERROR(C181/'Flow sohold'!$D$5,0)</f>
        <v>0</v>
      </c>
      <c r="E181" s="265"/>
      <c r="F181" s="265"/>
      <c r="G181" s="63"/>
      <c r="H181" s="110"/>
      <c r="T181" s="110"/>
      <c r="U181" s="110"/>
      <c r="V181" s="110"/>
      <c r="W181" s="110"/>
      <c r="X181" s="110"/>
      <c r="Y181" s="110"/>
      <c r="Z181" s="110"/>
      <c r="AA181" s="110"/>
    </row>
    <row r="182" spans="1:27" s="10" customFormat="1" x14ac:dyDescent="0.25">
      <c r="A182" s="110"/>
      <c r="B182" s="239" t="s">
        <v>2090</v>
      </c>
      <c r="C182" s="265">
        <f>0.95*C153*'input-data'!E341/100*(SUM(IFERROR(VLOOKUP('input-data'!E392,'Lagring-Storage'!B17:M22,9,FALSE),0))+(IFERROR(VLOOKUP('input-data'!E392,'Opstaldingsform-Housing '!$B$44:$O$56,9,FALSE),0)))
+(0.05* C153*'input-data'!E341/100*('Lagring-Storage'!$J$18))</f>
        <v>0</v>
      </c>
      <c r="D182" s="240">
        <f>IFERROR(C182/'Flow sohold'!$D$5,0)</f>
        <v>0</v>
      </c>
      <c r="E182" s="265"/>
      <c r="F182" s="265"/>
      <c r="G182" s="63"/>
      <c r="H182" s="110"/>
      <c r="T182" s="110"/>
      <c r="U182" s="110"/>
      <c r="V182" s="110"/>
      <c r="W182" s="110"/>
      <c r="X182" s="110"/>
      <c r="Y182" s="110"/>
      <c r="Z182" s="110"/>
      <c r="AA182" s="110"/>
    </row>
    <row r="183" spans="1:27" s="10" customFormat="1" x14ac:dyDescent="0.25">
      <c r="A183" s="110"/>
      <c r="B183" s="237" t="s">
        <v>1736</v>
      </c>
      <c r="C183" s="674">
        <f>C153*'input-data'!E341/100-(C179+C180+C181+C182)</f>
        <v>0</v>
      </c>
      <c r="D183" s="240">
        <f>IFERROR(C183/'Flow sohold'!$D$5,0)</f>
        <v>0</v>
      </c>
      <c r="E183" s="674"/>
      <c r="F183" s="674"/>
      <c r="G183" s="63"/>
      <c r="H183" s="110"/>
      <c r="T183" s="110"/>
      <c r="U183" s="110"/>
      <c r="V183" s="110"/>
      <c r="W183" s="110"/>
      <c r="X183" s="110"/>
      <c r="Y183" s="110"/>
      <c r="Z183" s="110"/>
      <c r="AA183" s="110"/>
    </row>
    <row r="184" spans="1:27" s="10" customFormat="1" x14ac:dyDescent="0.25">
      <c r="A184" s="110"/>
      <c r="B184" s="237"/>
      <c r="C184" s="674"/>
      <c r="D184" s="240"/>
      <c r="E184" s="674"/>
      <c r="F184" s="674"/>
      <c r="G184" s="63"/>
      <c r="H184" s="110"/>
      <c r="T184" s="110"/>
      <c r="U184" s="110"/>
      <c r="V184" s="110"/>
      <c r="W184" s="110"/>
      <c r="X184" s="110"/>
      <c r="Y184" s="110"/>
      <c r="Z184" s="110"/>
      <c r="AA184" s="110"/>
    </row>
    <row r="185" spans="1:27" s="10" customFormat="1" x14ac:dyDescent="0.25">
      <c r="A185" s="110"/>
      <c r="B185" s="382" t="s">
        <v>1742</v>
      </c>
      <c r="C185" s="679" t="s">
        <v>1855</v>
      </c>
      <c r="D185" s="798" t="s">
        <v>1855</v>
      </c>
      <c r="E185" s="675"/>
      <c r="F185" s="675"/>
      <c r="G185" s="63"/>
      <c r="H185" s="110"/>
      <c r="I185" s="10" t="s">
        <v>1839</v>
      </c>
      <c r="T185" s="110"/>
      <c r="U185" s="110"/>
      <c r="V185" s="110"/>
      <c r="W185" s="110"/>
      <c r="X185" s="110"/>
      <c r="Y185" s="110"/>
      <c r="Z185" s="110"/>
      <c r="AA185" s="110"/>
    </row>
    <row r="186" spans="1:27" s="10" customFormat="1" x14ac:dyDescent="0.25">
      <c r="A186" s="110"/>
      <c r="B186" s="239" t="s">
        <v>1757</v>
      </c>
      <c r="C186" s="90"/>
      <c r="D186" s="240"/>
      <c r="E186" s="90"/>
      <c r="F186" s="90"/>
      <c r="G186" s="63"/>
      <c r="H186" s="462"/>
      <c r="T186" s="110"/>
      <c r="U186" s="110"/>
      <c r="V186" s="110"/>
      <c r="W186" s="110"/>
      <c r="X186" s="110"/>
      <c r="Y186" s="110"/>
      <c r="Z186" s="110"/>
      <c r="AA186" s="110"/>
    </row>
    <row r="187" spans="1:27" s="10" customFormat="1" x14ac:dyDescent="0.25">
      <c r="A187" s="110"/>
      <c r="B187" s="239" t="s">
        <v>1681</v>
      </c>
      <c r="C187" s="265">
        <f>C162*'Udbringning af gylleApplication'!C6</f>
        <v>0</v>
      </c>
      <c r="D187" s="240">
        <f>IFERROR(C187/'Flow sohold'!$D$5,0)</f>
        <v>0</v>
      </c>
      <c r="E187" s="265"/>
      <c r="F187" s="265"/>
      <c r="G187" s="63"/>
      <c r="H187" s="110"/>
      <c r="T187" s="110"/>
      <c r="U187" s="110"/>
      <c r="V187" s="110"/>
      <c r="W187" s="110"/>
      <c r="X187" s="110"/>
      <c r="Y187" s="110"/>
      <c r="Z187" s="110"/>
      <c r="AA187" s="110"/>
    </row>
    <row r="188" spans="1:27" s="10" customFormat="1" x14ac:dyDescent="0.25">
      <c r="A188" s="110"/>
      <c r="B188" s="239" t="s">
        <v>1682</v>
      </c>
      <c r="C188" s="265">
        <f>C162*'Udbringning af gylleApplication'!E6</f>
        <v>0</v>
      </c>
      <c r="D188" s="240">
        <f>IFERROR(C188/'Flow sohold'!$D$5,0)</f>
        <v>0</v>
      </c>
      <c r="E188" s="265"/>
      <c r="F188" s="265"/>
      <c r="G188" s="63"/>
      <c r="H188" s="110"/>
      <c r="T188" s="110"/>
      <c r="U188" s="110"/>
      <c r="V188" s="110"/>
      <c r="W188" s="110"/>
      <c r="X188" s="110"/>
      <c r="Y188" s="110"/>
      <c r="Z188" s="110"/>
      <c r="AA188" s="110"/>
    </row>
    <row r="189" spans="1:27" s="10" customFormat="1" x14ac:dyDescent="0.25">
      <c r="A189" s="110"/>
      <c r="B189" s="239" t="s">
        <v>1683</v>
      </c>
      <c r="C189" s="265">
        <f>C162*'Udbringning af gylleApplication'!G6</f>
        <v>0</v>
      </c>
      <c r="D189" s="240">
        <f>IFERROR(C189/'Flow sohold'!$D$5,0)</f>
        <v>0</v>
      </c>
      <c r="E189" s="265"/>
      <c r="F189" s="265"/>
      <c r="G189" s="63"/>
      <c r="H189" s="110"/>
      <c r="T189" s="110"/>
      <c r="U189" s="110"/>
      <c r="V189" s="110"/>
      <c r="W189" s="110"/>
      <c r="X189" s="110"/>
      <c r="Y189" s="110"/>
      <c r="Z189" s="110"/>
      <c r="AA189" s="110"/>
    </row>
    <row r="190" spans="1:27" s="10" customFormat="1" x14ac:dyDescent="0.25">
      <c r="A190" s="110"/>
      <c r="B190" s="239" t="s">
        <v>2090</v>
      </c>
      <c r="C190" s="265">
        <f>C162*'Udbringning af gylleApplication'!I6</f>
        <v>0</v>
      </c>
      <c r="D190" s="240">
        <f>IFERROR(C190/'Flow sohold'!$D$5,0)</f>
        <v>0</v>
      </c>
      <c r="E190" s="265"/>
      <c r="F190" s="265"/>
      <c r="G190" s="63"/>
      <c r="H190" s="110"/>
      <c r="K190" s="463"/>
      <c r="T190" s="110"/>
      <c r="U190" s="110"/>
      <c r="V190" s="110"/>
      <c r="W190" s="110"/>
      <c r="X190" s="110"/>
      <c r="Y190" s="110"/>
      <c r="Z190" s="110"/>
      <c r="AA190" s="110"/>
    </row>
    <row r="191" spans="1:27" s="10" customFormat="1" x14ac:dyDescent="0.25">
      <c r="A191" s="110"/>
      <c r="B191" s="237" t="s">
        <v>1762</v>
      </c>
      <c r="C191" s="265">
        <f>C162-(C187+C188+C189+C190)</f>
        <v>0</v>
      </c>
      <c r="D191" s="240">
        <f>IFERROR(C191/'Flow sohold'!$D$5,0)</f>
        <v>0</v>
      </c>
      <c r="E191" s="265"/>
      <c r="F191" s="265"/>
      <c r="G191" s="63"/>
      <c r="H191" s="110"/>
      <c r="T191" s="110"/>
      <c r="U191" s="110"/>
      <c r="V191" s="110"/>
      <c r="W191" s="110"/>
      <c r="X191" s="110"/>
      <c r="Y191" s="110"/>
      <c r="Z191" s="110"/>
      <c r="AA191" s="110"/>
    </row>
    <row r="192" spans="1:27" s="10" customFormat="1" x14ac:dyDescent="0.25">
      <c r="A192" s="110"/>
      <c r="B192" s="237"/>
      <c r="C192" s="265"/>
      <c r="D192" s="240"/>
      <c r="E192" s="265"/>
      <c r="F192" s="265"/>
      <c r="G192" s="63"/>
      <c r="H192" s="110"/>
      <c r="T192" s="110"/>
      <c r="U192" s="110"/>
      <c r="V192" s="110"/>
      <c r="W192" s="110"/>
      <c r="X192" s="110"/>
      <c r="Y192" s="110"/>
      <c r="Z192" s="110"/>
      <c r="AA192" s="110"/>
    </row>
    <row r="193" spans="1:27" s="10" customFormat="1" x14ac:dyDescent="0.25">
      <c r="A193" s="110"/>
      <c r="B193" s="239" t="s">
        <v>1283</v>
      </c>
      <c r="C193" s="265"/>
      <c r="D193" s="240"/>
      <c r="E193" s="265"/>
      <c r="F193" s="265"/>
      <c r="G193" s="63"/>
      <c r="H193" s="462"/>
      <c r="T193" s="110"/>
      <c r="U193" s="110"/>
      <c r="V193" s="110"/>
      <c r="W193" s="110"/>
      <c r="X193" s="110"/>
      <c r="Y193" s="110"/>
      <c r="Z193" s="110"/>
      <c r="AA193" s="110"/>
    </row>
    <row r="194" spans="1:27" s="10" customFormat="1" x14ac:dyDescent="0.25">
      <c r="A194" s="110"/>
      <c r="B194" s="239" t="s">
        <v>1681</v>
      </c>
      <c r="C194" s="265">
        <f>C169*'Udbringning af gylleApplication'!C9</f>
        <v>0</v>
      </c>
      <c r="D194" s="240">
        <f>IFERROR(C194/'Flow sohold'!$D$5,0)</f>
        <v>0</v>
      </c>
      <c r="E194" s="265"/>
      <c r="F194" s="265"/>
      <c r="G194" s="63"/>
      <c r="H194" s="110"/>
      <c r="T194" s="110"/>
      <c r="U194" s="110"/>
      <c r="V194" s="110"/>
      <c r="W194" s="110"/>
      <c r="X194" s="110"/>
      <c r="Y194" s="110"/>
      <c r="Z194" s="110"/>
      <c r="AA194" s="110"/>
    </row>
    <row r="195" spans="1:27" s="10" customFormat="1" x14ac:dyDescent="0.25">
      <c r="A195" s="110"/>
      <c r="B195" s="239" t="s">
        <v>1682</v>
      </c>
      <c r="C195" s="265">
        <f>C169*'Udbringning af gylleApplication'!E9</f>
        <v>0</v>
      </c>
      <c r="D195" s="240">
        <f>IFERROR(C195/'Flow sohold'!$D$5,0)</f>
        <v>0</v>
      </c>
      <c r="E195" s="265"/>
      <c r="F195" s="265"/>
      <c r="G195" s="63"/>
      <c r="H195" s="110"/>
      <c r="T195" s="110"/>
      <c r="U195" s="110"/>
      <c r="V195" s="110"/>
      <c r="W195" s="110"/>
      <c r="X195" s="110"/>
      <c r="Y195" s="110"/>
      <c r="Z195" s="110"/>
      <c r="AA195" s="110"/>
    </row>
    <row r="196" spans="1:27" s="10" customFormat="1" x14ac:dyDescent="0.25">
      <c r="A196" s="110"/>
      <c r="B196" s="239" t="s">
        <v>1683</v>
      </c>
      <c r="C196" s="265">
        <f>C169*'Udbringning af gylleApplication'!G9</f>
        <v>0</v>
      </c>
      <c r="D196" s="240">
        <f>IFERROR(C196/'Flow sohold'!$D$5,0)</f>
        <v>0</v>
      </c>
      <c r="E196" s="265"/>
      <c r="F196" s="265"/>
      <c r="G196" s="63"/>
      <c r="H196" s="110"/>
      <c r="T196" s="110"/>
      <c r="U196" s="110"/>
      <c r="V196" s="110"/>
      <c r="W196" s="110"/>
      <c r="X196" s="110"/>
      <c r="Y196" s="110"/>
      <c r="Z196" s="110"/>
      <c r="AA196" s="110"/>
    </row>
    <row r="197" spans="1:27" s="10" customFormat="1" x14ac:dyDescent="0.25">
      <c r="A197" s="110"/>
      <c r="B197" s="239" t="s">
        <v>2090</v>
      </c>
      <c r="C197" s="265">
        <f>C169*'Udbringning af gylleApplication'!I9</f>
        <v>0</v>
      </c>
      <c r="D197" s="240">
        <f>IFERROR(C197/'Flow sohold'!$D$5,0)</f>
        <v>0</v>
      </c>
      <c r="E197" s="265"/>
      <c r="F197" s="265"/>
      <c r="G197" s="63"/>
      <c r="H197" s="110"/>
      <c r="T197" s="110"/>
      <c r="U197" s="110"/>
      <c r="V197" s="110"/>
      <c r="W197" s="110"/>
      <c r="X197" s="110"/>
      <c r="Y197" s="110"/>
      <c r="Z197" s="110"/>
      <c r="AA197" s="110"/>
    </row>
    <row r="198" spans="1:27" s="10" customFormat="1" x14ac:dyDescent="0.25">
      <c r="A198" s="110"/>
      <c r="B198" s="237" t="s">
        <v>1764</v>
      </c>
      <c r="C198" s="265">
        <f>C169-(C194+C195+C196+C197)+(C154*'input-data'!E488/100)</f>
        <v>0</v>
      </c>
      <c r="D198" s="240">
        <f>IFERROR(C198/'Flow sohold'!$D$5,0)</f>
        <v>0</v>
      </c>
      <c r="E198" s="265"/>
      <c r="F198" s="265"/>
      <c r="G198" s="63"/>
      <c r="H198" s="110"/>
      <c r="I198" s="10" t="s">
        <v>1840</v>
      </c>
      <c r="T198" s="110"/>
      <c r="U198" s="110"/>
      <c r="V198" s="110"/>
      <c r="W198" s="110"/>
      <c r="X198" s="110"/>
      <c r="Y198" s="110"/>
      <c r="Z198" s="110"/>
      <c r="AA198" s="110"/>
    </row>
    <row r="199" spans="1:27" s="10" customFormat="1" x14ac:dyDescent="0.25">
      <c r="A199" s="110"/>
      <c r="B199" s="239"/>
      <c r="C199" s="265"/>
      <c r="D199" s="240"/>
      <c r="E199" s="265"/>
      <c r="F199" s="265"/>
      <c r="G199" s="63"/>
      <c r="H199" s="110"/>
      <c r="T199" s="110"/>
      <c r="U199" s="110"/>
      <c r="V199" s="110"/>
      <c r="W199" s="110"/>
      <c r="X199" s="110"/>
      <c r="Y199" s="110"/>
      <c r="Z199" s="110"/>
      <c r="AA199" s="110"/>
    </row>
    <row r="200" spans="1:27" s="10" customFormat="1" x14ac:dyDescent="0.25">
      <c r="A200" s="110"/>
      <c r="B200" s="239" t="s">
        <v>1758</v>
      </c>
      <c r="C200" s="265"/>
      <c r="D200" s="240"/>
      <c r="E200" s="265"/>
      <c r="F200" s="265"/>
      <c r="G200" s="63"/>
      <c r="H200" s="110"/>
      <c r="T200" s="110"/>
      <c r="U200" s="110"/>
      <c r="V200" s="110"/>
      <c r="W200" s="110"/>
      <c r="X200" s="110"/>
      <c r="Y200" s="110"/>
      <c r="Z200" s="110"/>
      <c r="AA200" s="110"/>
    </row>
    <row r="201" spans="1:27" s="10" customFormat="1" x14ac:dyDescent="0.25">
      <c r="A201" s="110"/>
      <c r="B201" s="239" t="s">
        <v>1681</v>
      </c>
      <c r="C201" s="265">
        <f>C176*'Udbringning af gylleApplication'!C7</f>
        <v>0</v>
      </c>
      <c r="D201" s="240">
        <f>IFERROR(C201/'Flow sohold'!$D$5,0)</f>
        <v>0</v>
      </c>
      <c r="E201" s="265"/>
      <c r="F201" s="265"/>
      <c r="G201" s="63"/>
      <c r="H201" s="110"/>
      <c r="T201" s="110"/>
      <c r="U201" s="110"/>
      <c r="V201" s="110"/>
      <c r="W201" s="110"/>
      <c r="X201" s="110"/>
      <c r="Y201" s="110"/>
      <c r="Z201" s="110"/>
      <c r="AA201" s="110"/>
    </row>
    <row r="202" spans="1:27" s="10" customFormat="1" x14ac:dyDescent="0.25">
      <c r="A202" s="110"/>
      <c r="B202" s="239" t="s">
        <v>1682</v>
      </c>
      <c r="C202" s="265">
        <f>C176*'Udbringning af gylleApplication'!E7</f>
        <v>0</v>
      </c>
      <c r="D202" s="240">
        <f>IFERROR(C202/'Flow sohold'!$D$5,0)</f>
        <v>0</v>
      </c>
      <c r="E202" s="265"/>
      <c r="F202" s="265"/>
      <c r="G202" s="63"/>
      <c r="H202" s="110"/>
      <c r="T202" s="110"/>
      <c r="U202" s="110"/>
      <c r="V202" s="110"/>
      <c r="W202" s="110"/>
      <c r="X202" s="110"/>
      <c r="Y202" s="110"/>
      <c r="Z202" s="110"/>
      <c r="AA202" s="110"/>
    </row>
    <row r="203" spans="1:27" s="10" customFormat="1" x14ac:dyDescent="0.25">
      <c r="A203" s="110"/>
      <c r="B203" s="239" t="s">
        <v>1683</v>
      </c>
      <c r="C203" s="265">
        <f>C176*'Udbringning af gylleApplication'!G7</f>
        <v>0</v>
      </c>
      <c r="D203" s="240">
        <f>IFERROR(C203/'Flow sohold'!$D$5,0)</f>
        <v>0</v>
      </c>
      <c r="E203" s="265"/>
      <c r="F203" s="265"/>
      <c r="G203" s="63"/>
      <c r="H203" s="110"/>
      <c r="T203" s="110"/>
      <c r="U203" s="110"/>
      <c r="V203" s="110"/>
      <c r="W203" s="110"/>
      <c r="X203" s="110"/>
      <c r="Y203" s="110"/>
      <c r="Z203" s="110"/>
      <c r="AA203" s="110"/>
    </row>
    <row r="204" spans="1:27" s="10" customFormat="1" x14ac:dyDescent="0.25">
      <c r="A204" s="110"/>
      <c r="B204" s="239" t="s">
        <v>2090</v>
      </c>
      <c r="C204" s="265">
        <f>C176*'Udbringning af gylleApplication'!I7</f>
        <v>0</v>
      </c>
      <c r="D204" s="240">
        <f>IFERROR(C204/'Flow sohold'!$D$5,0)</f>
        <v>0</v>
      </c>
      <c r="E204" s="265"/>
      <c r="F204" s="265"/>
      <c r="G204" s="63"/>
      <c r="H204" s="110"/>
      <c r="T204" s="110"/>
      <c r="U204" s="110"/>
      <c r="V204" s="110"/>
      <c r="W204" s="110"/>
      <c r="X204" s="110"/>
      <c r="Y204" s="110"/>
      <c r="Z204" s="110"/>
      <c r="AA204" s="110"/>
    </row>
    <row r="205" spans="1:27" s="10" customFormat="1" x14ac:dyDescent="0.25">
      <c r="A205" s="281"/>
      <c r="B205" s="237" t="s">
        <v>1765</v>
      </c>
      <c r="C205" s="265">
        <f>C176-(C201+C202+C203+C204)</f>
        <v>0</v>
      </c>
      <c r="D205" s="240">
        <f>IFERROR(C205/'Flow sohold'!$D$5,0)</f>
        <v>0</v>
      </c>
      <c r="E205" s="265"/>
      <c r="F205" s="265"/>
      <c r="G205" s="63"/>
      <c r="H205" s="110"/>
      <c r="T205" s="110"/>
      <c r="U205" s="110"/>
      <c r="V205" s="110"/>
      <c r="W205" s="110"/>
      <c r="X205" s="110"/>
      <c r="Y205" s="110"/>
      <c r="Z205" s="110"/>
      <c r="AA205" s="110"/>
    </row>
    <row r="206" spans="1:27" s="10" customFormat="1" x14ac:dyDescent="0.25">
      <c r="A206" s="110"/>
      <c r="B206" s="239"/>
      <c r="C206" s="90"/>
      <c r="D206" s="240"/>
      <c r="E206" s="90"/>
      <c r="F206" s="90"/>
      <c r="G206" s="63"/>
      <c r="H206" s="110"/>
      <c r="T206" s="110"/>
      <c r="U206" s="110"/>
      <c r="V206" s="110"/>
      <c r="W206" s="110"/>
      <c r="X206" s="110"/>
      <c r="Y206" s="110"/>
      <c r="Z206" s="110"/>
      <c r="AA206" s="110"/>
    </row>
    <row r="207" spans="1:27" s="10" customFormat="1" x14ac:dyDescent="0.25">
      <c r="A207" s="110"/>
      <c r="B207" s="239" t="s">
        <v>1759</v>
      </c>
      <c r="C207" s="90"/>
      <c r="D207" s="240"/>
      <c r="E207" s="90"/>
      <c r="F207" s="90"/>
      <c r="G207" s="63"/>
      <c r="H207" s="110"/>
      <c r="T207" s="110"/>
      <c r="U207" s="110"/>
      <c r="V207" s="110"/>
      <c r="W207" s="110"/>
      <c r="X207" s="110"/>
      <c r="Y207" s="110"/>
      <c r="Z207" s="110"/>
      <c r="AA207" s="110"/>
    </row>
    <row r="208" spans="1:27" s="10" customFormat="1" x14ac:dyDescent="0.25">
      <c r="A208" s="110"/>
      <c r="B208" s="239" t="s">
        <v>1681</v>
      </c>
      <c r="C208" s="265">
        <f>C183*'Udbringning af gylleApplication'!C8</f>
        <v>0</v>
      </c>
      <c r="D208" s="240">
        <f>IFERROR(C208/'Flow sohold'!$D$5,0)</f>
        <v>0</v>
      </c>
      <c r="E208" s="265"/>
      <c r="F208" s="265"/>
      <c r="G208" s="63"/>
      <c r="H208" s="110"/>
      <c r="T208" s="110"/>
      <c r="U208" s="110"/>
      <c r="V208" s="110"/>
      <c r="W208" s="110"/>
      <c r="X208" s="110"/>
      <c r="Y208" s="110"/>
      <c r="Z208" s="110"/>
      <c r="AA208" s="110"/>
    </row>
    <row r="209" spans="1:27" s="10" customFormat="1" x14ac:dyDescent="0.25">
      <c r="A209" s="110"/>
      <c r="B209" s="239" t="s">
        <v>1682</v>
      </c>
      <c r="C209" s="265">
        <f>C183*'Udbringning af gylleApplication'!E8</f>
        <v>0</v>
      </c>
      <c r="D209" s="240">
        <f>IFERROR(C209/'Flow sohold'!$D$5,0)</f>
        <v>0</v>
      </c>
      <c r="E209" s="265"/>
      <c r="F209" s="265"/>
      <c r="G209" s="63"/>
      <c r="H209" s="110"/>
      <c r="T209" s="110"/>
      <c r="U209" s="110"/>
      <c r="V209" s="110"/>
      <c r="W209" s="110"/>
      <c r="X209" s="110"/>
      <c r="Y209" s="110"/>
      <c r="Z209" s="110"/>
      <c r="AA209" s="110"/>
    </row>
    <row r="210" spans="1:27" s="10" customFormat="1" x14ac:dyDescent="0.25">
      <c r="A210" s="110"/>
      <c r="B210" s="239" t="s">
        <v>1683</v>
      </c>
      <c r="C210" s="265">
        <f>C183*'Udbringning af gylleApplication'!G8</f>
        <v>0</v>
      </c>
      <c r="D210" s="240">
        <f>IFERROR(C210/'Flow sohold'!$D$5,0)</f>
        <v>0</v>
      </c>
      <c r="E210" s="265"/>
      <c r="F210" s="265"/>
      <c r="G210" s="63"/>
      <c r="H210" s="110"/>
      <c r="T210" s="110"/>
      <c r="U210" s="110"/>
      <c r="V210" s="110"/>
      <c r="W210" s="110"/>
      <c r="X210" s="110"/>
      <c r="Y210" s="110"/>
      <c r="Z210" s="110"/>
      <c r="AA210" s="110"/>
    </row>
    <row r="211" spans="1:27" s="10" customFormat="1" x14ac:dyDescent="0.25">
      <c r="A211" s="110"/>
      <c r="B211" s="239" t="s">
        <v>2090</v>
      </c>
      <c r="C211" s="265">
        <f>C183*'Udbringning af gylleApplication'!I8</f>
        <v>0</v>
      </c>
      <c r="D211" s="240">
        <f>IFERROR(C211/'Flow sohold'!$D$5,0)</f>
        <v>0</v>
      </c>
      <c r="E211" s="265"/>
      <c r="F211" s="265"/>
      <c r="G211" s="63"/>
      <c r="H211" s="110"/>
      <c r="T211" s="110"/>
      <c r="U211" s="110"/>
      <c r="V211" s="110"/>
      <c r="W211" s="110"/>
      <c r="X211" s="110"/>
      <c r="Y211" s="110"/>
      <c r="Z211" s="110"/>
      <c r="AA211" s="110"/>
    </row>
    <row r="212" spans="1:27" s="10" customFormat="1" x14ac:dyDescent="0.25">
      <c r="A212" s="110"/>
      <c r="B212" s="237" t="s">
        <v>1736</v>
      </c>
      <c r="C212" s="265">
        <f>C183-(C208+C209+C210+C211)</f>
        <v>0</v>
      </c>
      <c r="D212" s="240">
        <f>IFERROR(C212/'Flow sohold'!$D$5,0)</f>
        <v>0</v>
      </c>
      <c r="E212" s="265"/>
      <c r="F212" s="265"/>
      <c r="G212" s="63"/>
      <c r="H212" s="110"/>
      <c r="T212" s="110"/>
      <c r="U212" s="110"/>
      <c r="V212" s="110"/>
      <c r="W212" s="110"/>
      <c r="X212" s="110"/>
      <c r="Y212" s="110"/>
      <c r="Z212" s="110"/>
      <c r="AA212" s="110"/>
    </row>
    <row r="213" spans="1:27" s="10" customFormat="1" ht="15.75" thickBot="1" x14ac:dyDescent="0.3">
      <c r="A213" s="110"/>
      <c r="B213" s="379"/>
      <c r="C213" s="791"/>
      <c r="D213" s="380"/>
      <c r="E213" s="381"/>
      <c r="F213" s="381"/>
      <c r="G213" s="63"/>
      <c r="H213" s="110"/>
      <c r="T213" s="110"/>
      <c r="U213" s="110"/>
      <c r="V213" s="110"/>
      <c r="W213" s="110"/>
      <c r="X213" s="110"/>
      <c r="Y213" s="110"/>
      <c r="Z213" s="110"/>
      <c r="AA213" s="110"/>
    </row>
    <row r="214" spans="1:27" s="10" customFormat="1" x14ac:dyDescent="0.25">
      <c r="A214" s="110"/>
      <c r="B214" s="267"/>
      <c r="C214" s="381"/>
      <c r="D214" s="381"/>
      <c r="E214" s="381"/>
      <c r="F214" s="381"/>
      <c r="G214" s="63"/>
      <c r="H214" s="110"/>
      <c r="I214" s="110"/>
      <c r="J214" s="110"/>
      <c r="K214" s="110"/>
      <c r="L214" s="110"/>
      <c r="M214" s="110"/>
      <c r="N214" s="110"/>
      <c r="O214" s="110"/>
      <c r="P214" s="110"/>
      <c r="Q214" s="110"/>
      <c r="R214" s="110"/>
      <c r="S214" s="110"/>
      <c r="T214" s="110"/>
      <c r="U214" s="110"/>
      <c r="V214" s="110"/>
      <c r="W214" s="110"/>
      <c r="X214" s="110"/>
      <c r="Y214" s="110"/>
      <c r="Z214" s="110"/>
      <c r="AA214" s="110"/>
    </row>
    <row r="215" spans="1:27" s="9" customFormat="1" x14ac:dyDescent="0.25">
      <c r="A215" s="63"/>
      <c r="B215" s="267"/>
      <c r="C215" s="381"/>
      <c r="D215" s="381"/>
      <c r="E215" s="381"/>
      <c r="F215" s="381"/>
      <c r="G215" s="63"/>
      <c r="H215" s="63"/>
      <c r="I215" s="63"/>
      <c r="J215" s="63"/>
      <c r="K215" s="63"/>
      <c r="L215" s="63"/>
      <c r="M215" s="63"/>
      <c r="N215" s="63"/>
      <c r="O215" s="63"/>
      <c r="P215" s="63"/>
      <c r="Q215" s="63"/>
      <c r="R215" s="63"/>
      <c r="S215" s="63"/>
      <c r="T215" s="63"/>
      <c r="U215" s="63"/>
      <c r="V215" s="63"/>
      <c r="W215" s="63"/>
      <c r="X215" s="63"/>
      <c r="Y215" s="63"/>
      <c r="Z215" s="63"/>
      <c r="AA215" s="63"/>
    </row>
    <row r="216" spans="1:27" s="9" customFormat="1" x14ac:dyDescent="0.25">
      <c r="A216" s="63"/>
      <c r="B216" s="267"/>
      <c r="C216" s="381"/>
      <c r="D216" s="381"/>
      <c r="E216" s="381"/>
      <c r="F216" s="381"/>
      <c r="G216" s="63"/>
      <c r="H216" s="63"/>
      <c r="I216" s="63"/>
      <c r="J216" s="63"/>
      <c r="K216" s="63"/>
      <c r="L216" s="63"/>
      <c r="M216" s="63"/>
      <c r="N216" s="63"/>
      <c r="O216" s="63"/>
      <c r="P216" s="63"/>
      <c r="Q216" s="63"/>
      <c r="R216" s="63"/>
      <c r="S216" s="63"/>
      <c r="T216" s="63"/>
      <c r="U216" s="63"/>
      <c r="V216" s="63"/>
      <c r="W216" s="63"/>
      <c r="X216" s="63"/>
      <c r="Y216" s="63"/>
      <c r="Z216" s="63"/>
      <c r="AA216" s="63"/>
    </row>
    <row r="217" spans="1:27" s="9" customFormat="1" x14ac:dyDescent="0.25">
      <c r="A217" s="63"/>
      <c r="B217" s="177"/>
      <c r="C217" s="65"/>
      <c r="D217" s="65"/>
      <c r="E217" s="65"/>
      <c r="F217" s="65"/>
      <c r="G217" s="63"/>
      <c r="H217" s="63"/>
      <c r="I217" s="63"/>
      <c r="J217" s="63"/>
      <c r="K217" s="63"/>
      <c r="L217" s="63"/>
      <c r="M217" s="63"/>
      <c r="N217" s="63"/>
      <c r="O217" s="63"/>
      <c r="P217" s="63"/>
      <c r="Q217" s="63"/>
      <c r="R217" s="63"/>
      <c r="S217" s="63"/>
      <c r="T217" s="63"/>
      <c r="U217" s="63"/>
      <c r="V217" s="63"/>
      <c r="W217" s="63"/>
      <c r="X217" s="63"/>
      <c r="Y217" s="63"/>
      <c r="Z217" s="63"/>
      <c r="AA217" s="63"/>
    </row>
    <row r="218" spans="1:27" s="9" customFormat="1" x14ac:dyDescent="0.25">
      <c r="A218" s="63"/>
      <c r="B218" s="63"/>
      <c r="C218" s="265"/>
      <c r="D218" s="265"/>
      <c r="E218" s="265"/>
      <c r="F218" s="265"/>
      <c r="G218" s="63"/>
      <c r="H218" s="63"/>
      <c r="I218" s="63"/>
      <c r="J218" s="63"/>
      <c r="K218" s="63"/>
      <c r="L218" s="63"/>
      <c r="M218" s="63"/>
      <c r="N218" s="63"/>
      <c r="O218" s="63"/>
      <c r="P218" s="63"/>
      <c r="Q218" s="63"/>
      <c r="R218" s="63"/>
      <c r="S218" s="63"/>
      <c r="T218" s="63"/>
      <c r="U218" s="63"/>
      <c r="V218" s="63"/>
      <c r="W218" s="63"/>
      <c r="X218" s="63"/>
      <c r="Y218" s="63"/>
      <c r="Z218" s="63"/>
      <c r="AA218" s="63"/>
    </row>
    <row r="219" spans="1:27" s="9" customFormat="1" x14ac:dyDescent="0.25">
      <c r="A219" s="63"/>
      <c r="B219" s="63"/>
      <c r="C219" s="265"/>
      <c r="D219" s="265"/>
      <c r="E219" s="265"/>
      <c r="F219" s="265"/>
      <c r="G219" s="63"/>
      <c r="H219" s="63"/>
      <c r="I219" s="63"/>
      <c r="J219" s="63"/>
      <c r="K219" s="63"/>
      <c r="L219" s="63"/>
      <c r="M219" s="63"/>
      <c r="N219" s="63"/>
      <c r="O219" s="63"/>
      <c r="P219" s="63"/>
      <c r="Q219" s="63"/>
      <c r="R219" s="63"/>
      <c r="S219" s="63"/>
      <c r="T219" s="63"/>
      <c r="U219" s="63"/>
      <c r="V219" s="63"/>
      <c r="W219" s="63"/>
      <c r="X219" s="63"/>
      <c r="Y219" s="63"/>
      <c r="Z219" s="63"/>
      <c r="AA219" s="63"/>
    </row>
    <row r="220" spans="1:27" s="9" customFormat="1" x14ac:dyDescent="0.25">
      <c r="A220" s="63"/>
      <c r="B220" s="63"/>
      <c r="C220" s="265"/>
      <c r="D220" s="265"/>
      <c r="E220" s="265"/>
      <c r="F220" s="265"/>
      <c r="G220" s="63"/>
      <c r="H220" s="63"/>
      <c r="I220" s="63"/>
      <c r="J220" s="63"/>
      <c r="K220" s="63"/>
      <c r="L220" s="63"/>
      <c r="M220" s="63"/>
      <c r="N220" s="63"/>
      <c r="O220" s="63"/>
      <c r="P220" s="63"/>
      <c r="Q220" s="63"/>
      <c r="R220" s="63"/>
      <c r="S220" s="63"/>
      <c r="T220" s="63"/>
      <c r="U220" s="63"/>
      <c r="V220" s="63"/>
      <c r="W220" s="63"/>
      <c r="X220" s="63"/>
      <c r="Y220" s="63"/>
      <c r="Z220" s="63"/>
      <c r="AA220" s="63"/>
    </row>
    <row r="221" spans="1:27" s="9" customFormat="1" x14ac:dyDescent="0.25">
      <c r="A221" s="63"/>
      <c r="B221" s="63"/>
      <c r="C221" s="265"/>
      <c r="D221" s="265"/>
      <c r="E221" s="265"/>
      <c r="F221" s="265"/>
      <c r="G221" s="63"/>
      <c r="H221" s="63"/>
      <c r="I221" s="63"/>
      <c r="J221" s="63"/>
      <c r="K221" s="63"/>
      <c r="L221" s="63"/>
      <c r="M221" s="63"/>
      <c r="N221" s="63"/>
      <c r="O221" s="63"/>
      <c r="P221" s="63"/>
      <c r="Q221" s="63"/>
      <c r="R221" s="63"/>
      <c r="S221" s="63"/>
      <c r="T221" s="63"/>
      <c r="U221" s="63"/>
      <c r="V221" s="63"/>
      <c r="W221" s="63"/>
      <c r="X221" s="63"/>
      <c r="Y221" s="63"/>
      <c r="Z221" s="63"/>
      <c r="AA221" s="63"/>
    </row>
    <row r="222" spans="1:27" s="9" customFormat="1" x14ac:dyDescent="0.25">
      <c r="A222" s="63"/>
      <c r="B222" s="63"/>
      <c r="C222" s="265"/>
      <c r="D222" s="265"/>
      <c r="E222" s="265"/>
      <c r="F222" s="265"/>
      <c r="G222" s="63"/>
      <c r="H222" s="63"/>
      <c r="I222" s="63"/>
      <c r="J222" s="63"/>
      <c r="K222" s="63"/>
      <c r="L222" s="63"/>
      <c r="M222" s="63"/>
      <c r="N222" s="63"/>
      <c r="O222" s="63"/>
      <c r="P222" s="63"/>
      <c r="Q222" s="63"/>
      <c r="R222" s="63"/>
      <c r="S222" s="63"/>
      <c r="T222" s="63"/>
      <c r="U222" s="63"/>
      <c r="V222" s="63"/>
      <c r="W222" s="63"/>
      <c r="X222" s="63"/>
      <c r="Y222" s="63"/>
      <c r="Z222" s="63"/>
      <c r="AA222" s="63"/>
    </row>
    <row r="223" spans="1:27" s="9" customFormat="1" x14ac:dyDescent="0.25">
      <c r="A223" s="63"/>
      <c r="B223" s="63"/>
      <c r="C223" s="265"/>
      <c r="D223" s="265"/>
      <c r="E223" s="265"/>
      <c r="F223" s="265"/>
      <c r="G223" s="63"/>
      <c r="H223" s="63"/>
      <c r="I223" s="63"/>
      <c r="J223" s="63"/>
      <c r="K223" s="63"/>
      <c r="L223" s="63"/>
      <c r="M223" s="63"/>
      <c r="N223" s="63"/>
      <c r="O223" s="63"/>
      <c r="P223" s="63"/>
      <c r="Q223" s="63"/>
      <c r="R223" s="63"/>
      <c r="S223" s="63"/>
      <c r="T223" s="63"/>
      <c r="U223" s="63"/>
      <c r="V223" s="63"/>
      <c r="W223" s="63"/>
      <c r="X223" s="63"/>
      <c r="Y223" s="63"/>
      <c r="Z223" s="63"/>
      <c r="AA223" s="63"/>
    </row>
    <row r="224" spans="1:27" s="9" customFormat="1" x14ac:dyDescent="0.25">
      <c r="A224" s="63"/>
      <c r="B224" s="63"/>
      <c r="C224" s="265"/>
      <c r="D224" s="265"/>
      <c r="E224" s="265"/>
      <c r="F224" s="265"/>
      <c r="G224" s="63"/>
      <c r="H224" s="63"/>
      <c r="I224" s="63"/>
      <c r="J224" s="63"/>
      <c r="K224" s="63"/>
      <c r="L224" s="63"/>
      <c r="M224" s="63"/>
      <c r="N224" s="63"/>
      <c r="O224" s="63"/>
      <c r="P224" s="63"/>
      <c r="Q224" s="63"/>
      <c r="R224" s="63"/>
      <c r="S224" s="63"/>
      <c r="T224" s="63"/>
      <c r="U224" s="63"/>
      <c r="V224" s="63"/>
      <c r="W224" s="63"/>
      <c r="X224" s="63"/>
      <c r="Y224" s="63"/>
      <c r="Z224" s="63"/>
      <c r="AA224" s="63"/>
    </row>
    <row r="225" spans="1:27" s="9" customFormat="1" x14ac:dyDescent="0.25">
      <c r="A225" s="63"/>
      <c r="B225" s="267"/>
      <c r="C225" s="381"/>
      <c r="D225" s="381"/>
      <c r="E225" s="381"/>
      <c r="F225" s="381"/>
      <c r="G225" s="63"/>
      <c r="H225" s="63"/>
      <c r="I225" s="63"/>
      <c r="J225" s="63"/>
      <c r="K225" s="63"/>
      <c r="L225" s="63"/>
      <c r="M225" s="63"/>
      <c r="N225" s="63"/>
      <c r="O225" s="63"/>
      <c r="P225" s="63"/>
      <c r="Q225" s="63"/>
      <c r="R225" s="63"/>
      <c r="S225" s="63"/>
      <c r="T225" s="63"/>
      <c r="U225" s="63"/>
      <c r="V225" s="63"/>
      <c r="W225" s="63"/>
      <c r="X225" s="63"/>
      <c r="Y225" s="63"/>
      <c r="Z225" s="63"/>
      <c r="AA225" s="63"/>
    </row>
    <row r="226" spans="1:27" s="9" customFormat="1" x14ac:dyDescent="0.25">
      <c r="A226" s="63"/>
      <c r="B226" s="267"/>
      <c r="C226" s="381"/>
      <c r="D226" s="381"/>
      <c r="E226" s="381"/>
      <c r="F226" s="381"/>
      <c r="G226" s="63"/>
      <c r="H226" s="63"/>
      <c r="I226" s="63"/>
      <c r="J226" s="63"/>
      <c r="K226" s="63"/>
      <c r="L226" s="63"/>
      <c r="M226" s="63"/>
      <c r="N226" s="63"/>
      <c r="O226" s="63"/>
      <c r="P226" s="63"/>
      <c r="Q226" s="63"/>
      <c r="R226" s="63"/>
      <c r="S226" s="63"/>
      <c r="T226" s="63"/>
      <c r="U226" s="63"/>
      <c r="V226" s="63"/>
      <c r="W226" s="63"/>
      <c r="X226" s="63"/>
      <c r="Y226" s="63"/>
      <c r="Z226" s="63"/>
      <c r="AA226" s="63"/>
    </row>
    <row r="227" spans="1:27" s="9" customFormat="1" x14ac:dyDescent="0.25">
      <c r="A227" s="63"/>
      <c r="B227" s="267"/>
      <c r="C227" s="381"/>
      <c r="D227" s="381"/>
      <c r="E227" s="381"/>
      <c r="F227" s="381"/>
      <c r="G227" s="63"/>
      <c r="H227" s="63"/>
      <c r="I227" s="63"/>
      <c r="J227" s="63"/>
      <c r="K227" s="63"/>
      <c r="L227" s="63"/>
      <c r="M227" s="63"/>
      <c r="N227" s="63"/>
      <c r="O227" s="63"/>
      <c r="P227" s="63"/>
      <c r="Q227" s="63"/>
      <c r="R227" s="63"/>
      <c r="S227" s="63"/>
      <c r="T227" s="63"/>
      <c r="U227" s="63"/>
      <c r="V227" s="63"/>
      <c r="W227" s="63"/>
      <c r="X227" s="63"/>
      <c r="Y227" s="63"/>
      <c r="Z227" s="63"/>
      <c r="AA227" s="63"/>
    </row>
    <row r="228" spans="1:27" s="9" customFormat="1" x14ac:dyDescent="0.25">
      <c r="A228" s="63"/>
      <c r="B228" s="267"/>
      <c r="C228" s="381"/>
      <c r="D228" s="381"/>
      <c r="E228" s="381"/>
      <c r="F228" s="381"/>
      <c r="G228" s="63"/>
      <c r="H228" s="63"/>
      <c r="I228" s="63"/>
      <c r="J228" s="63"/>
      <c r="K228" s="63"/>
      <c r="L228" s="63"/>
      <c r="M228" s="63"/>
      <c r="N228" s="63"/>
      <c r="O228" s="63"/>
      <c r="P228" s="63"/>
      <c r="Q228" s="63"/>
      <c r="R228" s="63"/>
      <c r="S228" s="63"/>
      <c r="T228" s="63"/>
      <c r="U228" s="63"/>
      <c r="V228" s="63"/>
      <c r="W228" s="63"/>
      <c r="X228" s="63"/>
      <c r="Y228" s="63"/>
      <c r="Z228" s="63"/>
      <c r="AA228" s="63"/>
    </row>
    <row r="229" spans="1:27" s="9" customFormat="1" x14ac:dyDescent="0.25">
      <c r="A229" s="63"/>
      <c r="B229" s="63"/>
      <c r="C229" s="65"/>
      <c r="D229" s="65"/>
      <c r="E229" s="65"/>
      <c r="F229" s="65"/>
      <c r="G229" s="63"/>
      <c r="H229" s="63"/>
      <c r="I229" s="63"/>
      <c r="J229" s="63"/>
      <c r="K229" s="63"/>
      <c r="L229" s="63"/>
      <c r="M229" s="63"/>
      <c r="N229" s="63"/>
      <c r="O229" s="63"/>
      <c r="P229" s="63"/>
      <c r="Q229" s="63"/>
      <c r="R229" s="63"/>
      <c r="S229" s="63"/>
      <c r="T229" s="63"/>
      <c r="U229" s="63"/>
      <c r="V229" s="63"/>
      <c r="W229" s="63"/>
      <c r="X229" s="63"/>
      <c r="Y229" s="63"/>
      <c r="Z229" s="63"/>
      <c r="AA229" s="63"/>
    </row>
    <row r="230" spans="1:27" s="9" customFormat="1" x14ac:dyDescent="0.25">
      <c r="A230" s="63"/>
      <c r="B230" s="177"/>
      <c r="C230" s="65"/>
      <c r="D230" s="65"/>
      <c r="E230" s="65"/>
      <c r="F230" s="65"/>
      <c r="G230" s="63"/>
      <c r="H230" s="63"/>
      <c r="I230" s="63"/>
      <c r="J230" s="63"/>
      <c r="K230" s="63"/>
      <c r="L230" s="63"/>
      <c r="M230" s="63"/>
      <c r="N230" s="63"/>
      <c r="O230" s="63"/>
      <c r="P230" s="63"/>
      <c r="Q230" s="63"/>
      <c r="R230" s="63"/>
      <c r="S230" s="63"/>
      <c r="T230" s="63"/>
      <c r="U230" s="63"/>
      <c r="V230" s="63"/>
      <c r="W230" s="63"/>
      <c r="X230" s="63"/>
      <c r="Y230" s="63"/>
      <c r="Z230" s="63"/>
      <c r="AA230" s="63"/>
    </row>
    <row r="231" spans="1:27" s="9" customFormat="1" x14ac:dyDescent="0.25">
      <c r="A231" s="63"/>
      <c r="B231" s="63"/>
      <c r="C231" s="265"/>
      <c r="D231" s="265"/>
      <c r="E231" s="265"/>
      <c r="F231" s="265"/>
      <c r="G231" s="63"/>
      <c r="H231" s="63"/>
      <c r="I231" s="63"/>
      <c r="J231" s="63"/>
      <c r="K231" s="63"/>
      <c r="L231" s="63"/>
      <c r="M231" s="63"/>
      <c r="N231" s="63"/>
      <c r="O231" s="63"/>
      <c r="P231" s="63"/>
      <c r="Q231" s="63"/>
      <c r="R231" s="63"/>
      <c r="S231" s="63"/>
      <c r="T231" s="63"/>
      <c r="U231" s="63"/>
      <c r="V231" s="63"/>
      <c r="W231" s="63"/>
      <c r="X231" s="63"/>
      <c r="Y231" s="63"/>
      <c r="Z231" s="63"/>
      <c r="AA231" s="63"/>
    </row>
    <row r="232" spans="1:27" s="9" customFormat="1" x14ac:dyDescent="0.25">
      <c r="A232" s="63"/>
      <c r="B232" s="63"/>
      <c r="C232" s="265"/>
      <c r="D232" s="265"/>
      <c r="E232" s="265"/>
      <c r="F232" s="265"/>
      <c r="G232" s="63"/>
      <c r="H232" s="63"/>
      <c r="I232" s="63"/>
      <c r="J232" s="63"/>
      <c r="K232" s="63"/>
      <c r="L232" s="63"/>
      <c r="M232" s="63"/>
      <c r="N232" s="63"/>
      <c r="O232" s="63"/>
      <c r="P232" s="63"/>
      <c r="Q232" s="63"/>
      <c r="R232" s="63"/>
      <c r="S232" s="63"/>
      <c r="T232" s="63"/>
      <c r="U232" s="63"/>
      <c r="V232" s="63"/>
      <c r="W232" s="63"/>
      <c r="X232" s="63"/>
      <c r="Y232" s="63"/>
      <c r="Z232" s="63"/>
      <c r="AA232" s="63"/>
    </row>
    <row r="233" spans="1:27" s="9" customFormat="1" x14ac:dyDescent="0.25">
      <c r="A233" s="63"/>
      <c r="B233" s="63"/>
      <c r="C233" s="265"/>
      <c r="D233" s="265"/>
      <c r="E233" s="265"/>
      <c r="F233" s="265"/>
      <c r="G233" s="63"/>
      <c r="H233" s="63"/>
      <c r="I233" s="63"/>
      <c r="J233" s="63"/>
      <c r="K233" s="63"/>
      <c r="L233" s="63"/>
      <c r="M233" s="63"/>
      <c r="N233" s="63"/>
      <c r="O233" s="63"/>
      <c r="P233" s="63"/>
      <c r="Q233" s="63"/>
      <c r="R233" s="63"/>
      <c r="S233" s="63"/>
      <c r="T233" s="63"/>
      <c r="U233" s="63"/>
      <c r="V233" s="63"/>
      <c r="W233" s="63"/>
      <c r="X233" s="63"/>
      <c r="Y233" s="63"/>
      <c r="Z233" s="63"/>
      <c r="AA233" s="63"/>
    </row>
    <row r="234" spans="1:27" s="9" customFormat="1" x14ac:dyDescent="0.25">
      <c r="A234" s="63"/>
      <c r="B234" s="63"/>
      <c r="C234" s="265"/>
      <c r="D234" s="265"/>
      <c r="E234" s="265"/>
      <c r="F234" s="265"/>
      <c r="G234" s="136"/>
      <c r="H234" s="63"/>
      <c r="I234" s="63"/>
      <c r="J234" s="63"/>
      <c r="K234" s="63"/>
      <c r="L234" s="63"/>
      <c r="M234" s="63"/>
      <c r="N234" s="63"/>
      <c r="O234" s="63"/>
      <c r="P234" s="63"/>
      <c r="Q234" s="63"/>
      <c r="R234" s="63"/>
      <c r="S234" s="63"/>
      <c r="T234" s="63"/>
      <c r="U234" s="63"/>
      <c r="V234" s="63"/>
      <c r="W234" s="63"/>
      <c r="X234" s="63"/>
      <c r="Y234" s="63"/>
      <c r="Z234" s="63"/>
      <c r="AA234" s="63"/>
    </row>
    <row r="235" spans="1:27" s="9" customFormat="1" x14ac:dyDescent="0.25">
      <c r="A235" s="63"/>
      <c r="B235" s="63"/>
      <c r="C235" s="265"/>
      <c r="D235" s="265"/>
      <c r="E235" s="265"/>
      <c r="F235" s="265"/>
      <c r="G235" s="136"/>
      <c r="H235" s="63"/>
      <c r="I235" s="63"/>
      <c r="J235" s="63"/>
      <c r="K235" s="63"/>
      <c r="L235" s="63"/>
      <c r="M235" s="63"/>
      <c r="N235" s="63"/>
      <c r="O235" s="63"/>
      <c r="P235" s="63"/>
      <c r="Q235" s="63"/>
      <c r="R235" s="63"/>
      <c r="S235" s="63"/>
      <c r="T235" s="63"/>
      <c r="U235" s="63"/>
      <c r="V235" s="63"/>
      <c r="W235" s="63"/>
      <c r="X235" s="63"/>
      <c r="Y235" s="63"/>
      <c r="Z235" s="63"/>
      <c r="AA235" s="63"/>
    </row>
    <row r="236" spans="1:27" s="9" customFormat="1" x14ac:dyDescent="0.25">
      <c r="A236" s="63"/>
      <c r="B236" s="63"/>
      <c r="C236" s="265"/>
      <c r="D236" s="265"/>
      <c r="E236" s="265"/>
      <c r="F236" s="265"/>
      <c r="G236" s="136"/>
      <c r="H236" s="63"/>
      <c r="I236" s="63"/>
      <c r="J236" s="63"/>
      <c r="K236" s="63"/>
      <c r="L236" s="63"/>
      <c r="M236" s="63"/>
      <c r="N236" s="63"/>
      <c r="O236" s="63"/>
      <c r="P236" s="63"/>
      <c r="Q236" s="63"/>
      <c r="R236" s="63"/>
      <c r="S236" s="63"/>
      <c r="T236" s="63"/>
      <c r="U236" s="63"/>
      <c r="V236" s="63"/>
      <c r="W236" s="63"/>
      <c r="X236" s="63"/>
      <c r="Y236" s="63"/>
      <c r="Z236" s="63"/>
      <c r="AA236" s="63"/>
    </row>
    <row r="237" spans="1:27" s="9" customFormat="1" x14ac:dyDescent="0.25">
      <c r="A237" s="63"/>
      <c r="B237" s="63"/>
      <c r="C237" s="265"/>
      <c r="D237" s="265"/>
      <c r="E237" s="265"/>
      <c r="F237" s="265"/>
      <c r="G237" s="136"/>
      <c r="H237" s="63"/>
      <c r="I237" s="63"/>
      <c r="J237" s="63"/>
      <c r="K237" s="63"/>
      <c r="L237" s="63"/>
      <c r="M237" s="63"/>
      <c r="N237" s="63"/>
      <c r="O237" s="63"/>
      <c r="P237" s="63"/>
      <c r="Q237" s="63"/>
      <c r="R237" s="63"/>
      <c r="S237" s="63"/>
      <c r="T237" s="63"/>
      <c r="U237" s="63"/>
      <c r="V237" s="63"/>
      <c r="W237" s="63"/>
      <c r="X237" s="63"/>
      <c r="Y237" s="63"/>
      <c r="Z237" s="63"/>
      <c r="AA237" s="63"/>
    </row>
    <row r="238" spans="1:27" s="9" customFormat="1" x14ac:dyDescent="0.25">
      <c r="A238" s="63"/>
      <c r="B238" s="267"/>
      <c r="C238" s="381"/>
      <c r="D238" s="381"/>
      <c r="E238" s="381"/>
      <c r="F238" s="381"/>
      <c r="G238" s="136"/>
      <c r="H238" s="63"/>
      <c r="I238" s="63"/>
      <c r="J238" s="63"/>
      <c r="K238" s="63"/>
      <c r="L238" s="63"/>
      <c r="M238" s="63"/>
      <c r="N238" s="63"/>
      <c r="O238" s="63"/>
      <c r="P238" s="63"/>
      <c r="Q238" s="63"/>
      <c r="R238" s="63"/>
      <c r="S238" s="63"/>
      <c r="T238" s="63"/>
      <c r="U238" s="63"/>
      <c r="V238" s="63"/>
      <c r="W238" s="63"/>
      <c r="X238" s="63"/>
      <c r="Y238" s="63"/>
      <c r="Z238" s="63"/>
      <c r="AA238" s="63"/>
    </row>
    <row r="239" spans="1:27" s="9" customFormat="1" x14ac:dyDescent="0.25">
      <c r="A239" s="63"/>
      <c r="B239" s="267"/>
      <c r="C239" s="381"/>
      <c r="D239" s="381"/>
      <c r="E239" s="381"/>
      <c r="F239" s="381"/>
      <c r="G239" s="63"/>
      <c r="H239" s="63"/>
      <c r="I239" s="63"/>
      <c r="J239" s="63"/>
      <c r="K239" s="63"/>
      <c r="L239" s="63"/>
      <c r="M239" s="63"/>
      <c r="N239" s="63"/>
      <c r="O239" s="63"/>
      <c r="P239" s="63"/>
      <c r="Q239" s="63"/>
      <c r="R239" s="63"/>
      <c r="S239" s="63"/>
      <c r="T239" s="63"/>
      <c r="U239" s="63"/>
      <c r="V239" s="63"/>
      <c r="W239" s="63"/>
      <c r="X239" s="63"/>
      <c r="Y239" s="63"/>
      <c r="Z239" s="63"/>
      <c r="AA239" s="63"/>
    </row>
    <row r="240" spans="1:27" s="9" customFormat="1" x14ac:dyDescent="0.25">
      <c r="A240" s="63"/>
      <c r="B240" s="267"/>
      <c r="C240" s="381"/>
      <c r="D240" s="381"/>
      <c r="E240" s="381"/>
      <c r="F240" s="381"/>
      <c r="G240" s="63"/>
      <c r="H240" s="63"/>
      <c r="I240" s="63"/>
      <c r="J240" s="63"/>
      <c r="K240" s="63"/>
      <c r="L240" s="63"/>
      <c r="M240" s="63"/>
      <c r="N240" s="63"/>
      <c r="O240" s="63"/>
      <c r="P240" s="63"/>
      <c r="Q240" s="63"/>
      <c r="R240" s="63"/>
      <c r="S240" s="63"/>
      <c r="T240" s="63"/>
      <c r="U240" s="63"/>
      <c r="V240" s="63"/>
      <c r="W240" s="63"/>
      <c r="X240" s="63"/>
      <c r="Y240" s="63"/>
      <c r="Z240" s="63"/>
      <c r="AA240" s="63"/>
    </row>
    <row r="241" spans="1:27" s="9" customFormat="1" x14ac:dyDescent="0.25">
      <c r="A241" s="63"/>
      <c r="B241" s="267"/>
      <c r="C241" s="381"/>
      <c r="D241" s="381"/>
      <c r="E241" s="381"/>
      <c r="F241" s="381"/>
      <c r="G241" s="63"/>
      <c r="H241" s="63"/>
      <c r="I241" s="63"/>
      <c r="J241" s="63"/>
      <c r="K241" s="63"/>
      <c r="L241" s="63"/>
      <c r="M241" s="63"/>
      <c r="N241" s="63"/>
      <c r="O241" s="63"/>
      <c r="P241" s="63"/>
      <c r="Q241" s="63"/>
      <c r="R241" s="63"/>
      <c r="S241" s="63"/>
      <c r="T241" s="63"/>
      <c r="U241" s="63"/>
      <c r="V241" s="63"/>
      <c r="W241" s="63"/>
      <c r="X241" s="63"/>
      <c r="Y241" s="63"/>
      <c r="Z241" s="63"/>
      <c r="AA241" s="63"/>
    </row>
    <row r="242" spans="1:27" s="9" customFormat="1" x14ac:dyDescent="0.25">
      <c r="A242" s="63"/>
      <c r="B242" s="63"/>
      <c r="C242" s="65"/>
      <c r="D242" s="65"/>
      <c r="E242" s="65"/>
      <c r="F242" s="65"/>
      <c r="G242" s="63"/>
      <c r="H242" s="63"/>
      <c r="I242" s="63"/>
      <c r="J242" s="63"/>
      <c r="K242" s="63"/>
      <c r="L242" s="63"/>
      <c r="M242" s="63"/>
      <c r="N242" s="63"/>
      <c r="O242" s="63"/>
      <c r="P242" s="63"/>
      <c r="Q242" s="63"/>
      <c r="R242" s="63"/>
      <c r="S242" s="63"/>
      <c r="T242" s="63"/>
      <c r="U242" s="63"/>
      <c r="V242" s="63"/>
      <c r="W242" s="63"/>
      <c r="X242" s="63"/>
      <c r="Y242" s="63"/>
      <c r="Z242" s="63"/>
      <c r="AA242" s="63"/>
    </row>
    <row r="243" spans="1:27" s="9" customFormat="1" x14ac:dyDescent="0.25">
      <c r="A243" s="63"/>
      <c r="B243" s="63"/>
      <c r="C243" s="65"/>
      <c r="D243" s="65"/>
      <c r="E243" s="65"/>
      <c r="F243" s="65"/>
      <c r="G243" s="63"/>
      <c r="H243" s="136"/>
      <c r="I243" s="136"/>
      <c r="J243" s="136"/>
      <c r="K243" s="136"/>
      <c r="L243" s="63"/>
      <c r="M243" s="63"/>
      <c r="N243" s="63"/>
      <c r="O243" s="63"/>
      <c r="P243" s="63"/>
      <c r="Q243" s="63"/>
      <c r="R243" s="63"/>
      <c r="S243" s="63"/>
      <c r="T243" s="63"/>
      <c r="U243" s="63"/>
      <c r="V243" s="63"/>
      <c r="W243" s="63"/>
      <c r="X243" s="63"/>
      <c r="Y243" s="63"/>
      <c r="Z243" s="63"/>
      <c r="AA243" s="63"/>
    </row>
    <row r="244" spans="1:27" s="9" customFormat="1" x14ac:dyDescent="0.25">
      <c r="A244" s="63"/>
      <c r="B244" s="63"/>
      <c r="C244" s="65"/>
      <c r="D244" s="65"/>
      <c r="E244" s="65"/>
      <c r="F244" s="65"/>
      <c r="G244" s="63"/>
      <c r="H244" s="136"/>
      <c r="I244" s="136"/>
      <c r="J244" s="136"/>
      <c r="K244" s="136"/>
      <c r="L244" s="63"/>
      <c r="M244" s="63"/>
      <c r="N244" s="63"/>
      <c r="O244" s="63"/>
      <c r="P244" s="63"/>
      <c r="Q244" s="63"/>
      <c r="R244" s="63"/>
      <c r="S244" s="63"/>
      <c r="T244" s="63"/>
      <c r="U244" s="63"/>
      <c r="V244" s="63"/>
      <c r="W244" s="63"/>
      <c r="X244" s="63"/>
      <c r="Y244" s="63"/>
      <c r="Z244" s="63"/>
      <c r="AA244" s="63"/>
    </row>
    <row r="245" spans="1:27" s="9" customFormat="1" x14ac:dyDescent="0.25">
      <c r="A245" s="63"/>
      <c r="B245" s="63"/>
      <c r="C245" s="65"/>
      <c r="D245" s="65"/>
      <c r="E245" s="65"/>
      <c r="F245" s="65"/>
      <c r="G245" s="63"/>
      <c r="H245" s="136"/>
      <c r="I245" s="136"/>
      <c r="J245" s="136"/>
      <c r="K245" s="136"/>
      <c r="L245" s="63"/>
      <c r="M245" s="63"/>
      <c r="N245" s="63"/>
      <c r="O245" s="63"/>
      <c r="P245" s="63"/>
      <c r="Q245" s="63"/>
      <c r="R245" s="63"/>
      <c r="S245" s="63"/>
      <c r="T245" s="63"/>
      <c r="U245" s="63"/>
      <c r="V245" s="63"/>
      <c r="W245" s="63"/>
      <c r="X245" s="63"/>
      <c r="Y245" s="63"/>
      <c r="Z245" s="63"/>
      <c r="AA245" s="63"/>
    </row>
    <row r="246" spans="1:27" s="9" customFormat="1" x14ac:dyDescent="0.25">
      <c r="A246" s="63"/>
      <c r="B246" s="63"/>
      <c r="C246" s="65"/>
      <c r="D246" s="65"/>
      <c r="E246" s="65"/>
      <c r="F246" s="65"/>
      <c r="G246" s="63"/>
      <c r="H246" s="136"/>
      <c r="I246" s="136"/>
      <c r="J246" s="136"/>
      <c r="K246" s="136"/>
      <c r="L246" s="63"/>
      <c r="M246" s="63"/>
      <c r="N246" s="63"/>
      <c r="O246" s="63"/>
      <c r="P246" s="63"/>
      <c r="Q246" s="63"/>
      <c r="R246" s="63"/>
      <c r="S246" s="63"/>
      <c r="T246" s="63"/>
      <c r="U246" s="63"/>
      <c r="V246" s="63"/>
      <c r="W246" s="63"/>
      <c r="X246" s="63"/>
      <c r="Y246" s="63"/>
      <c r="Z246" s="63"/>
      <c r="AA246" s="63"/>
    </row>
    <row r="247" spans="1:27" s="9" customFormat="1" x14ac:dyDescent="0.25">
      <c r="A247" s="63"/>
      <c r="B247" s="63"/>
      <c r="C247" s="65"/>
      <c r="D247" s="65"/>
      <c r="E247" s="65"/>
      <c r="F247" s="65"/>
      <c r="G247" s="63"/>
      <c r="H247" s="136"/>
      <c r="I247" s="136"/>
      <c r="J247" s="136"/>
      <c r="K247" s="136"/>
      <c r="L247" s="63"/>
      <c r="M247" s="63"/>
      <c r="N247" s="63"/>
      <c r="O247" s="63"/>
      <c r="P247" s="63"/>
      <c r="Q247" s="63"/>
      <c r="R247" s="63"/>
      <c r="S247" s="63"/>
      <c r="T247" s="63"/>
      <c r="U247" s="63"/>
      <c r="V247" s="63"/>
      <c r="W247" s="63"/>
      <c r="X247" s="63"/>
      <c r="Y247" s="63"/>
      <c r="Z247" s="63"/>
      <c r="AA247" s="63"/>
    </row>
    <row r="248" spans="1:27" s="9" customFormat="1" x14ac:dyDescent="0.25">
      <c r="A248" s="63"/>
      <c r="B248" s="63"/>
      <c r="C248" s="65"/>
      <c r="D248" s="65"/>
      <c r="E248" s="65"/>
      <c r="F248" s="65"/>
      <c r="G248" s="63"/>
      <c r="H248" s="136"/>
      <c r="I248" s="63"/>
      <c r="J248" s="63"/>
      <c r="K248" s="63"/>
      <c r="L248" s="63"/>
      <c r="M248" s="63"/>
      <c r="N248" s="63"/>
      <c r="O248" s="63"/>
      <c r="P248" s="63"/>
      <c r="Q248" s="63"/>
      <c r="R248" s="63"/>
      <c r="S248" s="63"/>
      <c r="T248" s="63"/>
      <c r="U248" s="63"/>
      <c r="V248" s="63"/>
      <c r="W248" s="63"/>
      <c r="X248" s="63"/>
      <c r="Y248" s="63"/>
      <c r="Z248" s="63"/>
      <c r="AA248" s="63"/>
    </row>
    <row r="249" spans="1:27" s="9" customFormat="1" x14ac:dyDescent="0.25">
      <c r="A249" s="63"/>
      <c r="B249" s="63"/>
      <c r="C249" s="65"/>
      <c r="D249" s="65"/>
      <c r="E249" s="65"/>
      <c r="F249" s="65"/>
      <c r="G249" s="63"/>
      <c r="H249" s="136"/>
      <c r="I249" s="63"/>
      <c r="J249" s="63"/>
      <c r="K249" s="63"/>
      <c r="L249" s="63"/>
      <c r="M249" s="63"/>
      <c r="N249" s="63"/>
      <c r="O249" s="63"/>
      <c r="P249" s="63"/>
      <c r="Q249" s="63"/>
      <c r="R249" s="63"/>
      <c r="S249" s="63"/>
      <c r="T249" s="63"/>
      <c r="U249" s="63"/>
      <c r="V249" s="63"/>
      <c r="W249" s="63"/>
      <c r="X249" s="63"/>
      <c r="Y249" s="63"/>
      <c r="Z249" s="63"/>
      <c r="AA249" s="63"/>
    </row>
    <row r="250" spans="1:27" s="9" customFormat="1" x14ac:dyDescent="0.25">
      <c r="A250" s="63"/>
      <c r="B250" s="63"/>
      <c r="C250" s="65"/>
      <c r="D250" s="65"/>
      <c r="E250" s="65"/>
      <c r="F250" s="65"/>
      <c r="G250" s="63"/>
      <c r="H250" s="65"/>
      <c r="I250" s="63"/>
      <c r="J250" s="63"/>
      <c r="K250" s="63"/>
      <c r="L250" s="63"/>
      <c r="M250" s="63"/>
      <c r="N250" s="63"/>
      <c r="O250" s="63"/>
      <c r="P250" s="63"/>
      <c r="Q250" s="63"/>
      <c r="R250" s="63"/>
      <c r="S250" s="63"/>
      <c r="T250" s="63"/>
      <c r="U250" s="63"/>
      <c r="V250" s="63"/>
      <c r="W250" s="63"/>
      <c r="X250" s="63"/>
      <c r="Y250" s="63"/>
      <c r="Z250" s="63"/>
      <c r="AA250" s="63"/>
    </row>
  </sheetData>
  <sheetProtection algorithmName="SHA-512" hashValue="y7dq6qZI+0J94PiKwxmpZFV/yrTOFIfOASH5/vRTwg3Iu2X8XtJ+xiiFEWtwEdUOmfQodFEQa6s4itLfJX0bNw==" saltValue="Fum6sBnsMH9IUpUGSB5juw==" spinCount="100000" sheet="1" objects="1" scenarios="1"/>
  <protectedRanges>
    <protectedRange sqref="A1:XFD1048576" name="all"/>
  </protectedRanges>
  <pageMargins left="0.7" right="0.7" top="0.75" bottom="0.75" header="0.3" footer="0.3"/>
  <pageSetup paperSize="9" orientation="portrait" r:id="rId1"/>
  <ignoredErrors>
    <ignoredError sqref="D3:E3 E6 E8:E24 E114:E128 D111" 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Z112"/>
  <sheetViews>
    <sheetView topLeftCell="A91" zoomScale="80" zoomScaleNormal="80" zoomScalePageLayoutView="89" workbookViewId="0">
      <selection activeCell="D120" sqref="D120"/>
    </sheetView>
  </sheetViews>
  <sheetFormatPr defaultColWidth="8.85546875" defaultRowHeight="15" x14ac:dyDescent="0.25"/>
  <cols>
    <col min="1" max="1" width="3.85546875" customWidth="1"/>
    <col min="2" max="2" width="31" customWidth="1"/>
    <col min="3" max="3" width="15.42578125" style="8" customWidth="1"/>
    <col min="4" max="4" width="20.28515625" style="8" customWidth="1"/>
    <col min="5" max="5" width="13.85546875" style="8" customWidth="1"/>
    <col min="6" max="6" width="24" style="8" customWidth="1"/>
    <col min="7" max="7" width="3" style="8" customWidth="1"/>
    <col min="8" max="8" width="18.28515625" customWidth="1"/>
    <col min="9" max="9" width="2.85546875" customWidth="1"/>
    <col min="10" max="10" width="20.42578125" customWidth="1"/>
  </cols>
  <sheetData>
    <row r="1" spans="1:14" s="9" customFormat="1" x14ac:dyDescent="0.25">
      <c r="A1" s="110"/>
      <c r="B1" s="177" t="s">
        <v>972</v>
      </c>
      <c r="C1" s="226" t="s">
        <v>971</v>
      </c>
      <c r="D1" s="226"/>
      <c r="E1" s="251"/>
      <c r="F1" s="251"/>
      <c r="G1" s="251"/>
      <c r="H1" s="225" t="s">
        <v>8</v>
      </c>
      <c r="I1" s="110"/>
      <c r="J1" s="110"/>
      <c r="K1" s="110"/>
      <c r="L1" s="110"/>
      <c r="M1" s="110"/>
      <c r="N1" s="110"/>
    </row>
    <row r="2" spans="1:14" s="9" customFormat="1" ht="15.75" thickBot="1" x14ac:dyDescent="0.3">
      <c r="A2" s="110"/>
      <c r="B2" s="110"/>
      <c r="C2" s="111"/>
      <c r="D2" s="784"/>
      <c r="E2" s="681"/>
      <c r="F2" s="65"/>
      <c r="G2" s="110"/>
      <c r="H2" s="110"/>
      <c r="I2" s="110"/>
      <c r="J2" s="110"/>
      <c r="K2" s="110"/>
      <c r="L2" s="110"/>
      <c r="M2" s="110"/>
      <c r="N2" s="110"/>
    </row>
    <row r="3" spans="1:14" s="9" customFormat="1" ht="29.25" x14ac:dyDescent="0.25">
      <c r="A3" s="110"/>
      <c r="B3" s="789" t="s">
        <v>1710</v>
      </c>
      <c r="C3" s="795" t="str">
        <f>IF(topdowntables!$N$4=1, "Total", "Total")</f>
        <v>Total</v>
      </c>
      <c r="D3" s="794" t="str">
        <f>IF(topdowntables!$N$4=1, "per produceret smågris", "Per produced piglet")</f>
        <v>per produceret smågris</v>
      </c>
      <c r="E3" s="795" t="str">
        <f>IF(topdowntables!$N$4=1, "Total", "Total")</f>
        <v>Total</v>
      </c>
      <c r="F3" s="796" t="str">
        <f>IF(topdowntables!$N$4=1, "per produceret smågris", "Per produced piglet")</f>
        <v>per produceret smågris</v>
      </c>
      <c r="G3" s="110"/>
      <c r="H3" s="110"/>
      <c r="I3" s="110"/>
      <c r="J3" s="110"/>
      <c r="K3" s="110"/>
      <c r="L3" s="110"/>
      <c r="M3" s="110"/>
      <c r="N3" s="110"/>
    </row>
    <row r="4" spans="1:14" s="9" customFormat="1" x14ac:dyDescent="0.25">
      <c r="A4" s="110"/>
      <c r="B4" s="382" t="s">
        <v>1854</v>
      </c>
      <c r="C4" s="471" t="s">
        <v>1855</v>
      </c>
      <c r="D4" s="471" t="s">
        <v>1855</v>
      </c>
      <c r="E4" s="679" t="s">
        <v>1341</v>
      </c>
      <c r="F4" s="383" t="s">
        <v>1341</v>
      </c>
      <c r="G4" s="680"/>
      <c r="H4" s="110"/>
      <c r="I4" s="110"/>
      <c r="J4" s="110"/>
      <c r="K4" s="110"/>
      <c r="L4" s="110"/>
      <c r="M4" s="110"/>
      <c r="N4" s="110"/>
    </row>
    <row r="5" spans="1:14" s="9" customFormat="1" x14ac:dyDescent="0.25">
      <c r="A5" s="110"/>
      <c r="B5" s="239" t="s">
        <v>1568</v>
      </c>
      <c r="C5" s="65"/>
      <c r="D5" s="65"/>
      <c r="E5" s="65"/>
      <c r="F5" s="241"/>
      <c r="G5" s="110"/>
      <c r="H5" s="110"/>
      <c r="I5" s="110"/>
      <c r="J5" s="110"/>
      <c r="K5" s="110"/>
      <c r="L5" s="110"/>
      <c r="M5" s="110"/>
      <c r="N5" s="110"/>
    </row>
    <row r="6" spans="1:14" s="9" customFormat="1" x14ac:dyDescent="0.25">
      <c r="A6" s="110"/>
      <c r="B6" s="239" t="s">
        <v>1617</v>
      </c>
      <c r="C6" s="265">
        <f>IF('input-data'!E30=0, 0, 'NPK tal'!$B$5/1000*'Flow smågrise'!D7*('Flow smågrise'!D5+'Flow smågrise'!D6))</f>
        <v>0</v>
      </c>
      <c r="D6" s="90">
        <f>IFERROR(C6/'Flow smågrise'!$D$9,0)</f>
        <v>0</v>
      </c>
      <c r="E6" s="265">
        <f>IF('input-data'!E30=0, 0, 'NPK tal'!$C$5/1000*'Flow smågrise'!D7*('Flow smågrise'!D5+'Flow smågrise'!D6))</f>
        <v>0</v>
      </c>
      <c r="F6" s="259">
        <f>IFERROR(E6/'Flow smågrise'!$D$9,0)</f>
        <v>0</v>
      </c>
      <c r="G6" s="258"/>
      <c r="H6" s="110" t="s">
        <v>1625</v>
      </c>
      <c r="I6" s="110"/>
      <c r="J6" s="110"/>
      <c r="K6" s="110"/>
      <c r="L6" s="110"/>
      <c r="M6" s="110"/>
      <c r="N6" s="110"/>
    </row>
    <row r="7" spans="1:14" s="9" customFormat="1" x14ac:dyDescent="0.25">
      <c r="A7" s="110"/>
      <c r="B7" s="239" t="s">
        <v>1563</v>
      </c>
      <c r="C7" s="265"/>
      <c r="D7" s="90"/>
      <c r="E7" s="65"/>
      <c r="F7" s="259"/>
      <c r="G7" s="258"/>
      <c r="H7" s="110"/>
      <c r="I7" s="110"/>
      <c r="J7" s="110"/>
      <c r="K7" s="110"/>
      <c r="L7" s="110"/>
      <c r="M7" s="110"/>
      <c r="N7" s="110"/>
    </row>
    <row r="8" spans="1:14" s="9" customFormat="1" x14ac:dyDescent="0.25">
      <c r="A8" s="110"/>
      <c r="B8" s="239" t="s">
        <v>1618</v>
      </c>
      <c r="C8" s="265">
        <f>'Flow smågrise'!D66*'Flow smågrise'!D9</f>
        <v>0</v>
      </c>
      <c r="D8" s="90">
        <f>IFERROR(C8/'Flow smågrise'!$D$9,0)</f>
        <v>0</v>
      </c>
      <c r="E8" s="265">
        <f>'Flow smågrise'!D67*'Flow smågrise'!D9</f>
        <v>0</v>
      </c>
      <c r="F8" s="259">
        <f>IFERROR(E8/'Flow smågrise'!$D$9,0)</f>
        <v>0</v>
      </c>
      <c r="G8" s="258"/>
      <c r="H8" s="110" t="s">
        <v>1626</v>
      </c>
      <c r="I8" s="110"/>
      <c r="J8" s="110"/>
      <c r="K8" s="110"/>
      <c r="L8" s="110"/>
      <c r="M8" s="110"/>
      <c r="N8" s="110"/>
    </row>
    <row r="9" spans="1:14" s="9" customFormat="1" x14ac:dyDescent="0.25">
      <c r="A9" s="110"/>
      <c r="B9" s="239" t="s">
        <v>1619</v>
      </c>
      <c r="C9" s="265">
        <f>'Flow smågrise'!D71*'Flow smågrise'!D9</f>
        <v>0</v>
      </c>
      <c r="D9" s="90">
        <f>IFERROR(C9/'Flow smågrise'!$D$9,0)</f>
        <v>0</v>
      </c>
      <c r="E9" s="265">
        <f>'Flow smågrise'!D72*'Flow smågrise'!D9</f>
        <v>0</v>
      </c>
      <c r="F9" s="259">
        <f>IFERROR(E9/'Flow smågrise'!$D$9,0)</f>
        <v>0</v>
      </c>
      <c r="G9" s="258"/>
      <c r="H9" s="110" t="s">
        <v>1626</v>
      </c>
      <c r="I9" s="110"/>
      <c r="J9" s="110"/>
      <c r="K9" s="110"/>
      <c r="L9" s="110"/>
      <c r="M9" s="110"/>
      <c r="N9" s="110"/>
    </row>
    <row r="10" spans="1:14" s="9" customFormat="1" x14ac:dyDescent="0.25">
      <c r="A10" s="110"/>
      <c r="B10" s="239" t="s">
        <v>1564</v>
      </c>
      <c r="C10" s="265"/>
      <c r="D10" s="90"/>
      <c r="E10" s="265"/>
      <c r="F10" s="259"/>
      <c r="G10" s="258"/>
      <c r="H10" s="110"/>
      <c r="I10" s="110"/>
      <c r="J10" s="110"/>
      <c r="K10" s="110"/>
      <c r="L10" s="110"/>
      <c r="M10" s="110"/>
      <c r="N10" s="110"/>
    </row>
    <row r="11" spans="1:14" s="9" customFormat="1" x14ac:dyDescent="0.25">
      <c r="A11" s="110"/>
      <c r="B11" s="239" t="s">
        <v>1845</v>
      </c>
      <c r="C11" s="265">
        <f>'Flow smågrise'!D88*'Flow smågrise'!D9</f>
        <v>0</v>
      </c>
      <c r="D11" s="90">
        <f>IFERROR(C11/'Flow smågrise'!$D$9,0)</f>
        <v>0</v>
      </c>
      <c r="E11" s="265">
        <f>'Flow smågrise'!D89*'Flow smågrise'!D9</f>
        <v>0</v>
      </c>
      <c r="F11" s="259">
        <f>IFERROR(E11/'Flow smågrise'!$D$9,0)</f>
        <v>0</v>
      </c>
      <c r="G11" s="258"/>
      <c r="H11" s="110" t="s">
        <v>1569</v>
      </c>
      <c r="I11" s="110"/>
      <c r="J11" s="110"/>
      <c r="K11" s="110"/>
      <c r="L11" s="110"/>
      <c r="M11" s="110"/>
      <c r="N11" s="110"/>
    </row>
    <row r="12" spans="1:14" s="9" customFormat="1" x14ac:dyDescent="0.25">
      <c r="A12" s="110"/>
      <c r="B12" s="239" t="s">
        <v>1621</v>
      </c>
      <c r="C12" s="265">
        <f>'Flow smågrise'!D93*'Flow smågrise'!D9</f>
        <v>0</v>
      </c>
      <c r="D12" s="90">
        <f>IFERROR(C12/'Flow smågrise'!$D$9,0)</f>
        <v>0</v>
      </c>
      <c r="E12" s="265">
        <f>'Flow smågrise'!D94*'Flow smågrise'!D9</f>
        <v>0</v>
      </c>
      <c r="F12" s="259">
        <f>IFERROR(E12/'Flow smågrise'!$D$9,0)</f>
        <v>0</v>
      </c>
      <c r="G12" s="258"/>
      <c r="H12" s="110"/>
      <c r="I12" s="110"/>
      <c r="J12" s="110"/>
      <c r="K12" s="110"/>
      <c r="L12" s="110"/>
      <c r="M12" s="110"/>
      <c r="N12" s="110"/>
    </row>
    <row r="13" spans="1:14" s="9" customFormat="1" x14ac:dyDescent="0.25">
      <c r="A13" s="110"/>
      <c r="B13" s="239" t="s">
        <v>1565</v>
      </c>
      <c r="C13" s="265"/>
      <c r="D13" s="90"/>
      <c r="E13" s="265"/>
      <c r="F13" s="259"/>
      <c r="G13" s="258"/>
      <c r="H13" s="110"/>
      <c r="I13" s="110"/>
      <c r="J13" s="110"/>
      <c r="K13" s="110"/>
      <c r="L13" s="110"/>
      <c r="M13" s="110"/>
      <c r="N13" s="110"/>
    </row>
    <row r="14" spans="1:14" s="9" customFormat="1" x14ac:dyDescent="0.25">
      <c r="A14" s="110"/>
      <c r="B14" s="239" t="s">
        <v>1620</v>
      </c>
      <c r="C14" s="265">
        <f>'Flow smågrise'!D102*'Flow smågrise'!D9</f>
        <v>0</v>
      </c>
      <c r="D14" s="90">
        <f>IFERROR(C14/'Flow smågrise'!$D$9,0)</f>
        <v>0</v>
      </c>
      <c r="E14" s="265">
        <f>'Flow smågrise'!D103*'Flow smågrise'!D9</f>
        <v>0</v>
      </c>
      <c r="F14" s="259">
        <f>IFERROR(E14/'Flow smågrise'!$D$9,0)</f>
        <v>0</v>
      </c>
      <c r="G14" s="258"/>
      <c r="H14" s="110" t="s">
        <v>1569</v>
      </c>
      <c r="I14" s="110"/>
      <c r="J14" s="110"/>
      <c r="K14" s="110"/>
      <c r="L14" s="110"/>
      <c r="M14" s="110"/>
      <c r="N14" s="110"/>
    </row>
    <row r="15" spans="1:14" s="9" customFormat="1" x14ac:dyDescent="0.25">
      <c r="A15" s="110"/>
      <c r="B15" s="239" t="s">
        <v>1621</v>
      </c>
      <c r="C15" s="265">
        <f>'Flow smågrise'!D107*'Flow smågrise'!D9</f>
        <v>0</v>
      </c>
      <c r="D15" s="90">
        <f>IFERROR(C15/'Flow smågrise'!$D$9,0)</f>
        <v>0</v>
      </c>
      <c r="E15" s="265">
        <f>'Flow smågrise'!D108*'Flow smågrise'!D9</f>
        <v>0</v>
      </c>
      <c r="F15" s="259">
        <f>IFERROR(E15/'Flow smågrise'!$D$9,0)</f>
        <v>0</v>
      </c>
      <c r="G15" s="258"/>
      <c r="H15" s="110"/>
      <c r="I15" s="110"/>
      <c r="J15" s="110"/>
      <c r="K15" s="110"/>
      <c r="L15" s="110"/>
      <c r="M15" s="110"/>
      <c r="N15" s="110"/>
    </row>
    <row r="16" spans="1:14" s="9" customFormat="1" x14ac:dyDescent="0.25">
      <c r="A16" s="110"/>
      <c r="B16" s="239"/>
      <c r="C16" s="265"/>
      <c r="D16" s="90"/>
      <c r="E16" s="65"/>
      <c r="F16" s="259"/>
      <c r="G16" s="258"/>
      <c r="H16" s="110"/>
      <c r="I16" s="110"/>
      <c r="J16" s="110"/>
      <c r="K16" s="110"/>
      <c r="L16" s="110"/>
      <c r="M16" s="110"/>
      <c r="N16" s="110"/>
    </row>
    <row r="17" spans="1:24" s="9" customFormat="1" x14ac:dyDescent="0.25">
      <c r="A17" s="225"/>
      <c r="B17" s="382" t="s">
        <v>1856</v>
      </c>
      <c r="C17" s="679" t="s">
        <v>1855</v>
      </c>
      <c r="D17" s="799" t="s">
        <v>1855</v>
      </c>
      <c r="E17" s="679" t="s">
        <v>1341</v>
      </c>
      <c r="F17" s="800" t="s">
        <v>1341</v>
      </c>
      <c r="G17" s="258"/>
      <c r="H17" s="110"/>
      <c r="I17" s="110"/>
      <c r="J17" s="110"/>
      <c r="K17" s="110"/>
      <c r="L17" s="110"/>
      <c r="M17" s="110"/>
      <c r="N17" s="110"/>
    </row>
    <row r="18" spans="1:24" s="9" customFormat="1" x14ac:dyDescent="0.25">
      <c r="A18" s="110"/>
      <c r="B18" s="239" t="s">
        <v>1568</v>
      </c>
      <c r="C18" s="265"/>
      <c r="D18" s="90"/>
      <c r="E18" s="65"/>
      <c r="F18" s="259"/>
      <c r="G18" s="258"/>
      <c r="H18" s="110"/>
      <c r="I18" s="110"/>
      <c r="J18" s="110"/>
      <c r="K18" s="110"/>
      <c r="L18" s="110"/>
      <c r="M18" s="110"/>
      <c r="N18" s="110"/>
    </row>
    <row r="19" spans="1:24" s="9" customFormat="1" x14ac:dyDescent="0.25">
      <c r="A19" s="110"/>
      <c r="B19" s="239" t="s">
        <v>1711</v>
      </c>
      <c r="C19" s="265">
        <f>IF('input-data'!E30=0, 0, ('Flow smågrise'!D12+'Flow smågrise'!D11)*'Flow smågrise'!D13*('NPK tal'!$B$6/1000))</f>
        <v>0</v>
      </c>
      <c r="D19" s="90">
        <f>IFERROR(C19/'Flow smågrise'!$D$9,0)</f>
        <v>0</v>
      </c>
      <c r="E19" s="265">
        <f>IF('input-data'!E30=0, 0,('Flow smågrise'!D12+'Flow smågrise'!D11)*'Flow smågrise'!D13*('NPK tal'!$C$6/1000))</f>
        <v>0</v>
      </c>
      <c r="F19" s="259">
        <f>IFERROR(E19/'Flow smågrise'!$D$9,0)</f>
        <v>0</v>
      </c>
      <c r="G19" s="258"/>
      <c r="H19" s="110" t="s">
        <v>1628</v>
      </c>
      <c r="I19" s="110"/>
      <c r="J19" s="110"/>
      <c r="K19" s="110"/>
      <c r="L19" s="110"/>
      <c r="M19" s="110"/>
      <c r="N19" s="110"/>
    </row>
    <row r="20" spans="1:24" s="9" customFormat="1" x14ac:dyDescent="0.25">
      <c r="A20" s="110"/>
      <c r="B20" s="239" t="s">
        <v>1712</v>
      </c>
      <c r="C20" s="265">
        <f>'Flow smågrise'!D8*(('Flow smågrise'!D13-'Flow smågrise'!D7)/2)*'NPK tal'!$B$6/1000</f>
        <v>0</v>
      </c>
      <c r="D20" s="90">
        <f>IFERROR(C20/'Flow smågrise'!$D$9,0)</f>
        <v>0</v>
      </c>
      <c r="E20" s="265">
        <f>'Flow smågrise'!D8*(('Flow smågrise'!D13-'Flow smågrise'!D7)/2)*'NPK tal'!$C$6/1000</f>
        <v>0</v>
      </c>
      <c r="F20" s="259">
        <f>IFERROR(E20/'Flow smågrise'!$D$9,0)</f>
        <v>0</v>
      </c>
      <c r="G20" s="258"/>
      <c r="H20" s="110" t="s">
        <v>1627</v>
      </c>
      <c r="I20" s="110"/>
      <c r="J20" s="110"/>
      <c r="K20" s="110"/>
      <c r="L20" s="110"/>
      <c r="M20" s="110"/>
      <c r="N20" s="110"/>
    </row>
    <row r="21" spans="1:24" s="9" customFormat="1" x14ac:dyDescent="0.25">
      <c r="A21" s="110"/>
      <c r="B21" s="239"/>
      <c r="C21" s="265"/>
      <c r="D21" s="90"/>
      <c r="E21" s="65"/>
      <c r="F21" s="259"/>
      <c r="G21" s="258"/>
      <c r="H21" s="110"/>
      <c r="I21" s="110"/>
      <c r="J21" s="110"/>
      <c r="K21" s="110"/>
      <c r="L21" s="110"/>
      <c r="M21" s="110"/>
      <c r="N21" s="110"/>
    </row>
    <row r="22" spans="1:24" s="9" customFormat="1" x14ac:dyDescent="0.25">
      <c r="A22" s="110"/>
      <c r="B22" s="384" t="s">
        <v>1857</v>
      </c>
      <c r="C22" s="679" t="s">
        <v>1855</v>
      </c>
      <c r="D22" s="799" t="s">
        <v>1855</v>
      </c>
      <c r="E22" s="679" t="s">
        <v>1858</v>
      </c>
      <c r="F22" s="800" t="s">
        <v>1341</v>
      </c>
      <c r="G22" s="258"/>
      <c r="H22" s="258" t="s">
        <v>1716</v>
      </c>
      <c r="I22" s="110"/>
      <c r="J22" s="397"/>
      <c r="K22" s="110"/>
      <c r="L22" s="110"/>
      <c r="M22" s="110"/>
      <c r="N22" s="110"/>
    </row>
    <row r="23" spans="1:24" s="9" customFormat="1" x14ac:dyDescent="0.25">
      <c r="A23" s="110"/>
      <c r="B23" s="239" t="s">
        <v>1629</v>
      </c>
      <c r="C23" s="265">
        <f>IF(OR('input-data'!$E$346=topdowntables!$C$14,'input-data'!$E$346=topdowntables!$C$19),0,
IF(OR('input-data'!$E$346=topdowntables!$C$15,'input-data'!$E$346=topdowntables!$C$20), C6+C8+C11-(C19+C20),
IF(OR('input-data'!$E$346=topdowntables!$C$16,'input-data'!$E$346=topdowntables!$C$21), (C6+C8+C11)-(('Flow smågrise'!D5+'Flow smågrise'!D6)*'input-data'!F347*'NPK tal'!$B$6/1000+(0.5*C20)),0)))</f>
        <v>0</v>
      </c>
      <c r="D23" s="90">
        <f>IFERROR(C23/'Flow smågrise'!$D$9,0)</f>
        <v>0</v>
      </c>
      <c r="E23" s="265">
        <f>IF(OR('input-data'!$E$346=topdowntables!$C$14,'input-data'!$E$346=topdowntables!$C$19),0,
IF(OR('input-data'!$E$346=topdowntables!$C$15,'input-data'!$E$346=topdowntables!$C$20), E6+E8+E11+E14-(E19+E20),
IF(OR('input-data'!$E$346=topdowntables!$C$16,'input-data'!$E$346=topdowntables!$C$21), (E6+E8+E11+E14)-(('Flow smågrise'!D5+'Flow smågrise'!D6)*'input-data'!F347*'NPK tal'!$C$6/1000+(0.5*E20)),0)))</f>
        <v>0</v>
      </c>
      <c r="F23" s="259">
        <f>IFERROR(E23/'Flow smågrise'!$D$9,0)</f>
        <v>0</v>
      </c>
      <c r="G23" s="258"/>
      <c r="H23" s="258"/>
      <c r="I23" s="110"/>
      <c r="J23" s="257"/>
      <c r="K23" s="110"/>
      <c r="L23" s="110"/>
      <c r="M23" s="110"/>
      <c r="N23" s="110"/>
    </row>
    <row r="24" spans="1:24" s="9" customFormat="1" x14ac:dyDescent="0.25">
      <c r="A24" s="110"/>
      <c r="B24" s="239" t="s">
        <v>1630</v>
      </c>
      <c r="C24" s="265">
        <f>IF(OR('input-data'!$E$346=topdowntables!$C$14,'input-data'!$E$346=topdowntables!$C$19), C6+C9+C12-(C19+C20),
IF(OR('input-data'!$E$346=topdowntables!$C$15,'input-data'!$E$346=topdowntables!$C$20),0,
IF(OR('input-data'!$E$346=topdowntables!$C$16,'input-data'!$E$346=topdowntables!$C$21),((('Flow smågrise'!D5+'Flow smågrise'!D6)*'input-data'!F347*'NPK tal'!$B$6/1000)+C9+C12)-(C19+(0.5*C20)),0)))</f>
        <v>0</v>
      </c>
      <c r="D24" s="90">
        <f>IFERROR(C24/'Flow smågrise'!$D$9,0)</f>
        <v>0</v>
      </c>
      <c r="E24" s="265">
        <f>IF(OR('input-data'!$E$346=topdowntables!$C$14,'input-data'!$E$346=topdowntables!$C$19), E6+E9+E12+E15-(E19+E20),
IF(OR('input-data'!$E$346=topdowntables!$C$15,'input-data'!$E$346=topdowntables!$C$20),0,
IF(OR('input-data'!$E$346=topdowntables!$C$16,'input-data'!$E$346=topdowntables!$C$21),((('Flow smågrise'!D5+'Flow smågrise'!D6)*'input-data'!F347*'NPK tal'!$C$6/1000)+E9+E12)-(E19+(0.5*E20)),0)))</f>
        <v>0</v>
      </c>
      <c r="F24" s="259">
        <f>IFERROR(E24/'Flow smågrise'!$D$9,0)</f>
        <v>0</v>
      </c>
      <c r="G24" s="258"/>
      <c r="H24" s="257"/>
      <c r="I24" s="110"/>
      <c r="J24" s="110"/>
      <c r="K24" s="110"/>
      <c r="L24" s="110"/>
      <c r="M24" s="110"/>
      <c r="N24" s="110"/>
    </row>
    <row r="25" spans="1:24" s="9" customFormat="1" ht="15.75" thickBot="1" x14ac:dyDescent="0.3">
      <c r="A25" s="110"/>
      <c r="B25" s="239"/>
      <c r="C25" s="265"/>
      <c r="D25" s="90"/>
      <c r="E25" s="681"/>
      <c r="F25" s="682"/>
      <c r="G25" s="258"/>
      <c r="H25" s="257"/>
      <c r="I25" s="110"/>
      <c r="J25" s="110"/>
      <c r="K25" s="110"/>
      <c r="L25" s="110"/>
      <c r="M25" s="110"/>
      <c r="N25" s="110"/>
    </row>
    <row r="26" spans="1:24" s="9" customFormat="1" x14ac:dyDescent="0.25">
      <c r="A26" s="110"/>
      <c r="B26" s="384" t="s">
        <v>1631</v>
      </c>
      <c r="C26" s="679" t="s">
        <v>1916</v>
      </c>
      <c r="D26" s="800" t="s">
        <v>1916</v>
      </c>
      <c r="E26" s="666"/>
      <c r="F26" s="784"/>
      <c r="G26" s="258"/>
      <c r="H26" s="396" t="s">
        <v>1633</v>
      </c>
      <c r="I26" s="110"/>
      <c r="J26" s="110"/>
      <c r="K26" s="110"/>
      <c r="L26" s="110"/>
      <c r="M26" s="110"/>
      <c r="N26" s="110"/>
    </row>
    <row r="27" spans="1:24" s="9" customFormat="1" x14ac:dyDescent="0.25">
      <c r="A27" s="110"/>
      <c r="B27" s="239" t="s">
        <v>1629</v>
      </c>
      <c r="C27" s="265">
        <f>IF(OR('input-data'!$E$346=topdowntables!$C$14,'input-data'!$E$346=topdowntables!$C$19),0,
IF(OR('input-data'!$E$346=topdowntables!$C$15,'input-data'!$E$346=topdowntables!$C$20), C23-((C8+C11)*(1-('NPK tal'!B28/100))),
IF(OR('input-data'!$E$346=topdowntables!$C$16,'input-data'!$E$346=topdowntables!$C$21),
C23-((C8+C11)*(1-('NPK tal'!B28/100))),0)))</f>
        <v>0</v>
      </c>
      <c r="D27" s="259">
        <f>IFERROR(C27/'Flow smågrise'!$D$9,0)</f>
        <v>0</v>
      </c>
      <c r="E27" s="666"/>
      <c r="F27" s="784"/>
      <c r="G27" s="258"/>
      <c r="H27" s="257" t="s">
        <v>1632</v>
      </c>
      <c r="I27" s="110"/>
      <c r="J27" s="110"/>
      <c r="K27" s="110"/>
      <c r="L27" s="110"/>
      <c r="M27" s="110"/>
      <c r="N27" s="110"/>
    </row>
    <row r="28" spans="1:24" s="9" customFormat="1" x14ac:dyDescent="0.25">
      <c r="A28" s="110"/>
      <c r="B28" s="239" t="s">
        <v>1630</v>
      </c>
      <c r="C28" s="265">
        <f>IF(OR('input-data'!$E$346=topdowntables!$C$14,'input-data'!$E$346=topdowntables!$C$19),C24-((C9+C12)*(1-('NPK tal'!B28/100))),
IF(OR('input-data'!$E$346=topdowntables!$C$15,'input-data'!$E$346=topdowntables!$C$20),0,
IF(OR('input-data'!$E$346=topdowntables!$C$16,'input-data'!$E$346=topdowntables!$C$21),
 C24-((C9+C12)*(1-('NPK tal'!B28/100))),0)))</f>
        <v>0</v>
      </c>
      <c r="D28" s="259">
        <f>IFERROR(C28/'Flow smågrise'!$D$9,0)</f>
        <v>0</v>
      </c>
      <c r="E28" s="666"/>
      <c r="F28" s="784"/>
      <c r="G28" s="258"/>
      <c r="H28" s="257" t="s">
        <v>1713</v>
      </c>
      <c r="I28" s="110"/>
      <c r="J28" s="110"/>
      <c r="K28" s="110"/>
      <c r="L28" s="110"/>
      <c r="M28" s="110"/>
      <c r="N28" s="110"/>
    </row>
    <row r="29" spans="1:24" s="9" customFormat="1" x14ac:dyDescent="0.25">
      <c r="A29" s="110"/>
      <c r="B29" s="239"/>
      <c r="C29" s="265"/>
      <c r="D29" s="259"/>
      <c r="E29" s="666"/>
      <c r="F29" s="784"/>
      <c r="G29" s="258"/>
      <c r="H29" s="257"/>
      <c r="I29" s="110"/>
      <c r="J29" s="110"/>
      <c r="K29" s="110"/>
      <c r="L29" s="110"/>
      <c r="M29" s="110"/>
      <c r="N29" s="110"/>
    </row>
    <row r="30" spans="1:24" s="10" customFormat="1" x14ac:dyDescent="0.25">
      <c r="A30" s="110"/>
      <c r="B30" s="382" t="s">
        <v>1714</v>
      </c>
      <c r="C30" s="679" t="s">
        <v>1915</v>
      </c>
      <c r="D30" s="800" t="s">
        <v>1915</v>
      </c>
      <c r="E30" s="666"/>
      <c r="F30" s="784"/>
      <c r="G30" s="258"/>
      <c r="H30" s="257"/>
      <c r="I30" s="110"/>
      <c r="J30" s="110"/>
      <c r="K30" s="110"/>
      <c r="L30" s="110"/>
      <c r="M30" s="110"/>
      <c r="N30" s="110"/>
      <c r="O30" s="110"/>
      <c r="P30" s="110"/>
      <c r="Q30" s="110"/>
      <c r="R30" s="110"/>
      <c r="S30" s="110"/>
      <c r="T30" s="110"/>
      <c r="U30" s="110"/>
      <c r="V30" s="110"/>
      <c r="W30" s="110"/>
      <c r="X30" s="110"/>
    </row>
    <row r="31" spans="1:24" s="10" customFormat="1" x14ac:dyDescent="0.25">
      <c r="A31" s="110"/>
      <c r="B31" s="239" t="s">
        <v>1629</v>
      </c>
      <c r="C31" s="265">
        <f>IF(OR('input-data'!$E$346=topdowntables!$C$14,'input-data'!$E$346=topdowntables!$C$19),0,
IF(OR('input-data'!$E$346=topdowntables!$C$15,'input-data'!$E$346=topdowntables!$C$20),C14+((C8+C11)*(1-('NPK tal'!B28/100))),
IF(OR('input-data'!$E$346=topdowntables!$C$16,'input-data'!$E$346=topdowntables!$C$21),
C14+((C8+C11)*(1-('NPK tal'!B28/100))),0)))</f>
        <v>0</v>
      </c>
      <c r="D31" s="259">
        <f>IFERROR(C31/'Flow smågrise'!$D$9,0)</f>
        <v>0</v>
      </c>
      <c r="E31" s="666"/>
      <c r="F31" s="784"/>
      <c r="G31" s="258"/>
      <c r="H31" s="257" t="s">
        <v>1715</v>
      </c>
      <c r="I31" s="110"/>
      <c r="J31" s="110"/>
      <c r="K31" s="110"/>
      <c r="L31" s="110"/>
      <c r="M31" s="110"/>
      <c r="N31" s="110"/>
      <c r="O31" s="110"/>
      <c r="P31" s="110"/>
      <c r="Q31" s="110"/>
      <c r="R31" s="110"/>
      <c r="S31" s="110"/>
      <c r="T31" s="110"/>
      <c r="U31" s="110"/>
      <c r="V31" s="110"/>
      <c r="W31" s="110"/>
      <c r="X31" s="110"/>
    </row>
    <row r="32" spans="1:24" s="10" customFormat="1" x14ac:dyDescent="0.25">
      <c r="A32" s="110"/>
      <c r="B32" s="239" t="s">
        <v>1630</v>
      </c>
      <c r="C32" s="265">
        <f>IF(OR('input-data'!$E$346=topdowntables!$C$14,'input-data'!$E$346=topdowntables!$C$19),C15+((C9+C12)*(1-('NPK tal'!B28/100))),
IF(OR('input-data'!$E$346=topdowntables!$C$15,'input-data'!$E$346=topdowntables!$C$20),0,
IF(OR('input-data'!$E$346=topdowntables!$C$16,'input-data'!$E$346=topdowntables!$C$21),
 C15+((C9+C12)*(1-('NPK tal'!B28/100))),0)))</f>
        <v>0</v>
      </c>
      <c r="D32" s="259">
        <f>IFERROR(C32/'Flow smågrise'!$D$9,0)</f>
        <v>0</v>
      </c>
      <c r="E32" s="666"/>
      <c r="F32" s="784"/>
      <c r="G32" s="258"/>
      <c r="H32" s="257"/>
      <c r="I32" s="110"/>
      <c r="J32" s="110"/>
      <c r="K32" s="110"/>
      <c r="L32" s="110"/>
      <c r="M32" s="110"/>
      <c r="N32" s="110"/>
      <c r="O32" s="110"/>
      <c r="P32" s="110"/>
      <c r="Q32" s="110"/>
      <c r="R32" s="110"/>
      <c r="S32" s="110"/>
      <c r="T32" s="110"/>
      <c r="U32" s="110"/>
      <c r="V32" s="110"/>
      <c r="W32" s="110"/>
      <c r="X32" s="110"/>
    </row>
    <row r="33" spans="1:26" s="10" customFormat="1" x14ac:dyDescent="0.25">
      <c r="A33" s="110"/>
      <c r="B33" s="239"/>
      <c r="C33" s="265"/>
      <c r="D33" s="259"/>
      <c r="E33" s="666"/>
      <c r="F33" s="784"/>
      <c r="G33" s="258"/>
      <c r="H33" s="257"/>
      <c r="I33" s="110"/>
      <c r="J33" s="110"/>
      <c r="K33" s="110"/>
      <c r="L33" s="110"/>
      <c r="M33" s="110"/>
      <c r="N33" s="110"/>
      <c r="O33" s="110"/>
      <c r="P33" s="110"/>
      <c r="Q33" s="110"/>
      <c r="R33" s="110"/>
      <c r="S33" s="110"/>
      <c r="T33" s="110"/>
      <c r="U33" s="110"/>
      <c r="V33" s="110"/>
      <c r="W33" s="110"/>
      <c r="X33" s="110"/>
    </row>
    <row r="34" spans="1:26" s="10" customFormat="1" x14ac:dyDescent="0.25">
      <c r="A34" s="110"/>
      <c r="B34" s="382" t="s">
        <v>1732</v>
      </c>
      <c r="C34" s="679" t="s">
        <v>1855</v>
      </c>
      <c r="D34" s="800" t="s">
        <v>1855</v>
      </c>
      <c r="E34" s="666"/>
      <c r="F34" s="784"/>
      <c r="G34" s="258"/>
      <c r="S34" s="110"/>
      <c r="T34" s="110"/>
      <c r="U34" s="110"/>
      <c r="V34" s="110"/>
      <c r="W34" s="110"/>
      <c r="X34" s="110"/>
      <c r="Y34" s="110"/>
      <c r="Z34" s="110"/>
    </row>
    <row r="35" spans="1:26" s="10" customFormat="1" x14ac:dyDescent="0.25">
      <c r="A35" s="110"/>
      <c r="B35" s="239" t="s">
        <v>1720</v>
      </c>
      <c r="C35" s="265"/>
      <c r="D35" s="259"/>
      <c r="E35" s="666"/>
      <c r="F35" s="784"/>
      <c r="G35" s="258"/>
      <c r="S35" s="110"/>
      <c r="T35" s="110"/>
      <c r="U35" s="110"/>
      <c r="V35" s="110"/>
      <c r="W35" s="110"/>
      <c r="X35" s="110"/>
      <c r="Y35" s="110"/>
      <c r="Z35" s="110"/>
    </row>
    <row r="36" spans="1:26" s="10" customFormat="1" x14ac:dyDescent="0.25">
      <c r="A36" s="110"/>
      <c r="B36" s="239" t="s">
        <v>1681</v>
      </c>
      <c r="C36" s="265">
        <f>SUM((IFERROR(VLOOKUP('input-data'!E350,'Opstaldingsform-Housing '!$B$30:$O$38,4,FALSE),0))+(IFERROR(VLOOKUP('input-data'!E350,'Opstaldingsform-Housing '!$B$69:$O$75,4,FALSE),0)))*C27</f>
        <v>0</v>
      </c>
      <c r="D36" s="259">
        <f>IFERROR(C36/'Flow smågrise'!$D$9,0)</f>
        <v>0</v>
      </c>
      <c r="E36" s="666"/>
      <c r="F36" s="784"/>
      <c r="G36" s="258"/>
      <c r="H36" s="10" t="s">
        <v>1730</v>
      </c>
      <c r="S36" s="110"/>
      <c r="T36" s="110"/>
      <c r="U36" s="110"/>
      <c r="V36" s="110"/>
      <c r="W36" s="110"/>
      <c r="X36" s="110"/>
      <c r="Y36" s="110"/>
      <c r="Z36" s="110"/>
    </row>
    <row r="37" spans="1:26" s="10" customFormat="1" x14ac:dyDescent="0.25">
      <c r="A37" s="110"/>
      <c r="B37" s="239" t="s">
        <v>1728</v>
      </c>
      <c r="C37" s="265">
        <f>SUM((IFERROR(VLOOKUP('input-data'!E350,'Opstaldingsform-Housing '!$B$30:$O$38,8,FALSE),0))+(IFERROR(VLOOKUP('input-data'!E350,'Opstaldingsform-Housing '!$B$69:$O$75,8,FALSE),0)))*(C27+C31)</f>
        <v>0</v>
      </c>
      <c r="D37" s="259">
        <f>IFERROR(C37/'Flow smågrise'!$D$9,0)</f>
        <v>0</v>
      </c>
      <c r="E37" s="666"/>
      <c r="F37" s="784"/>
      <c r="G37" s="258"/>
      <c r="H37" s="10" t="s">
        <v>1685</v>
      </c>
      <c r="J37" s="461"/>
      <c r="S37" s="110"/>
      <c r="T37" s="110"/>
      <c r="U37" s="110"/>
      <c r="V37" s="110"/>
      <c r="W37" s="110"/>
      <c r="X37" s="110"/>
      <c r="Y37" s="110"/>
      <c r="Z37" s="110"/>
    </row>
    <row r="38" spans="1:26" s="10" customFormat="1" x14ac:dyDescent="0.25">
      <c r="A38" s="110"/>
      <c r="B38" s="239" t="s">
        <v>1725</v>
      </c>
      <c r="C38" s="265">
        <f>SUM((IFERROR(VLOOKUP('input-data'!E350,'Opstaldingsform-Housing '!$B$30:$O$38,10,FALSE),0))+(IFERROR(VLOOKUP('input-data'!E350,'Opstaldingsform-Housing '!$B$69:$O$75,10,FALSE),0)))*(C27+C31)</f>
        <v>0</v>
      </c>
      <c r="D38" s="259">
        <f>IFERROR(C38/'Flow smågrise'!$D$9,0)</f>
        <v>0</v>
      </c>
      <c r="E38" s="666"/>
      <c r="F38" s="784"/>
      <c r="G38" s="258"/>
      <c r="H38" s="10" t="s">
        <v>1731</v>
      </c>
      <c r="S38" s="110"/>
      <c r="T38" s="110"/>
      <c r="U38" s="110"/>
      <c r="V38" s="110"/>
      <c r="W38" s="110"/>
      <c r="X38" s="110"/>
      <c r="Y38" s="110"/>
      <c r="Z38" s="110"/>
    </row>
    <row r="39" spans="1:26" s="10" customFormat="1" x14ac:dyDescent="0.25">
      <c r="A39" s="110"/>
      <c r="B39" s="239" t="s">
        <v>2089</v>
      </c>
      <c r="C39" s="265">
        <f>SUM((IFERROR(VLOOKUP('input-data'!E350,'Opstaldingsform-Housing '!$B$30:$O$38,12,FALSE),0))+(IFERROR(VLOOKUP('input-data'!E350,'Opstaldingsform-Housing '!$B$69:$O$75,12,FALSE),0)))*(C27+C31)</f>
        <v>0</v>
      </c>
      <c r="D39" s="259">
        <f>IFERROR(C39/'Flow smågrise'!$D$9,0)</f>
        <v>0</v>
      </c>
      <c r="E39" s="666"/>
      <c r="F39" s="784"/>
      <c r="G39" s="258"/>
      <c r="S39" s="110"/>
      <c r="T39" s="110"/>
      <c r="U39" s="110"/>
      <c r="V39" s="110"/>
      <c r="W39" s="110"/>
      <c r="X39" s="110"/>
      <c r="Y39" s="110"/>
      <c r="Z39" s="110"/>
    </row>
    <row r="40" spans="1:26" s="10" customFormat="1" x14ac:dyDescent="0.25">
      <c r="A40" s="110"/>
      <c r="B40" s="237" t="s">
        <v>1721</v>
      </c>
      <c r="C40" s="265">
        <f>C27+C31-C36-C37-C38-C39</f>
        <v>0</v>
      </c>
      <c r="D40" s="259">
        <f>IFERROR(C40/'Flow smågrise'!$D$9,0)</f>
        <v>0</v>
      </c>
      <c r="E40" s="666"/>
      <c r="F40" s="784"/>
      <c r="G40" s="258"/>
      <c r="S40" s="110"/>
      <c r="T40" s="110"/>
      <c r="U40" s="110"/>
      <c r="V40" s="110"/>
      <c r="W40" s="110"/>
      <c r="X40" s="110"/>
      <c r="Y40" s="110"/>
      <c r="Z40" s="110"/>
    </row>
    <row r="41" spans="1:26" s="10" customFormat="1" x14ac:dyDescent="0.25">
      <c r="A41" s="110"/>
      <c r="B41" s="237"/>
      <c r="C41" s="265"/>
      <c r="D41" s="259"/>
      <c r="E41" s="666"/>
      <c r="F41" s="784"/>
      <c r="G41" s="258"/>
      <c r="S41" s="110"/>
      <c r="T41" s="110"/>
      <c r="U41" s="110"/>
      <c r="V41" s="110"/>
      <c r="W41" s="110"/>
      <c r="X41" s="110"/>
      <c r="Y41" s="110"/>
      <c r="Z41" s="110"/>
    </row>
    <row r="42" spans="1:26" s="10" customFormat="1" x14ac:dyDescent="0.25">
      <c r="A42" s="110"/>
      <c r="B42" s="239" t="s">
        <v>1718</v>
      </c>
      <c r="C42" s="265"/>
      <c r="D42" s="259"/>
      <c r="E42" s="666"/>
      <c r="F42" s="784"/>
      <c r="G42" s="258"/>
      <c r="S42" s="110"/>
      <c r="T42" s="110"/>
      <c r="U42" s="110"/>
      <c r="V42" s="110"/>
      <c r="W42" s="110"/>
      <c r="X42" s="110"/>
      <c r="Y42" s="110"/>
      <c r="Z42" s="110"/>
    </row>
    <row r="43" spans="1:26" s="10" customFormat="1" x14ac:dyDescent="0.25">
      <c r="A43" s="110"/>
      <c r="B43" s="239" t="s">
        <v>1681</v>
      </c>
      <c r="C43" s="265">
        <f>'NPK tal'!B40*(SUM(IFERROR(VLOOKUP('input-data'!E357,'Opstaldingsform-Housing '!$B$7:$O$19,4,FALSE),0))+(IFERROR(VLOOKUP('input-data'!E357,'Opstaldingsform-Housing '!$B$44:$O$56,4,FALSE),0)))*(
IF(OR('input-data'!$E$357='Opstaldingsform-Housing '!$B$8,'input-data'!$E$357='Opstaldingsform-Housing '!$B$45,
'input-data'!$E$357='Opstaldingsform-Housing '!$B$9,'input-data'!$E$357='Opstaldingsform-Housing '!$B$46,
'input-data'!$E$357='Opstaldingsform-Housing '!$B$10,'input-data'!$E$357='Opstaldingsform-Housing '!$B$47),(C28+C32),C28))
+ ('NPK tal'!C40*(SUM(IFERROR(VLOOKUP('input-data'!E358,'Opstaldingsform-Housing '!$B$20:$O$28,4,FALSE),0))+(IFERROR(VLOOKUP('input-data'!E358,'Opstaldingsform-Housing '!$B$57:$O$65,4,FALSE),0)))*C28)</f>
        <v>0</v>
      </c>
      <c r="D43" s="259">
        <f>IFERROR(C43/'Flow smågrise'!$D$9,0)</f>
        <v>0</v>
      </c>
      <c r="E43" s="666"/>
      <c r="F43" s="784"/>
      <c r="G43" s="258"/>
      <c r="S43" s="110"/>
      <c r="T43" s="110"/>
      <c r="U43" s="110"/>
      <c r="V43" s="110"/>
      <c r="W43" s="110"/>
      <c r="X43" s="110"/>
      <c r="Y43" s="110"/>
      <c r="Z43" s="110"/>
    </row>
    <row r="44" spans="1:26" s="10" customFormat="1" x14ac:dyDescent="0.25">
      <c r="A44" s="110"/>
      <c r="B44" s="239" t="s">
        <v>1727</v>
      </c>
      <c r="C44" s="265">
        <f>'NPK tal'!B40*(SUM((IFERROR(VLOOKUP('input-data'!E357,'Opstaldingsform-Housing '!$B$7:$O$19,8,FALSE),0))+(IFERROR(VLOOKUP('input-data'!E357,'Opstaldingsform-Housing '!$B$44:$O$56,8,FALSE),0)))*(C28+C32))+
('NPK tal'!C40*(SUM((IFERROR(VLOOKUP('input-data'!E358,'Opstaldingsform-Housing '!$B$20:$O$28,8,FALSE),0))+(IFERROR(VLOOKUP('input-data'!E358,'Opstaldingsform-Housing '!$B$57:$O$65,8,FALSE),0))))*(C28+C32))</f>
        <v>0</v>
      </c>
      <c r="D44" s="259">
        <f>IFERROR(C44/'Flow smågrise'!$D$9,0)</f>
        <v>0</v>
      </c>
      <c r="E44" s="666"/>
      <c r="F44" s="784"/>
      <c r="G44" s="258"/>
      <c r="S44" s="110"/>
      <c r="T44" s="110"/>
      <c r="U44" s="110"/>
      <c r="V44" s="110"/>
      <c r="W44" s="110"/>
      <c r="X44" s="110"/>
      <c r="Y44" s="110"/>
      <c r="Z44" s="110"/>
    </row>
    <row r="45" spans="1:26" s="10" customFormat="1" x14ac:dyDescent="0.25">
      <c r="A45" s="110"/>
      <c r="B45" s="239" t="s">
        <v>1725</v>
      </c>
      <c r="C45" s="265">
        <f>'NPK tal'!B40*(SUM((IFERROR(VLOOKUP('input-data'!E357,'Opstaldingsform-Housing '!$B$7:$O$19,10,FALSE),0))+(IFERROR(VLOOKUP('input-data'!E357,'Opstaldingsform-Housing '!$B$44:$O$56,10,FALSE),0)))*(C28+C32))+
('NPK tal'!C40*(SUM((IFERROR(VLOOKUP('input-data'!E358,'Opstaldingsform-Housing '!$B$20:$O$28,10,FALSE),0))+(IFERROR(VLOOKUP('input-data'!E358,'Opstaldingsform-Housing '!$B$57:$O$65,10,FALSE),0))))*(C28+C32))</f>
        <v>0</v>
      </c>
      <c r="D45" s="259">
        <f>IFERROR(C45/'Flow smågrise'!$D$9,0)</f>
        <v>0</v>
      </c>
      <c r="E45" s="666"/>
      <c r="F45" s="784"/>
      <c r="G45" s="258"/>
      <c r="S45" s="110"/>
      <c r="T45" s="110"/>
      <c r="U45" s="110"/>
      <c r="V45" s="110"/>
      <c r="W45" s="110"/>
      <c r="X45" s="110"/>
      <c r="Y45" s="110"/>
      <c r="Z45" s="110"/>
    </row>
    <row r="46" spans="1:26" s="10" customFormat="1" x14ac:dyDescent="0.25">
      <c r="A46" s="110"/>
      <c r="B46" s="239" t="s">
        <v>2089</v>
      </c>
      <c r="C46" s="265">
        <f>'NPK tal'!B40*(SUM((IFERROR(VLOOKUP('input-data'!E357,'Opstaldingsform-Housing '!$B$7:$O$19,12,FALSE),0))+(IFERROR(VLOOKUP('input-data'!E357,'Opstaldingsform-Housing '!$B$44:$O$56,12,FALSE),0)))*(C28+C32))+
('NPK tal'!C40*(SUM((IFERROR(VLOOKUP('input-data'!E358,'Opstaldingsform-Housing '!$B$20:$O$28,12,FALSE),0))+(IFERROR(VLOOKUP('input-data'!E358,'Opstaldingsform-Housing '!$B$57:$O$65,12,FALSE),0))))*(C28+C32))</f>
        <v>0</v>
      </c>
      <c r="D46" s="259">
        <f>IFERROR(C46/'Flow smågrise'!$D$9,0)</f>
        <v>0</v>
      </c>
      <c r="E46" s="666"/>
      <c r="F46" s="784"/>
      <c r="G46" s="258"/>
      <c r="S46" s="110"/>
      <c r="T46" s="110"/>
      <c r="U46" s="110"/>
      <c r="V46" s="110"/>
      <c r="W46" s="110"/>
      <c r="X46" s="110"/>
      <c r="Y46" s="110"/>
      <c r="Z46" s="110"/>
    </row>
    <row r="47" spans="1:26" s="10" customFormat="1" x14ac:dyDescent="0.25">
      <c r="A47" s="110"/>
      <c r="B47" s="237" t="s">
        <v>1719</v>
      </c>
      <c r="C47" s="265">
        <f>(C28+C32)-(C43+C44+C45+C46)</f>
        <v>0</v>
      </c>
      <c r="D47" s="259">
        <f>IFERROR(C47/'Flow smågrise'!$D$9,0)</f>
        <v>0</v>
      </c>
      <c r="E47" s="666"/>
      <c r="F47" s="784"/>
      <c r="G47" s="258"/>
      <c r="S47" s="110"/>
      <c r="T47" s="110"/>
      <c r="U47" s="110"/>
      <c r="V47" s="110"/>
      <c r="W47" s="110"/>
      <c r="X47" s="110"/>
      <c r="Y47" s="110"/>
      <c r="Z47" s="110"/>
    </row>
    <row r="48" spans="1:26" s="10" customFormat="1" x14ac:dyDescent="0.25">
      <c r="A48" s="110"/>
      <c r="B48" s="239" t="s">
        <v>1756</v>
      </c>
      <c r="C48" s="265"/>
      <c r="D48" s="259"/>
      <c r="E48" s="666"/>
      <c r="F48" s="784"/>
      <c r="G48" s="258"/>
      <c r="S48" s="110"/>
      <c r="T48" s="110"/>
      <c r="U48" s="110"/>
      <c r="V48" s="110"/>
      <c r="W48" s="110"/>
      <c r="X48" s="110"/>
      <c r="Y48" s="110"/>
      <c r="Z48" s="110"/>
    </row>
    <row r="49" spans="1:26" s="10" customFormat="1" x14ac:dyDescent="0.25">
      <c r="A49" s="110"/>
      <c r="B49" s="237" t="s">
        <v>1755</v>
      </c>
      <c r="C49" s="671">
        <f>'NPK tal'!B40*(C28+C32)*(SUM(IFERROR(VLOOKUP('input-data'!E357,'Opstaldingsform-Housing '!$B$7:$O$19,3,FALSE),0))+(IFERROR(VLOOKUP('input-data'!E357,'Opstaldingsform-Housing '!$B$44:$O$56,3,FALSE),0)))
+('NPK tal'!C40*(C28+C32)*((SUM(IFERROR(VLOOKUP('input-data'!E358,'Opstaldingsform-Housing '!$B$20:$O$28,3,FALSE),0))+(IFERROR(VLOOKUP('input-data'!E358,'Opstaldingsform-Housing '!$B$57:$O$65,3,FALSE),0)))
))-(('NPK tal'!B40*(SUM(IFERROR(VLOOKUP('input-data'!E357,'Opstaldingsform-Housing '!$B$7:$O$19,4,FALSE),0))+(IFERROR(VLOOKUP('input-data'!E357,'Opstaldingsform-Housing '!$B$44:$O$56,4,FALSE),0)))*(
IF(OR('input-data'!$E$357='Opstaldingsform-Housing '!$B$8,'input-data'!$E$357='Opstaldingsform-Housing '!$B$45,
'input-data'!$E$357='Opstaldingsform-Housing '!$B$9,'input-data'!$E$357='Opstaldingsform-Housing '!$B$46,
'input-data'!$E$357='Opstaldingsform-Housing '!$B$10,'input-data'!$E$357='Opstaldingsform-Housing '!$B$47),0,C28))
+ ('NPK tal'!C40*(SUM(IFERROR(VLOOKUP('input-data'!E358,'Opstaldingsform-Housing '!$B$20:$O$28,4,FALSE),0))+(IFERROR(VLOOKUP('input-data'!E358,'Opstaldingsform-Housing '!$B$57:$O$65,4,FALSE),0)))*C28)))-('NPK tal'!B40*(SUM(IFERROR(VLOOKUP('input-data'!E357,'Opstaldingsform-Housing '!$B$7:$O$19,8,FALSE),0))+(IFERROR(VLOOKUP('input-data'!E357,'Opstaldingsform-Housing '!$B$44:$O$56,8,FALSE),0)))*(
IF(OR('input-data'!$E$357='Opstaldingsform-Housing '!$B$8,'input-data'!$E$357='Opstaldingsform-Housing '!$B$45,
'input-data'!$E$357='Opstaldingsform-Housing '!$B$9,'input-data'!$E$357='Opstaldingsform-Housing '!$B$46,
'input-data'!$E$357='Opstaldingsform-Housing '!$B$10,'input-data'!$E$357='Opstaldingsform-Housing '!$B$47),0,C28+C32))+
('NPK tal'!C40*(SUM(IFERROR(VLOOKUP('input-data'!E358,'Opstaldingsform-Housing '!$B$20:$O$28,8,FALSE),0))+(IFERROR(VLOOKUP('input-data'!E358,'Opstaldingsform-Housing '!$B$57:$O$65,8,FALSE),0)))*(C28+C32)))-(('NPK tal'!B40*(SUM(IFERROR(VLOOKUP('input-data'!E357,'Opstaldingsform-Housing '!$B$7:$O$19,10,FALSE),0))+(IFERROR(VLOOKUP('input-data'!E357,'Opstaldingsform-Housing '!$B$44:$O$56,10,FALSE),0)))*
IF(OR('input-data'!$E$357='Opstaldingsform-Housing '!$B$8,'input-data'!$E$357='Opstaldingsform-Housing '!$B$45,
'input-data'!$E$357='Opstaldingsform-Housing '!$B$9,'input-data'!$E$357='Opstaldingsform-Housing '!$B$46,
'input-data'!$E$357='Opstaldingsform-Housing '!$B$10,'input-data'!$E$357='Opstaldingsform-Housing '!$B$47),0,C28+C32))+
('NPK tal'!C40*(SUM(IFERROR(VLOOKUP('input-data'!E358,'Opstaldingsform-Housing '!$B$20:$O$28,10,FALSE),0))+(IFERROR(VLOOKUP('input-data'!E358,'Opstaldingsform-Housing '!$B$57:$O$65,10,FALSE),0)))*(C28+C32)))-('NPK tal'!B40*(SUM(IFERROR(VLOOKUP('input-data'!E357,'Opstaldingsform-Housing '!$B$7:$O$19,12,FALSE),0))+(IFERROR(VLOOKUP('input-data'!E357,'Opstaldingsform-Housing '!$B$44:$O$56,12,FALSE),0)))*
IF(OR('input-data'!$E$357='Opstaldingsform-Housing '!$B$8,'input-data'!$E$357='Opstaldingsform-Housing '!$B$45,
'input-data'!$E$357='Opstaldingsform-Housing '!$B$9,'input-data'!$E$357='Opstaldingsform-Housing '!$B$46,
'input-data'!$E$357='Opstaldingsform-Housing '!$B$10,'input-data'!$E$357='Opstaldingsform-Housing '!$B$47),0,(C28+C32))+
('NPK tal'!C40*(SUM(IFERROR(VLOOKUP('input-data'!E358,'Opstaldingsform-Housing '!$B$20:$O$28,12,FALSE),0))+(IFERROR(VLOOKUP('input-data'!E358,'Opstaldingsform-Housing '!$B$57:$O$65,12,FALSE),0)))*(C28+C32)))</f>
        <v>0</v>
      </c>
      <c r="D49" s="259">
        <f>IFERROR(C49/'Flow smågrise'!$D$9,0)</f>
        <v>0</v>
      </c>
      <c r="E49" s="666"/>
      <c r="F49" s="784"/>
      <c r="G49" s="258"/>
      <c r="H49" s="463"/>
      <c r="I49" s="463"/>
      <c r="J49" s="463"/>
      <c r="L49" s="463"/>
      <c r="S49" s="110"/>
      <c r="T49" s="110"/>
      <c r="U49" s="110"/>
      <c r="V49" s="110"/>
      <c r="W49" s="110"/>
      <c r="X49" s="110"/>
      <c r="Y49" s="110"/>
      <c r="Z49" s="110"/>
    </row>
    <row r="50" spans="1:26" s="10" customFormat="1" x14ac:dyDescent="0.25">
      <c r="A50" s="110"/>
      <c r="B50" s="237" t="s">
        <v>1760</v>
      </c>
      <c r="C50" s="672">
        <f>'NPK tal'!B40*(C28+C32)*(1-SUM(IFERROR(VLOOKUP('input-data'!E357,'Opstaldingsform-Housing '!$B$7:$O$19,3,FALSE),0))+(IFERROR(VLOOKUP('input-data'!E357,'Opstaldingsform-Housing '!$B$44:$O$56,3,FALSE),0)))
+ ('NPK tal'!C40*(C28+C32)*(1-SUM(IFERROR(VLOOKUP('input-data'!E358,'Opstaldingsform-Housing '!$B$20:$O$28,3,FALSE),0))+(IFERROR(VLOOKUP('input-data'!E358,'Opstaldingsform-Housing '!$B$57:$O$65,3,FALSE),0))))-('NPK tal'!B40*(SUM(IFERROR(VLOOKUP('input-data'!E357,'Opstaldingsform-Housing '!$B$7:$O$19,4,FALSE),0))+(IFERROR(VLOOKUP('input-data'!E357,'Opstaldingsform-Housing '!$B$44:$O$56,4,FALSE),0)))*(
IF(OR('input-data'!$E$357='Opstaldingsform-Housing '!$B$8,'input-data'!$E$357='Opstaldingsform-Housing '!$B$45,
'input-data'!$E$357='Opstaldingsform-Housing '!$B$9,'input-data'!$E$357='Opstaldingsform-Housing '!$B$46,
'input-data'!$E$357='Opstaldingsform-Housing '!$B$10,'input-data'!$E$357='Opstaldingsform-Housing '!$B$47),C28+C32,0)))-('NPK tal'!B40*(SUM(IFERROR(VLOOKUP('input-data'!E357,'Opstaldingsform-Housing '!$B$7:$O$19,8,FALSE),0))+(IFERROR(VLOOKUP('input-data'!E357,'Opstaldingsform-Housing '!$B$44:$O$56,8,FALSE),0)))*(
IF(OR('input-data'!$E$357='Opstaldingsform-Housing '!$B$8,'input-data'!$E$357='Opstaldingsform-Housing '!$B$45,
'input-data'!$E$357='Opstaldingsform-Housing '!$B$9,'input-data'!$E$357='Opstaldingsform-Housing '!$B$46,
'input-data'!$E$357='Opstaldingsform-Housing '!$B$10,'input-data'!$E$357='Opstaldingsform-Housing '!$B$47),C28+C32,0)))-('NPK tal'!B40*(SUM(IFERROR(VLOOKUP('input-data'!E357,'Opstaldingsform-Housing '!$B$7:$O$19,10,FALSE),0))+(IFERROR(VLOOKUP('input-data'!E357,'Opstaldingsform-Housing '!$B$44:$O$56,10,FALSE),0)))*
IF(OR('input-data'!$E$357='Opstaldingsform-Housing '!$B$8,'input-data'!$E$357='Opstaldingsform-Housing '!$B$45,
'input-data'!$E$357='Opstaldingsform-Housing '!$B$9,'input-data'!$E$357='Opstaldingsform-Housing '!$B$46,
'input-data'!$E$357='Opstaldingsform-Housing '!$B$10,'input-data'!$E$357='Opstaldingsform-Housing '!$B$47),C28+C32,0))-('NPK tal'!B40*(SUM(IFERROR(VLOOKUP('input-data'!E357,'Opstaldingsform-Housing '!$B$7:$O$19,12,FALSE),0))+(IFERROR(VLOOKUP('input-data'!E357,'Opstaldingsform-Housing '!$B$44:$O$56,12,FALSE),0)))*
IF(OR('input-data'!$E$357='Opstaldingsform-Housing '!$B$8,'input-data'!$E$357='Opstaldingsform-Housing '!$B$45,
'input-data'!$E$357='Opstaldingsform-Housing '!$B$9,'input-data'!$E$357='Opstaldingsform-Housing '!$B$46,
'input-data'!$E$357='Opstaldingsform-Housing '!$B$10,'input-data'!$E$357='Opstaldingsform-Housing '!$B$47),(C28+C32),0))</f>
        <v>0</v>
      </c>
      <c r="D50" s="259">
        <f>IFERROR(C50/'Flow smågrise'!$D$9,0)</f>
        <v>0</v>
      </c>
      <c r="E50" s="666"/>
      <c r="F50" s="784"/>
      <c r="G50" s="258"/>
      <c r="S50" s="110"/>
      <c r="T50" s="110"/>
      <c r="U50" s="110"/>
      <c r="V50" s="110"/>
      <c r="W50" s="110"/>
      <c r="X50" s="110"/>
      <c r="Y50" s="110"/>
      <c r="Z50" s="110"/>
    </row>
    <row r="51" spans="1:26" s="10" customFormat="1" x14ac:dyDescent="0.25">
      <c r="A51" s="110"/>
      <c r="B51" s="239"/>
      <c r="C51" s="673"/>
      <c r="D51" s="801"/>
      <c r="E51" s="666"/>
      <c r="F51" s="784"/>
      <c r="G51" s="258"/>
      <c r="H51" s="463"/>
      <c r="L51" s="463"/>
      <c r="S51" s="110"/>
      <c r="T51" s="110"/>
      <c r="U51" s="110"/>
      <c r="V51" s="110"/>
      <c r="W51" s="110"/>
      <c r="X51" s="110"/>
      <c r="Y51" s="110"/>
      <c r="Z51" s="110"/>
    </row>
    <row r="52" spans="1:26" s="10" customFormat="1" x14ac:dyDescent="0.25">
      <c r="A52" s="110"/>
      <c r="B52" s="382" t="s">
        <v>1722</v>
      </c>
      <c r="C52" s="679" t="s">
        <v>1855</v>
      </c>
      <c r="D52" s="800" t="s">
        <v>1855</v>
      </c>
      <c r="E52" s="666"/>
      <c r="F52" s="784"/>
      <c r="G52" s="258"/>
      <c r="H52" s="463"/>
      <c r="S52" s="110"/>
      <c r="T52" s="110"/>
      <c r="U52" s="110"/>
      <c r="V52" s="110"/>
      <c r="W52" s="110"/>
      <c r="X52" s="110"/>
      <c r="Y52" s="110"/>
      <c r="Z52" s="110"/>
    </row>
    <row r="53" spans="1:26" s="10" customFormat="1" x14ac:dyDescent="0.25">
      <c r="A53" s="110"/>
      <c r="B53" s="239" t="s">
        <v>1745</v>
      </c>
      <c r="C53" s="90"/>
      <c r="D53" s="259"/>
      <c r="E53" s="666"/>
      <c r="F53" s="784"/>
      <c r="G53" s="258"/>
      <c r="J53" s="463"/>
      <c r="S53" s="110"/>
      <c r="T53" s="110"/>
      <c r="U53" s="110"/>
      <c r="V53" s="110"/>
      <c r="W53" s="110"/>
      <c r="X53" s="110"/>
      <c r="Y53" s="110"/>
      <c r="Z53" s="110"/>
    </row>
    <row r="54" spans="1:26" s="10" customFormat="1" x14ac:dyDescent="0.25">
      <c r="A54" s="110"/>
      <c r="B54" s="239" t="s">
        <v>1681</v>
      </c>
      <c r="C54" s="265">
        <f>IFERROR(IF(OR('input-data'!$E$346=topdowntables!$C$15, 'input-data'!$E$346=topdowntables!$C$20),0,(0.95*(C49-((C49*'input-data'!E363/100)+((C49-(C49*'input-data'!E363/100))*(C49/(C49+C50))*'input-data'!E362/100)))*(SUM(IFERROR(VLOOKUP('input-data'!E392,'Lagring-Storage'!B6:M11,3,FALSE),0))+(IFERROR(VLOOKUP('input-data'!E392,'Opstaldingsform-Housing '!$B$46:$O$51,3,FALSE),0)))
+(0.05*(C49-((C49*'input-data'!E363/100)+(C49-(C49*'input-data'!E363/100))*(C49/(C49+C50))*'input-data'!E362/100))*'Lagring-Storage'!$D$7))), 0)</f>
        <v>0</v>
      </c>
      <c r="D54" s="259">
        <f>IFERROR(C54/'Flow smågrise'!$D$9,0)</f>
        <v>0</v>
      </c>
      <c r="E54" s="666"/>
      <c r="F54" s="784"/>
      <c r="G54" s="258"/>
      <c r="S54" s="110"/>
      <c r="T54" s="110"/>
      <c r="U54" s="110"/>
      <c r="V54" s="110"/>
      <c r="W54" s="110"/>
      <c r="X54" s="110"/>
      <c r="Y54" s="110"/>
      <c r="Z54" s="110"/>
    </row>
    <row r="55" spans="1:26" s="10" customFormat="1" x14ac:dyDescent="0.25">
      <c r="A55" s="110"/>
      <c r="B55" s="239" t="s">
        <v>1728</v>
      </c>
      <c r="C55" s="265">
        <f>IFERROR(IF(OR('input-data'!$E$346=topdowntables!$C$15, 'input-data'!$E$346=topdowntables!$C$20),0,(0.95*(C49-((C49*'input-data'!E363/100)+ (C49-(C49*'input-data'!E363/100))*(C49/(C49+C50))*'input-data'!E362/100))*(SUM(IFERROR(VLOOKUP('input-data'!E392,'Lagring-Storage'!B6:M11,5,FALSE),0))+(IFERROR(VLOOKUP('input-data'!E392,'Opstaldingsform-Housing '!$B$46:$O$51,5,FALSE),0)))
+(0.05*(C49-((C49*'input-data'!E363/100)+ (C49-(C49*'input-data'!E363/100))*(C49/(C49+C50))*'input-data'!E362/100))*'Lagring-Storage'!$F$7))), 0)</f>
        <v>0</v>
      </c>
      <c r="D55" s="259">
        <f>IFERROR(C55/'Flow smågrise'!$D$9,0)</f>
        <v>0</v>
      </c>
      <c r="E55" s="666"/>
      <c r="F55" s="784"/>
      <c r="G55" s="258"/>
      <c r="S55" s="110"/>
      <c r="T55" s="110"/>
      <c r="U55" s="110"/>
      <c r="V55" s="110"/>
      <c r="W55" s="110"/>
      <c r="X55" s="110"/>
      <c r="Y55" s="110"/>
      <c r="Z55" s="110"/>
    </row>
    <row r="56" spans="1:26" s="10" customFormat="1" x14ac:dyDescent="0.25">
      <c r="A56" s="110"/>
      <c r="B56" s="239" t="s">
        <v>1725</v>
      </c>
      <c r="C56" s="265">
        <f>IFERROR(IF(OR('input-data'!$E$346=topdowntables!$C$15, 'input-data'!$E$346=topdowntables!$C$20),0,(0.95*(C49-((C49*'input-data'!E363/100)+((C49-(C49*'input-data'!E363/100))*(C49/(C49+C50))*'input-data'!E362/100)))*(SUM(IFERROR(VLOOKUP('input-data'!E392,'Lagring-Storage'!B6:M11,7,FALSE),0))+(IFERROR(VLOOKUP('input-data'!E392,'Opstaldingsform-Housing '!$B$46:$O$51,7,FALSE),0)))
+(0.05*(C49-((C49*'input-data'!E363/100)+(C49-(C49*'input-data'!E363/100))*(C49/(C49+C50))*'input-data'!E362/100))*'Lagring-Storage'!$H$7))), 0)</f>
        <v>0</v>
      </c>
      <c r="D56" s="259">
        <f>IFERROR(C56/'Flow smågrise'!$D$9,0)</f>
        <v>0</v>
      </c>
      <c r="E56" s="666"/>
      <c r="F56" s="784"/>
      <c r="G56" s="258"/>
      <c r="S56" s="110"/>
      <c r="T56" s="110"/>
      <c r="U56" s="110"/>
      <c r="V56" s="110"/>
      <c r="W56" s="110"/>
      <c r="X56" s="110"/>
      <c r="Y56" s="110"/>
      <c r="Z56" s="110"/>
    </row>
    <row r="57" spans="1:26" s="10" customFormat="1" x14ac:dyDescent="0.25">
      <c r="A57" s="110"/>
      <c r="B57" s="239" t="s">
        <v>2090</v>
      </c>
      <c r="C57" s="265">
        <f>IFERROR(IF(OR('input-data'!$E$346=topdowntables!$C$15, 'input-data'!$E$346=topdowntables!$C$20),0,(0.95*(C49-((C49*'input-data'!E363/100)+ (C49-(C49*'input-data'!E363/100))*(C49/(C49+C50))*'input-data'!E362/100))*(SUM(IFERROR(VLOOKUP('input-data'!E392,'Lagring-Storage'!B6:M11,9,FALSE),0))+(IFERROR(VLOOKUP('input-data'!E392,'Opstaldingsform-Housing '!$B$46:$O$51,9,FALSE),0)))
+(0.05*(C49-((C49*'input-data'!E363/100)+ (C49-(C49*'input-data'!E363/100))*(C49/(C49+C50))*'input-data'!E362/100))*'Lagring-Storage'!$J$7))), 0)</f>
        <v>0</v>
      </c>
      <c r="D57" s="259">
        <f>IFERROR(C57/'Flow smågrise'!$D$9,0)</f>
        <v>0</v>
      </c>
      <c r="E57" s="666"/>
      <c r="F57" s="784"/>
      <c r="G57" s="258"/>
      <c r="J57" s="463"/>
      <c r="S57" s="110"/>
      <c r="T57" s="110"/>
      <c r="U57" s="110"/>
      <c r="V57" s="110"/>
      <c r="W57" s="110"/>
      <c r="X57" s="110"/>
      <c r="Y57" s="110"/>
      <c r="Z57" s="110"/>
    </row>
    <row r="58" spans="1:26" s="10" customFormat="1" x14ac:dyDescent="0.25">
      <c r="A58" s="110"/>
      <c r="B58" s="237" t="s">
        <v>1747</v>
      </c>
      <c r="C58" s="674">
        <f>IFERROR(IF(OR('input-data'!$E$346=topdowntables!$C$15, 'input-data'!$E$346=topdowntables!$C$20),0,(C49-((C49*'input-data'!E363/100)+(C49-(C49*'input-data'!E363/100))*(C49/(C49+C50))*'input-data'!E362/100)-(C54+C55+C56+C57))), 0)</f>
        <v>0</v>
      </c>
      <c r="D58" s="259">
        <f>IFERROR(C58/'Flow smågrise'!$D$9,0)</f>
        <v>0</v>
      </c>
      <c r="E58" s="666"/>
      <c r="F58" s="784"/>
      <c r="G58" s="258"/>
      <c r="H58" s="465"/>
      <c r="S58" s="110"/>
      <c r="T58" s="110"/>
      <c r="U58" s="110"/>
      <c r="V58" s="110"/>
      <c r="W58" s="110"/>
      <c r="X58" s="110"/>
      <c r="Y58" s="110"/>
      <c r="Z58" s="110"/>
    </row>
    <row r="59" spans="1:26" s="10" customFormat="1" x14ac:dyDescent="0.25">
      <c r="A59" s="110"/>
      <c r="B59" s="237"/>
      <c r="C59" s="265"/>
      <c r="D59" s="259"/>
      <c r="E59" s="666"/>
      <c r="F59" s="784"/>
      <c r="G59" s="258"/>
      <c r="J59" s="463"/>
      <c r="K59" s="463"/>
      <c r="S59" s="110"/>
      <c r="T59" s="110"/>
      <c r="U59" s="110"/>
      <c r="V59" s="110"/>
      <c r="W59" s="110"/>
      <c r="X59" s="110"/>
      <c r="Y59" s="110"/>
      <c r="Z59" s="110"/>
    </row>
    <row r="60" spans="1:26" s="10" customFormat="1" x14ac:dyDescent="0.25">
      <c r="A60" s="110"/>
      <c r="B60" s="239" t="s">
        <v>1746</v>
      </c>
      <c r="C60" s="265"/>
      <c r="D60" s="259"/>
      <c r="E60" s="666"/>
      <c r="F60" s="784"/>
      <c r="G60" s="258"/>
      <c r="S60" s="110"/>
      <c r="T60" s="110"/>
      <c r="U60" s="110"/>
      <c r="V60" s="110"/>
      <c r="W60" s="110"/>
      <c r="X60" s="110"/>
      <c r="Y60" s="110"/>
      <c r="Z60" s="110"/>
    </row>
    <row r="61" spans="1:26" s="10" customFormat="1" x14ac:dyDescent="0.25">
      <c r="A61" s="110"/>
      <c r="B61" s="239" t="s">
        <v>1681</v>
      </c>
      <c r="C61" s="265">
        <f>IFERROR(IF(OR('input-data'!$E$346=topdowntables!$C$15, 'input-data'!$E$346=topdowntables!$C$20),0,((0.95*(C50-((C50*'input-data'!E364/100)+((C50-(C50*'input-data'!E364/100))*(C50/(C49+C50))*'input-data'!E362/100)))*(SUM(IFERROR(VLOOKUP('input-data'!E393,'Lagring-Storage'!B33:M36,3,FALSE),0))+(IFERROR(VLOOKUP('input-data'!E393,'Opstaldingsform-Housing '!$B$71:$O$75,3,FALSE),0))))
+(0.05*( C50-((C50*'input-data'!E364/100)+((C50-(C50*'input-data'!E364/100))*(C50/(C49+C50))*'input-data'!E362/100)))*'Lagring-Storage'!$D$34))), 0)</f>
        <v>0</v>
      </c>
      <c r="D61" s="259">
        <f>IFERROR(C61/'Flow smågrise'!$D$9,0)</f>
        <v>0</v>
      </c>
      <c r="E61" s="666"/>
      <c r="F61" s="784"/>
      <c r="G61" s="258"/>
      <c r="S61" s="110"/>
      <c r="T61" s="110"/>
      <c r="U61" s="110"/>
      <c r="V61" s="110"/>
      <c r="W61" s="110"/>
      <c r="X61" s="110"/>
      <c r="Y61" s="110"/>
      <c r="Z61" s="110"/>
    </row>
    <row r="62" spans="1:26" s="10" customFormat="1" x14ac:dyDescent="0.25">
      <c r="A62" s="110"/>
      <c r="B62" s="239" t="s">
        <v>1728</v>
      </c>
      <c r="C62" s="265">
        <f>IFERROR(IF(OR('input-data'!$E$346=topdowntables!$C$15, 'input-data'!$E$346=topdowntables!$C$20),0,((0.95*(C50-((C50*'input-data'!E364/100)+((C50-(C50*'input-data'!E364/100))*(C50/(C49+C50))*'input-data'!E362/100)))*(SUM(IFERROR(VLOOKUP('input-data'!E393,'Lagring-Storage'!B33:M36,5,FALSE),0))+(IFERROR(VLOOKUP('input-data'!E393,'Opstaldingsform-Housing '!$B$71:$O$75,5,FALSE),0))))
+(0.05*( C50-((C50*'input-data'!E364/100)+((C50-(C50*'input-data'!E364/100))*(C50/(C49+C50))*'input-data'!E362/100)))*'Lagring-Storage'!$F$34))), 0)</f>
        <v>0</v>
      </c>
      <c r="D62" s="259">
        <f>IFERROR(C62/'Flow smågrise'!$D$9,0)</f>
        <v>0</v>
      </c>
      <c r="E62" s="666"/>
      <c r="F62" s="784"/>
      <c r="G62" s="258"/>
      <c r="S62" s="110"/>
      <c r="T62" s="110"/>
      <c r="U62" s="110"/>
      <c r="V62" s="110"/>
      <c r="W62" s="110"/>
      <c r="X62" s="110"/>
      <c r="Y62" s="110"/>
      <c r="Z62" s="110"/>
    </row>
    <row r="63" spans="1:26" s="10" customFormat="1" x14ac:dyDescent="0.25">
      <c r="A63" s="110"/>
      <c r="B63" s="239" t="s">
        <v>1725</v>
      </c>
      <c r="C63" s="265">
        <f>IFERROR(IF(OR('input-data'!$E$346=topdowntables!$C$15, 'input-data'!$E$346=topdowntables!$C$20),0,((0.95*(C50-((C50*'input-data'!E364/100)+((C50-(C50*'input-data'!E364/100))*(C50/(C49+C50))*'input-data'!E362/100)))*(SUM(IFERROR(VLOOKUP('input-data'!E393,'Lagring-Storage'!B33:M36,7,FALSE),0))+(IFERROR(VLOOKUP('input-data'!E393,'Opstaldingsform-Housing '!$B$71:$O$75,7,FALSE),0))))
+(0.05*( C50-((C50*'input-data'!E364/100)+((C50-(C50*'input-data'!E364/100))*(C50/(C49+C50))*'input-data'!E362/100)))*'Lagring-Storage'!$H$34))), 0)</f>
        <v>0</v>
      </c>
      <c r="D63" s="259">
        <f>IFERROR(C63/'Flow smågrise'!$D$9,0)</f>
        <v>0</v>
      </c>
      <c r="E63" s="666"/>
      <c r="F63" s="784"/>
      <c r="G63" s="258"/>
      <c r="S63" s="110"/>
      <c r="T63" s="110"/>
      <c r="U63" s="110"/>
      <c r="V63" s="110"/>
      <c r="W63" s="110"/>
      <c r="X63" s="110"/>
      <c r="Y63" s="110"/>
      <c r="Z63" s="110"/>
    </row>
    <row r="64" spans="1:26" s="10" customFormat="1" x14ac:dyDescent="0.25">
      <c r="A64" s="110"/>
      <c r="B64" s="239" t="s">
        <v>2090</v>
      </c>
      <c r="C64" s="265">
        <f>IFERROR(IF(OR('input-data'!$E$346=topdowntables!$C$15, 'input-data'!$E$346=topdowntables!$C$20),0,((0.95*(C50-((C50*'input-data'!E364/100)+((C50-(C50*'input-data'!E364/100))*(C50/(C49+C50))*'input-data'!E362/100)))*(SUM(IFERROR(VLOOKUP('input-data'!E393,'Lagring-Storage'!B33:M36,9,FALSE),0))+(IFERROR(VLOOKUP('input-data'!E393,'Opstaldingsform-Housing '!$B$71:$O$75,9,FALSE),0))))
+(0.05*( C50-((C50*'input-data'!E364/100)+((C50-(C50*'input-data'!E364/100))*(C50/(C49+C50))*'input-data'!E362/100)))*'Lagring-Storage'!$J$34))), 0)</f>
        <v>0</v>
      </c>
      <c r="D64" s="259">
        <f>IFERROR(C64/'Flow smågrise'!$D$9,0)</f>
        <v>0</v>
      </c>
      <c r="E64" s="666"/>
      <c r="F64" s="784"/>
      <c r="G64" s="258"/>
      <c r="S64" s="110"/>
      <c r="T64" s="110"/>
      <c r="U64" s="110"/>
      <c r="V64" s="110"/>
      <c r="W64" s="110"/>
      <c r="X64" s="110"/>
      <c r="Y64" s="110"/>
      <c r="Z64" s="110"/>
    </row>
    <row r="65" spans="1:26" s="10" customFormat="1" x14ac:dyDescent="0.25">
      <c r="A65" s="110"/>
      <c r="B65" s="237" t="s">
        <v>1754</v>
      </c>
      <c r="C65" s="674">
        <f>IFERROR(IF(OR('input-data'!$E$346=topdowntables!$C$15, 'input-data'!$E$346=topdowntables!$C$20),0,(C50-((C50*'input-data'!E364/100)+((C50-(C50*'input-data'!E364/100))*(C50/(C49+C50))*'input-data'!E362/100)+(C61+C62+C63+C64)))), 0)</f>
        <v>0</v>
      </c>
      <c r="D65" s="259">
        <f>IFERROR(C65/'Flow smågrise'!$D$9,0)</f>
        <v>0</v>
      </c>
      <c r="E65" s="666"/>
      <c r="F65" s="784"/>
      <c r="G65" s="258"/>
      <c r="S65" s="110"/>
      <c r="T65" s="110"/>
      <c r="U65" s="110"/>
      <c r="V65" s="110"/>
      <c r="W65" s="110"/>
      <c r="X65" s="110"/>
      <c r="Y65" s="110"/>
      <c r="Z65" s="110"/>
    </row>
    <row r="66" spans="1:26" s="10" customFormat="1" x14ac:dyDescent="0.25">
      <c r="A66" s="110"/>
      <c r="B66" s="239"/>
      <c r="C66" s="265"/>
      <c r="D66" s="259"/>
      <c r="E66" s="666"/>
      <c r="F66" s="784"/>
      <c r="G66" s="258"/>
      <c r="S66" s="110"/>
      <c r="T66" s="110"/>
      <c r="U66" s="110"/>
      <c r="V66" s="110"/>
      <c r="W66" s="110"/>
      <c r="X66" s="110"/>
      <c r="Y66" s="110"/>
      <c r="Z66" s="110"/>
    </row>
    <row r="67" spans="1:26" s="10" customFormat="1" x14ac:dyDescent="0.25">
      <c r="A67" s="110"/>
      <c r="B67" s="239" t="s">
        <v>1733</v>
      </c>
      <c r="C67" s="265"/>
      <c r="D67" s="259"/>
      <c r="E67" s="666"/>
      <c r="F67" s="784"/>
      <c r="G67" s="258"/>
      <c r="S67" s="110"/>
      <c r="T67" s="110"/>
      <c r="U67" s="110"/>
      <c r="V67" s="110"/>
      <c r="W67" s="110"/>
      <c r="X67" s="110"/>
      <c r="Y67" s="110"/>
      <c r="Z67" s="110"/>
    </row>
    <row r="68" spans="1:26" s="10" customFormat="1" x14ac:dyDescent="0.25">
      <c r="A68" s="110"/>
      <c r="B68" s="239" t="s">
        <v>1681</v>
      </c>
      <c r="C68" s="265">
        <f>IFERROR(IF(OR('input-data'!$E$346=topdowntables!$C$15, 'input-data'!$E$346=topdowntables!$C$20),0,(IF('input-data'!E362&gt;0,0.95*(((C49-(C49*'input-data'!E363/100))*(C49/(C49+C50))*'input-data'!E362/100)+
((C50-(C50*'input-data'!E364/100))*(C50/(C49+C50))*'input-data'!E362/100))*(SUM(IFERROR(VLOOKUP('input-data'!E392,'Lagring-Storage'!B6:M11,3,FALSE),0))+(IFERROR(VLOOKUP('input-data'!E392,'Opstaldingsform-Housing '!$B$46:$O$51,3,FALSE),0)))
+(0.05*(((C49-(C49*'input-data'!E363/100))*(C49/(C49+C50))*'input-data'!E362/100)+
(C50-(C50*'input-data'!E364/100)*(C50/(C49+C50))*'input-data'!E362/100))*('Lagring-Storage'!$D$13)),0))), 0)</f>
        <v>0</v>
      </c>
      <c r="D68" s="259">
        <f>IFERROR(C68/'Flow smågrise'!$D$9,0)</f>
        <v>0</v>
      </c>
      <c r="E68" s="666"/>
      <c r="F68" s="784"/>
      <c r="G68" s="258"/>
      <c r="H68" s="10" t="s">
        <v>1761</v>
      </c>
      <c r="S68" s="110"/>
      <c r="T68" s="110"/>
      <c r="U68" s="110"/>
      <c r="V68" s="110"/>
      <c r="W68" s="110"/>
      <c r="X68" s="110"/>
      <c r="Y68" s="110"/>
      <c r="Z68" s="110"/>
    </row>
    <row r="69" spans="1:26" s="10" customFormat="1" x14ac:dyDescent="0.25">
      <c r="A69" s="110"/>
      <c r="B69" s="239" t="s">
        <v>1727</v>
      </c>
      <c r="C69" s="265">
        <f>IFERROR(IF(OR('input-data'!$E$346=topdowntables!$C$15, 'input-data'!$E$346=topdowntables!$C$20),0,(IF('input-data'!E362&gt;0,0.95*(((C49-(C49*'input-data'!E363/100))*(C49/(C49+C50))*'input-data'!E362/100)+
((C50-(C50*'input-data'!E364/100))*(C50/(C49+C50))*'input-data'!E362/100))*(SUM(IFERROR(VLOOKUP('input-data'!E392,'Lagring-Storage'!B6:M11,5,FALSE),0))+(IFERROR(VLOOKUP('input-data'!E392,'Opstaldingsform-Housing '!$B$46:$O$51,5,FALSE),0)))
+(0.05*(((C49-(C49*'input-data'!E363/100))*(C49/(C49+C50))*'input-data'!E362/100)+
(C50-(C50*'input-data'!E364/100)*(C50/(C49+C50))*'input-data'!E362/100))*('Lagring-Storage'!$F$13)),0))), 0)</f>
        <v>0</v>
      </c>
      <c r="D69" s="259">
        <f>IFERROR(C69/'Flow smågrise'!$D$9,0)</f>
        <v>0</v>
      </c>
      <c r="E69" s="666"/>
      <c r="F69" s="784"/>
      <c r="G69" s="258"/>
      <c r="S69" s="110"/>
      <c r="T69" s="110"/>
      <c r="U69" s="110"/>
      <c r="V69" s="110"/>
      <c r="W69" s="110"/>
      <c r="X69" s="110"/>
      <c r="Y69" s="110"/>
      <c r="Z69" s="110"/>
    </row>
    <row r="70" spans="1:26" s="10" customFormat="1" x14ac:dyDescent="0.25">
      <c r="A70" s="110"/>
      <c r="B70" s="239" t="s">
        <v>1683</v>
      </c>
      <c r="C70" s="265">
        <f>IFERROR(IF(OR('input-data'!$E$346=topdowntables!$C$15, 'input-data'!$E$346=topdowntables!$C$20),0,(IF('input-data'!E362&gt;0,0.95*(((C49-(C49*'input-data'!E363/100))*(C49/(C49+C50))*'input-data'!E362/100)+
((C50-(C50*'input-data'!E364/100))*(C50/(C49+C50))*'input-data'!E362/100))*(SUM(IFERROR(VLOOKUP('input-data'!E392,'Lagring-Storage'!B6:M11,7,FALSE),0))+(IFERROR(VLOOKUP('input-data'!E392,'Opstaldingsform-Housing '!$B$46:$O$51,7,FALSE),0)))
+(0.05*(((C49-(C49*'input-data'!E363/100))*(C49/(C49+C50))*'input-data'!E362/100)+
(C50-(C50*'input-data'!E364/100)*(C50/(C49+C50))*'input-data'!E362/100))*('Lagring-Storage'!$H$13)),0))), 0)</f>
        <v>0</v>
      </c>
      <c r="D70" s="259">
        <f>IFERROR(C70/'Flow smågrise'!$D$9,0)</f>
        <v>0</v>
      </c>
      <c r="E70" s="666"/>
      <c r="F70" s="784"/>
      <c r="G70" s="258"/>
      <c r="S70" s="110"/>
      <c r="T70" s="110"/>
      <c r="U70" s="110"/>
      <c r="V70" s="110"/>
      <c r="W70" s="110"/>
      <c r="X70" s="110"/>
      <c r="Y70" s="110"/>
      <c r="Z70" s="110"/>
    </row>
    <row r="71" spans="1:26" s="10" customFormat="1" x14ac:dyDescent="0.25">
      <c r="A71" s="110"/>
      <c r="B71" s="239" t="s">
        <v>2090</v>
      </c>
      <c r="C71" s="265">
        <f>IFERROR(IF(OR('input-data'!$E$346=topdowntables!$C$15, 'input-data'!$E$346=topdowntables!$C$20),0,(IF('input-data'!E362&gt;0,0.95*(((C49-(C49*'input-data'!E363/100))*(C49/(C49+C50))*'input-data'!E362/100)+
((C50-(C50*'input-data'!E364/100))*(C50/(C49+C50))*'input-data'!E362/100))*(SUM(IFERROR(VLOOKUP('input-data'!E392,'Lagring-Storage'!B6:M11,9,FALSE),0))+(IFERROR(VLOOKUP('input-data'!E392,'Opstaldingsform-Housing '!$B$46:$O$51,9,FALSE),0)))
+(0.05*(((C49-(C49*'input-data'!E363/100))*(C49/(C49+C50))*'input-data'!E362/100)+
(C50-(C50*'input-data'!E364/100)*(C50/(C49+C50))*'input-data'!E362/100))*('Lagring-Storage'!$J$13)),0))), 0)</f>
        <v>0</v>
      </c>
      <c r="D71" s="259">
        <f>IFERROR(C71/'Flow smågrise'!$D$9,0)</f>
        <v>0</v>
      </c>
      <c r="E71" s="666"/>
      <c r="F71" s="784"/>
      <c r="G71" s="258"/>
      <c r="S71" s="110"/>
      <c r="T71" s="110"/>
      <c r="U71" s="110"/>
      <c r="V71" s="110"/>
      <c r="W71" s="110"/>
      <c r="X71" s="110"/>
      <c r="Y71" s="110"/>
      <c r="Z71" s="110"/>
    </row>
    <row r="72" spans="1:26" s="10" customFormat="1" x14ac:dyDescent="0.25">
      <c r="A72" s="281"/>
      <c r="B72" s="237" t="s">
        <v>1735</v>
      </c>
      <c r="C72" s="674">
        <f>IFERROR(IF(OR('input-data'!$E$346=topdowntables!$C$15, 'input-data'!$E$346=topdowntables!$C$20),0,(((C49-(C49*'input-data'!E363/100))*(C49/(C49+C50))*'input-data'!E362/100)+
((C50-(C50*'input-data'!E364/100))*(C50/(C49+C50))*'input-data'!E362/100)-(C68+C69+C70+C71))), 0)</f>
        <v>0</v>
      </c>
      <c r="D72" s="259">
        <f>IFERROR(C72/'Flow smågrise'!$D$9,0)</f>
        <v>0</v>
      </c>
      <c r="E72" s="666"/>
      <c r="F72" s="784"/>
      <c r="G72" s="258"/>
      <c r="S72" s="110"/>
      <c r="T72" s="110"/>
      <c r="U72" s="110"/>
      <c r="V72" s="110"/>
      <c r="W72" s="110"/>
      <c r="X72" s="110"/>
      <c r="Y72" s="110"/>
      <c r="Z72" s="110"/>
    </row>
    <row r="73" spans="1:26" s="10" customFormat="1" x14ac:dyDescent="0.25">
      <c r="A73" s="110"/>
      <c r="B73" s="239"/>
      <c r="C73" s="90"/>
      <c r="D73" s="259"/>
      <c r="E73" s="666"/>
      <c r="F73" s="784"/>
      <c r="G73" s="258"/>
      <c r="S73" s="110"/>
      <c r="T73" s="110"/>
      <c r="U73" s="110"/>
      <c r="V73" s="110"/>
      <c r="W73" s="110"/>
      <c r="X73" s="110"/>
      <c r="Y73" s="110"/>
      <c r="Z73" s="110"/>
    </row>
    <row r="74" spans="1:26" s="10" customFormat="1" x14ac:dyDescent="0.25">
      <c r="A74" s="110"/>
      <c r="B74" s="239" t="s">
        <v>1734</v>
      </c>
      <c r="C74" s="90"/>
      <c r="D74" s="259"/>
      <c r="E74" s="666"/>
      <c r="F74" s="784"/>
      <c r="G74" s="258"/>
      <c r="S74" s="110"/>
      <c r="T74" s="110"/>
      <c r="U74" s="110"/>
      <c r="V74" s="110"/>
      <c r="W74" s="110"/>
      <c r="X74" s="110"/>
      <c r="Y74" s="110"/>
      <c r="Z74" s="110"/>
    </row>
    <row r="75" spans="1:26" s="10" customFormat="1" x14ac:dyDescent="0.25">
      <c r="A75" s="110"/>
      <c r="B75" s="239" t="s">
        <v>1681</v>
      </c>
      <c r="C75" s="265">
        <f>0.95*C49*'input-data'!E363/100*(SUM(IFERROR(VLOOKUP('input-data'!E392,'Lagring-Storage'!B17:M22,3,FALSE),0))+(IFERROR(VLOOKUP('input-data'!E392,'Opstaldingsform-Housing '!$B$44:$O$56,3,FALSE),0)))
+(0.05* C49*'input-data'!E363/100*('Lagring-Storage'!$D$18))</f>
        <v>0</v>
      </c>
      <c r="D75" s="259">
        <f>IFERROR(C75/'Flow smågrise'!$D$9,0)</f>
        <v>0</v>
      </c>
      <c r="E75" s="666"/>
      <c r="F75" s="784"/>
      <c r="G75" s="258"/>
      <c r="S75" s="110"/>
      <c r="T75" s="110"/>
      <c r="U75" s="110"/>
      <c r="V75" s="110"/>
      <c r="W75" s="110"/>
      <c r="X75" s="110"/>
      <c r="Y75" s="110"/>
      <c r="Z75" s="110"/>
    </row>
    <row r="76" spans="1:26" s="10" customFormat="1" x14ac:dyDescent="0.25">
      <c r="A76" s="110"/>
      <c r="B76" s="239" t="s">
        <v>1727</v>
      </c>
      <c r="C76" s="265">
        <f>0.95*C49*'input-data'!E363/100*(SUM(IFERROR(VLOOKUP('input-data'!E392,'Lagring-Storage'!B17:M22,5,FALSE),0))+(IFERROR(VLOOKUP('input-data'!E392,'Opstaldingsform-Housing '!$B$44:$O$56,5,FALSE),0)))
+(0.05* C49*'input-data'!E363/100*('Lagring-Storage'!$F$18))</f>
        <v>0</v>
      </c>
      <c r="D76" s="259">
        <f>IFERROR(C76/'Flow smågrise'!$D$9,0)</f>
        <v>0</v>
      </c>
      <c r="E76" s="666"/>
      <c r="F76" s="784"/>
      <c r="G76" s="258"/>
      <c r="S76" s="110"/>
      <c r="T76" s="110"/>
      <c r="U76" s="110"/>
      <c r="V76" s="110"/>
      <c r="W76" s="110"/>
      <c r="X76" s="110"/>
      <c r="Y76" s="110"/>
      <c r="Z76" s="110"/>
    </row>
    <row r="77" spans="1:26" s="10" customFormat="1" x14ac:dyDescent="0.25">
      <c r="A77" s="110"/>
      <c r="B77" s="239" t="s">
        <v>1683</v>
      </c>
      <c r="C77" s="265">
        <f>0.95*C49*'input-data'!E363/100*(SUM(IFERROR(VLOOKUP('input-data'!E392,'Lagring-Storage'!B17:M22,7,FALSE),0))+(IFERROR(VLOOKUP('input-data'!E392,'Opstaldingsform-Housing '!$B$44:$O$56,7,FALSE),0)))
+(0.05*C49*'input-data'!E363/100*('Lagring-Storage'!$H$18))</f>
        <v>0</v>
      </c>
      <c r="D77" s="259">
        <f>IFERROR(C77/'Flow smågrise'!$D$9,0)</f>
        <v>0</v>
      </c>
      <c r="E77" s="666"/>
      <c r="F77" s="784"/>
      <c r="G77" s="258"/>
      <c r="S77" s="110"/>
      <c r="T77" s="110"/>
      <c r="U77" s="110"/>
      <c r="V77" s="110"/>
      <c r="W77" s="110"/>
      <c r="X77" s="110"/>
      <c r="Y77" s="110"/>
      <c r="Z77" s="110"/>
    </row>
    <row r="78" spans="1:26" s="10" customFormat="1" x14ac:dyDescent="0.25">
      <c r="A78" s="110"/>
      <c r="B78" s="239" t="s">
        <v>2090</v>
      </c>
      <c r="C78" s="265">
        <f>0.95*C49*'input-data'!E363/100*(SUM(IFERROR(VLOOKUP('input-data'!E392,'Lagring-Storage'!B17:M22,9,FALSE),0))+(IFERROR(VLOOKUP('input-data'!E392,'Opstaldingsform-Housing '!$B$44:$O$56,9,FALSE),0)))
+(0.05*C49*'input-data'!E363/100*('Lagring-Storage'!$J$18))</f>
        <v>0</v>
      </c>
      <c r="D78" s="259">
        <f>IFERROR(C78/'Flow smågrise'!$D$9,0)</f>
        <v>0</v>
      </c>
      <c r="E78" s="666"/>
      <c r="F78" s="784"/>
      <c r="G78" s="258"/>
      <c r="S78" s="110"/>
      <c r="T78" s="110"/>
      <c r="U78" s="110"/>
      <c r="V78" s="110"/>
      <c r="W78" s="110"/>
      <c r="X78" s="110"/>
      <c r="Y78" s="110"/>
      <c r="Z78" s="110"/>
    </row>
    <row r="79" spans="1:26" s="10" customFormat="1" x14ac:dyDescent="0.25">
      <c r="A79" s="110"/>
      <c r="B79" s="237" t="s">
        <v>1736</v>
      </c>
      <c r="C79" s="674">
        <f>C49*'input-data'!E363/100-(C75+C76+C77+C78)</f>
        <v>0</v>
      </c>
      <c r="D79" s="259">
        <f>IFERROR(C79/'Flow smågrise'!$D$9,0)</f>
        <v>0</v>
      </c>
      <c r="E79" s="666"/>
      <c r="F79" s="784"/>
      <c r="G79" s="258"/>
      <c r="S79" s="110"/>
      <c r="T79" s="110"/>
      <c r="U79" s="110"/>
      <c r="V79" s="110"/>
      <c r="W79" s="110"/>
      <c r="X79" s="110"/>
      <c r="Y79" s="110"/>
      <c r="Z79" s="110"/>
    </row>
    <row r="80" spans="1:26" s="10" customFormat="1" x14ac:dyDescent="0.25">
      <c r="A80" s="110"/>
      <c r="B80" s="239"/>
      <c r="C80" s="265"/>
      <c r="D80" s="259"/>
      <c r="E80" s="666"/>
      <c r="F80" s="784"/>
      <c r="G80" s="258"/>
      <c r="S80" s="110"/>
      <c r="T80" s="110"/>
      <c r="U80" s="110"/>
      <c r="V80" s="110"/>
      <c r="W80" s="110"/>
      <c r="X80" s="110"/>
      <c r="Y80" s="110"/>
      <c r="Z80" s="110"/>
    </row>
    <row r="81" spans="1:26" s="10" customFormat="1" x14ac:dyDescent="0.25">
      <c r="A81" s="110"/>
      <c r="B81" s="382" t="s">
        <v>1742</v>
      </c>
      <c r="C81" s="679" t="s">
        <v>1855</v>
      </c>
      <c r="D81" s="800" t="s">
        <v>1855</v>
      </c>
      <c r="E81" s="666"/>
      <c r="F81" s="784"/>
      <c r="G81" s="258"/>
      <c r="S81" s="110"/>
      <c r="T81" s="110"/>
      <c r="U81" s="110"/>
      <c r="V81" s="110"/>
      <c r="W81" s="110"/>
      <c r="X81" s="110"/>
      <c r="Y81" s="110"/>
      <c r="Z81" s="110"/>
    </row>
    <row r="82" spans="1:26" s="10" customFormat="1" x14ac:dyDescent="0.25">
      <c r="A82" s="110"/>
      <c r="B82" s="239" t="s">
        <v>1757</v>
      </c>
      <c r="C82" s="90"/>
      <c r="D82" s="259"/>
      <c r="E82" s="666"/>
      <c r="F82" s="784"/>
      <c r="G82" s="258"/>
      <c r="S82" s="110"/>
      <c r="T82" s="110"/>
      <c r="U82" s="110"/>
      <c r="V82" s="110"/>
      <c r="W82" s="110"/>
      <c r="X82" s="110"/>
      <c r="Y82" s="110"/>
      <c r="Z82" s="110"/>
    </row>
    <row r="83" spans="1:26" s="10" customFormat="1" x14ac:dyDescent="0.25">
      <c r="A83" s="110"/>
      <c r="B83" s="239" t="s">
        <v>1681</v>
      </c>
      <c r="C83" s="265">
        <f>C58*'Udbringning af gylleApplication'!C6</f>
        <v>0</v>
      </c>
      <c r="D83" s="259">
        <f>IFERROR(C83/'Flow smågrise'!$D$9,0)</f>
        <v>0</v>
      </c>
      <c r="E83" s="666"/>
      <c r="F83" s="784"/>
      <c r="G83" s="258"/>
      <c r="S83" s="110"/>
      <c r="T83" s="110"/>
      <c r="U83" s="110"/>
      <c r="V83" s="110"/>
      <c r="W83" s="110"/>
      <c r="X83" s="110"/>
      <c r="Y83" s="110"/>
      <c r="Z83" s="110"/>
    </row>
    <row r="84" spans="1:26" s="10" customFormat="1" x14ac:dyDescent="0.25">
      <c r="A84" s="110"/>
      <c r="B84" s="239" t="s">
        <v>1682</v>
      </c>
      <c r="C84" s="265">
        <f>C58*'Udbringning af gylleApplication'!E6</f>
        <v>0</v>
      </c>
      <c r="D84" s="259">
        <f>IFERROR(C84/'Flow smågrise'!$D$9,0)</f>
        <v>0</v>
      </c>
      <c r="E84" s="666"/>
      <c r="F84" s="784"/>
      <c r="G84" s="258"/>
      <c r="S84" s="110"/>
      <c r="T84" s="110"/>
      <c r="U84" s="110"/>
      <c r="V84" s="110"/>
      <c r="W84" s="110"/>
      <c r="X84" s="110"/>
      <c r="Y84" s="110"/>
      <c r="Z84" s="110"/>
    </row>
    <row r="85" spans="1:26" s="10" customFormat="1" x14ac:dyDescent="0.25">
      <c r="A85" s="110"/>
      <c r="B85" s="239" t="s">
        <v>1683</v>
      </c>
      <c r="C85" s="265">
        <f>C58*'Udbringning af gylleApplication'!G6</f>
        <v>0</v>
      </c>
      <c r="D85" s="259">
        <f>IFERROR(C85/'Flow smågrise'!$D$9,0)</f>
        <v>0</v>
      </c>
      <c r="E85" s="666"/>
      <c r="F85" s="784"/>
      <c r="G85" s="258"/>
      <c r="S85" s="110"/>
      <c r="T85" s="110"/>
      <c r="U85" s="110"/>
      <c r="V85" s="110"/>
      <c r="W85" s="110"/>
      <c r="X85" s="110"/>
      <c r="Y85" s="110"/>
      <c r="Z85" s="110"/>
    </row>
    <row r="86" spans="1:26" s="10" customFormat="1" x14ac:dyDescent="0.25">
      <c r="A86" s="110"/>
      <c r="B86" s="239" t="s">
        <v>2090</v>
      </c>
      <c r="C86" s="265">
        <f>C58*'Udbringning af gylleApplication'!I6</f>
        <v>0</v>
      </c>
      <c r="D86" s="259">
        <f>IFERROR(C86/'Flow smågrise'!$D$9,0)</f>
        <v>0</v>
      </c>
      <c r="E86" s="666"/>
      <c r="F86" s="784"/>
      <c r="G86" s="258"/>
      <c r="J86" s="463"/>
      <c r="S86" s="110"/>
      <c r="T86" s="110"/>
      <c r="U86" s="110"/>
      <c r="V86" s="110"/>
      <c r="W86" s="110"/>
      <c r="X86" s="110"/>
      <c r="Y86" s="110"/>
      <c r="Z86" s="110"/>
    </row>
    <row r="87" spans="1:26" s="10" customFormat="1" x14ac:dyDescent="0.25">
      <c r="A87" s="110"/>
      <c r="B87" s="237" t="s">
        <v>1762</v>
      </c>
      <c r="C87" s="265">
        <f>C58-(C83+C84+C85+C86)</f>
        <v>0</v>
      </c>
      <c r="D87" s="259">
        <f>IFERROR(C87/'Flow smågrise'!$D$9,0)</f>
        <v>0</v>
      </c>
      <c r="E87" s="666"/>
      <c r="F87" s="784"/>
      <c r="G87" s="258"/>
      <c r="S87" s="110"/>
      <c r="T87" s="110"/>
      <c r="U87" s="110"/>
      <c r="V87" s="110"/>
      <c r="W87" s="110"/>
      <c r="X87" s="110"/>
      <c r="Y87" s="110"/>
      <c r="Z87" s="110"/>
    </row>
    <row r="88" spans="1:26" s="10" customFormat="1" x14ac:dyDescent="0.25">
      <c r="A88" s="110"/>
      <c r="B88" s="237"/>
      <c r="C88" s="265"/>
      <c r="D88" s="259"/>
      <c r="E88" s="666"/>
      <c r="F88" s="784"/>
      <c r="G88" s="258"/>
      <c r="S88" s="110"/>
      <c r="T88" s="110"/>
      <c r="U88" s="110"/>
      <c r="V88" s="110"/>
      <c r="W88" s="110"/>
      <c r="X88" s="110"/>
      <c r="Y88" s="110"/>
      <c r="Z88" s="110"/>
    </row>
    <row r="89" spans="1:26" s="10" customFormat="1" x14ac:dyDescent="0.25">
      <c r="A89" s="110"/>
      <c r="B89" s="239" t="s">
        <v>1283</v>
      </c>
      <c r="C89" s="265"/>
      <c r="D89" s="259"/>
      <c r="E89" s="666"/>
      <c r="F89" s="784"/>
      <c r="G89" s="258"/>
      <c r="S89" s="110"/>
      <c r="T89" s="110"/>
      <c r="U89" s="110"/>
      <c r="V89" s="110"/>
      <c r="W89" s="110"/>
      <c r="X89" s="110"/>
      <c r="Y89" s="110"/>
      <c r="Z89" s="110"/>
    </row>
    <row r="90" spans="1:26" s="10" customFormat="1" x14ac:dyDescent="0.25">
      <c r="A90" s="110"/>
      <c r="B90" s="239" t="s">
        <v>1681</v>
      </c>
      <c r="C90" s="265">
        <f>C65*'Udbringning af gylleApplication'!C9</f>
        <v>0</v>
      </c>
      <c r="D90" s="259">
        <f>IFERROR(C90/'Flow smågrise'!$D$9,0)</f>
        <v>0</v>
      </c>
      <c r="E90" s="666"/>
      <c r="F90" s="784"/>
      <c r="G90" s="258"/>
      <c r="S90" s="110"/>
      <c r="T90" s="110"/>
      <c r="U90" s="110"/>
      <c r="V90" s="110"/>
      <c r="W90" s="110"/>
      <c r="X90" s="110"/>
      <c r="Y90" s="110"/>
      <c r="Z90" s="110"/>
    </row>
    <row r="91" spans="1:26" s="10" customFormat="1" x14ac:dyDescent="0.25">
      <c r="A91" s="110"/>
      <c r="B91" s="239" t="s">
        <v>1682</v>
      </c>
      <c r="C91" s="265">
        <f>C65*'Udbringning af gylleApplication'!E9</f>
        <v>0</v>
      </c>
      <c r="D91" s="259">
        <f>IFERROR(C91/'Flow smågrise'!$D$9,0)</f>
        <v>0</v>
      </c>
      <c r="E91" s="666"/>
      <c r="F91" s="784"/>
      <c r="G91" s="258"/>
      <c r="S91" s="110"/>
      <c r="T91" s="110"/>
      <c r="U91" s="110"/>
      <c r="V91" s="110"/>
      <c r="W91" s="110"/>
      <c r="X91" s="110"/>
      <c r="Y91" s="110"/>
      <c r="Z91" s="110"/>
    </row>
    <row r="92" spans="1:26" s="10" customFormat="1" x14ac:dyDescent="0.25">
      <c r="A92" s="110"/>
      <c r="B92" s="239" t="s">
        <v>1683</v>
      </c>
      <c r="C92" s="265">
        <f>C65*'Udbringning af gylleApplication'!G9</f>
        <v>0</v>
      </c>
      <c r="D92" s="259">
        <f>IFERROR(C92/'Flow smågrise'!$D$9,0)</f>
        <v>0</v>
      </c>
      <c r="E92" s="666"/>
      <c r="F92" s="784"/>
      <c r="G92" s="258"/>
      <c r="S92" s="110"/>
      <c r="T92" s="110"/>
      <c r="U92" s="110"/>
      <c r="V92" s="110"/>
      <c r="W92" s="110"/>
      <c r="X92" s="110"/>
      <c r="Y92" s="110"/>
      <c r="Z92" s="110"/>
    </row>
    <row r="93" spans="1:26" s="10" customFormat="1" x14ac:dyDescent="0.25">
      <c r="A93" s="110"/>
      <c r="B93" s="239" t="s">
        <v>2090</v>
      </c>
      <c r="C93" s="265">
        <f>C65*'Udbringning af gylleApplication'!I9</f>
        <v>0</v>
      </c>
      <c r="D93" s="259">
        <f>IFERROR(C93/'Flow smågrise'!$D$9,0)</f>
        <v>0</v>
      </c>
      <c r="E93" s="666"/>
      <c r="F93" s="784"/>
      <c r="G93" s="258"/>
      <c r="S93" s="110"/>
      <c r="T93" s="110"/>
      <c r="U93" s="110"/>
      <c r="V93" s="110"/>
      <c r="W93" s="110"/>
      <c r="X93" s="110"/>
      <c r="Y93" s="110"/>
      <c r="Z93" s="110"/>
    </row>
    <row r="94" spans="1:26" s="10" customFormat="1" x14ac:dyDescent="0.25">
      <c r="A94" s="110"/>
      <c r="B94" s="237" t="s">
        <v>1764</v>
      </c>
      <c r="C94" s="265">
        <f>C65-(C90+C91+C92+C93)+(C50*'input-data'!E386/100)</f>
        <v>0</v>
      </c>
      <c r="D94" s="259">
        <f>IFERROR(C94/'Flow smågrise'!$D$9,0)</f>
        <v>0</v>
      </c>
      <c r="E94" s="666"/>
      <c r="F94" s="784"/>
      <c r="G94" s="258"/>
      <c r="H94" s="10" t="s">
        <v>1847</v>
      </c>
      <c r="S94" s="110"/>
      <c r="T94" s="110"/>
      <c r="U94" s="110"/>
      <c r="V94" s="110"/>
      <c r="W94" s="110"/>
      <c r="X94" s="110"/>
      <c r="Y94" s="110"/>
      <c r="Z94" s="110"/>
    </row>
    <row r="95" spans="1:26" s="10" customFormat="1" x14ac:dyDescent="0.25">
      <c r="A95" s="110"/>
      <c r="B95" s="239"/>
      <c r="C95" s="265"/>
      <c r="D95" s="259"/>
      <c r="E95" s="666"/>
      <c r="F95" s="784"/>
      <c r="G95" s="258"/>
      <c r="S95" s="110"/>
      <c r="T95" s="110"/>
      <c r="U95" s="110"/>
      <c r="V95" s="110"/>
      <c r="W95" s="110"/>
      <c r="X95" s="110"/>
      <c r="Y95" s="110"/>
      <c r="Z95" s="110"/>
    </row>
    <row r="96" spans="1:26" s="10" customFormat="1" x14ac:dyDescent="0.25">
      <c r="A96" s="110"/>
      <c r="B96" s="239" t="s">
        <v>1758</v>
      </c>
      <c r="C96" s="265"/>
      <c r="D96" s="259"/>
      <c r="E96" s="666"/>
      <c r="F96" s="784"/>
      <c r="G96" s="258"/>
      <c r="S96" s="110"/>
      <c r="T96" s="110"/>
      <c r="U96" s="110"/>
      <c r="V96" s="110"/>
      <c r="W96" s="110"/>
      <c r="X96" s="110"/>
      <c r="Y96" s="110"/>
      <c r="Z96" s="110"/>
    </row>
    <row r="97" spans="1:26" s="10" customFormat="1" x14ac:dyDescent="0.25">
      <c r="A97" s="110"/>
      <c r="B97" s="239" t="s">
        <v>1681</v>
      </c>
      <c r="C97" s="265">
        <f>C72*'Udbringning af gylleApplication'!C7</f>
        <v>0</v>
      </c>
      <c r="D97" s="259">
        <f>IFERROR(C97/'Flow smågrise'!$D$9,0)</f>
        <v>0</v>
      </c>
      <c r="E97" s="666"/>
      <c r="F97" s="784"/>
      <c r="G97" s="258"/>
      <c r="S97" s="110"/>
      <c r="T97" s="110"/>
      <c r="U97" s="110"/>
      <c r="V97" s="110"/>
      <c r="W97" s="110"/>
      <c r="X97" s="110"/>
      <c r="Y97" s="110"/>
      <c r="Z97" s="110"/>
    </row>
    <row r="98" spans="1:26" s="10" customFormat="1" x14ac:dyDescent="0.25">
      <c r="A98" s="110"/>
      <c r="B98" s="239" t="s">
        <v>1682</v>
      </c>
      <c r="C98" s="265">
        <f>C72*'Udbringning af gylleApplication'!E7</f>
        <v>0</v>
      </c>
      <c r="D98" s="259">
        <f>IFERROR(C98/'Flow smågrise'!$D$9,0)</f>
        <v>0</v>
      </c>
      <c r="E98" s="666"/>
      <c r="F98" s="784"/>
      <c r="G98" s="258"/>
      <c r="S98" s="110"/>
      <c r="T98" s="110"/>
      <c r="U98" s="110"/>
      <c r="V98" s="110"/>
      <c r="W98" s="110"/>
      <c r="X98" s="110"/>
      <c r="Y98" s="110"/>
      <c r="Z98" s="110"/>
    </row>
    <row r="99" spans="1:26" s="10" customFormat="1" x14ac:dyDescent="0.25">
      <c r="A99" s="110"/>
      <c r="B99" s="239" t="s">
        <v>1683</v>
      </c>
      <c r="C99" s="265">
        <f>C72*'Udbringning af gylleApplication'!G7</f>
        <v>0</v>
      </c>
      <c r="D99" s="259">
        <f>IFERROR(C99/'Flow smågrise'!$D$9,0)</f>
        <v>0</v>
      </c>
      <c r="E99" s="666"/>
      <c r="F99" s="784"/>
      <c r="G99" s="258"/>
      <c r="S99" s="110"/>
      <c r="T99" s="110"/>
      <c r="U99" s="110"/>
      <c r="V99" s="110"/>
      <c r="W99" s="110"/>
      <c r="X99" s="110"/>
      <c r="Y99" s="110"/>
      <c r="Z99" s="110"/>
    </row>
    <row r="100" spans="1:26" s="10" customFormat="1" x14ac:dyDescent="0.25">
      <c r="A100" s="110"/>
      <c r="B100" s="239" t="s">
        <v>2090</v>
      </c>
      <c r="C100" s="265">
        <f>C72*'Udbringning af gylleApplication'!I7</f>
        <v>0</v>
      </c>
      <c r="D100" s="259">
        <f>IFERROR(C100/'Flow smågrise'!$D$9,0)</f>
        <v>0</v>
      </c>
      <c r="E100" s="666"/>
      <c r="F100" s="784"/>
      <c r="G100" s="258"/>
      <c r="S100" s="110"/>
      <c r="T100" s="110"/>
      <c r="U100" s="110"/>
      <c r="V100" s="110"/>
      <c r="W100" s="110"/>
      <c r="X100" s="110"/>
      <c r="Y100" s="110"/>
      <c r="Z100" s="110"/>
    </row>
    <row r="101" spans="1:26" s="10" customFormat="1" x14ac:dyDescent="0.25">
      <c r="A101" s="281"/>
      <c r="B101" s="237" t="s">
        <v>1765</v>
      </c>
      <c r="C101" s="265">
        <f>C72-(C97+C98+C99+C100)</f>
        <v>0</v>
      </c>
      <c r="D101" s="259">
        <f>IFERROR(C101/'Flow smågrise'!$D$9,0)</f>
        <v>0</v>
      </c>
      <c r="E101" s="666"/>
      <c r="F101" s="784"/>
      <c r="G101" s="258"/>
      <c r="S101" s="110"/>
      <c r="T101" s="110"/>
      <c r="U101" s="110"/>
      <c r="V101" s="110"/>
      <c r="W101" s="110"/>
      <c r="X101" s="110"/>
      <c r="Y101" s="110"/>
      <c r="Z101" s="110"/>
    </row>
    <row r="102" spans="1:26" s="10" customFormat="1" x14ac:dyDescent="0.25">
      <c r="A102" s="110"/>
      <c r="B102" s="239"/>
      <c r="C102" s="90"/>
      <c r="D102" s="259"/>
      <c r="E102" s="666"/>
      <c r="F102" s="784"/>
      <c r="G102" s="258"/>
      <c r="S102" s="110"/>
      <c r="T102" s="110"/>
      <c r="U102" s="110"/>
      <c r="V102" s="110"/>
      <c r="W102" s="110"/>
      <c r="X102" s="110"/>
      <c r="Y102" s="110"/>
      <c r="Z102" s="110"/>
    </row>
    <row r="103" spans="1:26" s="10" customFormat="1" x14ac:dyDescent="0.25">
      <c r="A103" s="110"/>
      <c r="B103" s="239" t="s">
        <v>1759</v>
      </c>
      <c r="C103" s="90"/>
      <c r="D103" s="259"/>
      <c r="E103" s="666"/>
      <c r="F103" s="784"/>
      <c r="G103" s="258"/>
      <c r="S103" s="110"/>
      <c r="T103" s="110"/>
      <c r="U103" s="110"/>
      <c r="V103" s="110"/>
      <c r="W103" s="110"/>
      <c r="X103" s="110"/>
      <c r="Y103" s="110"/>
      <c r="Z103" s="110"/>
    </row>
    <row r="104" spans="1:26" s="10" customFormat="1" x14ac:dyDescent="0.25">
      <c r="A104" s="110"/>
      <c r="B104" s="239" t="s">
        <v>1681</v>
      </c>
      <c r="C104" s="265">
        <f>C79*'Udbringning af gylleApplication'!C8</f>
        <v>0</v>
      </c>
      <c r="D104" s="259">
        <f>IFERROR(C104/'Flow smågrise'!$D$9,0)</f>
        <v>0</v>
      </c>
      <c r="E104" s="666"/>
      <c r="F104" s="784"/>
      <c r="G104" s="258"/>
      <c r="S104" s="110"/>
      <c r="T104" s="110"/>
      <c r="U104" s="110"/>
      <c r="V104" s="110"/>
      <c r="W104" s="110"/>
      <c r="X104" s="110"/>
      <c r="Y104" s="110"/>
      <c r="Z104" s="110"/>
    </row>
    <row r="105" spans="1:26" s="10" customFormat="1" x14ac:dyDescent="0.25">
      <c r="A105" s="110"/>
      <c r="B105" s="239" t="s">
        <v>1682</v>
      </c>
      <c r="C105" s="265">
        <f>C79*'Udbringning af gylleApplication'!E8</f>
        <v>0</v>
      </c>
      <c r="D105" s="259">
        <f>IFERROR(C105/'Flow smågrise'!$D$9,0)</f>
        <v>0</v>
      </c>
      <c r="E105" s="666"/>
      <c r="F105" s="784"/>
      <c r="G105" s="258"/>
      <c r="S105" s="110"/>
      <c r="T105" s="110"/>
      <c r="U105" s="110"/>
      <c r="V105" s="110"/>
      <c r="W105" s="110"/>
      <c r="X105" s="110"/>
      <c r="Y105" s="110"/>
      <c r="Z105" s="110"/>
    </row>
    <row r="106" spans="1:26" s="10" customFormat="1" x14ac:dyDescent="0.25">
      <c r="A106" s="110"/>
      <c r="B106" s="239" t="s">
        <v>1683</v>
      </c>
      <c r="C106" s="265">
        <f>C79*'Udbringning af gylleApplication'!G8</f>
        <v>0</v>
      </c>
      <c r="D106" s="259">
        <f>IFERROR(C106/'Flow smågrise'!$D$9,0)</f>
        <v>0</v>
      </c>
      <c r="E106" s="666"/>
      <c r="F106" s="784"/>
      <c r="G106" s="258"/>
      <c r="S106" s="110"/>
      <c r="T106" s="110"/>
      <c r="U106" s="110"/>
      <c r="V106" s="110"/>
      <c r="W106" s="110"/>
      <c r="X106" s="110"/>
      <c r="Y106" s="110"/>
      <c r="Z106" s="110"/>
    </row>
    <row r="107" spans="1:26" s="10" customFormat="1" x14ac:dyDescent="0.25">
      <c r="A107" s="110"/>
      <c r="B107" s="239" t="s">
        <v>2090</v>
      </c>
      <c r="C107" s="265">
        <f>C79*'Udbringning af gylleApplication'!I8</f>
        <v>0</v>
      </c>
      <c r="D107" s="259">
        <f>IFERROR(C107/'Flow smågrise'!$D$9,0)</f>
        <v>0</v>
      </c>
      <c r="E107" s="666"/>
      <c r="F107" s="784"/>
      <c r="G107" s="258"/>
      <c r="S107" s="110"/>
      <c r="T107" s="110"/>
      <c r="U107" s="110"/>
      <c r="V107" s="110"/>
      <c r="W107" s="110"/>
      <c r="X107" s="110"/>
      <c r="Y107" s="110"/>
      <c r="Z107" s="110"/>
    </row>
    <row r="108" spans="1:26" s="10" customFormat="1" x14ac:dyDescent="0.25">
      <c r="A108" s="110"/>
      <c r="B108" s="237" t="s">
        <v>1736</v>
      </c>
      <c r="C108" s="265">
        <f>C79-(C104+C105+C106+C107)</f>
        <v>0</v>
      </c>
      <c r="D108" s="259">
        <f>IFERROR(C108/'Flow smågrise'!$D$9,0)</f>
        <v>0</v>
      </c>
      <c r="E108" s="666"/>
      <c r="F108" s="784"/>
      <c r="G108" s="258"/>
      <c r="S108" s="110"/>
      <c r="T108" s="110"/>
      <c r="U108" s="110"/>
      <c r="V108" s="110"/>
      <c r="W108" s="110"/>
      <c r="X108" s="110"/>
      <c r="Y108" s="110"/>
      <c r="Z108" s="110"/>
    </row>
    <row r="109" spans="1:26" s="10" customFormat="1" ht="15.75" thickBot="1" x14ac:dyDescent="0.3">
      <c r="A109" s="110"/>
      <c r="B109" s="379"/>
      <c r="C109" s="791"/>
      <c r="D109" s="380"/>
      <c r="E109" s="666"/>
      <c r="F109" s="784"/>
      <c r="G109" s="110"/>
      <c r="S109" s="110"/>
      <c r="T109" s="110"/>
      <c r="U109" s="110"/>
      <c r="V109" s="110"/>
      <c r="W109" s="110"/>
      <c r="X109" s="110"/>
      <c r="Y109" s="110"/>
      <c r="Z109" s="110"/>
    </row>
    <row r="110" spans="1:26" s="10" customFormat="1" x14ac:dyDescent="0.25">
      <c r="A110" s="110"/>
      <c r="B110" s="267"/>
      <c r="C110" s="381"/>
      <c r="D110" s="381"/>
      <c r="E110" s="666"/>
      <c r="F110" s="784"/>
      <c r="G110" s="110"/>
      <c r="S110" s="110"/>
      <c r="T110" s="110"/>
      <c r="U110" s="110"/>
      <c r="V110" s="110"/>
      <c r="W110" s="110"/>
      <c r="X110" s="110"/>
      <c r="Y110" s="110"/>
      <c r="Z110" s="110"/>
    </row>
    <row r="111" spans="1:26" s="10" customFormat="1" x14ac:dyDescent="0.25">
      <c r="A111" s="110"/>
      <c r="B111" s="267"/>
      <c r="C111" s="381"/>
      <c r="D111" s="381"/>
      <c r="E111" s="666"/>
      <c r="F111" s="784"/>
      <c r="G111" s="110"/>
      <c r="S111" s="110"/>
      <c r="T111" s="110"/>
      <c r="U111" s="110"/>
      <c r="V111" s="110"/>
      <c r="W111" s="110"/>
      <c r="X111" s="110"/>
      <c r="Y111" s="110"/>
      <c r="Z111" s="110"/>
    </row>
    <row r="112" spans="1:26" s="10" customFormat="1" x14ac:dyDescent="0.25">
      <c r="A112" s="110"/>
      <c r="B112" s="267"/>
      <c r="C112" s="381"/>
      <c r="D112" s="381"/>
      <c r="E112" s="666"/>
      <c r="F112" s="784"/>
      <c r="G112" s="110"/>
      <c r="S112" s="110"/>
      <c r="T112" s="110"/>
      <c r="U112" s="110"/>
      <c r="V112" s="110"/>
      <c r="W112" s="110"/>
      <c r="X112" s="110"/>
      <c r="Y112" s="110"/>
      <c r="Z112" s="110"/>
    </row>
  </sheetData>
  <sheetProtection algorithmName="SHA-512" hashValue="qPFfo5/dLTRn9TqiqaX2Ov09l5TnCeUvt9MDeDKoUw/wMAs2H0+ebA7leviC55/Lp8V6herx3BTeYF4vLO3BTQ==" saltValue="hu2h3BtbgFWnlhZvkCOB1w==" spinCount="100000" sheet="1" objects="1" scenarios="1"/>
  <protectedRanges>
    <protectedRange sqref="A1:XFD1048576" name="all"/>
  </protectedRanges>
  <pageMargins left="0.7" right="0.7" top="0.75" bottom="0.75" header="0.3" footer="0.3"/>
  <pageSetup paperSize="9" orientation="portrait" r:id="rId1"/>
  <ignoredErrors>
    <ignoredError sqref="D3:E3 E6 E8:E24" formula="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sheetPr>
  <dimension ref="A1:AC163"/>
  <sheetViews>
    <sheetView topLeftCell="A76" zoomScale="84" zoomScaleNormal="84" zoomScalePageLayoutView="84" workbookViewId="0">
      <selection activeCell="K109" sqref="K109"/>
    </sheetView>
  </sheetViews>
  <sheetFormatPr defaultColWidth="8.85546875" defaultRowHeight="15" x14ac:dyDescent="0.25"/>
  <cols>
    <col min="1" max="1" width="3.85546875" style="228" customWidth="1"/>
    <col min="2" max="2" width="31.42578125" style="228" customWidth="1"/>
    <col min="3" max="3" width="16.85546875" style="122" customWidth="1"/>
    <col min="4" max="4" width="18.7109375" style="122" customWidth="1"/>
    <col min="5" max="5" width="14.7109375" style="122" customWidth="1"/>
    <col min="6" max="6" width="19.42578125" style="122" customWidth="1"/>
    <col min="7" max="7" width="17.140625" style="122" customWidth="1"/>
    <col min="8" max="8" width="2.42578125" style="122" customWidth="1"/>
    <col min="9" max="9" width="18.28515625" style="228" customWidth="1"/>
    <col min="10" max="10" width="2.85546875" style="228" customWidth="1"/>
    <col min="11" max="11" width="20.42578125" style="228" customWidth="1"/>
    <col min="12" max="18" width="8.85546875" style="228"/>
    <col min="19" max="19" width="24.7109375" style="228" customWidth="1"/>
    <col min="20" max="27" width="8.85546875" style="228"/>
  </cols>
  <sheetData>
    <row r="1" spans="1:27" s="10" customFormat="1" x14ac:dyDescent="0.25">
      <c r="A1" s="110"/>
      <c r="B1" s="177" t="s">
        <v>1859</v>
      </c>
      <c r="C1" s="226" t="s">
        <v>971</v>
      </c>
      <c r="D1" s="226"/>
      <c r="E1" s="251"/>
      <c r="F1" s="251"/>
      <c r="G1" s="251" t="s">
        <v>1635</v>
      </c>
      <c r="H1" s="177" t="s">
        <v>8</v>
      </c>
      <c r="I1" s="110"/>
      <c r="J1" s="110"/>
      <c r="K1" s="110"/>
      <c r="L1" s="110"/>
      <c r="M1" s="110"/>
      <c r="N1" s="110"/>
      <c r="O1" s="110"/>
      <c r="P1" s="110"/>
      <c r="Q1" s="110"/>
      <c r="R1" s="110"/>
      <c r="S1" s="110"/>
      <c r="T1" s="110"/>
      <c r="U1" s="110"/>
      <c r="V1" s="110"/>
      <c r="W1" s="110"/>
      <c r="X1" s="110"/>
      <c r="Y1" s="110"/>
      <c r="Z1" s="110"/>
      <c r="AA1" s="110"/>
    </row>
    <row r="2" spans="1:27" s="10" customFormat="1" ht="15.75" thickBot="1" x14ac:dyDescent="0.3">
      <c r="A2" s="110"/>
      <c r="B2" s="110"/>
      <c r="C2" s="111"/>
      <c r="D2" s="786"/>
      <c r="E2" s="681"/>
      <c r="F2" s="65"/>
      <c r="G2" s="110"/>
      <c r="H2" s="110"/>
      <c r="I2" s="110"/>
      <c r="J2" s="110"/>
      <c r="K2" s="110"/>
      <c r="L2" s="110"/>
      <c r="M2" s="110"/>
      <c r="N2" s="110"/>
      <c r="O2" s="110"/>
      <c r="P2" s="110"/>
      <c r="Q2" s="110"/>
      <c r="R2" s="110"/>
      <c r="S2" s="110"/>
      <c r="T2" s="110"/>
      <c r="U2" s="110"/>
      <c r="V2" s="110"/>
      <c r="W2" s="110"/>
      <c r="X2" s="110"/>
      <c r="Y2" s="110"/>
      <c r="Z2" s="110"/>
      <c r="AA2" s="110"/>
    </row>
    <row r="3" spans="1:27" s="10" customFormat="1" ht="33" customHeight="1" x14ac:dyDescent="0.25">
      <c r="A3" s="110"/>
      <c r="B3" s="802" t="s">
        <v>1624</v>
      </c>
      <c r="C3" s="795" t="s">
        <v>1489</v>
      </c>
      <c r="D3" s="803" t="s">
        <v>1917</v>
      </c>
      <c r="E3" s="795" t="s">
        <v>1489</v>
      </c>
      <c r="F3" s="804" t="s">
        <v>1917</v>
      </c>
      <c r="G3" s="110"/>
      <c r="H3" s="110"/>
      <c r="I3" s="110"/>
      <c r="J3" s="110"/>
      <c r="K3" s="110"/>
      <c r="L3" s="110"/>
      <c r="M3" s="110"/>
      <c r="N3" s="110"/>
      <c r="O3" s="110"/>
      <c r="P3" s="110"/>
      <c r="Q3" s="110"/>
      <c r="R3" s="110"/>
      <c r="S3" s="110"/>
      <c r="T3" s="110"/>
      <c r="U3" s="110"/>
      <c r="V3" s="110"/>
      <c r="W3" s="110"/>
      <c r="X3" s="110"/>
      <c r="Y3" s="110"/>
      <c r="Z3" s="110"/>
      <c r="AA3" s="110"/>
    </row>
    <row r="4" spans="1:27" s="10" customFormat="1" x14ac:dyDescent="0.25">
      <c r="A4" s="110"/>
      <c r="B4" s="382" t="s">
        <v>1854</v>
      </c>
      <c r="C4" s="471" t="s">
        <v>1855</v>
      </c>
      <c r="D4" s="471" t="s">
        <v>1855</v>
      </c>
      <c r="E4" s="471" t="s">
        <v>1341</v>
      </c>
      <c r="F4" s="236" t="s">
        <v>1341</v>
      </c>
      <c r="G4" s="110"/>
      <c r="H4" s="110"/>
      <c r="I4" s="110"/>
      <c r="J4" s="110"/>
      <c r="K4" s="110"/>
      <c r="L4" s="110"/>
      <c r="M4" s="110"/>
      <c r="N4" s="110"/>
      <c r="O4" s="110"/>
      <c r="P4" s="110"/>
      <c r="Q4" s="110"/>
      <c r="R4" s="110"/>
      <c r="S4" s="110"/>
      <c r="T4" s="110"/>
      <c r="U4" s="110"/>
      <c r="V4" s="110"/>
      <c r="W4" s="110"/>
      <c r="X4" s="110"/>
      <c r="Y4" s="110"/>
      <c r="Z4" s="110"/>
      <c r="AA4" s="110"/>
    </row>
    <row r="5" spans="1:27" s="10" customFormat="1" x14ac:dyDescent="0.25">
      <c r="A5" s="110"/>
      <c r="B5" s="239" t="s">
        <v>1568</v>
      </c>
      <c r="C5" s="65"/>
      <c r="D5" s="65"/>
      <c r="E5" s="65"/>
      <c r="F5" s="241"/>
      <c r="G5" s="110"/>
      <c r="H5" s="110"/>
      <c r="I5" s="110"/>
      <c r="J5" s="110"/>
      <c r="K5" s="110"/>
      <c r="L5" s="110"/>
      <c r="M5" s="110"/>
      <c r="N5" s="110"/>
      <c r="O5" s="110"/>
      <c r="P5" s="110"/>
      <c r="Q5" s="110"/>
      <c r="R5" s="110"/>
      <c r="S5" s="110"/>
      <c r="T5" s="110"/>
      <c r="U5" s="110"/>
      <c r="V5" s="110"/>
      <c r="W5" s="110"/>
      <c r="X5" s="110"/>
      <c r="Y5" s="110"/>
    </row>
    <row r="6" spans="1:27" s="10" customFormat="1" x14ac:dyDescent="0.25">
      <c r="A6" s="110"/>
      <c r="B6" s="239" t="s">
        <v>1617</v>
      </c>
      <c r="C6" s="265">
        <f>'NPK tal'!$B$6/1000*'Flow slagtesvin'!D7*('Flow slagtesvin'!D5+'Flow slagtesvin'!D6)</f>
        <v>0</v>
      </c>
      <c r="D6" s="283" t="e">
        <f>C6/'Flow slagtesvin'!$D$8</f>
        <v>#DIV/0!</v>
      </c>
      <c r="E6" s="265">
        <f>'NPK tal'!$C$6/1000*'Flow slagtesvin'!D7*('Flow slagtesvin'!D5+'Flow slagtesvin'!D6)</f>
        <v>0</v>
      </c>
      <c r="F6" s="259" t="e">
        <f>E6/'Flow slagtesvin'!$D$8</f>
        <v>#DIV/0!</v>
      </c>
      <c r="H6" s="110"/>
      <c r="I6" s="110" t="s">
        <v>1625</v>
      </c>
      <c r="J6" s="110"/>
      <c r="K6" s="110"/>
      <c r="L6" s="110"/>
      <c r="M6" s="110"/>
      <c r="N6" s="110"/>
      <c r="O6" s="110"/>
      <c r="P6" s="110"/>
      <c r="Q6" s="110"/>
      <c r="R6" s="110"/>
      <c r="S6" s="110"/>
      <c r="T6" s="110"/>
      <c r="U6" s="110"/>
      <c r="V6" s="110"/>
      <c r="W6" s="110"/>
      <c r="X6" s="110"/>
      <c r="Y6" s="110"/>
    </row>
    <row r="7" spans="1:27" s="10" customFormat="1" x14ac:dyDescent="0.25">
      <c r="A7" s="110"/>
      <c r="B7" s="239" t="s">
        <v>1563</v>
      </c>
      <c r="C7" s="265"/>
      <c r="D7" s="786"/>
      <c r="E7" s="265"/>
      <c r="F7" s="241"/>
      <c r="H7" s="110"/>
      <c r="I7" s="110"/>
      <c r="J7" s="110"/>
      <c r="K7" s="110"/>
      <c r="L7" s="110"/>
      <c r="M7" s="110"/>
      <c r="N7" s="110"/>
      <c r="O7" s="110"/>
      <c r="P7" s="110"/>
      <c r="Q7" s="110"/>
      <c r="R7" s="110"/>
      <c r="S7" s="110"/>
      <c r="T7" s="110"/>
      <c r="U7" s="110"/>
      <c r="V7" s="110"/>
      <c r="W7" s="110"/>
      <c r="X7" s="110"/>
      <c r="Y7" s="110"/>
    </row>
    <row r="8" spans="1:27" s="10" customFormat="1" x14ac:dyDescent="0.25">
      <c r="A8" s="110"/>
      <c r="B8" s="239" t="s">
        <v>1618</v>
      </c>
      <c r="C8" s="265">
        <f>'Flow slagtesvin'!D66*'Flow slagtesvin'!D8</f>
        <v>0</v>
      </c>
      <c r="D8" s="283" t="e">
        <f>C8/'Flow slagtesvin'!$D$8</f>
        <v>#DIV/0!</v>
      </c>
      <c r="E8" s="265">
        <f>'Flow slagtesvin'!D67*'Flow slagtesvin'!D8</f>
        <v>0</v>
      </c>
      <c r="F8" s="259" t="e">
        <f>E8/'Flow slagtesvin'!$D$8</f>
        <v>#DIV/0!</v>
      </c>
      <c r="H8" s="110"/>
      <c r="I8" s="110" t="s">
        <v>1626</v>
      </c>
      <c r="J8" s="110"/>
      <c r="K8" s="110"/>
      <c r="L8" s="110"/>
      <c r="M8" s="110"/>
      <c r="N8" s="110"/>
      <c r="O8" s="110"/>
      <c r="P8" s="110"/>
      <c r="Q8" s="110"/>
      <c r="R8" s="110"/>
      <c r="S8" s="110"/>
      <c r="T8" s="110"/>
      <c r="U8" s="110"/>
      <c r="V8" s="110"/>
      <c r="W8" s="110"/>
      <c r="X8" s="110"/>
      <c r="Y8" s="110"/>
    </row>
    <row r="9" spans="1:27" s="10" customFormat="1" x14ac:dyDescent="0.25">
      <c r="A9" s="110"/>
      <c r="B9" s="239" t="s">
        <v>1619</v>
      </c>
      <c r="C9" s="265">
        <f>'Flow slagtesvin'!D71*'Flow slagtesvin'!D8</f>
        <v>0</v>
      </c>
      <c r="D9" s="283" t="e">
        <f>C9/'Flow slagtesvin'!$D$8</f>
        <v>#DIV/0!</v>
      </c>
      <c r="E9" s="265">
        <f>'Flow slagtesvin'!D72*'Flow slagtesvin'!D8</f>
        <v>0</v>
      </c>
      <c r="F9" s="259" t="e">
        <f>E9/'Flow slagtesvin'!$D$8</f>
        <v>#DIV/0!</v>
      </c>
      <c r="H9" s="110"/>
      <c r="I9" s="110" t="s">
        <v>1626</v>
      </c>
      <c r="J9" s="110"/>
      <c r="K9" s="110"/>
      <c r="L9" s="110"/>
      <c r="M9" s="110"/>
      <c r="N9" s="110"/>
      <c r="O9" s="110"/>
      <c r="P9" s="110"/>
      <c r="Q9" s="110"/>
      <c r="R9" s="110"/>
      <c r="S9" s="110"/>
      <c r="T9" s="110"/>
      <c r="U9" s="110"/>
      <c r="V9" s="110"/>
      <c r="W9" s="110"/>
      <c r="X9" s="110"/>
      <c r="Y9" s="110"/>
    </row>
    <row r="10" spans="1:27" s="10" customFormat="1" x14ac:dyDescent="0.25">
      <c r="A10" s="110"/>
      <c r="B10" s="239" t="s">
        <v>1564</v>
      </c>
      <c r="C10" s="265"/>
      <c r="D10" s="786"/>
      <c r="E10" s="265"/>
      <c r="F10" s="241"/>
      <c r="H10" s="110"/>
      <c r="I10" s="110"/>
      <c r="J10" s="110"/>
      <c r="K10" s="110"/>
      <c r="L10" s="110"/>
      <c r="M10" s="110"/>
      <c r="N10" s="110"/>
      <c r="O10" s="110"/>
      <c r="P10" s="110"/>
      <c r="Q10" s="110"/>
      <c r="R10" s="110"/>
      <c r="S10" s="110"/>
      <c r="T10" s="110"/>
      <c r="U10" s="110"/>
      <c r="V10" s="110"/>
      <c r="W10" s="110"/>
      <c r="X10" s="110"/>
      <c r="Y10" s="110"/>
    </row>
    <row r="11" spans="1:27" s="10" customFormat="1" x14ac:dyDescent="0.25">
      <c r="A11" s="110"/>
      <c r="B11" s="239" t="s">
        <v>1620</v>
      </c>
      <c r="C11" s="265">
        <f>'Flow slagtesvin'!D87*'Flow slagtesvin'!D8</f>
        <v>0</v>
      </c>
      <c r="D11" s="283" t="e">
        <f>C11/'Flow slagtesvin'!$D$8</f>
        <v>#DIV/0!</v>
      </c>
      <c r="E11" s="265">
        <f>'Flow slagtesvin'!D88*'Flow slagtesvin'!D8</f>
        <v>0</v>
      </c>
      <c r="F11" s="259" t="e">
        <f>E11/'Flow slagtesvin'!$D$8</f>
        <v>#DIV/0!</v>
      </c>
      <c r="H11" s="110"/>
      <c r="I11" s="110" t="s">
        <v>1569</v>
      </c>
      <c r="J11" s="110"/>
      <c r="K11" s="110"/>
      <c r="L11" s="110"/>
      <c r="M11" s="110"/>
      <c r="N11" s="110"/>
      <c r="O11" s="110"/>
      <c r="P11" s="110"/>
      <c r="Q11" s="110"/>
      <c r="R11" s="110"/>
      <c r="S11" s="110"/>
      <c r="T11" s="110"/>
      <c r="U11" s="110"/>
      <c r="V11" s="110"/>
      <c r="W11" s="110"/>
      <c r="X11" s="110"/>
      <c r="Y11" s="110"/>
    </row>
    <row r="12" spans="1:27" s="10" customFormat="1" x14ac:dyDescent="0.25">
      <c r="A12" s="110"/>
      <c r="B12" s="239" t="s">
        <v>1621</v>
      </c>
      <c r="C12" s="265">
        <f>'Flow slagtesvin'!D92*'Flow slagtesvin'!D8</f>
        <v>0</v>
      </c>
      <c r="D12" s="283" t="e">
        <f>C12/'Flow slagtesvin'!$D$8</f>
        <v>#DIV/0!</v>
      </c>
      <c r="E12" s="265">
        <f>'Flow slagtesvin'!D93*'Flow slagtesvin'!D8</f>
        <v>0</v>
      </c>
      <c r="F12" s="259" t="e">
        <f>E12/'Flow slagtesvin'!$D$8</f>
        <v>#DIV/0!</v>
      </c>
      <c r="H12" s="110"/>
      <c r="I12" s="110"/>
      <c r="J12" s="110"/>
      <c r="K12" s="110"/>
      <c r="L12" s="110"/>
      <c r="M12" s="110"/>
      <c r="N12" s="110"/>
      <c r="O12" s="110"/>
      <c r="P12" s="110"/>
      <c r="Q12" s="110"/>
      <c r="R12" s="110"/>
      <c r="S12" s="110"/>
      <c r="T12" s="110"/>
      <c r="U12" s="110"/>
      <c r="V12" s="110"/>
      <c r="W12" s="110"/>
      <c r="X12" s="110"/>
      <c r="Y12" s="110"/>
    </row>
    <row r="13" spans="1:27" s="10" customFormat="1" x14ac:dyDescent="0.25">
      <c r="A13" s="110"/>
      <c r="B13" s="239" t="s">
        <v>1565</v>
      </c>
      <c r="C13" s="265"/>
      <c r="D13" s="786"/>
      <c r="E13" s="265"/>
      <c r="F13" s="241"/>
      <c r="H13" s="110"/>
      <c r="I13" s="110"/>
      <c r="J13" s="110"/>
      <c r="K13" s="110"/>
      <c r="L13" s="110"/>
      <c r="M13" s="110"/>
      <c r="N13" s="110"/>
      <c r="O13" s="110"/>
      <c r="P13" s="110"/>
      <c r="Q13" s="110"/>
      <c r="R13" s="110"/>
      <c r="S13" s="110"/>
      <c r="T13" s="110"/>
      <c r="U13" s="110"/>
      <c r="V13" s="110"/>
      <c r="W13" s="110"/>
      <c r="X13" s="110"/>
      <c r="Y13" s="110"/>
    </row>
    <row r="14" spans="1:27" s="10" customFormat="1" x14ac:dyDescent="0.25">
      <c r="A14" s="110"/>
      <c r="B14" s="239" t="s">
        <v>1620</v>
      </c>
      <c r="C14" s="265">
        <f>'Flow slagtesvin'!D101*'Flow slagtesvin'!D8</f>
        <v>0</v>
      </c>
      <c r="D14" s="283" t="e">
        <f>C14/'Flow slagtesvin'!$D$8</f>
        <v>#DIV/0!</v>
      </c>
      <c r="E14" s="265">
        <f>'Flow slagtesvin'!D102*'Flow slagtesvin'!D8</f>
        <v>0</v>
      </c>
      <c r="F14" s="259" t="e">
        <f>E14/'Flow slagtesvin'!$D$8</f>
        <v>#DIV/0!</v>
      </c>
      <c r="H14" s="110"/>
      <c r="I14" s="110" t="s">
        <v>1569</v>
      </c>
      <c r="J14" s="110"/>
      <c r="K14" s="110"/>
      <c r="L14" s="110"/>
      <c r="M14" s="110"/>
      <c r="N14" s="110"/>
      <c r="O14" s="110"/>
      <c r="P14" s="110"/>
      <c r="Q14" s="110"/>
      <c r="R14" s="110"/>
      <c r="S14" s="110"/>
      <c r="T14" s="110"/>
      <c r="U14" s="110"/>
      <c r="V14" s="110"/>
      <c r="W14" s="110"/>
      <c r="X14" s="110"/>
      <c r="Y14" s="110"/>
    </row>
    <row r="15" spans="1:27" s="10" customFormat="1" x14ac:dyDescent="0.25">
      <c r="A15" s="110"/>
      <c r="B15" s="239" t="s">
        <v>1621</v>
      </c>
      <c r="C15" s="265">
        <f>'Flow slagtesvin'!D106*'Flow slagtesvin'!D8</f>
        <v>0</v>
      </c>
      <c r="D15" s="283" t="e">
        <f>C15/'Flow slagtesvin'!$D$8</f>
        <v>#DIV/0!</v>
      </c>
      <c r="E15" s="265">
        <f>'Flow slagtesvin'!D107*'Flow slagtesvin'!D8</f>
        <v>0</v>
      </c>
      <c r="F15" s="259" t="e">
        <f>E15/'Flow slagtesvin'!$D$8</f>
        <v>#DIV/0!</v>
      </c>
      <c r="H15" s="110"/>
      <c r="I15" s="110"/>
      <c r="J15" s="110"/>
      <c r="K15" s="110"/>
      <c r="L15" s="110"/>
      <c r="M15" s="110"/>
      <c r="N15" s="110"/>
      <c r="O15" s="110"/>
      <c r="P15" s="110"/>
      <c r="Q15" s="110"/>
      <c r="R15" s="110"/>
      <c r="S15" s="110"/>
      <c r="T15" s="110"/>
      <c r="U15" s="110"/>
      <c r="V15" s="110"/>
      <c r="W15" s="110"/>
      <c r="X15" s="110"/>
      <c r="Y15" s="110"/>
    </row>
    <row r="16" spans="1:27" s="10" customFormat="1" x14ac:dyDescent="0.25">
      <c r="A16" s="110"/>
      <c r="B16" s="239"/>
      <c r="C16" s="265"/>
      <c r="D16" s="786"/>
      <c r="E16" s="265"/>
      <c r="F16" s="241"/>
      <c r="H16" s="110"/>
      <c r="I16" s="110"/>
      <c r="J16" s="110"/>
      <c r="K16" s="110"/>
      <c r="L16" s="110"/>
      <c r="M16" s="110"/>
      <c r="N16" s="110"/>
      <c r="O16" s="110"/>
      <c r="P16" s="110"/>
      <c r="Q16" s="110"/>
      <c r="R16" s="110"/>
      <c r="S16" s="110"/>
      <c r="T16" s="110"/>
      <c r="U16" s="110"/>
      <c r="V16" s="110"/>
      <c r="W16" s="110"/>
      <c r="X16" s="110"/>
      <c r="Y16" s="110"/>
    </row>
    <row r="17" spans="1:25" s="10" customFormat="1" x14ac:dyDescent="0.25">
      <c r="A17" s="225"/>
      <c r="B17" s="382" t="s">
        <v>1856</v>
      </c>
      <c r="C17" s="679" t="s">
        <v>1855</v>
      </c>
      <c r="D17" s="679" t="s">
        <v>1855</v>
      </c>
      <c r="E17" s="471" t="s">
        <v>1341</v>
      </c>
      <c r="F17" s="236" t="s">
        <v>1341</v>
      </c>
      <c r="H17" s="110"/>
      <c r="I17" s="110"/>
      <c r="J17" s="110"/>
      <c r="K17" s="110"/>
      <c r="L17" s="110"/>
      <c r="M17" s="110"/>
      <c r="N17" s="110"/>
      <c r="O17" s="110"/>
      <c r="P17" s="110"/>
      <c r="Q17" s="110"/>
      <c r="R17" s="110"/>
      <c r="S17" s="110"/>
      <c r="T17" s="110"/>
      <c r="U17" s="110"/>
      <c r="V17" s="110"/>
      <c r="W17" s="110"/>
      <c r="X17" s="110"/>
      <c r="Y17" s="110"/>
    </row>
    <row r="18" spans="1:25" s="10" customFormat="1" x14ac:dyDescent="0.25">
      <c r="A18" s="110"/>
      <c r="B18" s="239" t="s">
        <v>1568</v>
      </c>
      <c r="C18" s="265"/>
      <c r="D18" s="786"/>
      <c r="E18" s="65"/>
      <c r="F18" s="241"/>
      <c r="H18" s="110"/>
      <c r="I18" s="110"/>
      <c r="J18" s="110"/>
      <c r="K18" s="110"/>
      <c r="L18" s="110"/>
      <c r="M18" s="110"/>
      <c r="N18" s="110"/>
      <c r="O18" s="110"/>
      <c r="P18" s="110"/>
      <c r="Q18" s="110"/>
      <c r="R18" s="110"/>
      <c r="S18" s="110"/>
      <c r="T18" s="110"/>
      <c r="U18" s="110"/>
      <c r="V18" s="110"/>
      <c r="W18" s="110"/>
      <c r="X18" s="110"/>
      <c r="Y18" s="110"/>
    </row>
    <row r="19" spans="1:25" s="10" customFormat="1" x14ac:dyDescent="0.25">
      <c r="A19" s="110"/>
      <c r="B19" s="239" t="s">
        <v>1622</v>
      </c>
      <c r="C19" s="265">
        <f>'Flow slagtesvin'!D8*'Flow slagtesvin'!D12*('NPK tal'!$B$7/1000)</f>
        <v>0</v>
      </c>
      <c r="D19" s="283" t="e">
        <f>C19/'Flow slagtesvin'!$D$8</f>
        <v>#DIV/0!</v>
      </c>
      <c r="E19" s="265">
        <f>'Flow slagtesvin'!D8*'Flow slagtesvin'!D12*('NPK tal'!$C$7/1000)</f>
        <v>0</v>
      </c>
      <c r="F19" s="259" t="e">
        <f>E19/'Flow slagtesvin'!$D$8</f>
        <v>#DIV/0!</v>
      </c>
      <c r="H19" s="110"/>
      <c r="I19" s="110" t="s">
        <v>1628</v>
      </c>
      <c r="J19" s="110"/>
      <c r="K19" s="110"/>
      <c r="L19" s="110"/>
      <c r="M19" s="110"/>
      <c r="N19" s="110"/>
      <c r="O19" s="110"/>
      <c r="P19" s="110"/>
      <c r="Q19" s="110"/>
      <c r="R19" s="110"/>
      <c r="S19" s="110"/>
      <c r="T19" s="110"/>
      <c r="U19" s="110"/>
      <c r="V19" s="110"/>
      <c r="W19" s="110"/>
      <c r="X19" s="110"/>
      <c r="Y19" s="110"/>
    </row>
    <row r="20" spans="1:25" s="10" customFormat="1" x14ac:dyDescent="0.25">
      <c r="A20" s="110"/>
      <c r="B20" s="239" t="s">
        <v>1623</v>
      </c>
      <c r="C20" s="265">
        <f>'Flow slagtesvin'!D10*(('Flow slagtesvin'!D12-'Flow slagtesvin'!D7)/2)*'NPK tal'!$B$7/1000</f>
        <v>0</v>
      </c>
      <c r="D20" s="283" t="e">
        <f>C20/'Flow slagtesvin'!$D$8</f>
        <v>#DIV/0!</v>
      </c>
      <c r="E20" s="265">
        <f>'Flow slagtesvin'!D10*(('Flow slagtesvin'!D12-'Flow slagtesvin'!D7)/2)*'NPK tal'!$C$7/1000</f>
        <v>0</v>
      </c>
      <c r="F20" s="259" t="e">
        <f>E20/'Flow slagtesvin'!$D$8</f>
        <v>#DIV/0!</v>
      </c>
      <c r="H20" s="110"/>
      <c r="I20" s="110" t="s">
        <v>1627</v>
      </c>
      <c r="J20" s="110"/>
      <c r="K20" s="110"/>
      <c r="L20" s="110"/>
      <c r="M20" s="110"/>
      <c r="N20" s="110"/>
      <c r="O20" s="110"/>
      <c r="P20" s="110"/>
      <c r="Q20" s="110"/>
      <c r="R20" s="110"/>
      <c r="S20" s="110"/>
      <c r="T20" s="110"/>
      <c r="U20" s="110"/>
      <c r="V20" s="110"/>
      <c r="W20" s="110"/>
      <c r="X20" s="110"/>
      <c r="Y20" s="110"/>
    </row>
    <row r="21" spans="1:25" s="10" customFormat="1" x14ac:dyDescent="0.25">
      <c r="A21" s="110"/>
      <c r="B21" s="239"/>
      <c r="C21" s="265"/>
      <c r="D21" s="786"/>
      <c r="E21" s="65"/>
      <c r="F21" s="241"/>
      <c r="H21" s="110"/>
      <c r="I21" s="110"/>
      <c r="J21" s="110"/>
      <c r="K21" s="110"/>
      <c r="L21" s="110"/>
      <c r="M21" s="110"/>
      <c r="N21" s="110"/>
      <c r="O21" s="110"/>
      <c r="P21" s="110"/>
      <c r="Q21" s="110"/>
      <c r="R21" s="110"/>
      <c r="S21" s="110"/>
      <c r="T21" s="110"/>
      <c r="U21" s="110"/>
      <c r="V21" s="110"/>
      <c r="W21" s="110"/>
      <c r="X21" s="110"/>
      <c r="Y21" s="110"/>
    </row>
    <row r="22" spans="1:25" s="10" customFormat="1" x14ac:dyDescent="0.25">
      <c r="A22" s="110"/>
      <c r="B22" s="382" t="s">
        <v>1857</v>
      </c>
      <c r="C22" s="679" t="s">
        <v>1855</v>
      </c>
      <c r="D22" s="679" t="s">
        <v>1855</v>
      </c>
      <c r="E22" s="471" t="s">
        <v>1341</v>
      </c>
      <c r="F22" s="236" t="s">
        <v>1341</v>
      </c>
      <c r="H22" s="110"/>
      <c r="I22" s="391"/>
      <c r="J22" s="110"/>
      <c r="K22" s="397"/>
      <c r="L22" s="110"/>
      <c r="M22" s="110"/>
      <c r="N22" s="110"/>
      <c r="O22" s="110"/>
      <c r="P22" s="110"/>
      <c r="Q22" s="110"/>
      <c r="R22" s="110"/>
      <c r="S22" s="110"/>
      <c r="T22" s="110"/>
      <c r="U22" s="110"/>
      <c r="V22" s="110"/>
      <c r="W22" s="110"/>
      <c r="X22" s="110"/>
      <c r="Y22" s="110"/>
    </row>
    <row r="23" spans="1:25" s="10" customFormat="1" x14ac:dyDescent="0.25">
      <c r="A23" s="110"/>
      <c r="B23" s="239" t="s">
        <v>1629</v>
      </c>
      <c r="C23" s="265">
        <f>IF(OR('input-data'!$E$368=topdowntables!$C$25,'input-data'!$E$368=topdowntables!$C$30),0,
IF(OR('input-data'!$E$368=topdowntables!$C$26,'input-data'!$E$368=topdowntables!$C$31), C6+C8+C11-(C19+C20),
IF(OR('input-data'!$E$368=topdowntables!$C$27,'input-data'!$E$368=topdowntables!$C$32), (C6+C8+C11)-(('Flow slagtesvin'!D5+'Flow slagtesvin'!D6)*'input-data'!F369*'NPK tal'!B7/1000+(0.5*C20)),0)))</f>
        <v>0</v>
      </c>
      <c r="D23" s="283" t="e">
        <f>C23/'Flow slagtesvin'!$D$8</f>
        <v>#DIV/0!</v>
      </c>
      <c r="E23" s="265">
        <f>IF(OR('input-data'!$E$368=topdowntables!$C$25,'input-data'!$E$368=topdowntables!$C$30),0,
IF(OR('input-data'!$E$368=topdowntables!$C$26,'input-data'!$E$368=topdowntables!$C$31), E6+E8+E11+E14-(E19+E20),
IF(OR('input-data'!$E$368=topdowntables!$C$27,'input-data'!$E$368=topdowntables!$C$32), (E6+E8+E11+E14)-(('Flow slagtesvin'!D5+'Flow slagtesvin'!D6)*'input-data'!F369*'NPK tal'!$C$7/1000+(0.5*E20)),0)))</f>
        <v>0</v>
      </c>
      <c r="F23" s="259" t="e">
        <f>E23/'Flow slagtesvin'!$D$8</f>
        <v>#DIV/0!</v>
      </c>
      <c r="H23" s="110"/>
      <c r="I23" s="258" t="s">
        <v>1862</v>
      </c>
      <c r="J23" s="110"/>
      <c r="K23" s="257"/>
      <c r="L23" s="110"/>
      <c r="M23" s="110"/>
      <c r="N23" s="110"/>
      <c r="O23" s="110"/>
      <c r="P23" s="110"/>
      <c r="Q23" s="110"/>
      <c r="R23" s="110"/>
      <c r="S23" s="110"/>
      <c r="T23" s="110"/>
      <c r="U23" s="110"/>
      <c r="V23" s="110"/>
      <c r="W23" s="110"/>
      <c r="X23" s="110"/>
      <c r="Y23" s="110"/>
    </row>
    <row r="24" spans="1:25" s="10" customFormat="1" x14ac:dyDescent="0.25">
      <c r="A24" s="110"/>
      <c r="B24" s="239" t="s">
        <v>1630</v>
      </c>
      <c r="C24" s="265">
        <f>IF(OR('input-data'!$E$368=topdowntables!$C$25,'input-data'!$E$368=topdowntables!$C$30), C6+C9+C12-(C19+C20),
IF(OR('input-data'!$E$368=topdowntables!$C$26,'input-data'!$E$368=topdowntables!$C$31),0,
IF(OR('input-data'!$E$368=topdowntables!$C$27,'input-data'!$E$368=topdowntables!$C$32),(('Flow slagtesvin'!D5*'input-data'!F369*'NPK tal'!$B$7/1000)+C9+C12)-(C19+(0.5*C20)),0)))</f>
        <v>0</v>
      </c>
      <c r="D24" s="283" t="e">
        <f>C24/'Flow slagtesvin'!$D$8</f>
        <v>#DIV/0!</v>
      </c>
      <c r="E24" s="265">
        <f>IF(OR('input-data'!$E$368=topdowntables!$C$25,'input-data'!$E$368=topdowntables!$C$30),E6+E9+E12+E15-(E19+E20),
IF(OR('input-data'!$E$368=topdowntables!$C$26,'input-data'!$E$368=topdowntables!$C$31),0,
IF(OR('input-data'!$E$368=topdowntables!$C$27,'input-data'!$E$368=topdowntables!$C$32),(('Flow slagtesvin'!D5*'input-data'!F369*'NPK tal'!$C$7/1000)+E9+E12+E15)-(E19+(0.5*E20)),0)))</f>
        <v>0</v>
      </c>
      <c r="F24" s="259" t="e">
        <f>E24/'Flow slagtesvin'!$D$8</f>
        <v>#DIV/0!</v>
      </c>
      <c r="H24" s="110"/>
      <c r="I24" s="257">
        <f>C23+C24+C14+C15</f>
        <v>0</v>
      </c>
      <c r="J24" s="110"/>
      <c r="K24" s="257"/>
      <c r="L24" s="257"/>
      <c r="M24" s="110"/>
      <c r="N24" s="110"/>
      <c r="O24" s="110"/>
      <c r="P24" s="110"/>
      <c r="Q24" s="110"/>
      <c r="R24" s="110"/>
      <c r="S24" s="110"/>
      <c r="T24" s="110"/>
      <c r="U24" s="110"/>
      <c r="V24" s="110"/>
      <c r="W24" s="110"/>
      <c r="X24" s="110"/>
      <c r="Y24" s="110"/>
    </row>
    <row r="25" spans="1:25" s="10" customFormat="1" ht="15.75" thickBot="1" x14ac:dyDescent="0.3">
      <c r="A25" s="110"/>
      <c r="B25" s="239"/>
      <c r="C25" s="265"/>
      <c r="D25" s="65"/>
      <c r="E25" s="681"/>
      <c r="F25" s="682"/>
      <c r="H25" s="110"/>
      <c r="I25" s="257">
        <f>C27+C28+C31+C32</f>
        <v>0</v>
      </c>
      <c r="J25" s="110"/>
      <c r="K25" s="110"/>
      <c r="L25" s="110"/>
      <c r="M25" s="110"/>
      <c r="N25" s="110"/>
      <c r="O25" s="110"/>
      <c r="P25" s="110"/>
      <c r="Q25" s="110"/>
      <c r="R25" s="110"/>
      <c r="S25" s="110"/>
      <c r="T25" s="110"/>
      <c r="U25" s="110"/>
      <c r="V25" s="110"/>
      <c r="W25" s="110"/>
      <c r="X25" s="110"/>
      <c r="Y25" s="110"/>
    </row>
    <row r="26" spans="1:25" s="10" customFormat="1" x14ac:dyDescent="0.25">
      <c r="A26" s="110"/>
      <c r="B26" s="382" t="s">
        <v>1631</v>
      </c>
      <c r="C26" s="679" t="s">
        <v>1916</v>
      </c>
      <c r="D26" s="383" t="s">
        <v>1916</v>
      </c>
      <c r="E26" s="786"/>
      <c r="F26" s="786"/>
      <c r="H26" s="110"/>
      <c r="I26" s="396" t="s">
        <v>1633</v>
      </c>
      <c r="J26" s="110"/>
      <c r="K26" s="110"/>
      <c r="L26" s="110"/>
      <c r="M26" s="110"/>
      <c r="N26" s="110"/>
      <c r="O26" s="110"/>
      <c r="P26" s="110"/>
      <c r="Q26" s="110"/>
      <c r="R26" s="110"/>
      <c r="S26" s="110"/>
      <c r="T26" s="110"/>
      <c r="U26" s="110"/>
      <c r="V26" s="110"/>
      <c r="W26" s="110"/>
      <c r="X26" s="110"/>
      <c r="Y26" s="110"/>
    </row>
    <row r="27" spans="1:25" s="10" customFormat="1" x14ac:dyDescent="0.25">
      <c r="A27" s="110"/>
      <c r="B27" s="239" t="s">
        <v>1629</v>
      </c>
      <c r="C27" s="265">
        <f>IF(OR('input-data'!$E$368=topdowntables!$C$25,'input-data'!$E$368=topdowntables!$C$30),0,
IF(OR('input-data'!$E$368=topdowntables!$C$26,'input-data'!$E$368=topdowntables!$C$31), C23-((C8+C11)*(1-('NPK tal'!B29/100))),
IF(OR('input-data'!$E$368=topdowntables!$C$27,'input-data'!$E$368=topdowntables!$C$32),
C23-((C8+C11)*(1-('NPK tal'!B29/100))),0)))</f>
        <v>0</v>
      </c>
      <c r="D27" s="259" t="e">
        <f>C27/'Flow slagtesvin'!$D$8</f>
        <v>#DIV/0!</v>
      </c>
      <c r="E27" s="786"/>
      <c r="F27" s="786"/>
      <c r="H27" s="110"/>
      <c r="I27" s="257" t="s">
        <v>1632</v>
      </c>
      <c r="J27" s="110"/>
      <c r="K27" s="110"/>
      <c r="L27" s="110"/>
      <c r="M27" s="110"/>
      <c r="N27" s="110"/>
      <c r="O27" s="110"/>
      <c r="P27" s="110"/>
      <c r="Q27" s="110"/>
      <c r="R27" s="110"/>
      <c r="S27" s="110"/>
      <c r="T27" s="110"/>
      <c r="U27" s="110"/>
      <c r="V27" s="110"/>
      <c r="W27" s="110"/>
      <c r="X27" s="110"/>
      <c r="Y27" s="110"/>
    </row>
    <row r="28" spans="1:25" s="10" customFormat="1" x14ac:dyDescent="0.25">
      <c r="A28" s="110"/>
      <c r="B28" s="239" t="s">
        <v>1630</v>
      </c>
      <c r="C28" s="265">
        <f>IF(OR('input-data'!$E$368=topdowntables!$C$25,'input-data'!$E$368=topdowntables!$C$30),C24-((C9+C12)*(1-('NPK tal'!B29/100))),
IF(OR('input-data'!$E$368=topdowntables!$C$26,'input-data'!$E$368=topdowntables!$C$31),0,
IF(OR('input-data'!$E$368=topdowntables!$C$27,'input-data'!$E$368=topdowntables!$C$32),
 C24-((C9+C12)*(1-('NPK tal'!B29/100))),0)))</f>
        <v>0</v>
      </c>
      <c r="D28" s="259" t="e">
        <f>C28/'Flow slagtesvin'!$D$8</f>
        <v>#DIV/0!</v>
      </c>
      <c r="E28" s="786"/>
      <c r="F28" s="786"/>
      <c r="H28" s="110"/>
      <c r="I28" s="257" t="s">
        <v>1634</v>
      </c>
      <c r="J28" s="110"/>
      <c r="K28" s="110"/>
      <c r="L28" s="110"/>
      <c r="M28" s="110"/>
      <c r="N28" s="110"/>
      <c r="O28" s="110"/>
      <c r="P28" s="110"/>
      <c r="Q28" s="110"/>
      <c r="R28" s="110"/>
      <c r="S28" s="110"/>
      <c r="T28" s="110"/>
      <c r="U28" s="110"/>
      <c r="V28" s="110"/>
      <c r="W28" s="110"/>
      <c r="X28" s="110"/>
      <c r="Y28" s="110"/>
    </row>
    <row r="29" spans="1:25" s="10" customFormat="1" x14ac:dyDescent="0.25">
      <c r="A29" s="110"/>
      <c r="B29" s="239"/>
      <c r="C29" s="265"/>
      <c r="D29" s="259"/>
      <c r="E29" s="786"/>
      <c r="F29" s="786"/>
      <c r="H29" s="110"/>
      <c r="I29" s="257"/>
      <c r="J29" s="110"/>
      <c r="K29" s="110"/>
      <c r="L29" s="110"/>
      <c r="M29" s="110"/>
      <c r="N29" s="110"/>
      <c r="O29" s="110"/>
      <c r="P29" s="110"/>
      <c r="Q29" s="110"/>
      <c r="R29" s="110"/>
      <c r="S29" s="110"/>
      <c r="T29" s="110"/>
      <c r="U29" s="110"/>
      <c r="V29" s="110"/>
      <c r="W29" s="110"/>
      <c r="X29" s="110"/>
      <c r="Y29" s="110"/>
    </row>
    <row r="30" spans="1:25" s="10" customFormat="1" x14ac:dyDescent="0.25">
      <c r="A30" s="110"/>
      <c r="B30" s="382" t="s">
        <v>1724</v>
      </c>
      <c r="C30" s="679" t="s">
        <v>1915</v>
      </c>
      <c r="D30" s="383" t="s">
        <v>1915</v>
      </c>
      <c r="E30" s="786"/>
      <c r="F30" s="786"/>
      <c r="H30" s="110"/>
      <c r="I30" s="257"/>
      <c r="J30" s="110"/>
      <c r="K30" s="110"/>
      <c r="L30" s="110"/>
      <c r="M30" s="110"/>
      <c r="N30" s="110"/>
      <c r="O30" s="110"/>
      <c r="P30" s="110"/>
      <c r="Q30" s="110"/>
      <c r="R30" s="110"/>
      <c r="S30" s="110"/>
      <c r="T30" s="110"/>
      <c r="U30" s="110"/>
      <c r="V30" s="110"/>
      <c r="W30" s="110"/>
      <c r="X30" s="110"/>
      <c r="Y30" s="110"/>
    </row>
    <row r="31" spans="1:25" s="10" customFormat="1" x14ac:dyDescent="0.25">
      <c r="A31" s="110"/>
      <c r="B31" s="239" t="s">
        <v>1629</v>
      </c>
      <c r="C31" s="265">
        <f>IF(OR('input-data'!$E$368=topdowntables!$C$25,'input-data'!$E$368=topdowntables!$C$30),0,
IF(OR('input-data'!$E$368=topdowntables!$C$26,'input-data'!$E$368=topdowntables!$C$31),C14+((C8+C11)*(1-('NPK tal'!B29/100))),
IF(OR('input-data'!$E$368=topdowntables!$C$27,'input-data'!$E$368=topdowntables!$C$32),
C14+((C8+C11)*(1-('NPK tal'!B29/100))),0)))</f>
        <v>0</v>
      </c>
      <c r="D31" s="259" t="e">
        <f>C31/'Flow slagtesvin'!$D$8</f>
        <v>#DIV/0!</v>
      </c>
      <c r="E31" s="786"/>
      <c r="F31" s="786"/>
      <c r="H31" s="110"/>
      <c r="I31" s="257" t="s">
        <v>1715</v>
      </c>
      <c r="J31" s="110"/>
      <c r="K31" s="110"/>
      <c r="L31" s="110"/>
      <c r="M31" s="110"/>
      <c r="N31" s="110"/>
      <c r="O31" s="110"/>
      <c r="P31" s="110"/>
      <c r="Q31" s="110"/>
      <c r="R31" s="110"/>
      <c r="S31" s="110"/>
      <c r="T31" s="110"/>
      <c r="U31" s="110"/>
      <c r="V31" s="110"/>
      <c r="W31" s="110"/>
      <c r="X31" s="110"/>
      <c r="Y31" s="110"/>
    </row>
    <row r="32" spans="1:25" s="10" customFormat="1" x14ac:dyDescent="0.25">
      <c r="A32" s="110"/>
      <c r="B32" s="239" t="s">
        <v>1630</v>
      </c>
      <c r="C32" s="265">
        <f>IF(OR('input-data'!$E$368=topdowntables!$C$25,'input-data'!$E$368=topdowntables!$C$30),C15+((C9+C12)*(1-('NPK tal'!B29/100))),
IF(OR('input-data'!$E$368=topdowntables!$C$26,'input-data'!$E$368=topdowntables!$C$31),0,
IF(OR('input-data'!$E$368=topdowntables!$C$27,'input-data'!$E$368=topdowntables!$C$32),
 C15+((C9+C12)*(1-('NPK tal'!B29/100))),0)))</f>
        <v>0</v>
      </c>
      <c r="D32" s="259" t="e">
        <f>C32/'Flow slagtesvin'!$D$8</f>
        <v>#DIV/0!</v>
      </c>
      <c r="E32" s="786"/>
      <c r="F32" s="786"/>
      <c r="H32" s="110"/>
      <c r="I32" s="257"/>
      <c r="J32" s="110"/>
      <c r="K32" s="110"/>
      <c r="L32" s="110"/>
      <c r="M32" s="110"/>
      <c r="N32" s="110"/>
      <c r="O32" s="110"/>
      <c r="P32" s="110"/>
      <c r="Q32" s="110"/>
      <c r="R32" s="110"/>
      <c r="S32" s="110"/>
      <c r="T32" s="110"/>
      <c r="U32" s="110"/>
      <c r="V32" s="110"/>
      <c r="W32" s="110"/>
      <c r="X32" s="110"/>
      <c r="Y32" s="110"/>
    </row>
    <row r="33" spans="1:27" s="10" customFormat="1" x14ac:dyDescent="0.25">
      <c r="A33" s="110"/>
      <c r="B33" s="239"/>
      <c r="C33" s="265"/>
      <c r="D33" s="259"/>
      <c r="E33" s="786"/>
      <c r="F33" s="786"/>
      <c r="H33" s="110"/>
      <c r="I33" s="257"/>
      <c r="J33" s="110"/>
      <c r="K33" s="110"/>
      <c r="L33" s="110"/>
      <c r="M33" s="110"/>
      <c r="N33" s="110"/>
      <c r="O33" s="110"/>
      <c r="P33" s="110"/>
      <c r="Q33" s="110"/>
      <c r="R33" s="110"/>
      <c r="S33" s="110"/>
      <c r="T33" s="110"/>
      <c r="U33" s="110"/>
      <c r="V33" s="110"/>
      <c r="W33" s="110"/>
      <c r="X33" s="110"/>
      <c r="Y33" s="110"/>
    </row>
    <row r="34" spans="1:27" s="10" customFormat="1" x14ac:dyDescent="0.25">
      <c r="A34" s="110"/>
      <c r="B34" s="382" t="s">
        <v>1729</v>
      </c>
      <c r="C34" s="679" t="s">
        <v>1855</v>
      </c>
      <c r="D34" s="383" t="s">
        <v>1855</v>
      </c>
      <c r="E34" s="786"/>
      <c r="F34" s="786"/>
      <c r="H34" s="110"/>
      <c r="T34" s="110"/>
      <c r="U34" s="110"/>
      <c r="V34" s="110"/>
      <c r="W34" s="110"/>
      <c r="X34" s="110"/>
      <c r="Y34" s="110"/>
      <c r="Z34" s="110"/>
      <c r="AA34" s="110"/>
    </row>
    <row r="35" spans="1:27" s="10" customFormat="1" x14ac:dyDescent="0.25">
      <c r="A35" s="110"/>
      <c r="B35" s="239" t="s">
        <v>1720</v>
      </c>
      <c r="C35" s="265"/>
      <c r="D35" s="259"/>
      <c r="E35" s="786"/>
      <c r="F35" s="786"/>
      <c r="H35" s="110"/>
      <c r="T35" s="110"/>
      <c r="U35" s="110"/>
      <c r="V35" s="110"/>
      <c r="W35" s="110"/>
      <c r="X35" s="110"/>
      <c r="Y35" s="110"/>
      <c r="Z35" s="110"/>
      <c r="AA35" s="110"/>
    </row>
    <row r="36" spans="1:27" s="10" customFormat="1" x14ac:dyDescent="0.25">
      <c r="A36" s="110"/>
      <c r="B36" s="239" t="s">
        <v>1681</v>
      </c>
      <c r="C36" s="265">
        <f>SUM((IFERROR(VLOOKUP('input-data'!E372,'Opstaldingsform-Housing '!$B$30:$O$38,4,FALSE),0))+(IFERROR(VLOOKUP('input-data'!E372,'Opstaldingsform-Housing '!$B$69:$O$75,4,FALSE),0)))*C27</f>
        <v>0</v>
      </c>
      <c r="D36" s="259" t="e">
        <f>C36/'Flow slagtesvin'!$D$8</f>
        <v>#DIV/0!</v>
      </c>
      <c r="E36" s="786"/>
      <c r="F36" s="786"/>
      <c r="H36" s="110"/>
      <c r="I36" s="10" t="s">
        <v>1709</v>
      </c>
      <c r="T36" s="110"/>
      <c r="U36" s="110"/>
      <c r="V36" s="110"/>
      <c r="W36" s="110"/>
      <c r="X36" s="110"/>
      <c r="Y36" s="110"/>
      <c r="Z36" s="110"/>
      <c r="AA36" s="110"/>
    </row>
    <row r="37" spans="1:27" s="10" customFormat="1" x14ac:dyDescent="0.25">
      <c r="A37" s="110"/>
      <c r="B37" s="239" t="s">
        <v>1728</v>
      </c>
      <c r="C37" s="265">
        <f>SUM((IFERROR(VLOOKUP('input-data'!E372,'Opstaldingsform-Housing '!$B$30:$O$38,8,FALSE),0))+(IFERROR(VLOOKUP('input-data'!E372,'Opstaldingsform-Housing '!$B$69:$O$75,8,FALSE),0)))*(C27+C31)</f>
        <v>0</v>
      </c>
      <c r="D37" s="259" t="e">
        <f>C37/'Flow slagtesvin'!$D$8</f>
        <v>#DIV/0!</v>
      </c>
      <c r="E37" s="786"/>
      <c r="F37" s="786"/>
      <c r="H37" s="110"/>
      <c r="I37" s="10" t="s">
        <v>1753</v>
      </c>
      <c r="K37" s="461"/>
      <c r="T37" s="110"/>
      <c r="U37" s="110"/>
      <c r="V37" s="110"/>
      <c r="W37" s="110"/>
      <c r="X37" s="110"/>
      <c r="Y37" s="110"/>
      <c r="Z37" s="110"/>
      <c r="AA37" s="110"/>
    </row>
    <row r="38" spans="1:27" s="10" customFormat="1" x14ac:dyDescent="0.25">
      <c r="A38" s="110"/>
      <c r="B38" s="239" t="s">
        <v>1725</v>
      </c>
      <c r="C38" s="265">
        <f>(SUM(IFERROR(VLOOKUP('input-data'!E372,'Opstaldingsform-Housing '!$B$30:$O$38,10,FALSE),0))+(IFERROR(VLOOKUP('input-data'!E372,'Opstaldingsform-Housing '!$B$69:$O$75,10,FALSE),0)))*(C27+C31)</f>
        <v>0</v>
      </c>
      <c r="D38" s="259" t="e">
        <f>C38/'Flow slagtesvin'!$D$8</f>
        <v>#DIV/0!</v>
      </c>
      <c r="E38" s="786"/>
      <c r="F38" s="786"/>
      <c r="H38" s="110"/>
      <c r="I38" s="10" t="s">
        <v>1686</v>
      </c>
      <c r="T38" s="110"/>
      <c r="U38" s="110"/>
      <c r="V38" s="110"/>
      <c r="W38" s="110"/>
      <c r="X38" s="110"/>
      <c r="Y38" s="110"/>
      <c r="Z38" s="110"/>
      <c r="AA38" s="110"/>
    </row>
    <row r="39" spans="1:27" s="10" customFormat="1" x14ac:dyDescent="0.25">
      <c r="A39" s="110"/>
      <c r="B39" s="239" t="s">
        <v>2089</v>
      </c>
      <c r="C39" s="265">
        <f>(SUM(IFERROR(VLOOKUP('input-data'!E372,'Opstaldingsform-Housing '!$B$30:$O$38,12,FALSE),0))+(IFERROR(VLOOKUP('input-data'!E372,'Opstaldingsform-Housing '!$B$69:$O$75,12,FALSE),0)))*(C27+C31)</f>
        <v>0</v>
      </c>
      <c r="D39" s="259" t="e">
        <f>C39/'Flow slagtesvin'!$D$8</f>
        <v>#DIV/0!</v>
      </c>
      <c r="E39" s="786"/>
      <c r="F39" s="786"/>
      <c r="H39" s="110"/>
      <c r="T39" s="110"/>
      <c r="U39" s="110"/>
      <c r="V39" s="110"/>
      <c r="W39" s="110"/>
      <c r="X39" s="110"/>
      <c r="Y39" s="110"/>
      <c r="Z39" s="110"/>
      <c r="AA39" s="110"/>
    </row>
    <row r="40" spans="1:27" s="10" customFormat="1" x14ac:dyDescent="0.25">
      <c r="A40" s="110"/>
      <c r="B40" s="237" t="s">
        <v>1721</v>
      </c>
      <c r="C40" s="265">
        <f>C27+C31-C36-C37-C38-C39</f>
        <v>0</v>
      </c>
      <c r="D40" s="259" t="e">
        <f>C40/'Flow slagtesvin'!$D$8</f>
        <v>#DIV/0!</v>
      </c>
      <c r="E40" s="786"/>
      <c r="F40" s="786"/>
      <c r="H40" s="110"/>
      <c r="T40" s="110"/>
      <c r="U40" s="110"/>
      <c r="V40" s="110"/>
      <c r="W40" s="110"/>
      <c r="X40" s="110"/>
      <c r="Y40" s="110"/>
      <c r="Z40" s="110"/>
      <c r="AA40" s="110"/>
    </row>
    <row r="41" spans="1:27" s="10" customFormat="1" x14ac:dyDescent="0.25">
      <c r="A41" s="110"/>
      <c r="B41" s="237"/>
      <c r="C41" s="265"/>
      <c r="D41" s="259"/>
      <c r="E41" s="786"/>
      <c r="F41" s="786"/>
      <c r="H41" s="110"/>
      <c r="T41" s="110"/>
      <c r="U41" s="110"/>
      <c r="V41" s="110"/>
      <c r="W41" s="110"/>
      <c r="X41" s="110"/>
      <c r="Y41" s="110"/>
      <c r="Z41" s="110"/>
      <c r="AA41" s="110"/>
    </row>
    <row r="42" spans="1:27" s="10" customFormat="1" x14ac:dyDescent="0.25">
      <c r="A42" s="110"/>
      <c r="B42" s="239" t="s">
        <v>1718</v>
      </c>
      <c r="C42" s="265"/>
      <c r="D42" s="259"/>
      <c r="E42" s="786"/>
      <c r="F42" s="786"/>
      <c r="H42" s="110"/>
      <c r="I42" s="10" t="s">
        <v>1709</v>
      </c>
      <c r="T42" s="110"/>
      <c r="U42" s="110"/>
      <c r="V42" s="110"/>
      <c r="W42" s="110"/>
      <c r="X42" s="110"/>
      <c r="Y42" s="110"/>
      <c r="Z42" s="110"/>
      <c r="AA42" s="110"/>
    </row>
    <row r="43" spans="1:27" s="10" customFormat="1" x14ac:dyDescent="0.25">
      <c r="A43" s="110"/>
      <c r="B43" s="239" t="s">
        <v>1681</v>
      </c>
      <c r="C43" s="265">
        <f>'NPK tal'!B43*(SUM(IFERROR(VLOOKUP('input-data'!E379,'Opstaldingsform-Housing '!$B$7:$O$19,4,FALSE),0))+(IFERROR(VLOOKUP('input-data'!E379,'Opstaldingsform-Housing '!$B$44:$O$56,4,FALSE),0)))*(
IF(OR('input-data'!$E$379='Opstaldingsform-Housing '!$B$8,'input-data'!$E$379='Opstaldingsform-Housing '!$B$45,
'input-data'!$E$379='Opstaldingsform-Housing '!$B$9,'input-data'!$E$379='Opstaldingsform-Housing '!$B$46,
'input-data'!$E$379='Opstaldingsform-Housing '!$B$10,'input-data'!$E$379='Opstaldingsform-Housing '!$B$47),(C28+C32),C28))
+ ('NPK tal'!C43*(SUM(IFERROR(VLOOKUP('input-data'!E380,'Opstaldingsform-Housing '!$B$20:$O$28,4,FALSE),0))+(IFERROR(VLOOKUP('input-data'!E380,'Opstaldingsform-Housing '!$B$57:$O$65,4,FALSE),0)))*C28)</f>
        <v>0</v>
      </c>
      <c r="D43" s="259" t="e">
        <f>C43/'Flow slagtesvin'!$D$8</f>
        <v>#DIV/0!</v>
      </c>
      <c r="E43" s="786"/>
      <c r="F43" s="786"/>
      <c r="H43" s="110"/>
      <c r="I43" s="10" t="s">
        <v>1685</v>
      </c>
      <c r="T43" s="110"/>
      <c r="U43" s="110"/>
      <c r="V43" s="110"/>
      <c r="W43" s="110"/>
      <c r="X43" s="110"/>
      <c r="Y43" s="110"/>
      <c r="Z43" s="110"/>
      <c r="AA43" s="110"/>
    </row>
    <row r="44" spans="1:27" s="10" customFormat="1" x14ac:dyDescent="0.25">
      <c r="A44" s="110"/>
      <c r="B44" s="239" t="s">
        <v>1727</v>
      </c>
      <c r="C44" s="265">
        <f>'NPK tal'!B43*(SUM(IFERROR(VLOOKUP('input-data'!E379,'Opstaldingsform-Housing '!$B$7:$O$19,8,FALSE),0))+(IFERROR(VLOOKUP('input-data'!E379,'Opstaldingsform-Housing '!$B$44:$O$56,8,FALSE),0)))*(C28+C32)+
('NPK tal'!C43*(SUM(IFERROR(VLOOKUP('input-data'!E380,'Opstaldingsform-Housing '!$B$20:$O$28,8,FALSE),0))+(IFERROR(VLOOKUP('input-data'!E380,'Opstaldingsform-Housing '!$B$57:$O$65,8,FALSE),0)))*(C28+C32))</f>
        <v>0</v>
      </c>
      <c r="D44" s="259" t="e">
        <f>C44/'Flow slagtesvin'!$D$8</f>
        <v>#DIV/0!</v>
      </c>
      <c r="E44" s="786"/>
      <c r="F44" s="786"/>
      <c r="H44" s="110"/>
      <c r="I44" s="10" t="s">
        <v>1686</v>
      </c>
      <c r="T44" s="110"/>
      <c r="U44" s="110"/>
      <c r="V44" s="110"/>
      <c r="W44" s="110"/>
      <c r="X44" s="110"/>
      <c r="Y44" s="110"/>
      <c r="Z44" s="110"/>
      <c r="AA44" s="110"/>
    </row>
    <row r="45" spans="1:27" s="10" customFormat="1" x14ac:dyDescent="0.25">
      <c r="A45" s="110"/>
      <c r="B45" s="239" t="s">
        <v>1725</v>
      </c>
      <c r="C45" s="265">
        <f>'NPK tal'!B43*(SUM(IFERROR(VLOOKUP('input-data'!E379,'Opstaldingsform-Housing '!$B$7:$O$19,10,FALSE),0))+(IFERROR(VLOOKUP('input-data'!E379,'Opstaldingsform-Housing '!$B$44:$O$56,10,FALSE),0)))*(C28+C32)+
('NPK tal'!C43*(SUM(IFERROR(VLOOKUP('input-data'!E380,'Opstaldingsform-Housing '!$B$20:$O$28,10,FALSE),0))+(IFERROR(VLOOKUP('input-data'!E380,'Opstaldingsform-Housing '!$B$57:$O$65,10,FALSE),0)))*(C28+C32))</f>
        <v>0</v>
      </c>
      <c r="D45" s="259" t="e">
        <f>C45/'Flow slagtesvin'!$D$8</f>
        <v>#DIV/0!</v>
      </c>
      <c r="E45" s="786"/>
      <c r="F45" s="786"/>
      <c r="H45" s="110"/>
      <c r="T45" s="110"/>
      <c r="U45" s="110"/>
      <c r="V45" s="110"/>
      <c r="W45" s="110"/>
      <c r="X45" s="110"/>
      <c r="Y45" s="110"/>
      <c r="Z45" s="110"/>
      <c r="AA45" s="110"/>
    </row>
    <row r="46" spans="1:27" s="10" customFormat="1" x14ac:dyDescent="0.25">
      <c r="A46" s="110"/>
      <c r="B46" s="239" t="s">
        <v>2089</v>
      </c>
      <c r="C46" s="265">
        <f>'NPK tal'!B43*(SUM(IFERROR(VLOOKUP('input-data'!E379,'Opstaldingsform-Housing '!$B$7:$O$19,12,FALSE),0))+(IFERROR(VLOOKUP('input-data'!E379,'Opstaldingsform-Housing '!$B$44:$O$56,12,FALSE),0)))*(C28+C32)+
('NPK tal'!C43*(SUM(IFERROR(VLOOKUP('input-data'!E380,'Opstaldingsform-Housing '!$B$20:$O$28,12,FALSE),0))+(IFERROR(VLOOKUP('input-data'!E380,'Opstaldingsform-Housing '!$B$57:$O$65,12,FALSE),0)))*(C28+C32))</f>
        <v>0</v>
      </c>
      <c r="D46" s="259" t="e">
        <f>C46/'Flow slagtesvin'!$D$8</f>
        <v>#DIV/0!</v>
      </c>
      <c r="E46" s="786"/>
      <c r="F46" s="786"/>
      <c r="H46" s="110"/>
      <c r="T46" s="110"/>
      <c r="U46" s="110"/>
      <c r="V46" s="110"/>
      <c r="W46" s="110"/>
      <c r="X46" s="110"/>
      <c r="Y46" s="110"/>
      <c r="Z46" s="110"/>
      <c r="AA46" s="110"/>
    </row>
    <row r="47" spans="1:27" s="10" customFormat="1" x14ac:dyDescent="0.25">
      <c r="A47" s="110"/>
      <c r="B47" s="237" t="s">
        <v>1719</v>
      </c>
      <c r="C47" s="265">
        <f>C28+C32-C43-C44-C45-C46</f>
        <v>0</v>
      </c>
      <c r="D47" s="259" t="e">
        <f>C47/'Flow slagtesvin'!$D$8</f>
        <v>#DIV/0!</v>
      </c>
      <c r="E47" s="786"/>
      <c r="F47" s="786"/>
      <c r="H47" s="110"/>
      <c r="I47" s="10" t="s">
        <v>1723</v>
      </c>
      <c r="T47" s="110"/>
      <c r="U47" s="110"/>
      <c r="V47" s="110"/>
      <c r="W47" s="110"/>
      <c r="X47" s="110"/>
      <c r="Y47" s="110"/>
      <c r="Z47" s="110"/>
      <c r="AA47" s="110"/>
    </row>
    <row r="48" spans="1:27" s="10" customFormat="1" x14ac:dyDescent="0.25">
      <c r="A48" s="110"/>
      <c r="B48" s="239" t="s">
        <v>1756</v>
      </c>
      <c r="C48" s="265"/>
      <c r="D48" s="259"/>
      <c r="E48" s="786"/>
      <c r="F48" s="786"/>
      <c r="H48" s="110"/>
      <c r="T48" s="110"/>
      <c r="U48" s="110"/>
      <c r="V48" s="110"/>
      <c r="W48" s="110"/>
      <c r="X48" s="110"/>
      <c r="Y48" s="110"/>
      <c r="Z48" s="110"/>
      <c r="AA48" s="110"/>
    </row>
    <row r="49" spans="1:27" s="10" customFormat="1" x14ac:dyDescent="0.25">
      <c r="A49" s="110"/>
      <c r="B49" s="237" t="s">
        <v>1755</v>
      </c>
      <c r="C49" s="674">
        <f>'NPK tal'!B43*(C28+C32)*(SUM(IFERROR(VLOOKUP('input-data'!E379,'Opstaldingsform-Housing '!$B$7:$O$19,3,FALSE),0))+(IFERROR(VLOOKUP('input-data'!E379,'Opstaldingsform-Housing '!$B$44:$O$56,3,FALSE),0)))
+('NPK tal'!C43*(C28+C32)*((SUM(IFERROR(VLOOKUP('input-data'!E380,'Opstaldingsform-Housing '!$B$20:$O$28,3,FALSE),0))+(IFERROR(VLOOKUP('input-data'!E380,'Opstaldingsform-Housing '!$B$57:$O$65,3,FALSE),0)))
))-(('NPK tal'!B43*(SUM(IFERROR(VLOOKUP('input-data'!E379,'Opstaldingsform-Housing '!$B$7:$O$19,4,FALSE),0))+(IFERROR(VLOOKUP('input-data'!E379,'Opstaldingsform-Housing '!$B$44:$O$56,4,FALSE),0)))*(
IF(OR('input-data'!$E$379='Opstaldingsform-Housing '!$B$8,'input-data'!$E$379='Opstaldingsform-Housing '!$B$45,
'input-data'!$E$379='Opstaldingsform-Housing '!$B$9,'input-data'!$E$379='Opstaldingsform-Housing '!$B$46,
'input-data'!$E$379='Opstaldingsform-Housing '!$B$10,'input-data'!$E$379='Opstaldingsform-Housing '!$B$47),0,C28))
+ ('NPK tal'!C43*(SUM(IFERROR(VLOOKUP('input-data'!E380,'Opstaldingsform-Housing '!$B$20:$O$28,4,FALSE),0))+(IFERROR(VLOOKUP('input-data'!E380,'Opstaldingsform-Housing '!$B$57:$O$65,4,FALSE),0)))*C28)))-('NPK tal'!B43*(SUM(IFERROR(VLOOKUP('input-data'!E379,'Opstaldingsform-Housing '!$B$7:$O$19,8,FALSE),0))+(IFERROR(VLOOKUP('input-data'!E379,'Opstaldingsform-Housing '!$B$44:$O$56,8,FALSE),0)))*(
IF(OR('input-data'!$E$379='Opstaldingsform-Housing '!$B$8,'input-data'!$E$379='Opstaldingsform-Housing '!$B$45,
'input-data'!$E$379='Opstaldingsform-Housing '!$B$9,'input-data'!$E$379='Opstaldingsform-Housing '!$B$46,
'input-data'!$E$379='Opstaldingsform-Housing '!$B$10,'input-data'!$E$379='Opstaldingsform-Housing '!$B$47),0,C28+C32))+
('NPK tal'!C43*(SUM(IFERROR(VLOOKUP('input-data'!E380,'Opstaldingsform-Housing '!$B$20:$O$28,8,FALSE),0))+(IFERROR(VLOOKUP('input-data'!E380,'Opstaldingsform-Housing '!$B$57:$O$65,8,FALSE),0)))*(C28+C32)))-(('NPK tal'!B43*(SUM(IFERROR(VLOOKUP('input-data'!E379,'Opstaldingsform-Housing '!$B$7:$O$19,10,FALSE),0))+(IFERROR(VLOOKUP('input-data'!E379,'Opstaldingsform-Housing '!$B$44:$O$56,10,FALSE),0)))*
IF(OR('input-data'!$E$379='Opstaldingsform-Housing '!$B$8,'input-data'!$E$379='Opstaldingsform-Housing '!$B$45,
'input-data'!$E$379='Opstaldingsform-Housing '!$B$9,'input-data'!$E$379='Opstaldingsform-Housing '!$B$46,
'input-data'!$E$379='Opstaldingsform-Housing '!$B$10,'input-data'!$E$379='Opstaldingsform-Housing '!$B$47),0,C28+C32))+
('NPK tal'!C43*(SUM(IFERROR(VLOOKUP('input-data'!E380,'Opstaldingsform-Housing '!$B$20:$O$28,10,FALSE),0))+(IFERROR(VLOOKUP('input-data'!E380,'Opstaldingsform-Housing '!$B$57:$O$65,10,FALSE),0)))*(C28+C32)))-('NPK tal'!B43*(SUM(IFERROR(VLOOKUP('input-data'!E379,'Opstaldingsform-Housing '!$B$7:$O$19,12,FALSE),0))+(IFERROR(VLOOKUP('input-data'!E379,'Opstaldingsform-Housing '!$B$44:$O$56,12,FALSE),0)))*
IF(OR('input-data'!$E$379='Opstaldingsform-Housing '!$B$8,'input-data'!$E$379='Opstaldingsform-Housing '!$B$45,
'input-data'!$E$379='Opstaldingsform-Housing '!$B$9,'input-data'!$E$379='Opstaldingsform-Housing '!$B$46,
'input-data'!$E$379='Opstaldingsform-Housing '!$B$10,'input-data'!$E$379='Opstaldingsform-Housing '!$B$47),0,(C28+C32))+
('NPK tal'!C43*(SUM(IFERROR(VLOOKUP('input-data'!E380,'Opstaldingsform-Housing '!$B$20:$O$28,12,FALSE),0))+(IFERROR(VLOOKUP('input-data'!E380,'Opstaldingsform-Housing '!$B$57:$O$65,12,FALSE),0)))*(C28+C32)))</f>
        <v>0</v>
      </c>
      <c r="D49" s="259" t="e">
        <f>C49/'Flow slagtesvin'!$D$8</f>
        <v>#DIV/0!</v>
      </c>
      <c r="E49" s="786"/>
      <c r="F49" s="786"/>
      <c r="H49" s="110"/>
      <c r="I49" s="463">
        <f>C49+C50</f>
        <v>0</v>
      </c>
      <c r="J49" s="463"/>
      <c r="K49" s="463"/>
      <c r="M49" s="463"/>
      <c r="T49" s="110"/>
      <c r="U49" s="110"/>
      <c r="V49" s="110"/>
      <c r="W49" s="110"/>
      <c r="X49" s="110"/>
      <c r="Y49" s="110"/>
      <c r="Z49" s="110"/>
      <c r="AA49" s="110"/>
    </row>
    <row r="50" spans="1:27" s="10" customFormat="1" x14ac:dyDescent="0.25">
      <c r="A50" s="110"/>
      <c r="B50" s="237" t="s">
        <v>1760</v>
      </c>
      <c r="C50" s="674">
        <f>'NPK tal'!B43*(C28+C32)*(1-SUM(IFERROR(VLOOKUP('input-data'!E379,'Opstaldingsform-Housing '!$B$7:$O$19,3,FALSE),0))+(IFERROR(VLOOKUP('input-data'!E379,'Opstaldingsform-Housing '!$B$44:$O$56,3,FALSE),0)))
+ ('NPK tal'!C43*(C28+C32)*(1-SUM(IFERROR(VLOOKUP('input-data'!E380,'Opstaldingsform-Housing '!$B$20:$O$28,3,FALSE),0))+(IFERROR(VLOOKUP('input-data'!E380,'Opstaldingsform-Housing '!$B$57:$O$65,3,FALSE),0))))-('NPK tal'!B43*(SUM(IFERROR(VLOOKUP('input-data'!E379,'Opstaldingsform-Housing '!$B$7:$O$19,4,FALSE),0))+(IFERROR(VLOOKUP('input-data'!E379,'Opstaldingsform-Housing '!$B$44:$O$56,4,FALSE),0)))*(
IF(OR('input-data'!$E$379='Opstaldingsform-Housing '!$B$8,'input-data'!$E$379='Opstaldingsform-Housing '!$B$45,
'input-data'!$E$379='Opstaldingsform-Housing '!$B$9,'input-data'!$E$379='Opstaldingsform-Housing '!$B$46,
'input-data'!$E$379='Opstaldingsform-Housing '!$B$10,'input-data'!$E$379='Opstaldingsform-Housing '!$B$47),C28+C32,0)))-('NPK tal'!B43*(SUM(IFERROR(VLOOKUP('input-data'!E379,'Opstaldingsform-Housing '!$B$7:$O$19,8,FALSE),0))+(IFERROR(VLOOKUP('input-data'!E379,'Opstaldingsform-Housing '!$B$44:$O$56,8,FALSE),0)))*(
IF(OR('input-data'!$E$379='Opstaldingsform-Housing '!$B$8,'input-data'!$E$379='Opstaldingsform-Housing '!$B$45,
'input-data'!$E$379='Opstaldingsform-Housing '!$B$9,'input-data'!$E$379='Opstaldingsform-Housing '!$B$46,
'input-data'!$E$379='Opstaldingsform-Housing '!$B$10,'input-data'!$E$379='Opstaldingsform-Housing '!$B$47),C28+C32,0)))-('NPK tal'!B43*(SUM(IFERROR(VLOOKUP('input-data'!E379,'Opstaldingsform-Housing '!$B$7:$O$19,10,FALSE),0))+(IFERROR(VLOOKUP('input-data'!E379,'Opstaldingsform-Housing '!$B$44:$O$56,10,FALSE),0)))*
IF(OR('input-data'!$E$379='Opstaldingsform-Housing '!$B$8,'input-data'!$E$379='Opstaldingsform-Housing '!$B$45,
'input-data'!$E$379='Opstaldingsform-Housing '!$B$9,'input-data'!$E$379='Opstaldingsform-Housing '!$B$46,
'input-data'!$E$379='Opstaldingsform-Housing '!$B$10,'input-data'!$E$379='Opstaldingsform-Housing '!$B$47),C28+C32,0))-('NPK tal'!B43*(SUM(IFERROR(VLOOKUP('input-data'!E379,'Opstaldingsform-Housing '!$B$7:$O$19,12,FALSE),0))+(IFERROR(VLOOKUP('input-data'!E379,'Opstaldingsform-Housing '!$B$44:$O$56,12,FALSE),0)))*
IF(OR('input-data'!$E$379='Opstaldingsform-Housing '!$B$8,'input-data'!$E$379='Opstaldingsform-Housing '!$B$45,
'input-data'!$E$379='Opstaldingsform-Housing '!$B$9,'input-data'!$E$379='Opstaldingsform-Housing '!$B$46,
'input-data'!$E$379='Opstaldingsform-Housing '!$B$10,'input-data'!$E$379='Opstaldingsform-Housing '!$B$47),(C28+C32),0))</f>
        <v>0</v>
      </c>
      <c r="D50" s="259" t="e">
        <f>C50/'Flow slagtesvin'!$D$8</f>
        <v>#DIV/0!</v>
      </c>
      <c r="E50" s="786"/>
      <c r="F50" s="786"/>
      <c r="H50" s="110"/>
      <c r="K50" s="463"/>
      <c r="T50" s="110"/>
      <c r="U50" s="110"/>
      <c r="V50" s="110"/>
      <c r="W50" s="110"/>
      <c r="X50" s="110"/>
      <c r="Y50" s="110"/>
      <c r="Z50" s="110"/>
      <c r="AA50" s="110"/>
    </row>
    <row r="51" spans="1:27" s="10" customFormat="1" x14ac:dyDescent="0.25">
      <c r="A51" s="110"/>
      <c r="B51" s="239"/>
      <c r="C51" s="265"/>
      <c r="D51" s="259"/>
      <c r="E51" s="786"/>
      <c r="F51" s="786"/>
      <c r="H51" s="110"/>
      <c r="I51" s="463"/>
      <c r="M51" s="463"/>
      <c r="T51" s="110"/>
      <c r="U51" s="110"/>
      <c r="V51" s="110"/>
      <c r="W51" s="110"/>
      <c r="X51" s="110"/>
      <c r="Y51" s="110"/>
      <c r="Z51" s="110"/>
      <c r="AA51" s="110"/>
    </row>
    <row r="52" spans="1:27" s="10" customFormat="1" x14ac:dyDescent="0.25">
      <c r="A52" s="110"/>
      <c r="B52" s="382" t="s">
        <v>1722</v>
      </c>
      <c r="C52" s="679" t="s">
        <v>1855</v>
      </c>
      <c r="D52" s="383" t="s">
        <v>1855</v>
      </c>
      <c r="E52" s="786"/>
      <c r="F52" s="786"/>
      <c r="H52" s="110"/>
      <c r="T52" s="110"/>
      <c r="U52" s="110"/>
      <c r="V52" s="110"/>
      <c r="W52" s="110"/>
      <c r="X52" s="110"/>
      <c r="Y52" s="110"/>
      <c r="Z52" s="110"/>
      <c r="AA52" s="110"/>
    </row>
    <row r="53" spans="1:27" s="10" customFormat="1" x14ac:dyDescent="0.25">
      <c r="A53" s="110"/>
      <c r="B53" s="239" t="s">
        <v>1745</v>
      </c>
      <c r="C53" s="90"/>
      <c r="D53" s="259"/>
      <c r="E53" s="786"/>
      <c r="F53" s="786"/>
      <c r="H53" s="462"/>
      <c r="K53" s="463"/>
      <c r="T53" s="110"/>
      <c r="U53" s="110"/>
      <c r="V53" s="110"/>
      <c r="W53" s="110"/>
      <c r="X53" s="110"/>
      <c r="Y53" s="110"/>
      <c r="Z53" s="110"/>
      <c r="AA53" s="110"/>
    </row>
    <row r="54" spans="1:27" s="10" customFormat="1" x14ac:dyDescent="0.25">
      <c r="A54" s="110"/>
      <c r="B54" s="239" t="s">
        <v>1681</v>
      </c>
      <c r="C54" s="265">
        <f>IFERROR(IF(OR('input-data'!$E$368=topdowntables!$C$26, 'input-data'!$E$368=topdowntables!$C$31),0,(0.95*(C49-((C49*'input-data'!E385/100)+(C49-(C49*'input-data'!E385/100))*(C49/(C49+C50))*'input-data'!E384/100))*(SUM(IFERROR(VLOOKUP('input-data'!E392,'Lagring-Storage'!B6:M11,3,FALSE),0))+(IFERROR(VLOOKUP('input-data'!E392,'Opstaldingsform-Housing '!$B$46:$O$51,3,FALSE),0)))
+(0.05*(C49-((C49*'input-data'!E385/100)+(C49-(C49*'input-data'!E385/100))*(C49/(C49+C50))*'input-data'!E384/100))*'Lagring-Storage'!$D$7))),0)</f>
        <v>0</v>
      </c>
      <c r="D54" s="259" t="e">
        <f>C54/'Flow slagtesvin'!$D$8</f>
        <v>#DIV/0!</v>
      </c>
      <c r="E54" s="786"/>
      <c r="F54" s="786"/>
      <c r="H54" s="110"/>
      <c r="T54" s="110"/>
      <c r="U54" s="110"/>
      <c r="V54" s="110"/>
      <c r="W54" s="110"/>
      <c r="X54" s="110"/>
      <c r="Y54" s="110"/>
      <c r="Z54" s="110"/>
      <c r="AA54" s="110"/>
    </row>
    <row r="55" spans="1:27" s="10" customFormat="1" x14ac:dyDescent="0.25">
      <c r="A55" s="110"/>
      <c r="B55" s="239" t="s">
        <v>1728</v>
      </c>
      <c r="C55" s="265">
        <f>IFERROR(IF(OR('input-data'!$E$368=topdowntables!$C$26, 'input-data'!$E$368=topdowntables!$C$31),0,(0.95*(C49-((C49*'input-data'!E385/100)+ (C49-(C49*'input-data'!E385/100))*(C49/(C49+C50))*'input-data'!E384/100))*(SUM(IFERROR(VLOOKUP('input-data'!E392,'Lagring-Storage'!B6:M11,5,FALSE),0))+(IFERROR(VLOOKUP('input-data'!E392,'Opstaldingsform-Housing '!$B$46:$O$51,5,FALSE),0)))
+(0.05*(C49-((C49*'input-data'!E385/100)+ (C49-(C49*'input-data'!E385/100))*(C49/(C49+C50))*'input-data'!E384/100))*'Lagring-Storage'!$F$7))),0)</f>
        <v>0</v>
      </c>
      <c r="D55" s="259" t="e">
        <f>C55/'Flow slagtesvin'!$D$8</f>
        <v>#DIV/0!</v>
      </c>
      <c r="E55" s="786"/>
      <c r="F55" s="786"/>
      <c r="H55" s="110"/>
      <c r="T55" s="110"/>
      <c r="U55" s="110"/>
      <c r="V55" s="110"/>
      <c r="W55" s="110"/>
      <c r="X55" s="110"/>
      <c r="Y55" s="110"/>
      <c r="Z55" s="110"/>
      <c r="AA55" s="110"/>
    </row>
    <row r="56" spans="1:27" s="10" customFormat="1" x14ac:dyDescent="0.25">
      <c r="A56" s="110"/>
      <c r="B56" s="239" t="s">
        <v>1725</v>
      </c>
      <c r="C56" s="265">
        <f>IFERROR(IF(OR('input-data'!$E$368=topdowntables!$C$26, 'input-data'!$E$368=topdowntables!$C$31),0,(0.95*(C49-((C49*'input-data'!E385/100)+ (C49-(C49*'input-data'!E385/100))*(C49/(C49+C50))*'input-data'!E384/100))*(SUM(IFERROR(VLOOKUP('input-data'!E392,'Lagring-Storage'!B6:M11,7,FALSE),0))+(IFERROR(VLOOKUP('input-data'!E392,'Opstaldingsform-Housing '!$B$46:$O$51,7,FALSE),0)))
+(0.05*(C49-((C49*'input-data'!E385/100)+ (C49-(C49*'input-data'!E385/100))*(C49/(C49+C50))*'input-data'!E384/100))*'Lagring-Storage'!$H$7))),0)</f>
        <v>0</v>
      </c>
      <c r="D56" s="259" t="e">
        <f>C56/'Flow slagtesvin'!$D$8</f>
        <v>#DIV/0!</v>
      </c>
      <c r="E56" s="786"/>
      <c r="F56" s="786"/>
      <c r="H56" s="110"/>
      <c r="T56" s="110"/>
      <c r="U56" s="110"/>
      <c r="V56" s="110"/>
      <c r="W56" s="110"/>
      <c r="X56" s="110"/>
      <c r="Y56" s="110"/>
      <c r="Z56" s="110"/>
      <c r="AA56" s="110"/>
    </row>
    <row r="57" spans="1:27" s="10" customFormat="1" x14ac:dyDescent="0.25">
      <c r="A57" s="110"/>
      <c r="B57" s="239" t="s">
        <v>2090</v>
      </c>
      <c r="C57" s="265">
        <f>IFERROR(IF(OR('input-data'!$E$368=topdowntables!$C$26, 'input-data'!$E$368=topdowntables!$C$31),0,(0.95*(C49-((C49*'input-data'!E385/100)+ (C49-(C49*'input-data'!E385/100))*(C49/(C49+C50))*'input-data'!E384/100))*(SUM(IFERROR(VLOOKUP('input-data'!E392,'Lagring-Storage'!B6:M11,9,FALSE),0))+(IFERROR(VLOOKUP('input-data'!E392,'Opstaldingsform-Housing '!$B$46:$O$51,9,FALSE),0)))
+(0.05*(C49-((C49*'input-data'!E385/100)+ (C49-(C49*'input-data'!E385/100))*(C49/(C49+C50))*'input-data'!E384/100))*'Lagring-Storage'!$J$7))),0)</f>
        <v>0</v>
      </c>
      <c r="D57" s="259" t="e">
        <f>C57/'Flow slagtesvin'!$D$8</f>
        <v>#DIV/0!</v>
      </c>
      <c r="E57" s="786"/>
      <c r="F57" s="786"/>
      <c r="H57" s="110"/>
      <c r="K57" s="463"/>
      <c r="T57" s="110"/>
      <c r="U57" s="110"/>
      <c r="V57" s="110"/>
      <c r="W57" s="110"/>
      <c r="X57" s="110"/>
      <c r="Y57" s="110"/>
      <c r="Z57" s="110"/>
      <c r="AA57" s="110"/>
    </row>
    <row r="58" spans="1:27" s="10" customFormat="1" x14ac:dyDescent="0.25">
      <c r="A58" s="110"/>
      <c r="B58" s="237" t="s">
        <v>1747</v>
      </c>
      <c r="C58" s="674">
        <f>IFERROR(IF(OR('input-data'!$E$368=topdowntables!$C$26, 'input-data'!$E$368=topdowntables!$C$31),0,(C49-((C49*'input-data'!E385/100)+(C49-(C49*'input-data'!E385/100))*(C49/(C49+C50))*'input-data'!E384/100)-(C54+C55+C56+C57))),0)</f>
        <v>0</v>
      </c>
      <c r="D58" s="259" t="e">
        <f>C58/'Flow slagtesvin'!$D$8</f>
        <v>#DIV/0!</v>
      </c>
      <c r="E58" s="786"/>
      <c r="F58" s="786"/>
      <c r="H58" s="110"/>
      <c r="T58" s="110"/>
      <c r="U58" s="110"/>
      <c r="V58" s="110"/>
      <c r="W58" s="110"/>
      <c r="X58" s="110"/>
      <c r="Y58" s="110"/>
      <c r="Z58" s="110"/>
      <c r="AA58" s="110"/>
    </row>
    <row r="59" spans="1:27" s="10" customFormat="1" x14ac:dyDescent="0.25">
      <c r="A59" s="110"/>
      <c r="B59" s="237"/>
      <c r="C59" s="265"/>
      <c r="D59" s="259"/>
      <c r="E59" s="786"/>
      <c r="F59" s="786"/>
      <c r="H59" s="110"/>
      <c r="K59" s="463"/>
      <c r="L59" s="463"/>
      <c r="T59" s="110"/>
      <c r="U59" s="110"/>
      <c r="V59" s="110"/>
      <c r="W59" s="110"/>
      <c r="X59" s="110"/>
      <c r="Y59" s="110"/>
      <c r="Z59" s="110"/>
      <c r="AA59" s="110"/>
    </row>
    <row r="60" spans="1:27" s="10" customFormat="1" x14ac:dyDescent="0.25">
      <c r="A60" s="110"/>
      <c r="B60" s="239" t="s">
        <v>1746</v>
      </c>
      <c r="C60" s="265"/>
      <c r="D60" s="259"/>
      <c r="E60" s="786"/>
      <c r="F60" s="786"/>
      <c r="H60" s="462"/>
      <c r="T60" s="110"/>
      <c r="U60" s="110"/>
      <c r="V60" s="110"/>
      <c r="W60" s="110"/>
      <c r="X60" s="110"/>
      <c r="Y60" s="110"/>
      <c r="Z60" s="110"/>
      <c r="AA60" s="110"/>
    </row>
    <row r="61" spans="1:27" s="10" customFormat="1" x14ac:dyDescent="0.25">
      <c r="A61" s="110"/>
      <c r="B61" s="239" t="s">
        <v>1681</v>
      </c>
      <c r="C61" s="265">
        <f>IFERROR(IF(OR('input-data'!$E$368=topdowntables!$C$26, 'input-data'!$E$368=topdowntables!$C$31),0,((0.95*(C50-((C50*'input-data'!E386/100)+((C50-(C50*'input-data'!E386/100))*(C50/(C49+C50))*'input-data'!E384/100)))*(SUM(IFERROR(VLOOKUP('input-data'!E393,'Lagring-Storage'!B33:M36,3,FALSE),0))+(IFERROR(VLOOKUP('input-data'!E393,'Opstaldingsform-Housing '!$B$71:$O$75,3,FALSE),0))))
+(0.05*( C50-((C50*'input-data'!E386/100)+((C50-(C50*'input-data'!E386/100))*(C50/(C49+C50))*'input-data'!E384/100)))*'Lagring-Storage'!$D$34))),0)</f>
        <v>0</v>
      </c>
      <c r="D61" s="259" t="e">
        <f>C61/'Flow slagtesvin'!$D$8</f>
        <v>#DIV/0!</v>
      </c>
      <c r="E61" s="786"/>
      <c r="F61" s="786"/>
      <c r="H61" s="110"/>
      <c r="T61" s="110"/>
      <c r="U61" s="110"/>
      <c r="V61" s="110"/>
      <c r="W61" s="110"/>
      <c r="X61" s="110"/>
      <c r="Y61" s="110"/>
      <c r="Z61" s="110"/>
      <c r="AA61" s="110"/>
    </row>
    <row r="62" spans="1:27" s="10" customFormat="1" x14ac:dyDescent="0.25">
      <c r="A62" s="110"/>
      <c r="B62" s="239" t="s">
        <v>1728</v>
      </c>
      <c r="C62" s="265">
        <f>IFERROR(IF(OR('input-data'!$E$368=topdowntables!$C$26, 'input-data'!$E$368=topdowntables!$C$31),0,((0.95*(C50-((C50*'input-data'!E386/100)+((C50-(C50*'input-data'!E386/100))*(C50/(C49+C50))*'input-data'!E384/100)))*(SUM(IFERROR(VLOOKUP('input-data'!E393,'Lagring-Storage'!B33:M36,5,FALSE),0))+(IFERROR(VLOOKUP('input-data'!E393,'Opstaldingsform-Housing '!$B$71:$O$75,5,FALSE),0))))
+(0.05*( C50-((C50*'input-data'!E386/100)+((C50-(C50*'input-data'!E386/100))*(C50/(C49+C50))*'input-data'!E384/100)))*'Lagring-Storage'!$F$34))),0)</f>
        <v>0</v>
      </c>
      <c r="D62" s="259" t="e">
        <f>C62/'Flow slagtesvin'!$D$8</f>
        <v>#DIV/0!</v>
      </c>
      <c r="E62" s="786"/>
      <c r="F62" s="786"/>
      <c r="H62" s="110"/>
      <c r="T62" s="110"/>
      <c r="U62" s="110"/>
      <c r="V62" s="110"/>
      <c r="W62" s="110"/>
      <c r="X62" s="110"/>
      <c r="Y62" s="110"/>
      <c r="Z62" s="110"/>
      <c r="AA62" s="110"/>
    </row>
    <row r="63" spans="1:27" s="10" customFormat="1" x14ac:dyDescent="0.25">
      <c r="A63" s="110"/>
      <c r="B63" s="239" t="s">
        <v>1725</v>
      </c>
      <c r="C63" s="265">
        <f>IFERROR(IF(OR('input-data'!$E$368=topdowntables!$C$26, 'input-data'!$E$368=topdowntables!$C$31),0,((0.95*(C50-((C50*'input-data'!E386/100)+((C50-(C50*'input-data'!E386/100))*(C50/(C49+C50))*'input-data'!E384/100)))*(SUM(IFERROR(VLOOKUP('input-data'!E393,'Lagring-Storage'!B33:M367,FALSE),0))+(IFERROR(VLOOKUP('input-data'!E393,'Opstaldingsform-Housing '!$B$71:$O$75,7,FALSE),0))))
+(0.05*( C50-((C50*'input-data'!E386/100)+((C50-(C50*'input-data'!E386/100))*(C50/(C49+C50))*'input-data'!E384/100)))*'Lagring-Storage'!$H$34))),0)</f>
        <v>0</v>
      </c>
      <c r="D63" s="259" t="e">
        <f>C63/'Flow slagtesvin'!$D$8</f>
        <v>#DIV/0!</v>
      </c>
      <c r="E63" s="786"/>
      <c r="F63" s="786"/>
      <c r="H63" s="110"/>
      <c r="T63" s="110"/>
      <c r="U63" s="110"/>
      <c r="V63" s="110"/>
      <c r="W63" s="110"/>
      <c r="X63" s="110"/>
      <c r="Y63" s="110"/>
      <c r="Z63" s="110"/>
      <c r="AA63" s="110"/>
    </row>
    <row r="64" spans="1:27" s="10" customFormat="1" x14ac:dyDescent="0.25">
      <c r="A64" s="110"/>
      <c r="B64" s="239" t="s">
        <v>2090</v>
      </c>
      <c r="C64" s="265">
        <f>IFERROR(IF(OR('input-data'!$E$368=topdowntables!$C$26, 'input-data'!$E$368=topdowntables!$C$31),0,((0.95*(C50-((C50*'input-data'!E386/100)+((C50-(C50*'input-data'!E386/100))*(C50/(C49+C50))*'input-data'!E384/100)))*(SUM(IFERROR(VLOOKUP('input-data'!E393,'Lagring-Storage'!B33:M36,9,FALSE),0))+(IFERROR(VLOOKUP('input-data'!E393,'Opstaldingsform-Housing '!$B$71:$O$75,9,FALSE),0))))
+(0.05*( C50-((C50*'input-data'!E386/100)+((C50-(C50*'input-data'!E386/100))*(C50/(C49+C50))*'input-data'!E384/100)))*'Lagring-Storage'!$J$34))),0)</f>
        <v>0</v>
      </c>
      <c r="D64" s="259" t="e">
        <f>C64/'Flow slagtesvin'!$D$8</f>
        <v>#DIV/0!</v>
      </c>
      <c r="E64" s="786"/>
      <c r="F64" s="786"/>
      <c r="H64" s="110"/>
      <c r="T64" s="110"/>
      <c r="U64" s="110"/>
      <c r="V64" s="110"/>
      <c r="W64" s="110"/>
      <c r="X64" s="110"/>
      <c r="Y64" s="110"/>
      <c r="Z64" s="110"/>
      <c r="AA64" s="110"/>
    </row>
    <row r="65" spans="1:27" s="10" customFormat="1" x14ac:dyDescent="0.25">
      <c r="A65" s="110"/>
      <c r="B65" s="237" t="s">
        <v>1754</v>
      </c>
      <c r="C65" s="674">
        <f>IFERROR(IF(OR('input-data'!$E$368=topdowntables!$C$26, 'input-data'!$E$368=topdowntables!$C$31),0,(C50-((C50*'input-data'!E386/100)+((C50-(C50*'input-data'!E386/100))*(C50/(C49+C50))*'input-data'!E384/100))-(C61+C62+C63+C64))),0)</f>
        <v>0</v>
      </c>
      <c r="D65" s="259" t="e">
        <f>C65/'Flow slagtesvin'!$D$8</f>
        <v>#DIV/0!</v>
      </c>
      <c r="E65" s="786"/>
      <c r="F65" s="786"/>
      <c r="H65" s="110"/>
      <c r="T65" s="110"/>
      <c r="U65" s="110"/>
      <c r="V65" s="110"/>
      <c r="W65" s="110"/>
      <c r="X65" s="110"/>
      <c r="Y65" s="110"/>
      <c r="Z65" s="110"/>
      <c r="AA65" s="110"/>
    </row>
    <row r="66" spans="1:27" s="10" customFormat="1" x14ac:dyDescent="0.25">
      <c r="A66" s="110"/>
      <c r="B66" s="239"/>
      <c r="C66" s="265"/>
      <c r="D66" s="259"/>
      <c r="E66" s="786"/>
      <c r="F66" s="786"/>
      <c r="H66" s="110"/>
      <c r="T66" s="110"/>
      <c r="U66" s="110"/>
      <c r="V66" s="110"/>
      <c r="W66" s="110"/>
      <c r="X66" s="110"/>
      <c r="Y66" s="110"/>
      <c r="Z66" s="110"/>
      <c r="AA66" s="110"/>
    </row>
    <row r="67" spans="1:27" s="10" customFormat="1" x14ac:dyDescent="0.25">
      <c r="A67" s="110"/>
      <c r="B67" s="239" t="s">
        <v>1733</v>
      </c>
      <c r="C67" s="265"/>
      <c r="D67" s="259"/>
      <c r="E67" s="786"/>
      <c r="F67" s="786"/>
      <c r="H67" s="110"/>
      <c r="T67" s="110"/>
      <c r="U67" s="110"/>
      <c r="V67" s="110"/>
      <c r="W67" s="110"/>
      <c r="X67" s="110"/>
      <c r="Y67" s="110"/>
      <c r="Z67" s="110"/>
      <c r="AA67" s="110"/>
    </row>
    <row r="68" spans="1:27" s="10" customFormat="1" x14ac:dyDescent="0.25">
      <c r="A68" s="110"/>
      <c r="B68" s="239" t="s">
        <v>1681</v>
      </c>
      <c r="C68" s="265">
        <f>IF(OR('input-data'!$E$368=topdowntables!$C$26, 'input-data'!$E$368=topdowntables!$C$31),0,(IF('input-data'!E384&gt;0,0.95*(((C49-(C49*'input-data'!E385/100))*(C49/(C49+C50))*'input-data'!E384/100)+
(C50-(C50*'input-data'!E386/100)*(C50/(C49+C50))*'input-data'!E384/100))*(SUM(IFERROR(VLOOKUP('input-data'!E392,'Lagring-Storage'!B6:M11,3,FALSE),0))+(IFERROR(VLOOKUP('input-data'!E392,'Opstaldingsform-Housing '!$B$46:$O$51,3,FALSE),0)))
+(0.05*(((C49-(C49*'input-data'!E385/100))*(C49/(C49+C50))*'input-data'!E384/100)+
(C50-(C50*'input-data'!E386/100)*(C50/(C49+C50))*'input-data'!E384/100))*('Lagring-Storage'!$D$13)),0)))</f>
        <v>0</v>
      </c>
      <c r="D68" s="259" t="e">
        <f>C68/'Flow slagtesvin'!$D$8</f>
        <v>#DIV/0!</v>
      </c>
      <c r="E68" s="786"/>
      <c r="F68" s="786"/>
      <c r="H68" s="110"/>
      <c r="I68" s="10" t="s">
        <v>1761</v>
      </c>
      <c r="T68" s="110"/>
      <c r="U68" s="110"/>
      <c r="V68" s="110"/>
      <c r="W68" s="110"/>
      <c r="X68" s="110"/>
      <c r="Y68" s="110"/>
      <c r="Z68" s="110"/>
      <c r="AA68" s="110"/>
    </row>
    <row r="69" spans="1:27" s="10" customFormat="1" x14ac:dyDescent="0.25">
      <c r="A69" s="110"/>
      <c r="B69" s="239" t="s">
        <v>1727</v>
      </c>
      <c r="C69" s="265">
        <f>IF(OR('input-data'!$E$368=topdowntables!$C$26, 'input-data'!$E$368=topdowntables!$C$31),0,(IF('input-data'!E384&gt;0,0.95*(((C49-(C49*'input-data'!E385/100))*(C49/(C49+C50))*'input-data'!E384/100)+
(C50-(C50*'input-data'!E386/100)*(C50/(C49+C50))*'input-data'!E384/100))*(SUM(IFERROR(VLOOKUP('input-data'!E392,'Lagring-Storage'!B6:M11,5,FALSE),0))+(IFERROR(VLOOKUP('input-data'!E392,'Opstaldingsform-Housing '!$B$46:$O$51,5,FALSE),0)))
+(0.05*(((C49-(C49*'input-data'!E385/100))*(C49/(C49+C50))*'input-data'!E384/100)+
(C50-(C50*'input-data'!E386/100)*(C50/(C49+C50))*'input-data'!E384/100))*('Lagring-Storage'!$F$13)),0)))</f>
        <v>0</v>
      </c>
      <c r="D69" s="259" t="e">
        <f>C69/'Flow slagtesvin'!$D$8</f>
        <v>#DIV/0!</v>
      </c>
      <c r="E69" s="786"/>
      <c r="F69" s="786"/>
      <c r="H69" s="110"/>
      <c r="T69" s="110"/>
      <c r="U69" s="110"/>
      <c r="V69" s="110"/>
      <c r="W69" s="110"/>
      <c r="X69" s="110"/>
      <c r="Y69" s="110"/>
      <c r="Z69" s="110"/>
      <c r="AA69" s="110"/>
    </row>
    <row r="70" spans="1:27" s="10" customFormat="1" x14ac:dyDescent="0.25">
      <c r="A70" s="110"/>
      <c r="B70" s="239" t="s">
        <v>1683</v>
      </c>
      <c r="C70" s="265">
        <f>IF(OR('input-data'!$E$368=topdowntables!$C$26, 'input-data'!$E$368=topdowntables!$C$31),0,(IF('input-data'!E384&gt;0,0.95*(((C49-(C49*'input-data'!E385/100))*(C49/(C49+C50))*'input-data'!E384/100)+
(C50-(C50*'input-data'!E386/100)*(C50/(C49+C50))*'input-data'!E384/100))*(SUM(IFERROR(VLOOKUP('input-data'!E392,'Lagring-Storage'!B6:M11,7,FALSE),0))+(IFERROR(VLOOKUP('input-data'!E392,'Opstaldingsform-Housing '!$B$46:$O$51,7,FALSE),0)))
+(0.05*(((C49-(C49*'input-data'!E385/100))*(C49/(C49+C50))*'input-data'!E384/100)+
(C50-(C50*'input-data'!E386/100)*(C50/(C49+C50))*'input-data'!E384/100))*('Lagring-Storage'!$H$13)),0)))</f>
        <v>0</v>
      </c>
      <c r="D70" s="259" t="e">
        <f>C70/'Flow slagtesvin'!$D$8</f>
        <v>#DIV/0!</v>
      </c>
      <c r="E70" s="786"/>
      <c r="F70" s="786"/>
      <c r="H70" s="110"/>
      <c r="T70" s="110"/>
      <c r="U70" s="110"/>
      <c r="V70" s="110"/>
      <c r="W70" s="110"/>
      <c r="X70" s="110"/>
      <c r="Y70" s="110"/>
      <c r="Z70" s="110"/>
      <c r="AA70" s="110"/>
    </row>
    <row r="71" spans="1:27" s="10" customFormat="1" x14ac:dyDescent="0.25">
      <c r="A71" s="110"/>
      <c r="B71" s="239" t="s">
        <v>2090</v>
      </c>
      <c r="C71" s="265">
        <f>IF(OR('input-data'!$E$368=topdowntables!$C$26, 'input-data'!$E$368=topdowntables!$C$31),0,(IF('input-data'!E384&gt;0,0.95*(((C49-(C49*'input-data'!E385/100))*(C49/(C49+C50))*'input-data'!E384/100)+
(C50-(C50*'input-data'!E386/100)*(C50/(C49+C50))*'input-data'!E384/100))*(SUM(IFERROR(VLOOKUP('input-data'!E392,'Lagring-Storage'!B6:M11,9,FALSE),0))+(IFERROR(VLOOKUP('input-data'!E392,'Opstaldingsform-Housing '!$B$46:$O$51,9,FALSE),0)))
+(0.05*(((C49-(C49*'input-data'!E385/100))*(C49/(C49+C50))*'input-data'!E384/100)+
(C50-(C50*'input-data'!E386/100)*(C50/(C49+C50))*'input-data'!E384/100))*('Lagring-Storage'!$J$13)),0)))</f>
        <v>0</v>
      </c>
      <c r="D71" s="259" t="e">
        <f>C71/'Flow slagtesvin'!$D$8</f>
        <v>#DIV/0!</v>
      </c>
      <c r="E71" s="786"/>
      <c r="F71" s="786"/>
      <c r="H71" s="110"/>
      <c r="T71" s="110"/>
      <c r="U71" s="110"/>
      <c r="V71" s="110"/>
      <c r="W71" s="110"/>
      <c r="X71" s="110"/>
      <c r="Y71" s="110"/>
      <c r="Z71" s="110"/>
      <c r="AA71" s="110"/>
    </row>
    <row r="72" spans="1:27" s="10" customFormat="1" x14ac:dyDescent="0.25">
      <c r="A72" s="281"/>
      <c r="B72" s="237" t="s">
        <v>1735</v>
      </c>
      <c r="C72" s="674">
        <f>IFERROR(IF(OR('input-data'!$E$368=topdowntables!$C$26, 'input-data'!$E$368=topdowntables!$C$31),0,(((C49-(C49*'input-data'!E385/100))*(C49/(C49+C50))*'input-data'!E384/100)+
((C50-(C50*'input-data'!E386/100))*(C50/(C49+C50))*'input-data'!E384/100)
-(C68+C69+C70+C71))),0)</f>
        <v>0</v>
      </c>
      <c r="D72" s="259" t="e">
        <f>C72/'Flow slagtesvin'!$D$8</f>
        <v>#DIV/0!</v>
      </c>
      <c r="E72" s="786"/>
      <c r="F72" s="786"/>
      <c r="H72" s="110"/>
      <c r="T72" s="110"/>
      <c r="U72" s="110"/>
      <c r="V72" s="110"/>
      <c r="W72" s="110"/>
      <c r="X72" s="110"/>
      <c r="Y72" s="110"/>
      <c r="Z72" s="110"/>
      <c r="AA72" s="110"/>
    </row>
    <row r="73" spans="1:27" s="10" customFormat="1" x14ac:dyDescent="0.25">
      <c r="A73" s="110"/>
      <c r="B73" s="239"/>
      <c r="C73" s="90"/>
      <c r="D73" s="259"/>
      <c r="E73" s="786"/>
      <c r="F73" s="786"/>
      <c r="H73" s="110"/>
      <c r="T73" s="110"/>
      <c r="U73" s="110"/>
      <c r="V73" s="110"/>
      <c r="W73" s="110"/>
      <c r="X73" s="110"/>
      <c r="Y73" s="110"/>
      <c r="Z73" s="110"/>
      <c r="AA73" s="110"/>
    </row>
    <row r="74" spans="1:27" s="10" customFormat="1" x14ac:dyDescent="0.25">
      <c r="A74" s="110"/>
      <c r="B74" s="239" t="s">
        <v>1734</v>
      </c>
      <c r="C74" s="90"/>
      <c r="D74" s="259"/>
      <c r="E74" s="786"/>
      <c r="F74" s="786"/>
      <c r="H74" s="110"/>
      <c r="T74" s="110"/>
      <c r="U74" s="110"/>
      <c r="V74" s="110"/>
      <c r="W74" s="110"/>
      <c r="X74" s="110"/>
      <c r="Y74" s="110"/>
      <c r="Z74" s="110"/>
      <c r="AA74" s="110"/>
    </row>
    <row r="75" spans="1:27" s="10" customFormat="1" x14ac:dyDescent="0.25">
      <c r="A75" s="110"/>
      <c r="B75" s="239" t="s">
        <v>1681</v>
      </c>
      <c r="C75" s="265">
        <f>0.95*C49*'input-data'!E385/100*(SUM(IFERROR(VLOOKUP('input-data'!E392,'Lagring-Storage'!B17:M22,3,FALSE),0))+(IFERROR(VLOOKUP('input-data'!E392,'Opstaldingsform-Housing '!$B$44:$O$56,3,FALSE),0)))
+(0.05* C49*'input-data'!E385/100*('Lagring-Storage'!$D$18))</f>
        <v>0</v>
      </c>
      <c r="D75" s="259" t="e">
        <f>C75/'Flow slagtesvin'!$D$8</f>
        <v>#DIV/0!</v>
      </c>
      <c r="E75" s="786"/>
      <c r="F75" s="786"/>
      <c r="H75" s="110"/>
      <c r="T75" s="110"/>
      <c r="U75" s="110"/>
      <c r="V75" s="110"/>
      <c r="W75" s="110"/>
      <c r="X75" s="110"/>
      <c r="Y75" s="110"/>
      <c r="Z75" s="110"/>
      <c r="AA75" s="110"/>
    </row>
    <row r="76" spans="1:27" s="10" customFormat="1" x14ac:dyDescent="0.25">
      <c r="A76" s="110"/>
      <c r="B76" s="239" t="s">
        <v>1727</v>
      </c>
      <c r="C76" s="265">
        <f>0.95*C49*'input-data'!E385/100*(SUM(IFERROR(VLOOKUP('input-data'!E392,'Lagring-Storage'!B17:M22,5,FALSE),0))+(IFERROR(VLOOKUP('input-data'!E392,'Opstaldingsform-Housing '!$B$44:$O$56,5,FALSE),0)))
+(0.05* C49*'input-data'!E385/100*('Lagring-Storage'!$F$18))</f>
        <v>0</v>
      </c>
      <c r="D76" s="259" t="e">
        <f>C76/'Flow slagtesvin'!$D$8</f>
        <v>#DIV/0!</v>
      </c>
      <c r="E76" s="786"/>
      <c r="F76" s="786"/>
      <c r="H76" s="110"/>
      <c r="T76" s="110"/>
      <c r="U76" s="110"/>
      <c r="V76" s="110"/>
      <c r="W76" s="110"/>
      <c r="X76" s="110"/>
      <c r="Y76" s="110"/>
      <c r="Z76" s="110"/>
      <c r="AA76" s="110"/>
    </row>
    <row r="77" spans="1:27" s="10" customFormat="1" x14ac:dyDescent="0.25">
      <c r="A77" s="110"/>
      <c r="B77" s="239" t="s">
        <v>1683</v>
      </c>
      <c r="C77" s="265">
        <f>0.95*C49*'input-data'!E385/100*(SUM(IFERROR(VLOOKUP('input-data'!E392,'Lagring-Storage'!B17:M22,7,FALSE),0))+(IFERROR(VLOOKUP('input-data'!E392,'Opstaldingsform-Housing '!$B$44:$O$56,7,FALSE),0)))
+(0.05* C49*'input-data'!E385/100*('Lagring-Storage'!$H$18))</f>
        <v>0</v>
      </c>
      <c r="D77" s="259" t="e">
        <f>C77/'Flow slagtesvin'!$D$8</f>
        <v>#DIV/0!</v>
      </c>
      <c r="E77" s="786"/>
      <c r="F77" s="786"/>
      <c r="H77" s="110"/>
      <c r="T77" s="110"/>
      <c r="U77" s="110"/>
      <c r="V77" s="110"/>
      <c r="W77" s="110"/>
      <c r="X77" s="110"/>
      <c r="Y77" s="110"/>
      <c r="Z77" s="110"/>
      <c r="AA77" s="110"/>
    </row>
    <row r="78" spans="1:27" s="10" customFormat="1" x14ac:dyDescent="0.25">
      <c r="A78" s="110"/>
      <c r="B78" s="239" t="s">
        <v>2090</v>
      </c>
      <c r="C78" s="265">
        <f>0.95*C49*'input-data'!E385/100*(SUM(IFERROR(VLOOKUP('input-data'!E392,'Lagring-Storage'!B17:M22,9,FALSE),0))+(IFERROR(VLOOKUP('input-data'!E392,'Opstaldingsform-Housing '!$B$44:$O$56,9,FALSE),0)))
+(0.05* C49*'input-data'!E385/100*('Lagring-Storage'!$J$18))</f>
        <v>0</v>
      </c>
      <c r="D78" s="259" t="e">
        <f>C78/'Flow slagtesvin'!$D$8</f>
        <v>#DIV/0!</v>
      </c>
      <c r="E78" s="786"/>
      <c r="F78" s="786"/>
      <c r="H78" s="110"/>
      <c r="T78" s="110"/>
      <c r="U78" s="110"/>
      <c r="V78" s="110"/>
      <c r="W78" s="110"/>
      <c r="X78" s="110"/>
      <c r="Y78" s="110"/>
      <c r="Z78" s="110"/>
      <c r="AA78" s="110"/>
    </row>
    <row r="79" spans="1:27" s="10" customFormat="1" x14ac:dyDescent="0.25">
      <c r="A79" s="110"/>
      <c r="B79" s="237" t="s">
        <v>1736</v>
      </c>
      <c r="C79" s="674">
        <f>C49*'input-data'!E385/100-(C75+C76+C77+C78)</f>
        <v>0</v>
      </c>
      <c r="D79" s="259" t="e">
        <f>C79/'Flow slagtesvin'!$D$8</f>
        <v>#DIV/0!</v>
      </c>
      <c r="E79" s="786"/>
      <c r="F79" s="786"/>
      <c r="H79" s="110"/>
      <c r="T79" s="110"/>
      <c r="U79" s="110"/>
      <c r="V79" s="110"/>
      <c r="W79" s="110"/>
      <c r="X79" s="110"/>
      <c r="Y79" s="110"/>
      <c r="Z79" s="110"/>
      <c r="AA79" s="110"/>
    </row>
    <row r="80" spans="1:27" s="10" customFormat="1" x14ac:dyDescent="0.25">
      <c r="A80" s="110"/>
      <c r="B80" s="239"/>
      <c r="C80" s="265"/>
      <c r="D80" s="259"/>
      <c r="E80" s="786"/>
      <c r="F80" s="786"/>
      <c r="H80" s="110"/>
      <c r="T80" s="110"/>
      <c r="U80" s="110"/>
      <c r="V80" s="110"/>
      <c r="W80" s="110"/>
      <c r="X80" s="110"/>
      <c r="Y80" s="110"/>
      <c r="Z80" s="110"/>
      <c r="AA80" s="110"/>
    </row>
    <row r="81" spans="1:27" s="10" customFormat="1" x14ac:dyDescent="0.25">
      <c r="A81" s="110"/>
      <c r="B81" s="382" t="s">
        <v>1742</v>
      </c>
      <c r="C81" s="679" t="s">
        <v>1855</v>
      </c>
      <c r="D81" s="383" t="s">
        <v>1855</v>
      </c>
      <c r="E81" s="786"/>
      <c r="F81" s="786"/>
      <c r="H81" s="110"/>
      <c r="T81" s="110"/>
      <c r="U81" s="110"/>
      <c r="V81" s="110"/>
      <c r="W81" s="110"/>
      <c r="X81" s="110"/>
      <c r="Y81" s="110"/>
      <c r="Z81" s="110"/>
      <c r="AA81" s="110"/>
    </row>
    <row r="82" spans="1:27" s="10" customFormat="1" x14ac:dyDescent="0.25">
      <c r="A82" s="110"/>
      <c r="B82" s="239" t="s">
        <v>1757</v>
      </c>
      <c r="C82" s="90"/>
      <c r="D82" s="259"/>
      <c r="E82" s="786"/>
      <c r="F82" s="786"/>
      <c r="H82" s="462"/>
      <c r="T82" s="110"/>
      <c r="U82" s="110"/>
      <c r="V82" s="110"/>
      <c r="W82" s="110"/>
      <c r="X82" s="110"/>
      <c r="Y82" s="110"/>
      <c r="Z82" s="110"/>
      <c r="AA82" s="110"/>
    </row>
    <row r="83" spans="1:27" s="10" customFormat="1" x14ac:dyDescent="0.25">
      <c r="A83" s="110"/>
      <c r="B83" s="239" t="s">
        <v>1681</v>
      </c>
      <c r="C83" s="265">
        <f>C58*'Udbringning af gylleApplication'!C6</f>
        <v>0</v>
      </c>
      <c r="D83" s="259" t="e">
        <f>C83/'Flow slagtesvin'!$D$8</f>
        <v>#DIV/0!</v>
      </c>
      <c r="E83" s="786"/>
      <c r="F83" s="786"/>
      <c r="H83" s="110"/>
      <c r="T83" s="110"/>
      <c r="U83" s="110"/>
      <c r="V83" s="110"/>
      <c r="W83" s="110"/>
      <c r="X83" s="110"/>
      <c r="Y83" s="110"/>
      <c r="Z83" s="110"/>
      <c r="AA83" s="110"/>
    </row>
    <row r="84" spans="1:27" s="10" customFormat="1" x14ac:dyDescent="0.25">
      <c r="A84" s="110"/>
      <c r="B84" s="239" t="s">
        <v>1682</v>
      </c>
      <c r="C84" s="265">
        <f>C58*'Udbringning af gylleApplication'!E6</f>
        <v>0</v>
      </c>
      <c r="D84" s="259" t="e">
        <f>C84/'Flow slagtesvin'!$D$8</f>
        <v>#DIV/0!</v>
      </c>
      <c r="E84" s="786"/>
      <c r="F84" s="786"/>
      <c r="H84" s="110"/>
      <c r="T84" s="110"/>
      <c r="U84" s="110"/>
      <c r="V84" s="110"/>
      <c r="W84" s="110"/>
      <c r="X84" s="110"/>
      <c r="Y84" s="110"/>
      <c r="Z84" s="110"/>
      <c r="AA84" s="110"/>
    </row>
    <row r="85" spans="1:27" s="10" customFormat="1" x14ac:dyDescent="0.25">
      <c r="A85" s="110"/>
      <c r="B85" s="239" t="s">
        <v>1683</v>
      </c>
      <c r="C85" s="265">
        <f>C58*'Udbringning af gylleApplication'!G6</f>
        <v>0</v>
      </c>
      <c r="D85" s="259" t="e">
        <f>C85/'Flow slagtesvin'!$D$8</f>
        <v>#DIV/0!</v>
      </c>
      <c r="E85" s="786"/>
      <c r="F85" s="786"/>
      <c r="H85" s="110"/>
      <c r="T85" s="110"/>
      <c r="U85" s="110"/>
      <c r="V85" s="110"/>
      <c r="W85" s="110"/>
      <c r="X85" s="110"/>
      <c r="Y85" s="110"/>
      <c r="Z85" s="110"/>
      <c r="AA85" s="110"/>
    </row>
    <row r="86" spans="1:27" s="10" customFormat="1" x14ac:dyDescent="0.25">
      <c r="A86" s="110"/>
      <c r="B86" s="239" t="s">
        <v>2090</v>
      </c>
      <c r="C86" s="265">
        <f>C58*'Udbringning af gylleApplication'!I6</f>
        <v>0</v>
      </c>
      <c r="D86" s="259" t="e">
        <f>C86/'Flow slagtesvin'!$D$8</f>
        <v>#DIV/0!</v>
      </c>
      <c r="E86" s="786"/>
      <c r="F86" s="786"/>
      <c r="H86" s="110"/>
      <c r="K86" s="463"/>
      <c r="T86" s="110"/>
      <c r="U86" s="110"/>
      <c r="V86" s="110"/>
      <c r="W86" s="110"/>
      <c r="X86" s="110"/>
      <c r="Y86" s="110"/>
      <c r="Z86" s="110"/>
      <c r="AA86" s="110"/>
    </row>
    <row r="87" spans="1:27" s="10" customFormat="1" x14ac:dyDescent="0.25">
      <c r="A87" s="110"/>
      <c r="B87" s="237" t="s">
        <v>1762</v>
      </c>
      <c r="C87" s="265">
        <f>C58-(C83+C84+C85+C86)</f>
        <v>0</v>
      </c>
      <c r="D87" s="259" t="e">
        <f>C87/'Flow slagtesvin'!$D$8</f>
        <v>#DIV/0!</v>
      </c>
      <c r="E87" s="786"/>
      <c r="F87" s="786"/>
      <c r="H87" s="110"/>
      <c r="T87" s="110"/>
      <c r="U87" s="110"/>
      <c r="V87" s="110"/>
      <c r="W87" s="110"/>
      <c r="X87" s="110"/>
      <c r="Y87" s="110"/>
      <c r="Z87" s="110"/>
      <c r="AA87" s="110"/>
    </row>
    <row r="88" spans="1:27" s="10" customFormat="1" x14ac:dyDescent="0.25">
      <c r="A88" s="110"/>
      <c r="B88" s="237"/>
      <c r="C88" s="265"/>
      <c r="D88" s="259"/>
      <c r="E88" s="786"/>
      <c r="F88" s="786"/>
      <c r="H88" s="110"/>
      <c r="T88" s="110"/>
      <c r="U88" s="110"/>
      <c r="V88" s="110"/>
      <c r="W88" s="110"/>
      <c r="X88" s="110"/>
      <c r="Y88" s="110"/>
      <c r="Z88" s="110"/>
      <c r="AA88" s="110"/>
    </row>
    <row r="89" spans="1:27" s="10" customFormat="1" x14ac:dyDescent="0.25">
      <c r="A89" s="110"/>
      <c r="B89" s="239" t="s">
        <v>1283</v>
      </c>
      <c r="C89" s="265"/>
      <c r="D89" s="259"/>
      <c r="E89" s="786"/>
      <c r="F89" s="786"/>
      <c r="H89" s="462"/>
      <c r="T89" s="110"/>
      <c r="U89" s="110"/>
      <c r="V89" s="110"/>
      <c r="W89" s="110"/>
      <c r="X89" s="110"/>
      <c r="Y89" s="110"/>
      <c r="Z89" s="110"/>
      <c r="AA89" s="110"/>
    </row>
    <row r="90" spans="1:27" s="10" customFormat="1" x14ac:dyDescent="0.25">
      <c r="A90" s="110"/>
      <c r="B90" s="239" t="s">
        <v>1681</v>
      </c>
      <c r="C90" s="265">
        <f>C65*'Udbringning af gylleApplication'!C9</f>
        <v>0</v>
      </c>
      <c r="D90" s="259" t="e">
        <f>C90/'Flow slagtesvin'!$D$8</f>
        <v>#DIV/0!</v>
      </c>
      <c r="E90" s="786"/>
      <c r="F90" s="786"/>
      <c r="H90" s="110"/>
      <c r="T90" s="110"/>
      <c r="U90" s="110"/>
      <c r="V90" s="110"/>
      <c r="W90" s="110"/>
      <c r="X90" s="110"/>
      <c r="Y90" s="110"/>
      <c r="Z90" s="110"/>
      <c r="AA90" s="110"/>
    </row>
    <row r="91" spans="1:27" s="10" customFormat="1" x14ac:dyDescent="0.25">
      <c r="A91" s="110"/>
      <c r="B91" s="239" t="s">
        <v>1682</v>
      </c>
      <c r="C91" s="265">
        <f>C65*'Udbringning af gylleApplication'!E9</f>
        <v>0</v>
      </c>
      <c r="D91" s="259" t="e">
        <f>C91/'Flow slagtesvin'!$D$8</f>
        <v>#DIV/0!</v>
      </c>
      <c r="E91" s="786"/>
      <c r="F91" s="786"/>
      <c r="H91" s="110"/>
      <c r="T91" s="110"/>
      <c r="U91" s="110"/>
      <c r="V91" s="110"/>
      <c r="W91" s="110"/>
      <c r="X91" s="110"/>
      <c r="Y91" s="110"/>
      <c r="Z91" s="110"/>
      <c r="AA91" s="110"/>
    </row>
    <row r="92" spans="1:27" s="10" customFormat="1" x14ac:dyDescent="0.25">
      <c r="A92" s="110"/>
      <c r="B92" s="239" t="s">
        <v>1683</v>
      </c>
      <c r="C92" s="265">
        <f>C65*'Udbringning af gylleApplication'!G9</f>
        <v>0</v>
      </c>
      <c r="D92" s="259" t="e">
        <f>C92/'Flow slagtesvin'!$D$8</f>
        <v>#DIV/0!</v>
      </c>
      <c r="E92" s="786"/>
      <c r="F92" s="786"/>
      <c r="H92" s="110"/>
      <c r="T92" s="110"/>
      <c r="U92" s="110"/>
      <c r="V92" s="110"/>
      <c r="W92" s="110"/>
      <c r="X92" s="110"/>
      <c r="Y92" s="110"/>
      <c r="Z92" s="110"/>
      <c r="AA92" s="110"/>
    </row>
    <row r="93" spans="1:27" s="10" customFormat="1" x14ac:dyDescent="0.25">
      <c r="A93" s="110"/>
      <c r="B93" s="239" t="s">
        <v>2090</v>
      </c>
      <c r="C93" s="265">
        <f>C65*'Udbringning af gylleApplication'!I9</f>
        <v>0</v>
      </c>
      <c r="D93" s="259" t="e">
        <f>C93/'Flow slagtesvin'!$D$8</f>
        <v>#DIV/0!</v>
      </c>
      <c r="E93" s="786"/>
      <c r="F93" s="786"/>
      <c r="H93" s="110"/>
      <c r="T93" s="110"/>
      <c r="U93" s="110"/>
      <c r="V93" s="110"/>
      <c r="W93" s="110"/>
      <c r="X93" s="110"/>
      <c r="Y93" s="110"/>
      <c r="Z93" s="110"/>
      <c r="AA93" s="110"/>
    </row>
    <row r="94" spans="1:27" s="10" customFormat="1" x14ac:dyDescent="0.25">
      <c r="A94" s="110"/>
      <c r="B94" s="237" t="s">
        <v>1764</v>
      </c>
      <c r="C94" s="265">
        <f>C65-(C90+C91+C92+C93)+(C50*'input-data'!E386/100)</f>
        <v>0</v>
      </c>
      <c r="D94" s="259" t="e">
        <f>C94/'Flow slagtesvin'!$D$8</f>
        <v>#DIV/0!</v>
      </c>
      <c r="E94" s="786"/>
      <c r="F94" s="786"/>
      <c r="H94" s="110"/>
      <c r="I94" s="10" t="s">
        <v>1763</v>
      </c>
      <c r="T94" s="110"/>
      <c r="U94" s="110"/>
      <c r="V94" s="110"/>
      <c r="W94" s="110"/>
      <c r="X94" s="110"/>
      <c r="Y94" s="110"/>
      <c r="Z94" s="110"/>
      <c r="AA94" s="110"/>
    </row>
    <row r="95" spans="1:27" s="10" customFormat="1" x14ac:dyDescent="0.25">
      <c r="A95" s="110"/>
      <c r="B95" s="239"/>
      <c r="C95" s="265"/>
      <c r="D95" s="259"/>
      <c r="E95" s="786"/>
      <c r="F95" s="786"/>
      <c r="H95" s="110"/>
      <c r="T95" s="110"/>
      <c r="U95" s="110"/>
      <c r="V95" s="110"/>
      <c r="W95" s="110"/>
      <c r="X95" s="110"/>
      <c r="Y95" s="110"/>
      <c r="Z95" s="110"/>
      <c r="AA95" s="110"/>
    </row>
    <row r="96" spans="1:27" s="10" customFormat="1" x14ac:dyDescent="0.25">
      <c r="A96" s="110"/>
      <c r="B96" s="239" t="s">
        <v>1758</v>
      </c>
      <c r="C96" s="265"/>
      <c r="D96" s="259"/>
      <c r="E96" s="786"/>
      <c r="F96" s="786"/>
      <c r="H96" s="110"/>
      <c r="T96" s="110"/>
      <c r="U96" s="110"/>
      <c r="V96" s="110"/>
      <c r="W96" s="110"/>
      <c r="X96" s="110"/>
      <c r="Y96" s="110"/>
      <c r="Z96" s="110"/>
      <c r="AA96" s="110"/>
    </row>
    <row r="97" spans="1:27" s="10" customFormat="1" x14ac:dyDescent="0.25">
      <c r="A97" s="110"/>
      <c r="B97" s="239" t="s">
        <v>1681</v>
      </c>
      <c r="C97" s="265">
        <f>C72*'Udbringning af gylleApplication'!C7</f>
        <v>0</v>
      </c>
      <c r="D97" s="259" t="e">
        <f>C97/'Flow slagtesvin'!$D$8</f>
        <v>#DIV/0!</v>
      </c>
      <c r="E97" s="786"/>
      <c r="F97" s="786"/>
      <c r="H97" s="110"/>
      <c r="T97" s="110"/>
      <c r="U97" s="110"/>
      <c r="V97" s="110"/>
      <c r="W97" s="110"/>
      <c r="X97" s="110"/>
      <c r="Y97" s="110"/>
      <c r="Z97" s="110"/>
      <c r="AA97" s="110"/>
    </row>
    <row r="98" spans="1:27" s="10" customFormat="1" x14ac:dyDescent="0.25">
      <c r="A98" s="110"/>
      <c r="B98" s="239" t="s">
        <v>1682</v>
      </c>
      <c r="C98" s="265">
        <f>C72*'Udbringning af gylleApplication'!E7</f>
        <v>0</v>
      </c>
      <c r="D98" s="259" t="e">
        <f>C98/'Flow slagtesvin'!$D$8</f>
        <v>#DIV/0!</v>
      </c>
      <c r="E98" s="786"/>
      <c r="F98" s="786"/>
      <c r="H98" s="110"/>
      <c r="T98" s="110"/>
      <c r="U98" s="110"/>
      <c r="V98" s="110"/>
      <c r="W98" s="110"/>
      <c r="X98" s="110"/>
      <c r="Y98" s="110"/>
      <c r="Z98" s="110"/>
      <c r="AA98" s="110"/>
    </row>
    <row r="99" spans="1:27" s="10" customFormat="1" x14ac:dyDescent="0.25">
      <c r="A99" s="110"/>
      <c r="B99" s="239" t="s">
        <v>1683</v>
      </c>
      <c r="C99" s="265">
        <f>C72*'Udbringning af gylleApplication'!G7</f>
        <v>0</v>
      </c>
      <c r="D99" s="259" t="e">
        <f>C99/'Flow slagtesvin'!$D$8</f>
        <v>#DIV/0!</v>
      </c>
      <c r="E99" s="786"/>
      <c r="F99" s="786"/>
      <c r="H99" s="110"/>
      <c r="T99" s="110"/>
      <c r="U99" s="110"/>
      <c r="V99" s="110"/>
      <c r="W99" s="110"/>
      <c r="X99" s="110"/>
      <c r="Y99" s="110"/>
      <c r="Z99" s="110"/>
      <c r="AA99" s="110"/>
    </row>
    <row r="100" spans="1:27" s="10" customFormat="1" x14ac:dyDescent="0.25">
      <c r="A100" s="110"/>
      <c r="B100" s="239" t="s">
        <v>2090</v>
      </c>
      <c r="C100" s="265">
        <f>C72*'Udbringning af gylleApplication'!I7</f>
        <v>0</v>
      </c>
      <c r="D100" s="259" t="e">
        <f>C100/'Flow slagtesvin'!$D$8</f>
        <v>#DIV/0!</v>
      </c>
      <c r="E100" s="786"/>
      <c r="F100" s="786"/>
      <c r="H100" s="110"/>
      <c r="T100" s="110"/>
      <c r="U100" s="110"/>
      <c r="V100" s="110"/>
      <c r="W100" s="110"/>
      <c r="X100" s="110"/>
      <c r="Y100" s="110"/>
      <c r="Z100" s="110"/>
      <c r="AA100" s="110"/>
    </row>
    <row r="101" spans="1:27" s="10" customFormat="1" x14ac:dyDescent="0.25">
      <c r="A101" s="281"/>
      <c r="B101" s="237" t="s">
        <v>1765</v>
      </c>
      <c r="C101" s="265">
        <f>C72-(C97+C98+C99+C100)</f>
        <v>0</v>
      </c>
      <c r="D101" s="259" t="e">
        <f>C101/'Flow slagtesvin'!$D$8</f>
        <v>#DIV/0!</v>
      </c>
      <c r="E101" s="786"/>
      <c r="F101" s="786"/>
      <c r="H101" s="110"/>
      <c r="T101" s="110"/>
      <c r="U101" s="110"/>
      <c r="V101" s="110"/>
      <c r="W101" s="110"/>
      <c r="X101" s="110"/>
      <c r="Y101" s="110"/>
      <c r="Z101" s="110"/>
      <c r="AA101" s="110"/>
    </row>
    <row r="102" spans="1:27" s="10" customFormat="1" x14ac:dyDescent="0.25">
      <c r="A102" s="110"/>
      <c r="B102" s="239"/>
      <c r="C102" s="90"/>
      <c r="D102" s="259"/>
      <c r="E102" s="786"/>
      <c r="F102" s="786"/>
      <c r="H102" s="110"/>
      <c r="T102" s="110"/>
      <c r="U102" s="110"/>
      <c r="V102" s="110"/>
      <c r="W102" s="110"/>
      <c r="X102" s="110"/>
      <c r="Y102" s="110"/>
      <c r="Z102" s="110"/>
      <c r="AA102" s="110"/>
    </row>
    <row r="103" spans="1:27" s="10" customFormat="1" x14ac:dyDescent="0.25">
      <c r="A103" s="110"/>
      <c r="B103" s="239" t="s">
        <v>1759</v>
      </c>
      <c r="C103" s="90"/>
      <c r="D103" s="259"/>
      <c r="E103" s="786"/>
      <c r="F103" s="786"/>
      <c r="H103" s="110"/>
      <c r="T103" s="110"/>
      <c r="U103" s="110"/>
      <c r="V103" s="110"/>
      <c r="W103" s="110"/>
      <c r="X103" s="110"/>
      <c r="Y103" s="110"/>
      <c r="Z103" s="110"/>
      <c r="AA103" s="110"/>
    </row>
    <row r="104" spans="1:27" s="10" customFormat="1" x14ac:dyDescent="0.25">
      <c r="A104" s="110"/>
      <c r="B104" s="239" t="s">
        <v>1681</v>
      </c>
      <c r="C104" s="265">
        <f>C79*'Udbringning af gylleApplication'!C8</f>
        <v>0</v>
      </c>
      <c r="D104" s="259" t="e">
        <f>C104/'Flow slagtesvin'!$D$8</f>
        <v>#DIV/0!</v>
      </c>
      <c r="E104" s="786"/>
      <c r="F104" s="786"/>
      <c r="H104" s="110"/>
      <c r="T104" s="110"/>
      <c r="U104" s="110"/>
      <c r="V104" s="110"/>
      <c r="W104" s="110"/>
      <c r="X104" s="110"/>
      <c r="Y104" s="110"/>
      <c r="Z104" s="110"/>
      <c r="AA104" s="110"/>
    </row>
    <row r="105" spans="1:27" s="10" customFormat="1" x14ac:dyDescent="0.25">
      <c r="A105" s="110"/>
      <c r="B105" s="239" t="s">
        <v>1682</v>
      </c>
      <c r="C105" s="265">
        <f>C79*'Udbringning af gylleApplication'!E8</f>
        <v>0</v>
      </c>
      <c r="D105" s="259" t="e">
        <f>C105/'Flow slagtesvin'!$D$8</f>
        <v>#DIV/0!</v>
      </c>
      <c r="E105" s="786"/>
      <c r="F105" s="786"/>
      <c r="H105" s="110"/>
      <c r="T105" s="110"/>
      <c r="U105" s="110"/>
      <c r="V105" s="110"/>
      <c r="W105" s="110"/>
      <c r="X105" s="110"/>
      <c r="Y105" s="110"/>
      <c r="Z105" s="110"/>
      <c r="AA105" s="110"/>
    </row>
    <row r="106" spans="1:27" s="10" customFormat="1" x14ac:dyDescent="0.25">
      <c r="A106" s="110"/>
      <c r="B106" s="239" t="s">
        <v>1683</v>
      </c>
      <c r="C106" s="265">
        <f>C79*'Udbringning af gylleApplication'!G8</f>
        <v>0</v>
      </c>
      <c r="D106" s="259" t="e">
        <f>C106/'Flow slagtesvin'!$D$8</f>
        <v>#DIV/0!</v>
      </c>
      <c r="E106" s="786"/>
      <c r="F106" s="786"/>
      <c r="H106" s="110"/>
      <c r="T106" s="110"/>
      <c r="U106" s="110"/>
      <c r="V106" s="110"/>
      <c r="W106" s="110"/>
      <c r="X106" s="110"/>
      <c r="Y106" s="110"/>
      <c r="Z106" s="110"/>
      <c r="AA106" s="110"/>
    </row>
    <row r="107" spans="1:27" s="10" customFormat="1" x14ac:dyDescent="0.25">
      <c r="A107" s="110"/>
      <c r="B107" s="239" t="s">
        <v>2090</v>
      </c>
      <c r="C107" s="265">
        <f>C79*'Udbringning af gylleApplication'!I8</f>
        <v>0</v>
      </c>
      <c r="D107" s="259" t="e">
        <f>C107/'Flow slagtesvin'!$D$8</f>
        <v>#DIV/0!</v>
      </c>
      <c r="E107" s="786"/>
      <c r="F107" s="786"/>
      <c r="H107" s="110"/>
      <c r="T107" s="110"/>
      <c r="U107" s="110"/>
      <c r="V107" s="110"/>
      <c r="W107" s="110"/>
      <c r="X107" s="110"/>
      <c r="Y107" s="110"/>
      <c r="Z107" s="110"/>
      <c r="AA107" s="110"/>
    </row>
    <row r="108" spans="1:27" s="10" customFormat="1" x14ac:dyDescent="0.25">
      <c r="A108" s="110"/>
      <c r="B108" s="237" t="s">
        <v>1863</v>
      </c>
      <c r="C108" s="265">
        <f>C79-(C104+C105+C106+C107)</f>
        <v>0</v>
      </c>
      <c r="D108" s="259" t="e">
        <f>C108/'Flow slagtesvin'!$D$8</f>
        <v>#DIV/0!</v>
      </c>
      <c r="E108" s="786"/>
      <c r="F108" s="786"/>
      <c r="H108" s="110"/>
      <c r="T108" s="110"/>
      <c r="U108" s="110"/>
      <c r="V108" s="110"/>
      <c r="W108" s="110"/>
      <c r="X108" s="110"/>
      <c r="Y108" s="110"/>
      <c r="Z108" s="110"/>
      <c r="AA108" s="110"/>
    </row>
    <row r="109" spans="1:27" s="10" customFormat="1" ht="15.75" thickBot="1" x14ac:dyDescent="0.3">
      <c r="A109" s="110"/>
      <c r="B109" s="379"/>
      <c r="C109" s="791"/>
      <c r="D109" s="380"/>
      <c r="E109" s="786"/>
      <c r="F109" s="786"/>
      <c r="G109" s="110"/>
      <c r="H109" s="110"/>
      <c r="T109" s="110"/>
      <c r="U109" s="110"/>
      <c r="V109" s="110"/>
      <c r="W109" s="110"/>
      <c r="X109" s="110"/>
      <c r="Y109" s="110"/>
      <c r="Z109" s="110"/>
      <c r="AA109" s="110"/>
    </row>
    <row r="110" spans="1:27" s="10" customFormat="1" x14ac:dyDescent="0.25">
      <c r="A110" s="110"/>
      <c r="B110" s="267"/>
      <c r="C110" s="381"/>
      <c r="D110" s="381"/>
      <c r="E110" s="786"/>
      <c r="F110" s="786"/>
      <c r="G110" s="110"/>
      <c r="H110" s="110"/>
      <c r="T110" s="110"/>
      <c r="U110" s="110"/>
      <c r="V110" s="110"/>
      <c r="W110" s="110"/>
      <c r="X110" s="110"/>
      <c r="Y110" s="110"/>
      <c r="Z110" s="110"/>
      <c r="AA110" s="110"/>
    </row>
    <row r="111" spans="1:27" s="10" customFormat="1" x14ac:dyDescent="0.25">
      <c r="A111" s="110"/>
      <c r="B111" s="267"/>
      <c r="C111" s="381"/>
      <c r="D111" s="381"/>
      <c r="E111" s="786"/>
      <c r="F111" s="786"/>
      <c r="G111" s="110"/>
      <c r="H111" s="110"/>
      <c r="J111" s="110"/>
      <c r="K111" s="110"/>
      <c r="L111" s="110"/>
      <c r="M111" s="110"/>
      <c r="N111" s="110"/>
      <c r="O111" s="110"/>
      <c r="P111" s="110"/>
      <c r="Q111" s="110"/>
      <c r="R111" s="110"/>
      <c r="S111" s="110"/>
      <c r="T111" s="110"/>
      <c r="U111" s="110"/>
      <c r="V111" s="110"/>
      <c r="W111" s="110"/>
      <c r="X111" s="110"/>
      <c r="Y111" s="110"/>
      <c r="Z111" s="110"/>
      <c r="AA111" s="110"/>
    </row>
    <row r="112" spans="1:27" s="10" customFormat="1" x14ac:dyDescent="0.25">
      <c r="A112" s="110"/>
      <c r="B112" s="267"/>
      <c r="C112" s="381"/>
      <c r="D112" s="381"/>
      <c r="E112" s="786"/>
      <c r="F112" s="786"/>
      <c r="G112" s="110"/>
      <c r="H112" s="110"/>
      <c r="J112" s="110"/>
      <c r="K112" s="110"/>
      <c r="L112" s="110"/>
      <c r="M112" s="110"/>
      <c r="N112" s="110"/>
      <c r="O112" s="110"/>
      <c r="P112" s="110"/>
      <c r="Q112" s="110"/>
      <c r="R112" s="110"/>
      <c r="S112" s="110"/>
      <c r="T112" s="110"/>
      <c r="U112" s="110"/>
      <c r="V112" s="110"/>
      <c r="W112" s="110"/>
      <c r="X112" s="110"/>
      <c r="Y112" s="110"/>
      <c r="Z112" s="110"/>
      <c r="AA112" s="110"/>
    </row>
    <row r="113" spans="1:27" s="10" customFormat="1" x14ac:dyDescent="0.25">
      <c r="A113" s="110"/>
      <c r="B113" s="267"/>
      <c r="C113" s="381"/>
      <c r="D113" s="381"/>
      <c r="E113" s="786"/>
      <c r="F113" s="786"/>
      <c r="G113" s="110"/>
      <c r="H113" s="110"/>
      <c r="J113" s="110"/>
      <c r="K113" s="110"/>
      <c r="L113" s="110"/>
      <c r="M113" s="110"/>
      <c r="N113" s="110"/>
      <c r="O113" s="110"/>
      <c r="P113" s="110"/>
      <c r="Q113" s="110"/>
      <c r="R113" s="110"/>
      <c r="S113" s="110"/>
      <c r="T113" s="110"/>
      <c r="U113" s="110"/>
      <c r="V113" s="110"/>
      <c r="W113" s="110"/>
      <c r="X113" s="110"/>
      <c r="Y113" s="110"/>
      <c r="Z113" s="110"/>
      <c r="AA113" s="110"/>
    </row>
    <row r="114" spans="1:27" s="10" customFormat="1" x14ac:dyDescent="0.25">
      <c r="A114" s="110"/>
      <c r="B114" s="177"/>
      <c r="C114" s="65"/>
      <c r="D114" s="65"/>
      <c r="E114" s="786"/>
      <c r="F114" s="786"/>
      <c r="G114" s="110"/>
      <c r="H114" s="110"/>
      <c r="J114" s="110"/>
      <c r="K114" s="110"/>
      <c r="L114" s="110"/>
      <c r="M114" s="110"/>
      <c r="N114" s="110"/>
      <c r="O114" s="110"/>
      <c r="P114" s="110"/>
      <c r="Q114" s="110"/>
      <c r="R114" s="110"/>
      <c r="S114" s="110"/>
      <c r="T114" s="110"/>
      <c r="U114" s="110"/>
      <c r="V114" s="110"/>
      <c r="W114" s="110"/>
      <c r="X114" s="110"/>
      <c r="Y114" s="110"/>
      <c r="Z114" s="110"/>
      <c r="AA114" s="110"/>
    </row>
    <row r="115" spans="1:27" s="10" customFormat="1" x14ac:dyDescent="0.25">
      <c r="A115" s="110"/>
      <c r="B115" s="63"/>
      <c r="C115" s="265"/>
      <c r="D115" s="265"/>
      <c r="E115" s="786"/>
      <c r="F115" s="786"/>
      <c r="G115" s="110"/>
      <c r="H115" s="110"/>
      <c r="J115" s="110"/>
      <c r="K115" s="110"/>
      <c r="L115" s="110"/>
      <c r="M115" s="110"/>
      <c r="N115" s="110"/>
      <c r="O115" s="110"/>
      <c r="P115" s="110"/>
      <c r="Q115" s="110"/>
      <c r="R115" s="110"/>
      <c r="S115" s="110"/>
      <c r="T115" s="110"/>
      <c r="U115" s="110"/>
      <c r="V115" s="110"/>
      <c r="W115" s="110"/>
      <c r="X115" s="110"/>
      <c r="Y115" s="110"/>
      <c r="Z115" s="110"/>
      <c r="AA115" s="110"/>
    </row>
    <row r="116" spans="1:27" s="10" customFormat="1" x14ac:dyDescent="0.25">
      <c r="A116" s="110"/>
      <c r="B116" s="63"/>
      <c r="C116" s="265"/>
      <c r="D116" s="265"/>
      <c r="E116" s="378"/>
      <c r="F116" s="378"/>
      <c r="G116" s="110"/>
      <c r="H116" s="110"/>
      <c r="I116" s="257"/>
      <c r="J116" s="110"/>
      <c r="K116" s="110"/>
      <c r="L116" s="110"/>
      <c r="M116" s="110"/>
      <c r="N116" s="110"/>
      <c r="O116" s="110"/>
      <c r="P116" s="110"/>
      <c r="Q116" s="110"/>
      <c r="R116" s="110"/>
      <c r="S116" s="110"/>
      <c r="T116" s="110"/>
      <c r="U116" s="110"/>
      <c r="V116" s="110"/>
      <c r="W116" s="110"/>
      <c r="X116" s="110"/>
      <c r="Y116" s="110"/>
      <c r="Z116" s="110"/>
      <c r="AA116" s="110"/>
    </row>
    <row r="117" spans="1:27" s="10" customFormat="1" x14ac:dyDescent="0.25">
      <c r="A117" s="110"/>
      <c r="B117" s="63"/>
      <c r="C117" s="265"/>
      <c r="D117" s="265"/>
      <c r="E117" s="786"/>
      <c r="F117" s="786"/>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s="10" customFormat="1" x14ac:dyDescent="0.25">
      <c r="A118" s="110"/>
      <c r="B118" s="63"/>
      <c r="C118" s="265"/>
      <c r="D118" s="265"/>
      <c r="E118" s="786"/>
      <c r="F118" s="786"/>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s="10" customFormat="1" x14ac:dyDescent="0.25">
      <c r="A119" s="110"/>
      <c r="B119" s="63"/>
      <c r="C119" s="265"/>
      <c r="D119" s="265"/>
      <c r="E119" s="786"/>
      <c r="F119" s="786"/>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s="10" customFormat="1" x14ac:dyDescent="0.25">
      <c r="A120" s="110"/>
      <c r="B120" s="63"/>
      <c r="C120" s="265"/>
      <c r="D120" s="265"/>
      <c r="E120" s="786"/>
      <c r="F120" s="786"/>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s="10" customFormat="1" x14ac:dyDescent="0.25">
      <c r="A121" s="63"/>
      <c r="B121" s="63"/>
      <c r="C121" s="265"/>
      <c r="D121" s="265"/>
      <c r="E121" s="786"/>
      <c r="F121" s="786"/>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s="10" customFormat="1" x14ac:dyDescent="0.25">
      <c r="A122" s="63"/>
      <c r="B122" s="267"/>
      <c r="C122" s="381"/>
      <c r="D122" s="381"/>
      <c r="E122" s="786"/>
      <c r="F122" s="786"/>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s="10" customFormat="1" x14ac:dyDescent="0.25">
      <c r="A123" s="63"/>
      <c r="B123" s="267"/>
      <c r="C123" s="381"/>
      <c r="D123" s="381"/>
      <c r="E123" s="786"/>
      <c r="F123" s="786"/>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s="10" customFormat="1" x14ac:dyDescent="0.25">
      <c r="A124" s="63"/>
      <c r="B124" s="267"/>
      <c r="C124" s="381"/>
      <c r="D124" s="381"/>
      <c r="E124" s="786"/>
      <c r="F124" s="786"/>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s="10" customFormat="1" x14ac:dyDescent="0.25">
      <c r="A125" s="63"/>
      <c r="B125" s="267"/>
      <c r="C125" s="381"/>
      <c r="D125" s="381"/>
      <c r="E125" s="786"/>
      <c r="F125" s="786"/>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s="10" customFormat="1" x14ac:dyDescent="0.25">
      <c r="A126" s="63"/>
      <c r="B126" s="63"/>
      <c r="C126" s="65"/>
      <c r="D126" s="65"/>
      <c r="E126" s="786"/>
      <c r="F126" s="786"/>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s="10" customFormat="1" x14ac:dyDescent="0.25">
      <c r="A127" s="63"/>
      <c r="B127" s="177"/>
      <c r="C127" s="65"/>
      <c r="D127" s="65"/>
      <c r="E127" s="786"/>
      <c r="F127" s="786"/>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s="10" customFormat="1" x14ac:dyDescent="0.25">
      <c r="A128" s="63"/>
      <c r="B128" s="63"/>
      <c r="C128" s="265"/>
      <c r="D128" s="265"/>
      <c r="E128" s="786"/>
      <c r="F128" s="786"/>
      <c r="G128" s="110"/>
      <c r="H128" s="110"/>
      <c r="I128" s="110"/>
      <c r="J128" s="110"/>
      <c r="K128" s="110"/>
      <c r="L128" s="110"/>
      <c r="M128" s="110"/>
      <c r="N128" s="110"/>
      <c r="O128" s="110"/>
      <c r="P128" s="110"/>
      <c r="Q128" s="110"/>
      <c r="R128" s="110"/>
      <c r="S128" s="110"/>
      <c r="T128" s="110"/>
      <c r="U128" s="110"/>
      <c r="V128" s="110"/>
      <c r="W128" s="110"/>
      <c r="X128" s="110"/>
      <c r="Y128" s="110"/>
      <c r="Z128" s="110"/>
      <c r="AA128" s="110"/>
    </row>
    <row r="129" spans="1:29" s="10" customFormat="1" x14ac:dyDescent="0.25">
      <c r="A129" s="63"/>
      <c r="B129" s="63"/>
      <c r="C129" s="265"/>
      <c r="D129" s="265"/>
      <c r="E129" s="786"/>
      <c r="F129" s="786"/>
      <c r="G129" s="110"/>
      <c r="T129" s="110"/>
      <c r="U129" s="110"/>
      <c r="V129" s="110"/>
      <c r="W129" s="110"/>
      <c r="X129" s="110"/>
      <c r="Y129" s="110"/>
      <c r="Z129" s="110"/>
      <c r="AA129" s="110"/>
    </row>
    <row r="130" spans="1:29" s="10" customFormat="1" x14ac:dyDescent="0.25">
      <c r="A130" s="63"/>
      <c r="B130" s="63"/>
      <c r="C130" s="265"/>
      <c r="D130" s="265"/>
      <c r="E130" s="786"/>
      <c r="F130" s="786"/>
      <c r="G130" s="110"/>
      <c r="T130" s="110"/>
      <c r="U130" s="110"/>
      <c r="V130" s="110"/>
      <c r="W130" s="110"/>
      <c r="X130" s="110"/>
      <c r="Y130" s="110"/>
      <c r="Z130" s="110"/>
      <c r="AA130" s="110"/>
    </row>
    <row r="131" spans="1:29" s="10" customFormat="1" x14ac:dyDescent="0.25">
      <c r="A131" s="63"/>
      <c r="B131" s="63"/>
      <c r="C131" s="265"/>
      <c r="D131" s="265"/>
      <c r="E131" s="786"/>
      <c r="F131" s="786"/>
      <c r="G131" s="110"/>
      <c r="T131" s="110"/>
      <c r="U131" s="110"/>
      <c r="V131" s="110"/>
      <c r="W131" s="110"/>
      <c r="X131" s="110"/>
      <c r="Y131" s="110"/>
      <c r="Z131" s="110"/>
      <c r="AA131" s="110"/>
    </row>
    <row r="132" spans="1:29" s="10" customFormat="1" x14ac:dyDescent="0.25">
      <c r="A132" s="63"/>
      <c r="B132" s="63"/>
      <c r="C132" s="265"/>
      <c r="D132" s="265"/>
      <c r="E132" s="786"/>
      <c r="F132" s="786"/>
      <c r="G132" s="110"/>
      <c r="T132" s="110"/>
      <c r="U132" s="110"/>
      <c r="V132" s="110"/>
      <c r="W132" s="110"/>
      <c r="X132" s="110"/>
      <c r="Y132" s="110"/>
      <c r="Z132" s="110"/>
      <c r="AA132" s="110"/>
    </row>
    <row r="133" spans="1:29" s="10" customFormat="1" x14ac:dyDescent="0.25">
      <c r="A133" s="63"/>
      <c r="B133" s="63"/>
      <c r="C133" s="265"/>
      <c r="D133" s="265"/>
      <c r="E133" s="786"/>
      <c r="F133" s="786"/>
      <c r="G133" s="110"/>
      <c r="T133" s="110"/>
      <c r="U133" s="110"/>
      <c r="V133" s="110"/>
      <c r="W133" s="110"/>
      <c r="X133" s="110"/>
      <c r="Y133" s="110"/>
      <c r="Z133" s="110"/>
      <c r="AA133" s="110"/>
    </row>
    <row r="134" spans="1:29" s="10" customFormat="1" x14ac:dyDescent="0.25">
      <c r="A134" s="63"/>
      <c r="B134" s="63"/>
      <c r="C134" s="265"/>
      <c r="D134" s="265"/>
      <c r="E134" s="786"/>
      <c r="F134" s="786"/>
      <c r="G134" s="110"/>
      <c r="T134" s="110"/>
      <c r="U134" s="110"/>
      <c r="V134" s="110"/>
      <c r="W134" s="110"/>
      <c r="X134" s="110"/>
      <c r="Y134" s="110"/>
      <c r="Z134" s="110"/>
      <c r="AA134" s="110"/>
    </row>
    <row r="135" spans="1:29" s="10" customFormat="1" x14ac:dyDescent="0.25">
      <c r="A135" s="63"/>
      <c r="B135" s="267"/>
      <c r="C135" s="381"/>
      <c r="D135" s="381"/>
      <c r="E135" s="786"/>
      <c r="F135" s="786"/>
      <c r="G135" s="110"/>
      <c r="H135" s="110"/>
      <c r="I135" s="110"/>
      <c r="J135" s="110"/>
      <c r="K135" s="110"/>
      <c r="L135" s="110"/>
      <c r="M135" s="110"/>
      <c r="N135" s="110"/>
      <c r="O135" s="110"/>
      <c r="P135" s="110"/>
      <c r="Q135" s="110"/>
      <c r="R135" s="110"/>
      <c r="S135" s="110"/>
      <c r="T135" s="110"/>
      <c r="U135" s="110"/>
      <c r="V135" s="110"/>
      <c r="W135" s="110"/>
      <c r="X135" s="110"/>
      <c r="Y135" s="110"/>
      <c r="Z135" s="110"/>
      <c r="AA135" s="110"/>
    </row>
    <row r="136" spans="1:29" s="10" customFormat="1" x14ac:dyDescent="0.25">
      <c r="A136" s="63"/>
      <c r="B136" s="267"/>
      <c r="C136" s="381"/>
      <c r="D136" s="381"/>
      <c r="E136" s="786"/>
      <c r="F136" s="786"/>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9" s="10" customFormat="1" x14ac:dyDescent="0.25">
      <c r="A137" s="63"/>
      <c r="B137" s="267"/>
      <c r="C137" s="381"/>
      <c r="D137" s="381"/>
      <c r="E137" s="786"/>
      <c r="F137" s="786"/>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9" s="10" customFormat="1" x14ac:dyDescent="0.25">
      <c r="A138" s="63"/>
      <c r="B138" s="267"/>
      <c r="C138" s="381"/>
      <c r="D138" s="381"/>
      <c r="E138" s="786"/>
      <c r="F138" s="786"/>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9" s="10" customFormat="1" x14ac:dyDescent="0.25">
      <c r="A139" s="63"/>
      <c r="B139" s="63"/>
      <c r="C139" s="65"/>
      <c r="D139" s="65"/>
      <c r="E139" s="786"/>
      <c r="F139" s="786"/>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9" x14ac:dyDescent="0.25">
      <c r="A140" s="63"/>
      <c r="B140" s="63"/>
      <c r="C140" s="65"/>
      <c r="D140" s="65"/>
      <c r="E140" s="786"/>
      <c r="F140" s="786"/>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0"/>
      <c r="AC140" s="10"/>
    </row>
    <row r="141" spans="1:29" x14ac:dyDescent="0.25">
      <c r="A141" s="63"/>
      <c r="B141" s="63"/>
      <c r="C141" s="65"/>
      <c r="D141" s="65"/>
      <c r="E141" s="786"/>
      <c r="F141" s="786"/>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0"/>
      <c r="AC141" s="10"/>
    </row>
    <row r="142" spans="1:29" x14ac:dyDescent="0.25">
      <c r="A142" s="63"/>
      <c r="B142" s="110"/>
      <c r="C142" s="111"/>
      <c r="D142" s="786"/>
      <c r="E142" s="786"/>
      <c r="F142" s="786"/>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0"/>
      <c r="AC142" s="10"/>
    </row>
    <row r="143" spans="1:29" x14ac:dyDescent="0.25">
      <c r="A143" s="63"/>
      <c r="B143" s="110"/>
      <c r="C143" s="111"/>
      <c r="D143" s="786"/>
      <c r="E143" s="786"/>
      <c r="F143" s="786"/>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0"/>
      <c r="AC143" s="10"/>
    </row>
    <row r="144" spans="1:29" x14ac:dyDescent="0.25">
      <c r="A144" s="63"/>
      <c r="B144" s="110"/>
      <c r="C144" s="111"/>
      <c r="D144" s="786"/>
      <c r="E144" s="786"/>
      <c r="F144" s="786"/>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0"/>
      <c r="AC144" s="10"/>
    </row>
    <row r="145" spans="1:29" x14ac:dyDescent="0.25">
      <c r="A145" s="63"/>
      <c r="B145" s="110"/>
      <c r="C145" s="111"/>
      <c r="D145" s="786"/>
      <c r="E145" s="786"/>
      <c r="F145" s="786"/>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0"/>
      <c r="AC145" s="10"/>
    </row>
    <row r="146" spans="1:29" x14ac:dyDescent="0.25">
      <c r="A146" s="63"/>
      <c r="B146" s="110"/>
      <c r="C146" s="111"/>
      <c r="D146" s="786"/>
      <c r="E146" s="786"/>
      <c r="F146" s="786"/>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0"/>
      <c r="AC146" s="10"/>
    </row>
    <row r="147" spans="1:29" x14ac:dyDescent="0.25">
      <c r="A147" s="63"/>
      <c r="B147" s="110"/>
      <c r="C147" s="111"/>
      <c r="D147" s="786"/>
      <c r="E147" s="786"/>
      <c r="F147" s="786"/>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0"/>
      <c r="AC147" s="10"/>
    </row>
    <row r="148" spans="1:29" s="10" customFormat="1" x14ac:dyDescent="0.25">
      <c r="A148" s="63"/>
      <c r="B148" s="110"/>
      <c r="C148" s="111"/>
      <c r="D148" s="786"/>
      <c r="E148" s="786"/>
      <c r="F148" s="786"/>
      <c r="G148" s="272"/>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9" s="10" customFormat="1" x14ac:dyDescent="0.25">
      <c r="A149" s="63"/>
      <c r="B149" s="110"/>
      <c r="C149" s="111"/>
      <c r="D149" s="786"/>
      <c r="E149" s="786"/>
      <c r="F149" s="786"/>
      <c r="G149" s="272"/>
      <c r="H149" s="272"/>
      <c r="I149" s="110"/>
      <c r="J149" s="110"/>
      <c r="K149" s="110"/>
      <c r="L149" s="110"/>
      <c r="M149" s="110"/>
      <c r="N149" s="110"/>
      <c r="O149" s="110"/>
      <c r="P149" s="110"/>
      <c r="Q149" s="110"/>
      <c r="R149" s="110"/>
      <c r="S149" s="110"/>
      <c r="T149" s="110"/>
      <c r="U149" s="110"/>
      <c r="V149" s="110"/>
      <c r="W149" s="110"/>
      <c r="X149" s="110"/>
      <c r="Y149" s="110"/>
      <c r="Z149" s="110"/>
      <c r="AA149" s="110"/>
    </row>
    <row r="150" spans="1:29" s="10" customFormat="1" x14ac:dyDescent="0.25">
      <c r="A150" s="63"/>
      <c r="B150" s="110"/>
      <c r="C150" s="111"/>
      <c r="D150" s="786"/>
      <c r="E150" s="786"/>
      <c r="F150" s="786"/>
      <c r="G150" s="272"/>
      <c r="H150" s="272"/>
      <c r="I150" s="110"/>
      <c r="J150" s="110"/>
      <c r="K150" s="110"/>
      <c r="L150" s="110"/>
      <c r="M150" s="110"/>
      <c r="N150" s="110"/>
      <c r="O150" s="110"/>
      <c r="P150" s="110"/>
      <c r="Q150" s="110"/>
      <c r="R150" s="110"/>
      <c r="S150" s="110"/>
      <c r="T150" s="110"/>
      <c r="U150" s="110"/>
      <c r="V150" s="110"/>
      <c r="W150" s="110"/>
      <c r="X150" s="110"/>
      <c r="Y150" s="110"/>
      <c r="Z150" s="110"/>
      <c r="AA150" s="110"/>
    </row>
    <row r="151" spans="1:29" s="10" customFormat="1" x14ac:dyDescent="0.25">
      <c r="A151" s="110"/>
      <c r="B151" s="110"/>
      <c r="C151" s="111"/>
      <c r="D151" s="786"/>
      <c r="E151" s="786"/>
      <c r="F151" s="786"/>
      <c r="G151" s="272"/>
      <c r="H151" s="272"/>
      <c r="I151" s="110"/>
      <c r="J151" s="110"/>
      <c r="K151" s="110"/>
      <c r="L151" s="110"/>
      <c r="M151" s="110"/>
      <c r="N151" s="110"/>
      <c r="O151" s="110"/>
      <c r="P151" s="110"/>
      <c r="Q151" s="110"/>
      <c r="R151" s="110"/>
      <c r="S151" s="110"/>
      <c r="T151" s="110"/>
      <c r="U151" s="110"/>
      <c r="V151" s="110"/>
      <c r="W151" s="110"/>
      <c r="X151" s="110"/>
      <c r="Y151" s="110"/>
      <c r="Z151" s="110"/>
      <c r="AA151" s="110"/>
    </row>
    <row r="152" spans="1:29" s="10" customFormat="1" x14ac:dyDescent="0.25">
      <c r="A152" s="110"/>
      <c r="B152" s="110"/>
      <c r="C152" s="111"/>
      <c r="D152" s="786"/>
      <c r="E152" s="786"/>
      <c r="F152" s="786"/>
      <c r="G152" s="272"/>
      <c r="H152" s="272"/>
      <c r="I152" s="110"/>
      <c r="J152" s="110"/>
      <c r="K152" s="110"/>
      <c r="L152" s="110"/>
      <c r="M152" s="110"/>
      <c r="N152" s="110"/>
      <c r="O152" s="110"/>
      <c r="P152" s="110"/>
      <c r="Q152" s="110"/>
      <c r="R152" s="110"/>
      <c r="S152" s="110"/>
      <c r="T152" s="110"/>
      <c r="U152" s="110"/>
      <c r="V152" s="110"/>
      <c r="W152" s="110"/>
      <c r="X152" s="110"/>
      <c r="Y152" s="110"/>
      <c r="Z152" s="110"/>
      <c r="AA152" s="110"/>
    </row>
    <row r="153" spans="1:29" s="10" customFormat="1" x14ac:dyDescent="0.25">
      <c r="A153" s="110"/>
      <c r="B153" s="110"/>
      <c r="C153" s="111"/>
      <c r="D153" s="786"/>
      <c r="E153" s="786"/>
      <c r="F153" s="786"/>
      <c r="G153" s="272"/>
      <c r="H153" s="272"/>
      <c r="I153" s="110"/>
      <c r="J153" s="110"/>
      <c r="K153" s="110"/>
      <c r="L153" s="110"/>
      <c r="M153" s="110"/>
      <c r="N153" s="110"/>
      <c r="O153" s="110"/>
      <c r="P153" s="110"/>
      <c r="Q153" s="110"/>
      <c r="R153" s="110"/>
      <c r="S153" s="110"/>
      <c r="T153" s="110"/>
      <c r="U153" s="110"/>
      <c r="V153" s="110"/>
      <c r="W153" s="110"/>
      <c r="X153" s="110"/>
      <c r="Y153" s="110"/>
      <c r="Z153" s="110"/>
      <c r="AA153" s="110"/>
    </row>
    <row r="154" spans="1:29" s="10" customFormat="1" x14ac:dyDescent="0.25">
      <c r="A154" s="110"/>
      <c r="B154" s="110"/>
      <c r="C154" s="111"/>
      <c r="D154" s="786"/>
      <c r="E154" s="786"/>
      <c r="F154" s="786"/>
      <c r="G154" s="272"/>
      <c r="H154" s="272"/>
      <c r="I154" s="110"/>
      <c r="J154" s="110"/>
      <c r="K154" s="110"/>
      <c r="L154" s="110"/>
      <c r="M154" s="110"/>
      <c r="N154" s="110"/>
      <c r="O154" s="110"/>
      <c r="P154" s="110"/>
      <c r="Q154" s="110"/>
      <c r="R154" s="110"/>
      <c r="S154" s="110"/>
      <c r="T154" s="110"/>
      <c r="U154" s="110"/>
      <c r="V154" s="110"/>
      <c r="W154" s="110"/>
      <c r="X154" s="110"/>
      <c r="Y154" s="110"/>
      <c r="Z154" s="110"/>
      <c r="AA154" s="110"/>
    </row>
    <row r="155" spans="1:29" s="110" customFormat="1" x14ac:dyDescent="0.25">
      <c r="B155" s="228"/>
      <c r="C155" s="122"/>
      <c r="D155" s="122"/>
      <c r="E155" s="786"/>
      <c r="F155" s="786"/>
      <c r="G155" s="111"/>
      <c r="H155" s="272"/>
      <c r="AB155" s="10"/>
      <c r="AC155" s="10"/>
    </row>
    <row r="156" spans="1:29" s="10" customFormat="1" x14ac:dyDescent="0.25">
      <c r="A156" s="110"/>
      <c r="B156" s="228"/>
      <c r="C156" s="122"/>
      <c r="D156" s="122"/>
      <c r="E156" s="786"/>
      <c r="F156" s="786"/>
      <c r="G156" s="111"/>
      <c r="H156" s="111"/>
      <c r="I156" s="272"/>
      <c r="J156" s="272"/>
      <c r="K156" s="272"/>
      <c r="L156" s="110"/>
      <c r="M156" s="110"/>
      <c r="N156" s="110"/>
      <c r="O156" s="110"/>
      <c r="P156" s="110"/>
      <c r="Q156" s="110"/>
      <c r="R156" s="110"/>
      <c r="S156" s="110"/>
      <c r="T156" s="110"/>
      <c r="U156" s="110"/>
      <c r="V156" s="110"/>
      <c r="W156" s="110"/>
      <c r="X156" s="110"/>
      <c r="Y156" s="110"/>
      <c r="Z156" s="110"/>
      <c r="AA156" s="110"/>
    </row>
    <row r="157" spans="1:29" s="10" customFormat="1" x14ac:dyDescent="0.25">
      <c r="A157" s="110"/>
      <c r="B157" s="228"/>
      <c r="C157" s="122"/>
      <c r="D157" s="122"/>
      <c r="E157" s="786"/>
      <c r="F157" s="786"/>
      <c r="G157" s="111"/>
      <c r="H157" s="111"/>
      <c r="I157" s="272"/>
      <c r="J157" s="272"/>
      <c r="K157" s="272"/>
      <c r="L157" s="110"/>
      <c r="M157" s="110"/>
      <c r="N157" s="110"/>
      <c r="O157" s="110"/>
      <c r="P157" s="110"/>
      <c r="Q157" s="110"/>
      <c r="R157" s="110"/>
      <c r="S157" s="110"/>
      <c r="T157" s="110"/>
      <c r="U157" s="110"/>
      <c r="V157" s="110"/>
      <c r="W157" s="110"/>
      <c r="X157" s="110"/>
      <c r="Y157" s="110"/>
      <c r="Z157" s="110"/>
      <c r="AA157" s="110"/>
    </row>
    <row r="158" spans="1:29" s="10" customFormat="1" x14ac:dyDescent="0.25">
      <c r="A158" s="110"/>
      <c r="B158" s="228"/>
      <c r="C158" s="122"/>
      <c r="D158" s="122"/>
      <c r="E158" s="786"/>
      <c r="F158" s="786"/>
      <c r="G158" s="111"/>
      <c r="H158" s="111"/>
      <c r="I158" s="272"/>
      <c r="J158" s="272"/>
      <c r="K158" s="272"/>
      <c r="L158" s="110"/>
      <c r="M158" s="110"/>
      <c r="N158" s="110"/>
      <c r="O158" s="110"/>
      <c r="P158" s="110"/>
      <c r="Q158" s="110"/>
      <c r="R158" s="110"/>
      <c r="S158" s="110"/>
      <c r="T158" s="110"/>
      <c r="U158" s="110"/>
      <c r="V158" s="110"/>
      <c r="W158" s="110"/>
      <c r="X158" s="110"/>
      <c r="Y158" s="110"/>
      <c r="Z158" s="110"/>
      <c r="AA158" s="110"/>
    </row>
    <row r="159" spans="1:29" s="10" customFormat="1" x14ac:dyDescent="0.25">
      <c r="A159" s="110"/>
      <c r="B159" s="228"/>
      <c r="C159" s="122"/>
      <c r="D159" s="122"/>
      <c r="E159" s="786"/>
      <c r="F159" s="786"/>
      <c r="G159" s="111"/>
      <c r="H159" s="111"/>
      <c r="I159" s="272"/>
      <c r="J159" s="272"/>
      <c r="K159" s="272"/>
      <c r="L159" s="110"/>
      <c r="M159" s="110"/>
      <c r="N159" s="110"/>
      <c r="O159" s="110"/>
      <c r="P159" s="110"/>
      <c r="Q159" s="110"/>
      <c r="R159" s="110"/>
      <c r="S159" s="110"/>
      <c r="T159" s="110"/>
      <c r="U159" s="110"/>
      <c r="V159" s="110"/>
      <c r="W159" s="110"/>
      <c r="X159" s="110"/>
      <c r="Y159" s="110"/>
      <c r="Z159" s="110"/>
      <c r="AA159" s="110"/>
    </row>
    <row r="160" spans="1:29" s="10" customFormat="1" x14ac:dyDescent="0.25">
      <c r="A160" s="110"/>
      <c r="B160" s="228"/>
      <c r="C160" s="122"/>
      <c r="D160" s="122"/>
      <c r="E160" s="786"/>
      <c r="F160" s="786"/>
      <c r="G160" s="111"/>
      <c r="H160" s="111"/>
      <c r="I160" s="272"/>
      <c r="J160" s="272"/>
      <c r="K160" s="272"/>
      <c r="L160" s="110"/>
      <c r="M160" s="110"/>
      <c r="N160" s="110"/>
      <c r="O160" s="110"/>
      <c r="P160" s="110"/>
      <c r="Q160" s="110"/>
      <c r="R160" s="110"/>
      <c r="S160" s="110"/>
      <c r="T160" s="110"/>
      <c r="U160" s="110"/>
      <c r="V160" s="110"/>
      <c r="W160" s="110"/>
      <c r="X160" s="110"/>
      <c r="Y160" s="110"/>
      <c r="Z160" s="110"/>
      <c r="AA160" s="110"/>
    </row>
    <row r="161" spans="1:27" s="10" customFormat="1" x14ac:dyDescent="0.25">
      <c r="A161" s="110"/>
      <c r="B161" s="228"/>
      <c r="C161" s="122"/>
      <c r="D161" s="122"/>
      <c r="E161" s="786"/>
      <c r="F161" s="786"/>
      <c r="G161" s="111"/>
      <c r="H161" s="111"/>
      <c r="I161" s="110"/>
      <c r="J161" s="110"/>
      <c r="K161" s="110"/>
      <c r="L161" s="110"/>
      <c r="M161" s="110"/>
      <c r="N161" s="110"/>
      <c r="O161" s="110"/>
      <c r="P161" s="110"/>
      <c r="Q161" s="110"/>
      <c r="R161" s="110"/>
      <c r="S161" s="110"/>
      <c r="T161" s="110"/>
      <c r="U161" s="110"/>
      <c r="V161" s="110"/>
      <c r="W161" s="110"/>
      <c r="X161" s="110"/>
      <c r="Y161" s="110"/>
      <c r="Z161" s="110"/>
      <c r="AA161" s="110"/>
    </row>
    <row r="162" spans="1:27" s="10" customFormat="1" x14ac:dyDescent="0.25">
      <c r="A162" s="110"/>
      <c r="B162" s="228"/>
      <c r="C162" s="122"/>
      <c r="D162" s="122"/>
      <c r="E162" s="786"/>
      <c r="F162" s="786"/>
      <c r="G162" s="111"/>
      <c r="H162" s="111"/>
      <c r="I162" s="110"/>
      <c r="J162" s="110"/>
      <c r="K162" s="110"/>
      <c r="L162" s="110"/>
      <c r="M162" s="110"/>
      <c r="N162" s="110"/>
      <c r="O162" s="110"/>
      <c r="P162" s="110"/>
      <c r="Q162" s="110"/>
      <c r="R162" s="110"/>
      <c r="S162" s="110"/>
      <c r="T162" s="110"/>
      <c r="U162" s="110"/>
      <c r="V162" s="110"/>
      <c r="W162" s="110"/>
      <c r="X162" s="110"/>
      <c r="Y162" s="110"/>
      <c r="Z162" s="110"/>
      <c r="AA162" s="110"/>
    </row>
    <row r="163" spans="1:27" s="10" customFormat="1" x14ac:dyDescent="0.25">
      <c r="A163" s="110"/>
      <c r="B163" s="228"/>
      <c r="C163" s="122"/>
      <c r="D163" s="122"/>
      <c r="E163" s="786"/>
      <c r="F163" s="786"/>
      <c r="G163" s="111"/>
      <c r="H163" s="111"/>
      <c r="I163" s="110"/>
      <c r="J163" s="110"/>
      <c r="K163" s="110"/>
      <c r="L163" s="110"/>
      <c r="M163" s="110"/>
      <c r="N163" s="110"/>
      <c r="O163" s="110"/>
      <c r="P163" s="110"/>
      <c r="Q163" s="110"/>
      <c r="R163" s="110"/>
      <c r="S163" s="110"/>
      <c r="T163" s="110"/>
      <c r="U163" s="110"/>
      <c r="V163" s="110"/>
      <c r="W163" s="110"/>
      <c r="X163" s="110"/>
      <c r="Y163" s="110"/>
      <c r="Z163" s="110"/>
      <c r="AA163" s="110"/>
    </row>
  </sheetData>
  <sheetProtection algorithmName="SHA-512" hashValue="zNPiYzmoIyxqgUSaARPDclGaLGWCom7zLu0kGxeaGaWAmByqaBjIL/+xWfE6+psy/3Ty5ZpPY4jCshB7YxUftg==" saltValue="RkqDUTtTedknxtbTlc+Avg==" spinCount="100000" sheet="1" objects="1" scenarios="1"/>
  <protectedRanges>
    <protectedRange sqref="A1:XFD1048576" name="all"/>
  </protectedRanges>
  <pageMargins left="0.7" right="0.7" top="0.75" bottom="0.75" header="0.3" footer="0.3"/>
  <pageSetup paperSize="9" orientation="portrait" r:id="rId1"/>
  <ignoredErrors>
    <ignoredError sqref="E6 E8:E24" formula="1"/>
  </ignoredError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2" tint="-0.249977111117893"/>
  </sheetPr>
  <dimension ref="A1:Z115"/>
  <sheetViews>
    <sheetView topLeftCell="A16" zoomScale="80" zoomScaleNormal="80" zoomScalePageLayoutView="80" workbookViewId="0">
      <pane ySplit="4875"/>
      <selection activeCell="B32" sqref="B32"/>
      <selection pane="bottomLeft" activeCell="B70" sqref="B70:B71"/>
    </sheetView>
  </sheetViews>
  <sheetFormatPr defaultColWidth="9.140625" defaultRowHeight="14.25" x14ac:dyDescent="0.2"/>
  <cols>
    <col min="1" max="1" width="23.7109375" style="228" customWidth="1"/>
    <col min="2" max="2" width="56" style="228" customWidth="1"/>
    <col min="3" max="3" width="24" style="228" customWidth="1"/>
    <col min="4" max="4" width="16.28515625" style="228" customWidth="1"/>
    <col min="5" max="5" width="18.28515625" style="228" customWidth="1"/>
    <col min="6" max="6" width="4.7109375" style="228" customWidth="1"/>
    <col min="7" max="7" width="20.28515625" style="228" customWidth="1"/>
    <col min="8" max="8" width="24.28515625" style="228" customWidth="1"/>
    <col min="9" max="9" width="18.42578125" style="228" customWidth="1"/>
    <col min="10" max="10" width="16.140625" style="228" customWidth="1"/>
    <col min="11" max="11" width="16.7109375" style="228" customWidth="1"/>
    <col min="12" max="12" width="21.140625" style="228" customWidth="1"/>
    <col min="13" max="13" width="15.7109375" style="228" customWidth="1"/>
    <col min="14" max="14" width="26" style="228" customWidth="1"/>
    <col min="15" max="15" width="16.42578125" style="228" customWidth="1"/>
    <col min="16" max="16" width="20.28515625" style="228" customWidth="1"/>
    <col min="17" max="18" width="14.28515625" style="228" customWidth="1"/>
    <col min="19" max="19" width="15" style="228" customWidth="1"/>
    <col min="20" max="21" width="4.42578125" style="228" customWidth="1"/>
    <col min="22" max="22" width="4.7109375" style="228" customWidth="1"/>
    <col min="23" max="23" width="4.85546875" style="228" customWidth="1"/>
    <col min="24" max="24" width="4.7109375" style="228" customWidth="1"/>
    <col min="25" max="26" width="4.42578125" style="228" customWidth="1"/>
    <col min="27" max="16384" width="9.140625" style="228"/>
  </cols>
  <sheetData>
    <row r="1" spans="1:26" s="316" customFormat="1" ht="16.5" customHeight="1" x14ac:dyDescent="0.2">
      <c r="A1" s="316">
        <v>0</v>
      </c>
      <c r="B1" s="316">
        <v>1</v>
      </c>
      <c r="C1" s="316">
        <v>2</v>
      </c>
      <c r="D1" s="316">
        <v>3</v>
      </c>
      <c r="E1" s="316">
        <v>4</v>
      </c>
      <c r="F1" s="316">
        <v>5</v>
      </c>
      <c r="G1" s="316">
        <v>6</v>
      </c>
      <c r="H1" s="316">
        <v>7</v>
      </c>
      <c r="I1" s="316">
        <v>8</v>
      </c>
      <c r="J1" s="316">
        <v>9</v>
      </c>
      <c r="K1" s="316">
        <v>10</v>
      </c>
      <c r="L1" s="316">
        <v>11</v>
      </c>
      <c r="M1" s="316">
        <v>12</v>
      </c>
      <c r="N1" s="316">
        <v>13</v>
      </c>
      <c r="O1" s="316">
        <v>14</v>
      </c>
      <c r="P1" s="316">
        <v>15</v>
      </c>
      <c r="Q1" s="316">
        <v>16</v>
      </c>
      <c r="R1" s="316">
        <v>17</v>
      </c>
      <c r="S1" s="316">
        <v>18</v>
      </c>
      <c r="T1" s="316">
        <v>19</v>
      </c>
      <c r="U1" s="316">
        <v>20</v>
      </c>
      <c r="V1" s="316">
        <v>21</v>
      </c>
      <c r="W1" s="316">
        <v>22</v>
      </c>
      <c r="X1" s="316">
        <v>23</v>
      </c>
      <c r="Y1" s="316">
        <v>24</v>
      </c>
      <c r="Z1" s="316">
        <v>25</v>
      </c>
    </row>
    <row r="2" spans="1:26" s="298" customFormat="1" ht="16.5" customHeight="1" x14ac:dyDescent="0.2">
      <c r="Q2" s="945" t="s">
        <v>1482</v>
      </c>
      <c r="R2" s="945" t="s">
        <v>1483</v>
      </c>
      <c r="S2" s="945" t="s">
        <v>1484</v>
      </c>
    </row>
    <row r="3" spans="1:26" s="48" customFormat="1" ht="24" customHeight="1" x14ac:dyDescent="0.2">
      <c r="A3" s="954" t="s">
        <v>1287</v>
      </c>
      <c r="B3" s="954" t="s">
        <v>1377</v>
      </c>
      <c r="C3" s="954" t="s">
        <v>1286</v>
      </c>
      <c r="D3" s="951" t="s">
        <v>1415</v>
      </c>
      <c r="E3" s="951" t="s">
        <v>1405</v>
      </c>
      <c r="F3" s="457" t="s">
        <v>1752</v>
      </c>
      <c r="G3" s="951" t="s">
        <v>1406</v>
      </c>
      <c r="H3" s="951" t="s">
        <v>829</v>
      </c>
      <c r="I3" s="951" t="s">
        <v>1410</v>
      </c>
      <c r="J3" s="951" t="s">
        <v>829</v>
      </c>
      <c r="K3" s="951" t="s">
        <v>1412</v>
      </c>
      <c r="L3" s="951" t="s">
        <v>829</v>
      </c>
      <c r="M3" s="951" t="s">
        <v>1411</v>
      </c>
      <c r="N3" s="951" t="s">
        <v>829</v>
      </c>
      <c r="O3" s="951" t="s">
        <v>1413</v>
      </c>
      <c r="P3" s="950" t="s">
        <v>829</v>
      </c>
      <c r="Q3" s="946"/>
      <c r="R3" s="946"/>
      <c r="S3" s="946"/>
      <c r="T3" s="313"/>
      <c r="U3" s="313"/>
      <c r="V3" s="313"/>
      <c r="W3" s="313"/>
      <c r="X3" s="313"/>
      <c r="Y3" s="313"/>
      <c r="Z3" s="313"/>
    </row>
    <row r="4" spans="1:26" s="299" customFormat="1" ht="20.25" customHeight="1" x14ac:dyDescent="0.2">
      <c r="A4" s="955"/>
      <c r="B4" s="955"/>
      <c r="C4" s="955"/>
      <c r="D4" s="944"/>
      <c r="E4" s="944"/>
      <c r="F4" s="454"/>
      <c r="G4" s="944"/>
      <c r="H4" s="944"/>
      <c r="I4" s="944"/>
      <c r="J4" s="944"/>
      <c r="K4" s="944"/>
      <c r="L4" s="944"/>
      <c r="M4" s="944"/>
      <c r="N4" s="944"/>
      <c r="O4" s="944"/>
      <c r="P4" s="949"/>
      <c r="Q4" s="947"/>
      <c r="R4" s="947"/>
      <c r="S4" s="947"/>
      <c r="T4" s="314"/>
      <c r="U4" s="314"/>
      <c r="V4" s="314"/>
      <c r="W4" s="314"/>
      <c r="X4" s="314"/>
      <c r="Y4" s="314"/>
      <c r="Z4" s="314"/>
    </row>
    <row r="6" spans="1:26" x14ac:dyDescent="0.2">
      <c r="A6" s="305" t="s">
        <v>1507</v>
      </c>
    </row>
    <row r="7" spans="1:26" x14ac:dyDescent="0.2">
      <c r="A7" s="300" t="s">
        <v>1508</v>
      </c>
      <c r="B7" s="301" t="s">
        <v>1277</v>
      </c>
    </row>
    <row r="8" spans="1:26" x14ac:dyDescent="0.2">
      <c r="B8" s="228" t="s">
        <v>1283</v>
      </c>
      <c r="C8" s="228" t="s">
        <v>1283</v>
      </c>
      <c r="D8" s="306">
        <v>0</v>
      </c>
      <c r="E8" s="302">
        <v>0.1</v>
      </c>
      <c r="F8" s="302"/>
      <c r="G8" s="122" t="s">
        <v>1409</v>
      </c>
      <c r="H8" s="122"/>
      <c r="I8" s="303">
        <v>0.01</v>
      </c>
      <c r="J8" s="228" t="s">
        <v>915</v>
      </c>
      <c r="K8" s="306">
        <v>0.03</v>
      </c>
      <c r="L8" s="228" t="s">
        <v>1417</v>
      </c>
      <c r="M8" s="303">
        <v>2.0999999999999999E-3</v>
      </c>
      <c r="N8" s="228" t="s">
        <v>1468</v>
      </c>
      <c r="O8" s="304"/>
      <c r="S8" s="326"/>
    </row>
    <row r="9" spans="1:26" x14ac:dyDescent="0.2">
      <c r="B9" s="228" t="s">
        <v>1282</v>
      </c>
      <c r="C9" s="228" t="s">
        <v>1289</v>
      </c>
      <c r="D9" s="306">
        <v>0.78</v>
      </c>
      <c r="E9" s="302">
        <f>D9*E14+(100%-D9)*10%</f>
        <v>0.11560000000000001</v>
      </c>
      <c r="F9" s="302"/>
      <c r="G9" s="122" t="s">
        <v>1409</v>
      </c>
      <c r="H9" s="122"/>
      <c r="I9" s="303">
        <v>0.01</v>
      </c>
      <c r="J9" s="228" t="s">
        <v>915</v>
      </c>
      <c r="K9" s="306">
        <v>0.03</v>
      </c>
      <c r="L9" s="228" t="s">
        <v>1417</v>
      </c>
      <c r="M9" s="303">
        <v>2.0999999999999999E-3</v>
      </c>
      <c r="N9" s="228" t="s">
        <v>1468</v>
      </c>
      <c r="O9" s="304"/>
      <c r="S9" s="326"/>
    </row>
    <row r="10" spans="1:26" x14ac:dyDescent="0.2">
      <c r="B10" s="228" t="s">
        <v>1376</v>
      </c>
      <c r="C10" s="228" t="s">
        <v>1289</v>
      </c>
      <c r="D10" s="306">
        <v>0.78</v>
      </c>
      <c r="E10" s="302">
        <f>D10*E14+(100%-D10)*10%</f>
        <v>0.11560000000000001</v>
      </c>
      <c r="F10" s="302"/>
      <c r="G10" s="122" t="s">
        <v>1409</v>
      </c>
      <c r="H10" s="122"/>
      <c r="I10" s="303">
        <v>0.01</v>
      </c>
      <c r="J10" s="228" t="s">
        <v>915</v>
      </c>
      <c r="K10" s="306">
        <v>0.03</v>
      </c>
      <c r="L10" s="228" t="s">
        <v>1417</v>
      </c>
      <c r="M10" s="303">
        <v>2.0999999999999999E-3</v>
      </c>
      <c r="N10" s="228" t="s">
        <v>1468</v>
      </c>
      <c r="O10" s="304"/>
      <c r="S10" s="326"/>
    </row>
    <row r="11" spans="1:26" x14ac:dyDescent="0.2">
      <c r="B11" s="305" t="s">
        <v>1751</v>
      </c>
      <c r="C11" s="305" t="s">
        <v>1288</v>
      </c>
      <c r="D11" s="306">
        <v>0.78</v>
      </c>
      <c r="E11" s="306">
        <v>0.2</v>
      </c>
      <c r="F11" s="306"/>
      <c r="G11" s="122" t="s">
        <v>1409</v>
      </c>
      <c r="H11" s="307" t="s">
        <v>1416</v>
      </c>
      <c r="I11" s="303">
        <v>2E-3</v>
      </c>
      <c r="J11" s="228" t="s">
        <v>915</v>
      </c>
      <c r="K11" s="303">
        <v>6.0000000000000001E-3</v>
      </c>
      <c r="L11" s="228" t="s">
        <v>1417</v>
      </c>
      <c r="M11" s="303">
        <v>4.2000000000000002E-4</v>
      </c>
      <c r="N11" s="228" t="s">
        <v>1468</v>
      </c>
      <c r="O11" s="306">
        <v>0.02</v>
      </c>
      <c r="P11" s="228" t="s">
        <v>915</v>
      </c>
      <c r="S11" s="326"/>
    </row>
    <row r="12" spans="1:26" x14ac:dyDescent="0.2">
      <c r="B12" s="228" t="s">
        <v>1278</v>
      </c>
      <c r="C12" s="228" t="s">
        <v>0</v>
      </c>
      <c r="D12" s="306">
        <v>1</v>
      </c>
      <c r="E12" s="302">
        <v>0.14000000000000001</v>
      </c>
      <c r="F12" s="302"/>
      <c r="G12" s="122" t="s">
        <v>1409</v>
      </c>
      <c r="H12" s="278" t="s">
        <v>1477</v>
      </c>
      <c r="I12" s="303">
        <v>2E-3</v>
      </c>
      <c r="J12" s="228" t="s">
        <v>915</v>
      </c>
      <c r="K12" s="303">
        <v>6.0000000000000001E-3</v>
      </c>
      <c r="L12" s="228" t="s">
        <v>1417</v>
      </c>
      <c r="M12" s="303">
        <v>4.2000000000000002E-4</v>
      </c>
      <c r="N12" s="228" t="s">
        <v>1468</v>
      </c>
      <c r="O12" s="304">
        <v>0.1</v>
      </c>
      <c r="P12" s="228" t="s">
        <v>915</v>
      </c>
      <c r="S12" s="326"/>
    </row>
    <row r="13" spans="1:26" x14ac:dyDescent="0.2">
      <c r="B13" s="228" t="s">
        <v>1279</v>
      </c>
      <c r="C13" s="228" t="s">
        <v>0</v>
      </c>
      <c r="D13" s="306">
        <v>1</v>
      </c>
      <c r="E13" s="302">
        <v>0.17</v>
      </c>
      <c r="F13" s="302"/>
      <c r="G13" s="122" t="s">
        <v>1409</v>
      </c>
      <c r="H13" s="278" t="s">
        <v>1477</v>
      </c>
      <c r="I13" s="303">
        <v>2E-3</v>
      </c>
      <c r="J13" s="228" t="s">
        <v>915</v>
      </c>
      <c r="K13" s="303">
        <v>6.0000000000000001E-3</v>
      </c>
      <c r="L13" s="228" t="s">
        <v>1417</v>
      </c>
      <c r="M13" s="303">
        <v>4.2000000000000002E-4</v>
      </c>
      <c r="N13" s="228" t="s">
        <v>1468</v>
      </c>
      <c r="O13" s="304">
        <v>0.1</v>
      </c>
      <c r="P13" s="228" t="s">
        <v>915</v>
      </c>
      <c r="S13" s="326"/>
    </row>
    <row r="14" spans="1:26" x14ac:dyDescent="0.2">
      <c r="B14" s="305" t="s">
        <v>1767</v>
      </c>
      <c r="C14" s="305" t="s">
        <v>0</v>
      </c>
      <c r="D14" s="306">
        <v>1</v>
      </c>
      <c r="E14" s="306">
        <v>0.12</v>
      </c>
      <c r="F14" s="306"/>
      <c r="G14" s="306">
        <v>0.15</v>
      </c>
      <c r="H14" s="307" t="s">
        <v>1416</v>
      </c>
      <c r="I14" s="303">
        <v>2E-3</v>
      </c>
      <c r="J14" s="228" t="s">
        <v>915</v>
      </c>
      <c r="K14" s="303">
        <v>6.0000000000000001E-3</v>
      </c>
      <c r="L14" s="228" t="s">
        <v>1417</v>
      </c>
      <c r="M14" s="303">
        <v>4.2000000000000002E-4</v>
      </c>
      <c r="N14" s="228" t="s">
        <v>1468</v>
      </c>
      <c r="O14" s="304">
        <v>0.1</v>
      </c>
      <c r="P14" s="228" t="s">
        <v>915</v>
      </c>
    </row>
    <row r="15" spans="1:26" x14ac:dyDescent="0.2">
      <c r="B15" s="305" t="s">
        <v>1768</v>
      </c>
      <c r="C15" s="305" t="s">
        <v>0</v>
      </c>
      <c r="D15" s="306">
        <v>1</v>
      </c>
      <c r="E15" s="306">
        <v>0.08</v>
      </c>
      <c r="F15" s="306"/>
      <c r="G15" s="306">
        <f>G14*(1-80%)</f>
        <v>2.9999999999999992E-2</v>
      </c>
      <c r="H15" s="307" t="s">
        <v>1416</v>
      </c>
      <c r="I15" s="303">
        <v>2E-3</v>
      </c>
      <c r="J15" s="228" t="s">
        <v>915</v>
      </c>
      <c r="K15" s="303">
        <v>6.0000000000000001E-3</v>
      </c>
      <c r="L15" s="228" t="s">
        <v>1417</v>
      </c>
      <c r="M15" s="303">
        <v>4.2000000000000002E-4</v>
      </c>
      <c r="N15" s="228" t="s">
        <v>1468</v>
      </c>
      <c r="O15" s="304">
        <v>0.1</v>
      </c>
      <c r="P15" s="228" t="s">
        <v>915</v>
      </c>
    </row>
    <row r="16" spans="1:26" x14ac:dyDescent="0.2">
      <c r="B16" s="228" t="s">
        <v>1280</v>
      </c>
      <c r="C16" s="228" t="s">
        <v>0</v>
      </c>
      <c r="D16" s="306">
        <v>1</v>
      </c>
      <c r="E16" s="302">
        <v>0.21</v>
      </c>
      <c r="F16" s="302"/>
      <c r="G16" s="122" t="s">
        <v>1409</v>
      </c>
      <c r="H16" s="278" t="s">
        <v>1477</v>
      </c>
      <c r="I16" s="303">
        <v>2E-3</v>
      </c>
      <c r="J16" s="228" t="s">
        <v>915</v>
      </c>
      <c r="K16" s="303">
        <v>6.0000000000000001E-3</v>
      </c>
      <c r="L16" s="228" t="s">
        <v>1417</v>
      </c>
      <c r="M16" s="303">
        <v>4.2000000000000002E-4</v>
      </c>
      <c r="N16" s="228" t="s">
        <v>1468</v>
      </c>
      <c r="O16" s="304">
        <v>0.1</v>
      </c>
      <c r="P16" s="228" t="s">
        <v>915</v>
      </c>
      <c r="S16" s="326"/>
    </row>
    <row r="17" spans="1:19" x14ac:dyDescent="0.2">
      <c r="B17" s="228" t="s">
        <v>1292</v>
      </c>
      <c r="C17" s="228" t="s">
        <v>1285</v>
      </c>
      <c r="D17" s="122"/>
      <c r="E17" s="122"/>
      <c r="F17" s="122"/>
      <c r="G17" s="122"/>
      <c r="H17" s="122"/>
      <c r="I17" s="303"/>
      <c r="K17" s="122"/>
    </row>
    <row r="18" spans="1:19" x14ac:dyDescent="0.2">
      <c r="B18" s="228" t="s">
        <v>1292</v>
      </c>
      <c r="C18" s="228" t="s">
        <v>1284</v>
      </c>
      <c r="D18" s="122"/>
      <c r="E18" s="122"/>
      <c r="F18" s="122"/>
      <c r="I18" s="303"/>
      <c r="K18" s="122"/>
    </row>
    <row r="19" spans="1:19" x14ac:dyDescent="0.2">
      <c r="D19" s="122"/>
      <c r="E19" s="122"/>
      <c r="F19" s="122"/>
      <c r="I19" s="303"/>
      <c r="K19" s="122"/>
    </row>
    <row r="20" spans="1:19" x14ac:dyDescent="0.2">
      <c r="A20" s="305" t="s">
        <v>1509</v>
      </c>
      <c r="B20" s="301" t="s">
        <v>1277</v>
      </c>
      <c r="D20" s="122"/>
      <c r="E20" s="122"/>
      <c r="F20" s="122"/>
      <c r="I20" s="303"/>
      <c r="K20" s="122"/>
    </row>
    <row r="21" spans="1:19" x14ac:dyDescent="0.2">
      <c r="B21" s="228" t="s">
        <v>1281</v>
      </c>
      <c r="C21" s="228" t="s">
        <v>1288</v>
      </c>
      <c r="D21" s="306">
        <v>0.78</v>
      </c>
      <c r="E21" s="306">
        <v>0.3</v>
      </c>
      <c r="F21" s="306"/>
      <c r="G21" s="122" t="s">
        <v>1409</v>
      </c>
      <c r="H21" s="307" t="s">
        <v>1416</v>
      </c>
      <c r="I21" s="304">
        <v>0.02</v>
      </c>
      <c r="J21" s="308" t="s">
        <v>915</v>
      </c>
      <c r="K21" s="302">
        <v>0.06</v>
      </c>
      <c r="L21" s="228" t="s">
        <v>1417</v>
      </c>
      <c r="M21" s="303">
        <v>4.1999999999999997E-3</v>
      </c>
      <c r="N21" s="228" t="s">
        <v>1468</v>
      </c>
      <c r="O21" s="302">
        <v>0.01</v>
      </c>
      <c r="P21" s="228" t="s">
        <v>915</v>
      </c>
    </row>
    <row r="22" spans="1:19" x14ac:dyDescent="0.2">
      <c r="B22" s="228" t="s">
        <v>1278</v>
      </c>
      <c r="C22" s="228" t="s">
        <v>0</v>
      </c>
      <c r="D22" s="306">
        <v>1</v>
      </c>
      <c r="E22" s="302">
        <v>0.14000000000000001</v>
      </c>
      <c r="F22" s="302"/>
      <c r="G22" s="122" t="s">
        <v>1409</v>
      </c>
      <c r="H22" s="278" t="s">
        <v>1477</v>
      </c>
      <c r="I22" s="303">
        <v>2E-3</v>
      </c>
      <c r="J22" s="228" t="s">
        <v>915</v>
      </c>
      <c r="K22" s="303">
        <v>6.0000000000000001E-3</v>
      </c>
      <c r="L22" s="228" t="s">
        <v>1417</v>
      </c>
      <c r="M22" s="303">
        <v>4.2000000000000002E-4</v>
      </c>
      <c r="N22" s="228" t="s">
        <v>1468</v>
      </c>
      <c r="O22" s="304">
        <v>0.1</v>
      </c>
      <c r="P22" s="228" t="s">
        <v>915</v>
      </c>
      <c r="S22" s="326"/>
    </row>
    <row r="23" spans="1:19" x14ac:dyDescent="0.2">
      <c r="B23" s="228" t="s">
        <v>1279</v>
      </c>
      <c r="C23" s="228" t="s">
        <v>0</v>
      </c>
      <c r="D23" s="306">
        <v>1</v>
      </c>
      <c r="E23" s="302">
        <v>0.17</v>
      </c>
      <c r="F23" s="302"/>
      <c r="G23" s="122" t="s">
        <v>1409</v>
      </c>
      <c r="H23" s="278" t="s">
        <v>1477</v>
      </c>
      <c r="I23" s="303">
        <v>2E-3</v>
      </c>
      <c r="J23" s="228" t="s">
        <v>915</v>
      </c>
      <c r="K23" s="303">
        <v>6.0000000000000001E-3</v>
      </c>
      <c r="L23" s="228" t="s">
        <v>1417</v>
      </c>
      <c r="M23" s="303">
        <v>4.2000000000000002E-4</v>
      </c>
      <c r="N23" s="228" t="s">
        <v>1468</v>
      </c>
      <c r="O23" s="304">
        <v>0.1</v>
      </c>
      <c r="P23" s="228" t="s">
        <v>915</v>
      </c>
      <c r="S23" s="326"/>
    </row>
    <row r="24" spans="1:19" x14ac:dyDescent="0.2">
      <c r="B24" s="305" t="s">
        <v>1748</v>
      </c>
      <c r="C24" s="305" t="s">
        <v>0</v>
      </c>
      <c r="D24" s="306">
        <v>1</v>
      </c>
      <c r="E24" s="306">
        <v>0.12</v>
      </c>
      <c r="F24" s="306"/>
      <c r="G24" s="306">
        <v>0.15</v>
      </c>
      <c r="H24" s="307" t="s">
        <v>1416</v>
      </c>
      <c r="I24" s="303">
        <v>2E-3</v>
      </c>
      <c r="J24" s="228" t="s">
        <v>915</v>
      </c>
      <c r="K24" s="303">
        <v>6.0000000000000001E-3</v>
      </c>
      <c r="L24" s="228" t="s">
        <v>1417</v>
      </c>
      <c r="M24" s="303">
        <v>4.2000000000000002E-4</v>
      </c>
      <c r="N24" s="228" t="s">
        <v>1468</v>
      </c>
      <c r="O24" s="304">
        <v>0.1</v>
      </c>
      <c r="P24" s="228" t="s">
        <v>915</v>
      </c>
    </row>
    <row r="25" spans="1:19" x14ac:dyDescent="0.2">
      <c r="B25" s="305" t="s">
        <v>1749</v>
      </c>
      <c r="C25" s="305" t="s">
        <v>0</v>
      </c>
      <c r="D25" s="306">
        <v>1</v>
      </c>
      <c r="E25" s="306">
        <v>0.08</v>
      </c>
      <c r="F25" s="306"/>
      <c r="G25" s="306">
        <f>G24*(1-80%)</f>
        <v>2.9999999999999992E-2</v>
      </c>
      <c r="H25" s="307" t="s">
        <v>1416</v>
      </c>
      <c r="I25" s="303">
        <v>2E-3</v>
      </c>
      <c r="J25" s="228" t="s">
        <v>915</v>
      </c>
      <c r="K25" s="303">
        <v>6.0000000000000001E-3</v>
      </c>
      <c r="L25" s="228" t="s">
        <v>1417</v>
      </c>
      <c r="M25" s="303">
        <v>4.2000000000000002E-4</v>
      </c>
      <c r="N25" s="228" t="s">
        <v>1468</v>
      </c>
      <c r="O25" s="304">
        <v>0.1</v>
      </c>
      <c r="P25" s="228" t="s">
        <v>915</v>
      </c>
    </row>
    <row r="26" spans="1:19" x14ac:dyDescent="0.2">
      <c r="B26" s="228" t="s">
        <v>1280</v>
      </c>
      <c r="C26" s="228" t="s">
        <v>0</v>
      </c>
      <c r="D26" s="306">
        <v>1</v>
      </c>
      <c r="E26" s="302">
        <v>0.21</v>
      </c>
      <c r="F26" s="302"/>
      <c r="G26" s="122" t="s">
        <v>1409</v>
      </c>
      <c r="H26" s="278" t="s">
        <v>1477</v>
      </c>
      <c r="I26" s="303">
        <v>2E-3</v>
      </c>
      <c r="J26" s="228" t="s">
        <v>915</v>
      </c>
      <c r="K26" s="303">
        <v>6.0000000000000001E-3</v>
      </c>
      <c r="L26" s="228" t="s">
        <v>1417</v>
      </c>
      <c r="M26" s="303">
        <v>4.2000000000000002E-4</v>
      </c>
      <c r="N26" s="228" t="s">
        <v>1468</v>
      </c>
      <c r="O26" s="304">
        <v>0.1</v>
      </c>
      <c r="P26" s="228" t="s">
        <v>915</v>
      </c>
      <c r="S26" s="326"/>
    </row>
    <row r="27" spans="1:19" x14ac:dyDescent="0.2">
      <c r="B27" s="228" t="s">
        <v>1292</v>
      </c>
      <c r="C27" s="228" t="s">
        <v>1285</v>
      </c>
      <c r="E27" s="122"/>
      <c r="F27" s="122"/>
      <c r="O27" s="306"/>
    </row>
    <row r="28" spans="1:19" x14ac:dyDescent="0.2">
      <c r="B28" s="228" t="s">
        <v>1292</v>
      </c>
      <c r="C28" s="228" t="s">
        <v>1284</v>
      </c>
      <c r="E28" s="122"/>
      <c r="F28" s="122"/>
    </row>
    <row r="29" spans="1:19" x14ac:dyDescent="0.2">
      <c r="E29" s="122"/>
      <c r="F29" s="122"/>
    </row>
    <row r="30" spans="1:19" x14ac:dyDescent="0.2">
      <c r="A30" s="305" t="s">
        <v>1513</v>
      </c>
      <c r="E30" s="122"/>
      <c r="F30" s="122"/>
    </row>
    <row r="31" spans="1:19" x14ac:dyDescent="0.2">
      <c r="E31" s="122"/>
      <c r="F31" s="122"/>
    </row>
    <row r="32" spans="1:19" x14ac:dyDescent="0.2">
      <c r="A32" s="228" t="s">
        <v>1514</v>
      </c>
      <c r="B32" s="301" t="s">
        <v>1277</v>
      </c>
      <c r="D32" s="122"/>
      <c r="E32" s="122"/>
      <c r="F32" s="122"/>
      <c r="I32" s="303"/>
      <c r="K32" s="122"/>
    </row>
    <row r="33" spans="1:16" x14ac:dyDescent="0.2">
      <c r="B33" s="228" t="s">
        <v>1381</v>
      </c>
      <c r="C33" s="308" t="s">
        <v>1288</v>
      </c>
      <c r="D33" s="302">
        <v>0.78</v>
      </c>
      <c r="E33" s="302">
        <v>7.0000000000000007E-2</v>
      </c>
      <c r="F33" s="302"/>
      <c r="G33" s="122" t="s">
        <v>1409</v>
      </c>
      <c r="H33" s="122"/>
      <c r="I33" s="303">
        <v>0.02</v>
      </c>
      <c r="J33" s="228" t="s">
        <v>915</v>
      </c>
      <c r="K33" s="306">
        <v>0.06</v>
      </c>
      <c r="L33" s="228" t="s">
        <v>1417</v>
      </c>
      <c r="M33" s="303">
        <v>4.1999999999999997E-3</v>
      </c>
      <c r="N33" s="228" t="s">
        <v>1468</v>
      </c>
      <c r="O33" s="306">
        <v>0.01</v>
      </c>
      <c r="P33" s="228" t="s">
        <v>915</v>
      </c>
    </row>
    <row r="34" spans="1:16" x14ac:dyDescent="0.2">
      <c r="B34" s="228" t="s">
        <v>1849</v>
      </c>
      <c r="C34" s="308" t="s">
        <v>1288</v>
      </c>
      <c r="D34" s="302">
        <v>0.78</v>
      </c>
      <c r="E34" s="302">
        <v>7.0000000000000007E-2</v>
      </c>
      <c r="F34" s="302"/>
      <c r="G34" s="122" t="s">
        <v>1409</v>
      </c>
      <c r="H34" s="122"/>
      <c r="I34" s="303">
        <v>0.02</v>
      </c>
      <c r="J34" s="228" t="s">
        <v>915</v>
      </c>
      <c r="K34" s="306">
        <v>0.06</v>
      </c>
      <c r="L34" s="228" t="s">
        <v>1417</v>
      </c>
      <c r="M34" s="303">
        <v>4.1999999999999997E-3</v>
      </c>
      <c r="N34" s="228" t="s">
        <v>1468</v>
      </c>
      <c r="O34" s="306">
        <v>0.01</v>
      </c>
      <c r="P34" s="228" t="s">
        <v>915</v>
      </c>
    </row>
    <row r="35" spans="1:16" x14ac:dyDescent="0.2">
      <c r="B35" s="228" t="s">
        <v>1292</v>
      </c>
      <c r="C35" s="228" t="s">
        <v>1285</v>
      </c>
      <c r="D35" s="302"/>
      <c r="E35" s="302"/>
      <c r="F35" s="302"/>
      <c r="G35" s="122"/>
      <c r="H35" s="122"/>
      <c r="I35" s="303"/>
      <c r="K35" s="306"/>
      <c r="M35" s="303"/>
      <c r="O35" s="306"/>
    </row>
    <row r="36" spans="1:16" x14ac:dyDescent="0.2">
      <c r="B36" s="228" t="s">
        <v>1292</v>
      </c>
      <c r="C36" s="228" t="s">
        <v>1284</v>
      </c>
      <c r="D36" s="302"/>
      <c r="E36" s="302"/>
      <c r="F36" s="302"/>
      <c r="G36" s="122"/>
      <c r="H36" s="122"/>
      <c r="I36" s="303"/>
      <c r="K36" s="306"/>
      <c r="M36" s="303"/>
      <c r="O36" s="306"/>
    </row>
    <row r="37" spans="1:16" x14ac:dyDescent="0.2">
      <c r="B37" s="228" t="s">
        <v>1292</v>
      </c>
      <c r="C37" s="228" t="s">
        <v>1285</v>
      </c>
      <c r="E37" s="122"/>
      <c r="F37" s="122"/>
      <c r="O37" s="306"/>
    </row>
    <row r="38" spans="1:16" x14ac:dyDescent="0.2">
      <c r="B38" s="228" t="s">
        <v>1292</v>
      </c>
      <c r="C38" s="228" t="s">
        <v>1284</v>
      </c>
      <c r="E38" s="122"/>
      <c r="F38" s="122"/>
    </row>
    <row r="39" spans="1:16" x14ac:dyDescent="0.2">
      <c r="E39" s="122"/>
      <c r="F39" s="122"/>
    </row>
    <row r="40" spans="1:16" s="311" customFormat="1" x14ac:dyDescent="0.2">
      <c r="A40" s="956" t="s">
        <v>1380</v>
      </c>
      <c r="B40" s="956" t="s">
        <v>1379</v>
      </c>
      <c r="C40" s="956" t="s">
        <v>1291</v>
      </c>
      <c r="D40" s="310"/>
      <c r="E40" s="945" t="s">
        <v>1407</v>
      </c>
      <c r="F40" s="455"/>
      <c r="G40" s="945" t="s">
        <v>1408</v>
      </c>
      <c r="H40" s="943" t="s">
        <v>829</v>
      </c>
      <c r="I40" s="943" t="s">
        <v>1419</v>
      </c>
      <c r="J40" s="943" t="s">
        <v>829</v>
      </c>
      <c r="K40" s="943" t="s">
        <v>1420</v>
      </c>
      <c r="L40" s="943" t="s">
        <v>829</v>
      </c>
      <c r="M40" s="943" t="s">
        <v>1421</v>
      </c>
      <c r="N40" s="943" t="s">
        <v>829</v>
      </c>
      <c r="O40" s="943" t="s">
        <v>1422</v>
      </c>
      <c r="P40" s="948" t="s">
        <v>829</v>
      </c>
    </row>
    <row r="41" spans="1:16" s="299" customFormat="1" x14ac:dyDescent="0.2">
      <c r="A41" s="955"/>
      <c r="B41" s="955"/>
      <c r="C41" s="955"/>
      <c r="D41" s="312"/>
      <c r="E41" s="947"/>
      <c r="F41" s="456"/>
      <c r="G41" s="947"/>
      <c r="H41" s="944"/>
      <c r="I41" s="944"/>
      <c r="J41" s="944"/>
      <c r="K41" s="944"/>
      <c r="L41" s="944"/>
      <c r="M41" s="944"/>
      <c r="N41" s="944"/>
      <c r="O41" s="944"/>
      <c r="P41" s="949"/>
    </row>
    <row r="43" spans="1:16" x14ac:dyDescent="0.2">
      <c r="A43" s="305" t="s">
        <v>1510</v>
      </c>
    </row>
    <row r="44" spans="1:16" x14ac:dyDescent="0.2">
      <c r="A44" s="300" t="s">
        <v>1511</v>
      </c>
      <c r="B44" s="301" t="s">
        <v>1290</v>
      </c>
    </row>
    <row r="45" spans="1:16" x14ac:dyDescent="0.2">
      <c r="B45" s="228" t="s">
        <v>1371</v>
      </c>
      <c r="C45" s="228" t="s">
        <v>1371</v>
      </c>
      <c r="D45" s="306">
        <f t="shared" ref="D45:E52" si="0">D8</f>
        <v>0</v>
      </c>
      <c r="E45" s="302">
        <f t="shared" si="0"/>
        <v>0.1</v>
      </c>
      <c r="F45" s="302"/>
      <c r="G45" s="122" t="s">
        <v>1409</v>
      </c>
      <c r="H45" s="122"/>
      <c r="I45" s="303">
        <v>0.01</v>
      </c>
      <c r="J45" s="228" t="s">
        <v>915</v>
      </c>
      <c r="K45" s="306">
        <v>0.03</v>
      </c>
      <c r="L45" s="228" t="s">
        <v>1417</v>
      </c>
      <c r="M45" s="303">
        <v>2.0999999999999999E-3</v>
      </c>
      <c r="N45" s="228" t="s">
        <v>1468</v>
      </c>
      <c r="O45" s="304"/>
    </row>
    <row r="46" spans="1:16" x14ac:dyDescent="0.2">
      <c r="B46" s="228" t="s">
        <v>1374</v>
      </c>
      <c r="C46" s="228" t="s">
        <v>1375</v>
      </c>
      <c r="D46" s="306">
        <f t="shared" si="0"/>
        <v>0.78</v>
      </c>
      <c r="E46" s="302">
        <f t="shared" si="0"/>
        <v>0.11560000000000001</v>
      </c>
      <c r="F46" s="302"/>
      <c r="G46" s="122" t="s">
        <v>1409</v>
      </c>
      <c r="H46" s="122"/>
      <c r="I46" s="303">
        <v>0.01</v>
      </c>
      <c r="J46" s="228" t="s">
        <v>915</v>
      </c>
      <c r="K46" s="306">
        <v>0.03</v>
      </c>
      <c r="L46" s="228" t="s">
        <v>1417</v>
      </c>
      <c r="M46" s="303">
        <v>2.0999999999999999E-3</v>
      </c>
      <c r="N46" s="228" t="s">
        <v>1468</v>
      </c>
      <c r="O46" s="304"/>
    </row>
    <row r="47" spans="1:16" x14ac:dyDescent="0.2">
      <c r="B47" s="228" t="s">
        <v>1378</v>
      </c>
      <c r="C47" s="228" t="s">
        <v>1375</v>
      </c>
      <c r="D47" s="306">
        <f t="shared" si="0"/>
        <v>0.78</v>
      </c>
      <c r="E47" s="302">
        <f t="shared" si="0"/>
        <v>0.11560000000000001</v>
      </c>
      <c r="F47" s="302"/>
      <c r="G47" s="122" t="s">
        <v>1409</v>
      </c>
      <c r="H47" s="122"/>
      <c r="I47" s="303">
        <v>0.01</v>
      </c>
      <c r="J47" s="228" t="s">
        <v>915</v>
      </c>
      <c r="K47" s="306">
        <v>0.03</v>
      </c>
      <c r="L47" s="228" t="s">
        <v>1417</v>
      </c>
      <c r="M47" s="303">
        <v>2.0999999999999999E-3</v>
      </c>
      <c r="N47" s="228" t="s">
        <v>1468</v>
      </c>
      <c r="O47" s="304"/>
    </row>
    <row r="48" spans="1:16" x14ac:dyDescent="0.2">
      <c r="B48" s="228" t="s">
        <v>1750</v>
      </c>
      <c r="C48" s="228" t="s">
        <v>1370</v>
      </c>
      <c r="D48" s="306">
        <f t="shared" si="0"/>
        <v>0.78</v>
      </c>
      <c r="E48" s="306">
        <f t="shared" si="0"/>
        <v>0.2</v>
      </c>
      <c r="F48" s="306"/>
      <c r="G48" s="122" t="s">
        <v>1409</v>
      </c>
      <c r="H48" s="307" t="s">
        <v>1416</v>
      </c>
      <c r="I48" s="303">
        <v>2E-3</v>
      </c>
      <c r="J48" s="228" t="s">
        <v>915</v>
      </c>
      <c r="K48" s="303">
        <v>6.0000000000000001E-3</v>
      </c>
      <c r="L48" s="228" t="s">
        <v>1417</v>
      </c>
      <c r="M48" s="303">
        <v>4.2000000000000002E-4</v>
      </c>
      <c r="N48" s="228" t="s">
        <v>1468</v>
      </c>
      <c r="O48" s="306">
        <v>0.02</v>
      </c>
      <c r="P48" s="228" t="s">
        <v>915</v>
      </c>
    </row>
    <row r="49" spans="1:16" x14ac:dyDescent="0.2">
      <c r="B49" s="228" t="s">
        <v>1365</v>
      </c>
      <c r="C49" s="228" t="s">
        <v>1366</v>
      </c>
      <c r="D49" s="306">
        <f t="shared" si="0"/>
        <v>1</v>
      </c>
      <c r="E49" s="302">
        <f t="shared" si="0"/>
        <v>0.14000000000000001</v>
      </c>
      <c r="F49" s="302"/>
      <c r="G49" s="122" t="s">
        <v>1409</v>
      </c>
      <c r="H49" s="278" t="s">
        <v>1477</v>
      </c>
      <c r="I49" s="303">
        <v>2E-3</v>
      </c>
      <c r="J49" s="228" t="s">
        <v>915</v>
      </c>
      <c r="K49" s="303">
        <v>6.0000000000000001E-3</v>
      </c>
      <c r="L49" s="228" t="s">
        <v>1417</v>
      </c>
      <c r="M49" s="303">
        <v>4.2000000000000002E-4</v>
      </c>
      <c r="N49" s="228" t="s">
        <v>1468</v>
      </c>
      <c r="O49" s="304">
        <v>0.1</v>
      </c>
      <c r="P49" s="228" t="s">
        <v>915</v>
      </c>
    </row>
    <row r="50" spans="1:16" x14ac:dyDescent="0.2">
      <c r="B50" s="228" t="s">
        <v>1367</v>
      </c>
      <c r="C50" s="228" t="s">
        <v>1366</v>
      </c>
      <c r="D50" s="306">
        <f t="shared" si="0"/>
        <v>1</v>
      </c>
      <c r="E50" s="302">
        <f t="shared" si="0"/>
        <v>0.17</v>
      </c>
      <c r="F50" s="302"/>
      <c r="G50" s="122" t="s">
        <v>1409</v>
      </c>
      <c r="H50" s="278" t="s">
        <v>1477</v>
      </c>
      <c r="I50" s="303">
        <v>2E-3</v>
      </c>
      <c r="J50" s="228" t="s">
        <v>915</v>
      </c>
      <c r="K50" s="303">
        <v>6.0000000000000001E-3</v>
      </c>
      <c r="L50" s="228" t="s">
        <v>1417</v>
      </c>
      <c r="M50" s="303">
        <v>4.2000000000000002E-4</v>
      </c>
      <c r="N50" s="228" t="s">
        <v>1468</v>
      </c>
      <c r="O50" s="304">
        <v>0.1</v>
      </c>
      <c r="P50" s="228" t="s">
        <v>915</v>
      </c>
    </row>
    <row r="51" spans="1:16" x14ac:dyDescent="0.2">
      <c r="B51" s="228" t="s">
        <v>1769</v>
      </c>
      <c r="C51" s="228" t="s">
        <v>1366</v>
      </c>
      <c r="D51" s="306">
        <f t="shared" si="0"/>
        <v>1</v>
      </c>
      <c r="E51" s="306">
        <f t="shared" si="0"/>
        <v>0.12</v>
      </c>
      <c r="F51" s="306"/>
      <c r="G51" s="306">
        <v>0.15</v>
      </c>
      <c r="H51" s="307" t="s">
        <v>1416</v>
      </c>
      <c r="I51" s="303">
        <v>2E-3</v>
      </c>
      <c r="J51" s="228" t="s">
        <v>915</v>
      </c>
      <c r="K51" s="303">
        <v>6.0000000000000001E-3</v>
      </c>
      <c r="L51" s="228" t="s">
        <v>1417</v>
      </c>
      <c r="M51" s="303">
        <v>4.2000000000000002E-4</v>
      </c>
      <c r="N51" s="228" t="s">
        <v>1468</v>
      </c>
      <c r="O51" s="304">
        <v>0.1</v>
      </c>
      <c r="P51" s="228" t="s">
        <v>915</v>
      </c>
    </row>
    <row r="52" spans="1:16" x14ac:dyDescent="0.2">
      <c r="B52" s="228" t="s">
        <v>1770</v>
      </c>
      <c r="C52" s="228" t="s">
        <v>1366</v>
      </c>
      <c r="D52" s="306">
        <f t="shared" si="0"/>
        <v>1</v>
      </c>
      <c r="E52" s="306">
        <f t="shared" si="0"/>
        <v>0.08</v>
      </c>
      <c r="F52" s="306"/>
      <c r="G52" s="306">
        <f>G51*(1-80%)</f>
        <v>2.9999999999999992E-2</v>
      </c>
      <c r="H52" s="307" t="s">
        <v>1416</v>
      </c>
      <c r="I52" s="303">
        <v>2E-3</v>
      </c>
      <c r="J52" s="228" t="s">
        <v>915</v>
      </c>
      <c r="K52" s="303">
        <v>6.0000000000000001E-3</v>
      </c>
      <c r="L52" s="228" t="s">
        <v>1417</v>
      </c>
      <c r="M52" s="303">
        <v>4.2000000000000002E-4</v>
      </c>
      <c r="N52" s="228" t="s">
        <v>1468</v>
      </c>
      <c r="O52" s="304">
        <v>0.1</v>
      </c>
      <c r="P52" s="228" t="s">
        <v>915</v>
      </c>
    </row>
    <row r="53" spans="1:16" x14ac:dyDescent="0.2">
      <c r="B53" s="228" t="s">
        <v>1368</v>
      </c>
      <c r="C53" s="228" t="s">
        <v>1366</v>
      </c>
      <c r="D53" s="306">
        <f t="shared" ref="D53:E53" si="1">D16</f>
        <v>1</v>
      </c>
      <c r="E53" s="302">
        <f t="shared" si="1"/>
        <v>0.21</v>
      </c>
      <c r="F53" s="302"/>
      <c r="G53" s="122" t="s">
        <v>1409</v>
      </c>
      <c r="H53" s="278" t="s">
        <v>1477</v>
      </c>
      <c r="I53" s="303">
        <v>2E-3</v>
      </c>
      <c r="J53" s="228" t="s">
        <v>915</v>
      </c>
      <c r="K53" s="303">
        <v>6.0000000000000001E-3</v>
      </c>
      <c r="L53" s="228" t="s">
        <v>1417</v>
      </c>
      <c r="M53" s="303">
        <v>4.2000000000000002E-4</v>
      </c>
      <c r="N53" s="228" t="s">
        <v>1468</v>
      </c>
      <c r="O53" s="304">
        <v>0.1</v>
      </c>
      <c r="P53" s="228" t="s">
        <v>915</v>
      </c>
    </row>
    <row r="54" spans="1:16" x14ac:dyDescent="0.2">
      <c r="B54" s="228" t="s">
        <v>1292</v>
      </c>
      <c r="C54" s="228" t="s">
        <v>1285</v>
      </c>
      <c r="D54" s="306">
        <f t="shared" ref="D54:D62" si="2">D17</f>
        <v>0</v>
      </c>
      <c r="E54" s="122"/>
      <c r="F54" s="122"/>
      <c r="G54" s="122"/>
      <c r="H54" s="122"/>
      <c r="I54" s="303"/>
      <c r="K54" s="122"/>
    </row>
    <row r="55" spans="1:16" x14ac:dyDescent="0.2">
      <c r="B55" s="228" t="s">
        <v>1292</v>
      </c>
      <c r="C55" s="228" t="s">
        <v>1284</v>
      </c>
      <c r="D55" s="306">
        <f t="shared" si="2"/>
        <v>0</v>
      </c>
      <c r="E55" s="122"/>
      <c r="F55" s="122"/>
      <c r="I55" s="303"/>
      <c r="K55" s="122"/>
    </row>
    <row r="56" spans="1:16" x14ac:dyDescent="0.2">
      <c r="D56" s="306">
        <f t="shared" si="2"/>
        <v>0</v>
      </c>
      <c r="E56" s="122"/>
      <c r="F56" s="122"/>
      <c r="I56" s="303"/>
      <c r="K56" s="122"/>
    </row>
    <row r="57" spans="1:16" x14ac:dyDescent="0.2">
      <c r="A57" s="305" t="s">
        <v>1512</v>
      </c>
      <c r="B57" s="301" t="s">
        <v>1290</v>
      </c>
      <c r="D57" s="306">
        <f t="shared" si="2"/>
        <v>0</v>
      </c>
      <c r="E57" s="122"/>
      <c r="F57" s="122"/>
      <c r="I57" s="303"/>
      <c r="K57" s="122"/>
    </row>
    <row r="58" spans="1:16" x14ac:dyDescent="0.2">
      <c r="B58" s="228" t="s">
        <v>1369</v>
      </c>
      <c r="C58" s="228" t="s">
        <v>1370</v>
      </c>
      <c r="D58" s="306">
        <f t="shared" si="2"/>
        <v>0.78</v>
      </c>
      <c r="E58" s="306">
        <v>0.3</v>
      </c>
      <c r="F58" s="306"/>
      <c r="G58" s="122" t="s">
        <v>1409</v>
      </c>
      <c r="H58" s="307" t="s">
        <v>1416</v>
      </c>
      <c r="I58" s="304">
        <v>0.02</v>
      </c>
      <c r="J58" s="308" t="s">
        <v>915</v>
      </c>
      <c r="K58" s="302">
        <v>0.06</v>
      </c>
      <c r="L58" s="228" t="s">
        <v>1417</v>
      </c>
      <c r="M58" s="303">
        <v>4.1999999999999997E-3</v>
      </c>
      <c r="N58" s="228" t="s">
        <v>1468</v>
      </c>
      <c r="O58" s="302">
        <v>0.01</v>
      </c>
      <c r="P58" s="228" t="s">
        <v>915</v>
      </c>
    </row>
    <row r="59" spans="1:16" x14ac:dyDescent="0.2">
      <c r="B59" s="228" t="s">
        <v>1365</v>
      </c>
      <c r="C59" s="228" t="s">
        <v>1366</v>
      </c>
      <c r="D59" s="306">
        <f t="shared" si="2"/>
        <v>1</v>
      </c>
      <c r="E59" s="302">
        <f>E22</f>
        <v>0.14000000000000001</v>
      </c>
      <c r="F59" s="302"/>
      <c r="G59" s="122" t="s">
        <v>1409</v>
      </c>
      <c r="H59" s="278" t="s">
        <v>1477</v>
      </c>
      <c r="I59" s="303">
        <v>2E-3</v>
      </c>
      <c r="J59" s="228" t="s">
        <v>915</v>
      </c>
      <c r="K59" s="303">
        <v>6.0000000000000001E-3</v>
      </c>
      <c r="L59" s="228" t="s">
        <v>1417</v>
      </c>
      <c r="M59" s="303">
        <v>4.2000000000000002E-4</v>
      </c>
      <c r="N59" s="228" t="s">
        <v>1468</v>
      </c>
      <c r="O59" s="304">
        <v>0.1</v>
      </c>
      <c r="P59" s="228" t="s">
        <v>915</v>
      </c>
    </row>
    <row r="60" spans="1:16" x14ac:dyDescent="0.2">
      <c r="B60" s="228" t="s">
        <v>1367</v>
      </c>
      <c r="C60" s="228" t="s">
        <v>1366</v>
      </c>
      <c r="D60" s="306">
        <f t="shared" si="2"/>
        <v>1</v>
      </c>
      <c r="E60" s="302">
        <f>E23</f>
        <v>0.17</v>
      </c>
      <c r="F60" s="302"/>
      <c r="G60" s="122" t="s">
        <v>1409</v>
      </c>
      <c r="H60" s="278" t="s">
        <v>1477</v>
      </c>
      <c r="I60" s="303">
        <v>2E-3</v>
      </c>
      <c r="J60" s="228" t="s">
        <v>915</v>
      </c>
      <c r="K60" s="303">
        <v>6.0000000000000001E-3</v>
      </c>
      <c r="L60" s="228" t="s">
        <v>1417</v>
      </c>
      <c r="M60" s="303">
        <v>4.2000000000000002E-4</v>
      </c>
      <c r="N60" s="228" t="s">
        <v>1468</v>
      </c>
      <c r="O60" s="304">
        <v>0.1</v>
      </c>
      <c r="P60" s="228" t="s">
        <v>915</v>
      </c>
    </row>
    <row r="61" spans="1:16" x14ac:dyDescent="0.2">
      <c r="B61" s="228" t="s">
        <v>1771</v>
      </c>
      <c r="C61" s="228" t="s">
        <v>1366</v>
      </c>
      <c r="D61" s="306">
        <f t="shared" si="2"/>
        <v>1</v>
      </c>
      <c r="E61" s="306">
        <f>E24</f>
        <v>0.12</v>
      </c>
      <c r="F61" s="306"/>
      <c r="G61" s="306">
        <v>0.15</v>
      </c>
      <c r="H61" s="307" t="s">
        <v>1416</v>
      </c>
      <c r="I61" s="303">
        <v>2E-3</v>
      </c>
      <c r="J61" s="228" t="s">
        <v>915</v>
      </c>
      <c r="K61" s="303">
        <v>6.0000000000000001E-3</v>
      </c>
      <c r="L61" s="228" t="s">
        <v>1417</v>
      </c>
      <c r="M61" s="303">
        <v>4.2000000000000002E-4</v>
      </c>
      <c r="N61" s="228" t="s">
        <v>1468</v>
      </c>
      <c r="O61" s="304">
        <v>0.1</v>
      </c>
      <c r="P61" s="228" t="s">
        <v>915</v>
      </c>
    </row>
    <row r="62" spans="1:16" x14ac:dyDescent="0.2">
      <c r="B62" s="228" t="s">
        <v>1772</v>
      </c>
      <c r="C62" s="228" t="s">
        <v>1366</v>
      </c>
      <c r="D62" s="306">
        <f t="shared" si="2"/>
        <v>1</v>
      </c>
      <c r="E62" s="306">
        <f>E25</f>
        <v>0.08</v>
      </c>
      <c r="F62" s="306"/>
      <c r="G62" s="306">
        <f>G61*(1-80%)</f>
        <v>2.9999999999999992E-2</v>
      </c>
      <c r="H62" s="307" t="s">
        <v>1416</v>
      </c>
      <c r="I62" s="303">
        <v>2E-3</v>
      </c>
      <c r="J62" s="228" t="s">
        <v>915</v>
      </c>
      <c r="K62" s="303">
        <v>6.0000000000000001E-3</v>
      </c>
      <c r="L62" s="228" t="s">
        <v>1417</v>
      </c>
      <c r="M62" s="303">
        <v>4.2000000000000002E-4</v>
      </c>
      <c r="N62" s="228" t="s">
        <v>1468</v>
      </c>
      <c r="O62" s="304">
        <v>0.1</v>
      </c>
      <c r="P62" s="228" t="s">
        <v>915</v>
      </c>
    </row>
    <row r="63" spans="1:16" x14ac:dyDescent="0.2">
      <c r="B63" s="228" t="s">
        <v>1368</v>
      </c>
      <c r="C63" s="228" t="s">
        <v>1366</v>
      </c>
      <c r="D63" s="306">
        <f>D27</f>
        <v>0</v>
      </c>
      <c r="E63" s="302">
        <f>E27</f>
        <v>0</v>
      </c>
      <c r="F63" s="302"/>
      <c r="G63" s="122" t="s">
        <v>1409</v>
      </c>
      <c r="H63" s="278" t="s">
        <v>1477</v>
      </c>
      <c r="I63" s="303">
        <v>2E-3</v>
      </c>
      <c r="J63" s="228" t="s">
        <v>915</v>
      </c>
      <c r="K63" s="303">
        <v>6.0000000000000001E-3</v>
      </c>
      <c r="L63" s="228" t="s">
        <v>1417</v>
      </c>
      <c r="M63" s="303">
        <v>4.2000000000000002E-4</v>
      </c>
      <c r="N63" s="228" t="s">
        <v>1468</v>
      </c>
      <c r="O63" s="304">
        <v>0.1</v>
      </c>
      <c r="P63" s="228" t="s">
        <v>915</v>
      </c>
    </row>
    <row r="64" spans="1:16" x14ac:dyDescent="0.2">
      <c r="B64" s="228" t="s">
        <v>1292</v>
      </c>
      <c r="C64" s="228" t="s">
        <v>1285</v>
      </c>
      <c r="D64" s="306"/>
    </row>
    <row r="65" spans="1:16" x14ac:dyDescent="0.2">
      <c r="B65" s="228" t="s">
        <v>1292</v>
      </c>
      <c r="C65" s="228" t="s">
        <v>1284</v>
      </c>
      <c r="D65" s="306"/>
    </row>
    <row r="67" spans="1:16" x14ac:dyDescent="0.2">
      <c r="A67" s="305" t="s">
        <v>1515</v>
      </c>
    </row>
    <row r="69" spans="1:16" x14ac:dyDescent="0.2">
      <c r="A69" s="228" t="s">
        <v>1516</v>
      </c>
      <c r="B69" s="301" t="s">
        <v>1290</v>
      </c>
      <c r="D69" s="306">
        <f>D32</f>
        <v>0</v>
      </c>
      <c r="E69" s="122"/>
      <c r="F69" s="122"/>
      <c r="I69" s="303"/>
      <c r="K69" s="122"/>
    </row>
    <row r="70" spans="1:16" x14ac:dyDescent="0.2">
      <c r="B70" s="228" t="s">
        <v>1372</v>
      </c>
      <c r="C70" s="308" t="s">
        <v>1370</v>
      </c>
      <c r="D70" s="306">
        <f>D33</f>
        <v>0.78</v>
      </c>
      <c r="E70" s="302">
        <v>7.0000000000000007E-2</v>
      </c>
      <c r="F70" s="302"/>
      <c r="G70" s="122" t="s">
        <v>1409</v>
      </c>
      <c r="H70" s="122"/>
      <c r="I70" s="303">
        <v>0.02</v>
      </c>
      <c r="J70" s="228" t="s">
        <v>915</v>
      </c>
      <c r="K70" s="306">
        <v>0.06</v>
      </c>
      <c r="L70" s="228" t="s">
        <v>1417</v>
      </c>
      <c r="M70" s="303">
        <v>4.1999999999999997E-3</v>
      </c>
      <c r="N70" s="228" t="s">
        <v>1468</v>
      </c>
      <c r="O70" s="306">
        <v>0.01</v>
      </c>
      <c r="P70" s="228" t="s">
        <v>915</v>
      </c>
    </row>
    <row r="71" spans="1:16" x14ac:dyDescent="0.2">
      <c r="B71" s="228" t="s">
        <v>1373</v>
      </c>
      <c r="C71" s="308" t="s">
        <v>1370</v>
      </c>
      <c r="D71" s="306">
        <f>D34</f>
        <v>0.78</v>
      </c>
      <c r="E71" s="302">
        <v>7.0000000000000007E-2</v>
      </c>
      <c r="F71" s="302"/>
      <c r="G71" s="122" t="s">
        <v>1409</v>
      </c>
      <c r="H71" s="122"/>
      <c r="I71" s="303">
        <v>0.02</v>
      </c>
      <c r="J71" s="228" t="s">
        <v>915</v>
      </c>
      <c r="K71" s="306">
        <v>0.06</v>
      </c>
      <c r="L71" s="228" t="s">
        <v>1417</v>
      </c>
      <c r="M71" s="303">
        <v>4.1999999999999997E-3</v>
      </c>
      <c r="N71" s="228" t="s">
        <v>1468</v>
      </c>
      <c r="O71" s="306">
        <v>0.01</v>
      </c>
      <c r="P71" s="228" t="s">
        <v>915</v>
      </c>
    </row>
    <row r="72" spans="1:16" x14ac:dyDescent="0.2">
      <c r="B72" s="228" t="s">
        <v>1292</v>
      </c>
      <c r="C72" s="228" t="s">
        <v>1285</v>
      </c>
      <c r="D72" s="306"/>
    </row>
    <row r="73" spans="1:16" x14ac:dyDescent="0.2">
      <c r="B73" s="228" t="s">
        <v>1292</v>
      </c>
      <c r="C73" s="228" t="s">
        <v>1284</v>
      </c>
      <c r="D73" s="306"/>
    </row>
    <row r="74" spans="1:16" x14ac:dyDescent="0.2">
      <c r="B74" s="228" t="s">
        <v>1292</v>
      </c>
      <c r="C74" s="228" t="s">
        <v>1285</v>
      </c>
    </row>
    <row r="75" spans="1:16" x14ac:dyDescent="0.2">
      <c r="B75" s="228" t="s">
        <v>1292</v>
      </c>
      <c r="C75" s="228" t="s">
        <v>1284</v>
      </c>
    </row>
    <row r="82" spans="1:16" s="415" customFormat="1" x14ac:dyDescent="0.2"/>
    <row r="83" spans="1:16" s="415" customFormat="1" x14ac:dyDescent="0.2">
      <c r="A83" s="458"/>
      <c r="B83" s="458"/>
      <c r="C83" s="952"/>
      <c r="D83" s="411"/>
      <c r="E83" s="953"/>
      <c r="F83" s="459"/>
      <c r="G83" s="953"/>
      <c r="H83" s="957"/>
      <c r="I83" s="957"/>
      <c r="J83" s="957"/>
      <c r="K83" s="957"/>
      <c r="L83" s="957"/>
      <c r="M83" s="957"/>
      <c r="N83" s="957"/>
      <c r="O83" s="957"/>
      <c r="P83" s="958"/>
    </row>
    <row r="84" spans="1:16" s="415" customFormat="1" x14ac:dyDescent="0.2">
      <c r="A84" s="458"/>
      <c r="B84" s="458"/>
      <c r="C84" s="952"/>
      <c r="D84" s="411"/>
      <c r="E84" s="953"/>
      <c r="F84" s="459"/>
      <c r="G84" s="953"/>
      <c r="H84" s="957"/>
      <c r="I84" s="957"/>
      <c r="J84" s="957"/>
      <c r="K84" s="957"/>
      <c r="L84" s="957"/>
      <c r="M84" s="957"/>
      <c r="N84" s="957"/>
      <c r="O84" s="957"/>
      <c r="P84" s="958"/>
    </row>
    <row r="85" spans="1:16" s="415" customFormat="1" x14ac:dyDescent="0.2">
      <c r="A85" s="411"/>
      <c r="B85" s="411"/>
      <c r="C85" s="411"/>
      <c r="D85" s="411"/>
      <c r="E85" s="412"/>
      <c r="F85" s="459"/>
      <c r="G85" s="412"/>
      <c r="H85" s="413"/>
      <c r="I85" s="413"/>
      <c r="J85" s="413"/>
      <c r="K85" s="413"/>
      <c r="L85" s="413"/>
      <c r="M85" s="413"/>
      <c r="N85" s="413"/>
      <c r="O85" s="413"/>
      <c r="P85" s="414"/>
    </row>
    <row r="86" spans="1:16" s="415" customFormat="1" ht="15" x14ac:dyDescent="0.25">
      <c r="A86" s="199"/>
      <c r="B86" s="399"/>
      <c r="C86" s="199"/>
      <c r="D86" s="199"/>
      <c r="E86" s="199"/>
      <c r="F86" s="199"/>
      <c r="G86" s="199"/>
      <c r="H86" s="446"/>
      <c r="I86" s="199"/>
      <c r="J86" s="199"/>
      <c r="K86" s="199"/>
      <c r="L86" s="199"/>
      <c r="M86" s="199"/>
      <c r="N86" s="199"/>
      <c r="O86" s="199"/>
    </row>
    <row r="87" spans="1:16" s="415" customFormat="1" ht="15" x14ac:dyDescent="0.25">
      <c r="A87" s="199"/>
      <c r="B87" s="399"/>
      <c r="C87" s="199"/>
      <c r="D87" s="199"/>
      <c r="E87" s="199"/>
      <c r="F87" s="199"/>
      <c r="G87" s="199"/>
      <c r="H87" s="446"/>
      <c r="I87" s="199"/>
      <c r="J87" s="199"/>
      <c r="K87" s="199"/>
      <c r="L87" s="199"/>
      <c r="M87" s="199"/>
      <c r="N87" s="199"/>
      <c r="O87" s="199"/>
    </row>
    <row r="88" spans="1:16" s="415" customFormat="1" ht="15" x14ac:dyDescent="0.25">
      <c r="A88" s="199"/>
      <c r="B88" s="199"/>
      <c r="C88" s="199"/>
      <c r="D88" s="199"/>
      <c r="E88" s="199"/>
      <c r="F88" s="199"/>
      <c r="G88" s="199"/>
      <c r="H88" s="446"/>
      <c r="I88" s="199"/>
      <c r="J88" s="199"/>
      <c r="K88" s="199"/>
      <c r="L88" s="199"/>
      <c r="M88" s="199"/>
      <c r="N88" s="199"/>
      <c r="O88" s="199"/>
    </row>
    <row r="89" spans="1:16" s="415" customFormat="1" ht="15" x14ac:dyDescent="0.25">
      <c r="A89" s="460"/>
      <c r="B89" s="199"/>
      <c r="C89" s="199"/>
      <c r="D89" s="199"/>
      <c r="E89" s="199"/>
      <c r="F89" s="199"/>
      <c r="G89" s="199"/>
      <c r="H89" s="446"/>
      <c r="I89" s="199"/>
      <c r="J89" s="199"/>
      <c r="K89" s="199"/>
      <c r="L89" s="199"/>
      <c r="M89" s="199"/>
      <c r="N89" s="199"/>
      <c r="O89" s="199"/>
    </row>
    <row r="90" spans="1:16" s="415" customFormat="1" ht="15" x14ac:dyDescent="0.25">
      <c r="A90" s="199"/>
      <c r="B90" s="199"/>
      <c r="C90" s="444"/>
      <c r="D90" s="444"/>
      <c r="E90" s="444"/>
      <c r="F90" s="444"/>
      <c r="G90" s="444"/>
      <c r="H90" s="445"/>
      <c r="I90" s="444"/>
      <c r="J90" s="444"/>
      <c r="K90" s="444"/>
      <c r="L90" s="444"/>
      <c r="M90" s="444"/>
      <c r="N90" s="444"/>
      <c r="O90" s="199"/>
    </row>
    <row r="91" spans="1:16" s="415" customFormat="1" ht="15" x14ac:dyDescent="0.25">
      <c r="A91" s="199"/>
      <c r="B91" s="199"/>
      <c r="C91" s="403"/>
      <c r="D91" s="399"/>
      <c r="E91" s="403"/>
      <c r="F91" s="403"/>
      <c r="G91" s="403"/>
      <c r="H91" s="446"/>
      <c r="I91" s="403"/>
      <c r="J91" s="446"/>
      <c r="K91" s="441"/>
      <c r="L91" s="441"/>
      <c r="M91" s="440"/>
      <c r="N91" s="441"/>
      <c r="O91" s="199"/>
    </row>
    <row r="92" spans="1:16" s="415" customFormat="1" ht="15" x14ac:dyDescent="0.25">
      <c r="A92" s="199"/>
      <c r="B92" s="199"/>
      <c r="C92" s="403"/>
      <c r="D92" s="399"/>
      <c r="E92" s="403"/>
      <c r="F92" s="403"/>
      <c r="G92" s="403"/>
      <c r="H92" s="446"/>
      <c r="I92" s="403"/>
      <c r="J92" s="446"/>
      <c r="K92" s="441"/>
      <c r="L92" s="441"/>
      <c r="M92" s="440"/>
      <c r="N92" s="441"/>
      <c r="O92" s="199"/>
    </row>
    <row r="93" spans="1:16" s="415" customFormat="1" ht="15" x14ac:dyDescent="0.25">
      <c r="A93" s="199"/>
      <c r="B93" s="199"/>
      <c r="C93" s="403"/>
      <c r="D93" s="399"/>
      <c r="E93" s="403"/>
      <c r="F93" s="403"/>
      <c r="G93" s="403"/>
      <c r="H93" s="446"/>
      <c r="I93" s="403"/>
      <c r="J93" s="446"/>
      <c r="K93" s="441"/>
      <c r="L93" s="441"/>
      <c r="M93" s="440"/>
      <c r="N93" s="441"/>
      <c r="O93" s="199"/>
    </row>
    <row r="94" spans="1:16" s="415" customFormat="1" ht="15" x14ac:dyDescent="0.25">
      <c r="A94" s="199"/>
      <c r="B94" s="199"/>
      <c r="C94" s="403"/>
      <c r="D94" s="399"/>
      <c r="E94" s="403"/>
      <c r="F94" s="403"/>
      <c r="G94" s="403"/>
      <c r="H94" s="446"/>
      <c r="I94" s="403"/>
      <c r="J94" s="446"/>
      <c r="K94" s="441"/>
      <c r="L94" s="441"/>
      <c r="M94" s="440"/>
      <c r="N94" s="441"/>
      <c r="O94" s="199"/>
    </row>
    <row r="95" spans="1:16" s="415" customFormat="1" ht="15" x14ac:dyDescent="0.25">
      <c r="A95" s="199"/>
      <c r="B95" s="199"/>
      <c r="C95" s="403"/>
      <c r="D95" s="399"/>
      <c r="E95" s="403"/>
      <c r="F95" s="403"/>
      <c r="G95" s="403"/>
      <c r="H95" s="446"/>
      <c r="I95" s="403"/>
      <c r="J95" s="446"/>
      <c r="K95" s="441"/>
      <c r="L95" s="441"/>
      <c r="M95" s="440"/>
      <c r="N95" s="441"/>
      <c r="O95" s="199"/>
    </row>
    <row r="96" spans="1:16" s="415" customFormat="1" ht="15" x14ac:dyDescent="0.25">
      <c r="A96" s="199"/>
      <c r="B96" s="199"/>
      <c r="C96" s="447"/>
      <c r="D96" s="441"/>
      <c r="E96" s="199"/>
      <c r="F96" s="199"/>
      <c r="G96" s="199"/>
      <c r="H96" s="446"/>
      <c r="I96" s="199"/>
      <c r="J96" s="199"/>
      <c r="K96" s="440"/>
      <c r="L96" s="440"/>
      <c r="M96" s="440"/>
      <c r="N96" s="441"/>
      <c r="O96" s="199"/>
    </row>
    <row r="97" spans="1:15" s="415" customFormat="1" ht="15" x14ac:dyDescent="0.25">
      <c r="A97" s="199"/>
      <c r="B97" s="199"/>
      <c r="C97" s="199"/>
      <c r="D97" s="199"/>
      <c r="E97" s="199"/>
      <c r="F97" s="199"/>
      <c r="G97" s="199"/>
      <c r="H97" s="446"/>
      <c r="I97" s="199"/>
      <c r="J97" s="199"/>
      <c r="K97" s="199"/>
      <c r="L97" s="199"/>
      <c r="M97" s="199"/>
      <c r="N97" s="199"/>
      <c r="O97" s="199"/>
    </row>
    <row r="98" spans="1:15" s="415" customFormat="1" ht="15" x14ac:dyDescent="0.25">
      <c r="A98" s="460"/>
      <c r="B98" s="199"/>
      <c r="C98" s="199"/>
      <c r="D98" s="199"/>
      <c r="E98" s="199"/>
      <c r="F98" s="199"/>
      <c r="G98" s="199"/>
      <c r="H98" s="446"/>
      <c r="I98" s="199"/>
      <c r="J98" s="199"/>
      <c r="K98" s="199"/>
      <c r="L98" s="199"/>
      <c r="M98" s="199"/>
      <c r="N98" s="199"/>
      <c r="O98" s="199"/>
    </row>
    <row r="99" spans="1:15" s="415" customFormat="1" ht="15" x14ac:dyDescent="0.25">
      <c r="A99" s="199"/>
      <c r="B99" s="199"/>
      <c r="C99" s="444"/>
      <c r="D99" s="444"/>
      <c r="E99" s="444"/>
      <c r="F99" s="444"/>
      <c r="G99" s="444"/>
      <c r="H99" s="445"/>
      <c r="I99" s="444"/>
      <c r="J99" s="444"/>
      <c r="K99" s="444"/>
      <c r="L99" s="444"/>
      <c r="M99" s="444"/>
      <c r="N99" s="444"/>
      <c r="O99" s="199"/>
    </row>
    <row r="100" spans="1:15" s="415" customFormat="1" ht="15" x14ac:dyDescent="0.25">
      <c r="A100" s="199"/>
      <c r="B100" s="199"/>
      <c r="C100" s="403"/>
      <c r="D100" s="399"/>
      <c r="E100" s="403"/>
      <c r="F100" s="403"/>
      <c r="G100" s="403"/>
      <c r="H100" s="446"/>
      <c r="I100" s="410"/>
      <c r="J100" s="446"/>
      <c r="K100" s="441"/>
      <c r="L100" s="441"/>
      <c r="M100" s="440"/>
      <c r="N100" s="441"/>
      <c r="O100" s="199"/>
    </row>
    <row r="101" spans="1:15" s="415" customFormat="1" ht="15" x14ac:dyDescent="0.25">
      <c r="A101" s="199"/>
      <c r="B101" s="199"/>
      <c r="C101" s="403"/>
      <c r="D101" s="399"/>
      <c r="E101" s="403"/>
      <c r="F101" s="403"/>
      <c r="G101" s="403"/>
      <c r="H101" s="446"/>
      <c r="I101" s="410"/>
      <c r="J101" s="446"/>
      <c r="K101" s="441"/>
      <c r="L101" s="441"/>
      <c r="M101" s="440"/>
      <c r="N101" s="441"/>
      <c r="O101" s="199"/>
    </row>
    <row r="102" spans="1:15" s="415" customFormat="1" ht="15" x14ac:dyDescent="0.25">
      <c r="A102" s="199"/>
      <c r="B102" s="199"/>
      <c r="C102" s="403"/>
      <c r="D102" s="399"/>
      <c r="E102" s="403"/>
      <c r="F102" s="403"/>
      <c r="G102" s="403"/>
      <c r="H102" s="446"/>
      <c r="I102" s="403"/>
      <c r="J102" s="446"/>
      <c r="K102" s="441"/>
      <c r="L102" s="441"/>
      <c r="M102" s="440"/>
      <c r="N102" s="441"/>
      <c r="O102" s="199"/>
    </row>
    <row r="103" spans="1:15" s="415" customFormat="1" ht="15" x14ac:dyDescent="0.25">
      <c r="A103" s="199"/>
      <c r="B103" s="199"/>
      <c r="C103" s="403"/>
      <c r="D103" s="399"/>
      <c r="E103" s="403"/>
      <c r="F103" s="403"/>
      <c r="G103" s="403"/>
      <c r="H103" s="446"/>
      <c r="I103" s="410"/>
      <c r="J103" s="446"/>
      <c r="K103" s="441"/>
      <c r="L103" s="441"/>
      <c r="M103" s="440"/>
      <c r="N103" s="441"/>
      <c r="O103" s="199"/>
    </row>
    <row r="104" spans="1:15" s="415" customFormat="1" ht="15" x14ac:dyDescent="0.25">
      <c r="A104" s="199"/>
      <c r="B104" s="199"/>
      <c r="C104" s="403"/>
      <c r="D104" s="399"/>
      <c r="E104" s="403"/>
      <c r="F104" s="403"/>
      <c r="G104" s="403"/>
      <c r="H104" s="446"/>
      <c r="I104" s="403"/>
      <c r="J104" s="446"/>
      <c r="K104" s="441"/>
      <c r="L104" s="441"/>
      <c r="M104" s="440"/>
      <c r="N104" s="441"/>
      <c r="O104" s="199"/>
    </row>
    <row r="105" spans="1:15" s="415" customFormat="1" ht="15" x14ac:dyDescent="0.25">
      <c r="A105" s="199"/>
      <c r="B105" s="199"/>
      <c r="C105" s="447"/>
      <c r="D105" s="441"/>
      <c r="E105" s="199"/>
      <c r="F105" s="199"/>
      <c r="G105" s="199"/>
      <c r="H105" s="446"/>
      <c r="I105" s="199"/>
      <c r="J105" s="199"/>
      <c r="K105" s="440"/>
      <c r="L105" s="440"/>
      <c r="M105" s="440"/>
      <c r="N105" s="441"/>
      <c r="O105" s="199"/>
    </row>
    <row r="106" spans="1:15" s="415" customFormat="1" ht="15" x14ac:dyDescent="0.25">
      <c r="A106" s="199"/>
      <c r="B106" s="199"/>
      <c r="C106" s="199"/>
      <c r="D106" s="199"/>
      <c r="E106" s="199"/>
      <c r="F106" s="199"/>
      <c r="G106" s="199"/>
      <c r="H106" s="446"/>
      <c r="I106" s="199"/>
      <c r="J106" s="199"/>
      <c r="K106" s="199"/>
      <c r="L106" s="199"/>
      <c r="M106" s="199"/>
      <c r="N106" s="199"/>
      <c r="O106" s="199"/>
    </row>
    <row r="107" spans="1:15" s="415" customFormat="1" ht="15" x14ac:dyDescent="0.25">
      <c r="A107" s="460"/>
      <c r="B107" s="199"/>
      <c r="C107" s="199"/>
      <c r="D107" s="199"/>
      <c r="E107" s="199"/>
      <c r="F107" s="199"/>
      <c r="G107" s="199"/>
      <c r="H107" s="446"/>
      <c r="I107" s="199"/>
      <c r="J107" s="199"/>
      <c r="K107" s="199"/>
      <c r="L107" s="199"/>
      <c r="M107" s="199"/>
      <c r="N107" s="199"/>
      <c r="O107" s="199"/>
    </row>
    <row r="108" spans="1:15" s="415" customFormat="1" ht="15" x14ac:dyDescent="0.25">
      <c r="A108" s="199"/>
      <c r="B108" s="199"/>
      <c r="C108" s="444"/>
      <c r="D108" s="444"/>
      <c r="E108" s="444"/>
      <c r="F108" s="444"/>
      <c r="G108" s="444"/>
      <c r="H108" s="445"/>
      <c r="I108" s="444"/>
      <c r="J108" s="444"/>
      <c r="K108" s="444"/>
      <c r="L108" s="444"/>
      <c r="M108" s="444"/>
      <c r="N108" s="444"/>
      <c r="O108" s="199"/>
    </row>
    <row r="109" spans="1:15" s="415" customFormat="1" ht="15" x14ac:dyDescent="0.25">
      <c r="A109" s="199"/>
      <c r="B109" s="199"/>
      <c r="C109" s="403"/>
      <c r="D109" s="399"/>
      <c r="E109" s="403"/>
      <c r="F109" s="403"/>
      <c r="G109" s="403"/>
      <c r="H109" s="446"/>
      <c r="I109" s="403"/>
      <c r="J109" s="446"/>
      <c r="K109" s="441"/>
      <c r="L109" s="441"/>
      <c r="M109" s="440"/>
      <c r="N109" s="441"/>
      <c r="O109" s="199"/>
    </row>
    <row r="110" spans="1:15" s="415" customFormat="1" ht="15" x14ac:dyDescent="0.25">
      <c r="A110" s="199"/>
      <c r="B110" s="199"/>
      <c r="C110" s="403"/>
      <c r="D110" s="399"/>
      <c r="E110" s="403"/>
      <c r="F110" s="403"/>
      <c r="G110" s="403"/>
      <c r="H110" s="446"/>
      <c r="I110" s="403"/>
      <c r="J110" s="446"/>
      <c r="K110" s="441"/>
      <c r="L110" s="441"/>
      <c r="M110" s="440"/>
      <c r="N110" s="441"/>
      <c r="O110" s="199"/>
    </row>
    <row r="111" spans="1:15" s="415" customFormat="1" ht="15" x14ac:dyDescent="0.25">
      <c r="A111" s="199"/>
      <c r="B111" s="199"/>
      <c r="C111" s="403"/>
      <c r="D111" s="399"/>
      <c r="E111" s="403"/>
      <c r="F111" s="403"/>
      <c r="G111" s="403"/>
      <c r="H111" s="446"/>
      <c r="I111" s="403"/>
      <c r="J111" s="446"/>
      <c r="K111" s="441"/>
      <c r="L111" s="441"/>
      <c r="M111" s="440"/>
      <c r="N111" s="441"/>
      <c r="O111" s="199"/>
    </row>
    <row r="112" spans="1:15" s="415" customFormat="1" ht="15" x14ac:dyDescent="0.25">
      <c r="A112" s="199"/>
      <c r="B112" s="199"/>
      <c r="C112" s="403"/>
      <c r="D112" s="399"/>
      <c r="E112" s="403"/>
      <c r="F112" s="403"/>
      <c r="G112" s="403"/>
      <c r="H112" s="446"/>
      <c r="I112" s="403"/>
      <c r="J112" s="446"/>
      <c r="K112" s="441"/>
      <c r="L112" s="441"/>
      <c r="M112" s="440"/>
      <c r="N112" s="441"/>
      <c r="O112" s="199"/>
    </row>
    <row r="113" spans="1:15" s="415" customFormat="1" ht="15" x14ac:dyDescent="0.25">
      <c r="A113" s="199"/>
      <c r="B113" s="199"/>
      <c r="C113" s="403"/>
      <c r="D113" s="399"/>
      <c r="E113" s="403"/>
      <c r="F113" s="403"/>
      <c r="G113" s="403"/>
      <c r="H113" s="446"/>
      <c r="I113" s="403"/>
      <c r="J113" s="446"/>
      <c r="K113" s="441"/>
      <c r="L113" s="441"/>
      <c r="M113" s="440"/>
      <c r="N113" s="441"/>
      <c r="O113" s="199"/>
    </row>
    <row r="114" spans="1:15" s="415" customFormat="1" ht="15" x14ac:dyDescent="0.25">
      <c r="A114" s="199"/>
      <c r="B114" s="199"/>
      <c r="C114" s="199"/>
      <c r="D114" s="441"/>
      <c r="E114" s="199"/>
      <c r="F114" s="199"/>
      <c r="G114" s="199"/>
      <c r="H114" s="446"/>
      <c r="I114" s="199"/>
      <c r="J114" s="199"/>
      <c r="K114" s="440"/>
      <c r="L114" s="440"/>
      <c r="M114" s="440"/>
      <c r="N114" s="441"/>
      <c r="O114" s="199"/>
    </row>
    <row r="115" spans="1:15" s="415" customFormat="1" ht="15" x14ac:dyDescent="0.25">
      <c r="A115" s="199"/>
      <c r="B115" s="199"/>
      <c r="C115" s="199"/>
      <c r="D115" s="199"/>
      <c r="E115" s="199"/>
      <c r="F115" s="199"/>
      <c r="G115" s="199"/>
      <c r="H115" s="446"/>
      <c r="I115" s="199"/>
      <c r="J115" s="199"/>
      <c r="K115" s="199"/>
      <c r="L115" s="199"/>
      <c r="M115" s="199"/>
      <c r="N115" s="199"/>
      <c r="O115" s="199"/>
    </row>
  </sheetData>
  <sheetProtection algorithmName="SHA-512" hashValue="gmBuf5QiKpRkRBpqTXzSp1wja0IBeeuTMxk/rBCwe+pjrBnDfebFCUCm72UQajbG1OOWJ7UMROWfk6MzV6ByAw==" saltValue="m4/bi0f5vZt1iPKI8wc5PA==" spinCount="100000" sheet="1" objects="1" scenarios="1"/>
  <protectedRanges>
    <protectedRange sqref="A1:XFD1048576" name="all"/>
  </protectedRanges>
  <mergeCells count="44">
    <mergeCell ref="M83:M84"/>
    <mergeCell ref="N83:N84"/>
    <mergeCell ref="O83:O84"/>
    <mergeCell ref="P83:P84"/>
    <mergeCell ref="H83:H84"/>
    <mergeCell ref="I83:I84"/>
    <mergeCell ref="J83:J84"/>
    <mergeCell ref="K83:K84"/>
    <mergeCell ref="L83:L84"/>
    <mergeCell ref="J3:J4"/>
    <mergeCell ref="L3:L4"/>
    <mergeCell ref="H40:H41"/>
    <mergeCell ref="I40:I41"/>
    <mergeCell ref="J40:J41"/>
    <mergeCell ref="K40:K41"/>
    <mergeCell ref="L40:L41"/>
    <mergeCell ref="I3:I4"/>
    <mergeCell ref="K3:K4"/>
    <mergeCell ref="H3:H4"/>
    <mergeCell ref="E3:E4"/>
    <mergeCell ref="C83:C84"/>
    <mergeCell ref="E83:E84"/>
    <mergeCell ref="G83:G84"/>
    <mergeCell ref="A3:A4"/>
    <mergeCell ref="C3:C4"/>
    <mergeCell ref="B3:B4"/>
    <mergeCell ref="G3:G4"/>
    <mergeCell ref="D3:D4"/>
    <mergeCell ref="A40:A41"/>
    <mergeCell ref="B40:B41"/>
    <mergeCell ref="C40:C41"/>
    <mergeCell ref="E40:E41"/>
    <mergeCell ref="G40:G41"/>
    <mergeCell ref="M40:M41"/>
    <mergeCell ref="S2:S4"/>
    <mergeCell ref="N40:N41"/>
    <mergeCell ref="O40:O41"/>
    <mergeCell ref="P40:P41"/>
    <mergeCell ref="Q2:Q4"/>
    <mergeCell ref="R2:R4"/>
    <mergeCell ref="P3:P4"/>
    <mergeCell ref="O3:O4"/>
    <mergeCell ref="N3:N4"/>
    <mergeCell ref="M3:M4"/>
  </mergeCells>
  <pageMargins left="0.7" right="0.7" top="0.75" bottom="0.75" header="0.3" footer="0.3"/>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249977111117893"/>
  </sheetPr>
  <dimension ref="A2:M82"/>
  <sheetViews>
    <sheetView workbookViewId="0">
      <pane ySplit="4575"/>
      <selection sqref="A1:XFD1048576"/>
      <selection pane="bottomLeft" activeCell="B15" sqref="B15"/>
    </sheetView>
  </sheetViews>
  <sheetFormatPr defaultColWidth="9.140625" defaultRowHeight="14.25" x14ac:dyDescent="0.2"/>
  <cols>
    <col min="1" max="1" width="21.42578125" style="228" customWidth="1"/>
    <col min="2" max="2" width="29.42578125" style="228" customWidth="1"/>
    <col min="3" max="3" width="22.85546875" style="228" customWidth="1"/>
    <col min="4" max="4" width="23.85546875" style="228" customWidth="1"/>
    <col min="5" max="5" width="22.42578125" style="228" customWidth="1"/>
    <col min="6" max="6" width="21.28515625" style="228" customWidth="1"/>
    <col min="7" max="7" width="21.85546875" style="228" customWidth="1"/>
    <col min="8" max="8" width="22.42578125" style="228" customWidth="1"/>
    <col min="9" max="9" width="21.85546875" style="228" customWidth="1"/>
    <col min="10" max="10" width="21.42578125" style="228" customWidth="1"/>
    <col min="11" max="11" width="24" style="228" customWidth="1"/>
    <col min="12" max="12" width="20.28515625" style="228" customWidth="1"/>
    <col min="13" max="13" width="23.42578125" style="228" customWidth="1"/>
    <col min="14" max="16384" width="9.140625" style="228"/>
  </cols>
  <sheetData>
    <row r="2" spans="1:13" s="324" customFormat="1" x14ac:dyDescent="0.2">
      <c r="A2" s="323">
        <v>0</v>
      </c>
      <c r="B2" s="323">
        <v>1</v>
      </c>
      <c r="C2" s="323">
        <v>2</v>
      </c>
      <c r="D2" s="323">
        <v>3</v>
      </c>
      <c r="E2" s="323">
        <v>4</v>
      </c>
      <c r="F2" s="323">
        <v>5</v>
      </c>
      <c r="G2" s="323">
        <v>6</v>
      </c>
      <c r="H2" s="323">
        <v>7</v>
      </c>
      <c r="I2" s="323">
        <v>8</v>
      </c>
      <c r="J2" s="323">
        <v>9</v>
      </c>
      <c r="K2" s="323">
        <v>10</v>
      </c>
      <c r="L2" s="323">
        <v>11</v>
      </c>
      <c r="M2" s="323">
        <v>12</v>
      </c>
    </row>
    <row r="3" spans="1:13" s="319" customFormat="1" x14ac:dyDescent="0.2"/>
    <row r="4" spans="1:13" s="319" customFormat="1" ht="35.25" customHeight="1" x14ac:dyDescent="0.2">
      <c r="A4" s="320" t="s">
        <v>1423</v>
      </c>
      <c r="B4" s="320" t="s">
        <v>1424</v>
      </c>
      <c r="C4" s="321" t="s">
        <v>1431</v>
      </c>
      <c r="D4" s="322" t="s">
        <v>1432</v>
      </c>
      <c r="E4" s="320" t="s">
        <v>829</v>
      </c>
      <c r="F4" s="322" t="s">
        <v>1433</v>
      </c>
      <c r="G4" s="320" t="s">
        <v>829</v>
      </c>
      <c r="H4" s="322" t="s">
        <v>1434</v>
      </c>
      <c r="I4" s="320" t="s">
        <v>829</v>
      </c>
      <c r="J4" s="322" t="s">
        <v>1436</v>
      </c>
      <c r="K4" s="320" t="s">
        <v>829</v>
      </c>
      <c r="L4" s="322" t="s">
        <v>1443</v>
      </c>
      <c r="M4" s="320" t="s">
        <v>829</v>
      </c>
    </row>
    <row r="6" spans="1:13" x14ac:dyDescent="0.2">
      <c r="A6" s="228" t="s">
        <v>811</v>
      </c>
      <c r="B6" s="228" t="s">
        <v>1737</v>
      </c>
    </row>
    <row r="7" spans="1:13" x14ac:dyDescent="0.2">
      <c r="B7" s="228" t="s">
        <v>1403</v>
      </c>
      <c r="C7" s="303">
        <v>0.114</v>
      </c>
      <c r="D7" s="306">
        <f>C7*79%</f>
        <v>9.0060000000000001E-2</v>
      </c>
      <c r="E7" s="228" t="s">
        <v>1430</v>
      </c>
      <c r="F7" s="306">
        <v>0</v>
      </c>
      <c r="G7" s="228" t="s">
        <v>915</v>
      </c>
      <c r="H7" s="303">
        <v>1.4999999999999999E-2</v>
      </c>
      <c r="I7" s="228" t="s">
        <v>1441</v>
      </c>
      <c r="J7" s="303">
        <v>5.0000000000000001E-3</v>
      </c>
      <c r="K7" s="228" t="s">
        <v>1468</v>
      </c>
      <c r="L7" s="303">
        <v>0.1396</v>
      </c>
      <c r="M7" s="228" t="s">
        <v>1414</v>
      </c>
    </row>
    <row r="8" spans="1:13" x14ac:dyDescent="0.2">
      <c r="B8" s="228" t="s">
        <v>1542</v>
      </c>
      <c r="C8" s="303">
        <v>2.5000000000000001E-2</v>
      </c>
      <c r="D8" s="306">
        <f t="shared" ref="D8:D31" si="0">C8*79%</f>
        <v>1.9750000000000004E-2</v>
      </c>
      <c r="E8" s="228" t="s">
        <v>1430</v>
      </c>
      <c r="F8" s="303">
        <v>5.0000000000000001E-3</v>
      </c>
      <c r="G8" s="228" t="s">
        <v>915</v>
      </c>
      <c r="H8" s="303">
        <v>1.4999999999999999E-2</v>
      </c>
      <c r="I8" s="228" t="s">
        <v>1441</v>
      </c>
      <c r="J8" s="303">
        <v>5.0000000000000001E-3</v>
      </c>
      <c r="K8" s="228" t="s">
        <v>1468</v>
      </c>
      <c r="L8" s="304">
        <f>L7</f>
        <v>0.1396</v>
      </c>
    </row>
    <row r="9" spans="1:13" x14ac:dyDescent="0.2">
      <c r="B9" s="228" t="s">
        <v>1425</v>
      </c>
      <c r="C9" s="303">
        <v>1.2999999999999999E-2</v>
      </c>
      <c r="D9" s="306">
        <f t="shared" si="0"/>
        <v>1.027E-2</v>
      </c>
      <c r="E9" s="228" t="s">
        <v>1430</v>
      </c>
      <c r="F9" s="304">
        <f>F8</f>
        <v>5.0000000000000001E-3</v>
      </c>
      <c r="G9" s="228" t="s">
        <v>915</v>
      </c>
      <c r="H9" s="303">
        <v>1.4999999999999999E-2</v>
      </c>
      <c r="I9" s="228" t="s">
        <v>1441</v>
      </c>
      <c r="J9" s="303">
        <v>5.0000000000000001E-3</v>
      </c>
      <c r="K9" s="228" t="s">
        <v>1468</v>
      </c>
      <c r="L9" s="304">
        <f>L8</f>
        <v>0.1396</v>
      </c>
    </row>
    <row r="10" spans="1:13" x14ac:dyDescent="0.2">
      <c r="B10" s="228" t="s">
        <v>1738</v>
      </c>
      <c r="C10" s="303"/>
      <c r="D10" s="306"/>
      <c r="F10" s="304"/>
      <c r="H10" s="303"/>
      <c r="J10" s="303"/>
      <c r="L10" s="304"/>
    </row>
    <row r="11" spans="1:13" x14ac:dyDescent="0.2">
      <c r="B11" s="228" t="s">
        <v>1738</v>
      </c>
      <c r="C11" s="303"/>
      <c r="D11" s="306"/>
      <c r="F11" s="304"/>
      <c r="H11" s="303"/>
      <c r="J11" s="303"/>
      <c r="L11" s="304"/>
    </row>
    <row r="12" spans="1:13" x14ac:dyDescent="0.2">
      <c r="A12" s="228" t="s">
        <v>1426</v>
      </c>
      <c r="B12" s="228" t="s">
        <v>1737</v>
      </c>
      <c r="C12" s="303"/>
      <c r="D12" s="306"/>
      <c r="F12" s="304"/>
      <c r="H12" s="303"/>
      <c r="J12" s="303"/>
      <c r="L12" s="304"/>
    </row>
    <row r="13" spans="1:13" x14ac:dyDescent="0.2">
      <c r="B13" s="228" t="s">
        <v>1403</v>
      </c>
      <c r="C13" s="303">
        <v>0.27300000000000002</v>
      </c>
      <c r="D13" s="306">
        <f>21%</f>
        <v>0.21</v>
      </c>
      <c r="E13" s="228" t="s">
        <v>1430</v>
      </c>
      <c r="F13" s="122">
        <f>F7*(1-50%)</f>
        <v>0</v>
      </c>
      <c r="G13" s="228" t="s">
        <v>1438</v>
      </c>
      <c r="H13" s="303">
        <v>1.4999999999999999E-2</v>
      </c>
      <c r="I13" s="228" t="s">
        <v>1441</v>
      </c>
      <c r="J13" s="303">
        <v>5.0000000000000001E-3</v>
      </c>
      <c r="K13" s="228" t="s">
        <v>1468</v>
      </c>
      <c r="L13" s="303">
        <v>7.8100000000000003E-2</v>
      </c>
      <c r="M13" s="228" t="s">
        <v>1414</v>
      </c>
    </row>
    <row r="14" spans="1:13" x14ac:dyDescent="0.2">
      <c r="B14" s="228" t="s">
        <v>1542</v>
      </c>
      <c r="C14" s="303">
        <v>5.1999999999999998E-2</v>
      </c>
      <c r="D14" s="306">
        <f t="shared" si="0"/>
        <v>4.1079999999999998E-2</v>
      </c>
      <c r="E14" s="228" t="s">
        <v>1430</v>
      </c>
      <c r="F14" s="304">
        <v>2.5000000000000001E-3</v>
      </c>
      <c r="G14" s="228" t="s">
        <v>1438</v>
      </c>
      <c r="H14" s="303">
        <v>1.4999999999999999E-2</v>
      </c>
      <c r="I14" s="228" t="s">
        <v>1441</v>
      </c>
      <c r="J14" s="303">
        <v>5.0000000000000001E-3</v>
      </c>
      <c r="K14" s="228" t="s">
        <v>1468</v>
      </c>
      <c r="L14" s="304">
        <f>L13</f>
        <v>7.8100000000000003E-2</v>
      </c>
    </row>
    <row r="15" spans="1:13" x14ac:dyDescent="0.2">
      <c r="B15" s="228" t="s">
        <v>1425</v>
      </c>
      <c r="C15" s="303">
        <v>2.5999999999999999E-2</v>
      </c>
      <c r="D15" s="306">
        <f t="shared" si="0"/>
        <v>2.0539999999999999E-2</v>
      </c>
      <c r="E15" s="228" t="s">
        <v>1430</v>
      </c>
      <c r="F15" s="304">
        <f>F14</f>
        <v>2.5000000000000001E-3</v>
      </c>
      <c r="G15" s="228" t="s">
        <v>1438</v>
      </c>
      <c r="H15" s="303">
        <v>1.4999999999999999E-2</v>
      </c>
      <c r="I15" s="228" t="s">
        <v>1441</v>
      </c>
      <c r="J15" s="303">
        <v>5.0000000000000001E-3</v>
      </c>
      <c r="K15" s="228" t="s">
        <v>1468</v>
      </c>
      <c r="L15" s="304">
        <f>L13</f>
        <v>7.8100000000000003E-2</v>
      </c>
    </row>
    <row r="16" spans="1:13" x14ac:dyDescent="0.2">
      <c r="B16" s="228" t="s">
        <v>1738</v>
      </c>
      <c r="C16" s="303"/>
      <c r="D16" s="306"/>
      <c r="F16" s="304"/>
      <c r="H16" s="303"/>
      <c r="J16" s="303"/>
      <c r="L16" s="304"/>
    </row>
    <row r="17" spans="1:13" x14ac:dyDescent="0.2">
      <c r="A17" s="228" t="s">
        <v>1739</v>
      </c>
      <c r="B17" s="228" t="s">
        <v>1737</v>
      </c>
      <c r="C17" s="303"/>
      <c r="D17" s="306"/>
      <c r="F17" s="304"/>
      <c r="H17" s="303"/>
      <c r="J17" s="303"/>
      <c r="L17" s="304"/>
    </row>
    <row r="18" spans="1:13" x14ac:dyDescent="0.2">
      <c r="B18" s="228" t="s">
        <v>1403</v>
      </c>
      <c r="C18" s="303">
        <f>D18*100/79</f>
        <v>5.8140000000000004E-2</v>
      </c>
      <c r="D18" s="306">
        <f>D7*(1-49%)</f>
        <v>4.5930600000000002E-2</v>
      </c>
      <c r="E18" s="228" t="s">
        <v>1437</v>
      </c>
      <c r="F18" s="306">
        <f>F7</f>
        <v>0</v>
      </c>
      <c r="G18" s="228" t="s">
        <v>1439</v>
      </c>
      <c r="H18" s="303">
        <v>1.4999999999999999E-2</v>
      </c>
      <c r="I18" s="228" t="s">
        <v>1441</v>
      </c>
      <c r="J18" s="303">
        <v>5.0000000000000001E-3</v>
      </c>
      <c r="K18" s="228" t="s">
        <v>1468</v>
      </c>
      <c r="L18" s="303">
        <v>5.5800000000000002E-2</v>
      </c>
      <c r="M18" s="228" t="s">
        <v>888</v>
      </c>
    </row>
    <row r="19" spans="1:13" x14ac:dyDescent="0.2">
      <c r="B19" s="228" t="s">
        <v>1542</v>
      </c>
      <c r="C19" s="303">
        <f t="shared" ref="C19:C20" si="1">D19*100/79</f>
        <v>1.2750000000000003E-2</v>
      </c>
      <c r="D19" s="315">
        <f>D8*(1-49%)</f>
        <v>1.0072500000000002E-2</v>
      </c>
      <c r="E19" s="228" t="s">
        <v>1437</v>
      </c>
      <c r="F19" s="303">
        <f>F8</f>
        <v>5.0000000000000001E-3</v>
      </c>
      <c r="G19" s="228" t="s">
        <v>1439</v>
      </c>
      <c r="H19" s="303">
        <v>1.4999999999999999E-2</v>
      </c>
      <c r="I19" s="228" t="s">
        <v>1441</v>
      </c>
      <c r="J19" s="303">
        <v>5.0000000000000001E-3</v>
      </c>
      <c r="K19" s="228" t="s">
        <v>1468</v>
      </c>
      <c r="L19" s="304">
        <f>L18</f>
        <v>5.5800000000000002E-2</v>
      </c>
    </row>
    <row r="20" spans="1:13" x14ac:dyDescent="0.2">
      <c r="B20" s="228" t="s">
        <v>1425</v>
      </c>
      <c r="C20" s="303">
        <f t="shared" si="1"/>
        <v>6.6299999999999996E-3</v>
      </c>
      <c r="D20" s="315">
        <f>D9*(1-49%)</f>
        <v>5.2376999999999996E-3</v>
      </c>
      <c r="E20" s="228" t="s">
        <v>1437</v>
      </c>
      <c r="F20" s="303">
        <f>F9</f>
        <v>5.0000000000000001E-3</v>
      </c>
      <c r="G20" s="228" t="s">
        <v>1439</v>
      </c>
      <c r="H20" s="303">
        <v>1.4999999999999999E-2</v>
      </c>
      <c r="I20" s="228" t="s">
        <v>1441</v>
      </c>
      <c r="J20" s="303">
        <v>5.0000000000000001E-3</v>
      </c>
      <c r="K20" s="228" t="s">
        <v>1468</v>
      </c>
      <c r="L20" s="304">
        <f>L18</f>
        <v>5.5800000000000002E-2</v>
      </c>
    </row>
    <row r="21" spans="1:13" x14ac:dyDescent="0.2">
      <c r="B21" s="228" t="s">
        <v>1738</v>
      </c>
      <c r="C21" s="303"/>
      <c r="D21" s="315"/>
      <c r="F21" s="303"/>
      <c r="H21" s="303"/>
      <c r="J21" s="303"/>
      <c r="L21" s="304"/>
    </row>
    <row r="22" spans="1:13" x14ac:dyDescent="0.2">
      <c r="B22" s="228" t="s">
        <v>1738</v>
      </c>
      <c r="C22" s="303"/>
      <c r="D22" s="315"/>
      <c r="F22" s="303"/>
      <c r="H22" s="303"/>
      <c r="J22" s="303"/>
      <c r="L22" s="304"/>
    </row>
    <row r="23" spans="1:13" x14ac:dyDescent="0.2">
      <c r="A23" s="228" t="s">
        <v>1445</v>
      </c>
      <c r="C23" s="303"/>
      <c r="D23" s="315"/>
      <c r="F23" s="303"/>
      <c r="H23" s="303"/>
      <c r="J23" s="303"/>
      <c r="L23" s="318">
        <f>L9*61%</f>
        <v>8.5155999999999996E-2</v>
      </c>
      <c r="M23" s="228" t="s">
        <v>1414</v>
      </c>
    </row>
    <row r="24" spans="1:13" x14ac:dyDescent="0.2">
      <c r="C24" s="303"/>
      <c r="D24" s="315"/>
      <c r="F24" s="303"/>
      <c r="H24" s="303"/>
      <c r="J24" s="303"/>
      <c r="L24" s="318"/>
    </row>
    <row r="25" spans="1:13" x14ac:dyDescent="0.2">
      <c r="A25" s="228" t="s">
        <v>1446</v>
      </c>
      <c r="B25" s="228" t="s">
        <v>1737</v>
      </c>
      <c r="C25" s="303"/>
      <c r="D25" s="315"/>
      <c r="F25" s="303"/>
      <c r="H25" s="303"/>
      <c r="J25" s="303"/>
      <c r="L25" s="318">
        <f>L7*56%</f>
        <v>7.8176000000000009E-2</v>
      </c>
      <c r="M25" s="228" t="s">
        <v>1414</v>
      </c>
    </row>
    <row r="26" spans="1:13" x14ac:dyDescent="0.2">
      <c r="B26" s="228" t="s">
        <v>1738</v>
      </c>
      <c r="C26" s="303"/>
      <c r="D26" s="315"/>
      <c r="F26" s="303"/>
      <c r="H26" s="303"/>
      <c r="J26" s="303"/>
      <c r="L26" s="318"/>
    </row>
    <row r="27" spans="1:13" x14ac:dyDescent="0.2">
      <c r="B27" s="228" t="s">
        <v>1738</v>
      </c>
      <c r="C27" s="303"/>
      <c r="D27" s="315"/>
      <c r="F27" s="303"/>
      <c r="H27" s="303"/>
      <c r="J27" s="303"/>
      <c r="L27" s="318"/>
    </row>
    <row r="28" spans="1:13" x14ac:dyDescent="0.2">
      <c r="A28" s="228" t="s">
        <v>1427</v>
      </c>
      <c r="B28" s="228" t="s">
        <v>1737</v>
      </c>
      <c r="C28" s="303"/>
      <c r="D28" s="315"/>
      <c r="F28" s="303"/>
      <c r="H28" s="303"/>
      <c r="J28" s="303"/>
      <c r="L28" s="318"/>
    </row>
    <row r="29" spans="1:13" x14ac:dyDescent="0.2">
      <c r="B29" s="228" t="s">
        <v>1403</v>
      </c>
      <c r="C29" s="306">
        <v>0.33</v>
      </c>
      <c r="D29" s="306">
        <f>30%</f>
        <v>0.3</v>
      </c>
      <c r="E29" s="228" t="s">
        <v>1430</v>
      </c>
      <c r="F29" s="317">
        <f>F7</f>
        <v>0</v>
      </c>
      <c r="G29" s="308" t="s">
        <v>1440</v>
      </c>
      <c r="H29" s="303">
        <v>1.4999999999999999E-2</v>
      </c>
      <c r="I29" s="228" t="s">
        <v>1441</v>
      </c>
      <c r="J29" s="303">
        <v>5.0000000000000001E-3</v>
      </c>
      <c r="K29" s="228" t="s">
        <v>1468</v>
      </c>
      <c r="L29" s="303">
        <v>0.1396</v>
      </c>
      <c r="M29" s="228" t="s">
        <v>1414</v>
      </c>
    </row>
    <row r="30" spans="1:13" x14ac:dyDescent="0.2">
      <c r="B30" s="228" t="s">
        <v>1542</v>
      </c>
      <c r="C30" s="303">
        <v>6.7000000000000004E-2</v>
      </c>
      <c r="D30" s="306">
        <f>6%</f>
        <v>0.06</v>
      </c>
      <c r="E30" s="228" t="s">
        <v>1430</v>
      </c>
      <c r="F30" s="317">
        <f>F8</f>
        <v>5.0000000000000001E-3</v>
      </c>
      <c r="G30" s="308" t="s">
        <v>1440</v>
      </c>
      <c r="H30" s="303">
        <v>1.4999999999999999E-2</v>
      </c>
      <c r="I30" s="228" t="s">
        <v>1441</v>
      </c>
      <c r="J30" s="303">
        <v>5.0000000000000001E-3</v>
      </c>
      <c r="K30" s="228" t="s">
        <v>1468</v>
      </c>
      <c r="L30" s="304">
        <f>L29</f>
        <v>0.1396</v>
      </c>
    </row>
    <row r="31" spans="1:13" x14ac:dyDescent="0.2">
      <c r="B31" s="228" t="s">
        <v>1425</v>
      </c>
      <c r="C31" s="303">
        <v>2.1999999999999999E-2</v>
      </c>
      <c r="D31" s="306">
        <f t="shared" si="0"/>
        <v>1.738E-2</v>
      </c>
      <c r="E31" s="228" t="s">
        <v>1430</v>
      </c>
      <c r="F31" s="317">
        <f>F9</f>
        <v>5.0000000000000001E-3</v>
      </c>
      <c r="G31" s="308" t="s">
        <v>1440</v>
      </c>
      <c r="H31" s="303">
        <v>1.4999999999999999E-2</v>
      </c>
      <c r="I31" s="228" t="s">
        <v>1441</v>
      </c>
      <c r="J31" s="303">
        <v>5.0000000000000001E-3</v>
      </c>
      <c r="K31" s="228" t="s">
        <v>1468</v>
      </c>
      <c r="L31" s="304">
        <f>L29</f>
        <v>0.1396</v>
      </c>
    </row>
    <row r="32" spans="1:13" x14ac:dyDescent="0.2">
      <c r="B32" s="228" t="s">
        <v>1740</v>
      </c>
      <c r="C32" s="303"/>
      <c r="D32" s="306"/>
      <c r="F32" s="317"/>
      <c r="G32" s="308"/>
      <c r="H32" s="303"/>
      <c r="J32" s="303"/>
      <c r="L32" s="304"/>
    </row>
    <row r="33" spans="1:13" x14ac:dyDescent="0.2">
      <c r="A33" s="228" t="s">
        <v>1428</v>
      </c>
      <c r="B33" s="228" t="s">
        <v>1737</v>
      </c>
      <c r="C33" s="303"/>
      <c r="D33" s="306"/>
      <c r="F33" s="317"/>
      <c r="G33" s="308"/>
      <c r="H33" s="303"/>
      <c r="J33" s="303"/>
      <c r="L33" s="304"/>
    </row>
    <row r="34" spans="1:13" x14ac:dyDescent="0.2">
      <c r="B34" s="228" t="s">
        <v>1403</v>
      </c>
      <c r="C34" s="306"/>
      <c r="D34" s="306">
        <v>0.25</v>
      </c>
      <c r="E34" s="228" t="s">
        <v>1430</v>
      </c>
      <c r="F34" s="306">
        <v>7.0000000000000007E-2</v>
      </c>
      <c r="G34" s="228" t="s">
        <v>915</v>
      </c>
      <c r="H34" s="303">
        <v>1.4999999999999999E-2</v>
      </c>
      <c r="I34" s="228" t="s">
        <v>1441</v>
      </c>
      <c r="J34" s="303">
        <v>5.0000000000000001E-3</v>
      </c>
      <c r="K34" s="228" t="s">
        <v>1468</v>
      </c>
      <c r="L34" s="122" t="s">
        <v>1444</v>
      </c>
      <c r="M34" s="228" t="s">
        <v>915</v>
      </c>
    </row>
    <row r="35" spans="1:13" x14ac:dyDescent="0.2">
      <c r="B35" s="228" t="s">
        <v>1743</v>
      </c>
      <c r="C35" s="306"/>
      <c r="D35" s="306">
        <v>0.13</v>
      </c>
      <c r="E35" s="228" t="s">
        <v>1430</v>
      </c>
      <c r="F35" s="306">
        <v>0.01</v>
      </c>
      <c r="G35" s="228" t="s">
        <v>915</v>
      </c>
      <c r="H35" s="303">
        <v>1.4999999999999999E-2</v>
      </c>
      <c r="I35" s="228" t="s">
        <v>1441</v>
      </c>
      <c r="J35" s="303">
        <v>5.0000000000000001E-3</v>
      </c>
      <c r="K35" s="228" t="s">
        <v>1468</v>
      </c>
      <c r="L35" s="122" t="s">
        <v>1444</v>
      </c>
      <c r="M35" s="228" t="s">
        <v>915</v>
      </c>
    </row>
    <row r="36" spans="1:13" x14ac:dyDescent="0.2">
      <c r="B36" s="228" t="s">
        <v>1740</v>
      </c>
      <c r="C36" s="306"/>
      <c r="D36" s="306"/>
      <c r="F36" s="306"/>
      <c r="H36" s="303"/>
      <c r="J36" s="303"/>
      <c r="L36" s="122"/>
    </row>
    <row r="37" spans="1:13" x14ac:dyDescent="0.2">
      <c r="A37" s="228" t="s">
        <v>1429</v>
      </c>
      <c r="B37" s="228" t="s">
        <v>1737</v>
      </c>
      <c r="C37" s="306"/>
      <c r="D37" s="306"/>
      <c r="F37" s="306"/>
      <c r="H37" s="303"/>
      <c r="J37" s="303"/>
      <c r="L37" s="122"/>
    </row>
    <row r="38" spans="1:13" x14ac:dyDescent="0.2">
      <c r="B38" s="228" t="s">
        <v>1403</v>
      </c>
      <c r="C38" s="122"/>
      <c r="D38" s="306">
        <v>0.25</v>
      </c>
      <c r="E38" s="228" t="s">
        <v>1430</v>
      </c>
      <c r="F38" s="304">
        <v>5.0000000000000001E-3</v>
      </c>
      <c r="G38" s="308" t="s">
        <v>915</v>
      </c>
      <c r="H38" s="303">
        <v>1.4999999999999999E-2</v>
      </c>
      <c r="I38" s="228" t="s">
        <v>1441</v>
      </c>
      <c r="J38" s="303">
        <v>5.0000000000000001E-3</v>
      </c>
      <c r="K38" s="228" t="s">
        <v>1468</v>
      </c>
      <c r="L38" s="306">
        <v>0.02</v>
      </c>
      <c r="M38" s="228" t="s">
        <v>915</v>
      </c>
    </row>
    <row r="39" spans="1:13" x14ac:dyDescent="0.2">
      <c r="B39" s="228" t="s">
        <v>1543</v>
      </c>
      <c r="C39" s="122"/>
      <c r="D39" s="306">
        <v>0.13</v>
      </c>
      <c r="E39" s="228" t="s">
        <v>1430</v>
      </c>
      <c r="F39" s="303">
        <v>5.0000000000000001E-3</v>
      </c>
      <c r="G39" s="228" t="s">
        <v>915</v>
      </c>
      <c r="H39" s="303">
        <v>1.4999999999999999E-2</v>
      </c>
      <c r="I39" s="228" t="s">
        <v>1441</v>
      </c>
      <c r="J39" s="303">
        <v>5.0000000000000001E-3</v>
      </c>
      <c r="K39" s="228" t="s">
        <v>1468</v>
      </c>
      <c r="L39" s="306">
        <v>0.02</v>
      </c>
      <c r="M39" s="228" t="s">
        <v>915</v>
      </c>
    </row>
    <row r="40" spans="1:13" x14ac:dyDescent="0.2">
      <c r="B40" s="228" t="s">
        <v>1740</v>
      </c>
    </row>
    <row r="41" spans="1:13" x14ac:dyDescent="0.2">
      <c r="B41" s="228" t="s">
        <v>1740</v>
      </c>
    </row>
    <row r="43" spans="1:13" s="324" customFormat="1" x14ac:dyDescent="0.2">
      <c r="A43" s="323">
        <v>1</v>
      </c>
      <c r="B43" s="323">
        <v>2</v>
      </c>
      <c r="C43" s="323">
        <v>3</v>
      </c>
      <c r="D43" s="323">
        <v>4</v>
      </c>
      <c r="E43" s="323">
        <v>5</v>
      </c>
      <c r="F43" s="323">
        <v>6</v>
      </c>
      <c r="G43" s="323">
        <v>7</v>
      </c>
      <c r="H43" s="323">
        <v>8</v>
      </c>
      <c r="I43" s="323">
        <v>9</v>
      </c>
      <c r="J43" s="323">
        <v>10</v>
      </c>
      <c r="K43" s="323">
        <v>11</v>
      </c>
      <c r="L43" s="323">
        <v>12</v>
      </c>
      <c r="M43" s="323">
        <v>13</v>
      </c>
    </row>
    <row r="44" spans="1:13" s="319" customFormat="1" x14ac:dyDescent="0.2"/>
    <row r="45" spans="1:13" s="319" customFormat="1" ht="35.25" customHeight="1" x14ac:dyDescent="0.2">
      <c r="A45" s="320" t="s">
        <v>1447</v>
      </c>
      <c r="B45" s="320" t="s">
        <v>1453</v>
      </c>
      <c r="C45" s="321" t="s">
        <v>1455</v>
      </c>
      <c r="D45" s="322" t="s">
        <v>1456</v>
      </c>
      <c r="E45" s="320" t="s">
        <v>829</v>
      </c>
      <c r="F45" s="322" t="s">
        <v>1457</v>
      </c>
      <c r="G45" s="320" t="s">
        <v>829</v>
      </c>
      <c r="H45" s="322" t="s">
        <v>1458</v>
      </c>
      <c r="I45" s="320" t="s">
        <v>829</v>
      </c>
      <c r="J45" s="322" t="s">
        <v>1459</v>
      </c>
      <c r="K45" s="320" t="s">
        <v>829</v>
      </c>
      <c r="L45" s="322" t="s">
        <v>1443</v>
      </c>
      <c r="M45" s="320" t="s">
        <v>829</v>
      </c>
    </row>
    <row r="46" spans="1:13" s="319" customFormat="1" ht="35.25" customHeight="1" x14ac:dyDescent="0.2">
      <c r="A46" s="320"/>
      <c r="B46" s="320"/>
      <c r="C46" s="321"/>
      <c r="D46" s="322"/>
      <c r="E46" s="320"/>
      <c r="F46" s="322"/>
      <c r="G46" s="320"/>
      <c r="H46" s="322"/>
      <c r="I46" s="320"/>
      <c r="J46" s="322"/>
      <c r="K46" s="320"/>
      <c r="L46" s="322"/>
      <c r="M46" s="320"/>
    </row>
    <row r="47" spans="1:13" x14ac:dyDescent="0.2">
      <c r="A47" s="228" t="s">
        <v>810</v>
      </c>
      <c r="B47" s="228" t="s">
        <v>1741</v>
      </c>
    </row>
    <row r="48" spans="1:13" x14ac:dyDescent="0.2">
      <c r="B48" s="228" t="s">
        <v>813</v>
      </c>
      <c r="C48" s="303">
        <v>0.114</v>
      </c>
      <c r="D48" s="306">
        <f>C48*79%</f>
        <v>9.0060000000000001E-2</v>
      </c>
      <c r="E48" s="228" t="s">
        <v>1430</v>
      </c>
      <c r="F48" s="306">
        <v>0</v>
      </c>
      <c r="G48" s="228" t="s">
        <v>915</v>
      </c>
      <c r="H48" s="303">
        <v>1.4999999999999999E-2</v>
      </c>
      <c r="I48" s="228" t="s">
        <v>1441</v>
      </c>
      <c r="J48" s="303">
        <v>5.0000000000000001E-3</v>
      </c>
      <c r="K48" s="228" t="s">
        <v>1468</v>
      </c>
      <c r="L48" s="303">
        <v>0.1396</v>
      </c>
      <c r="M48" s="228" t="s">
        <v>1414</v>
      </c>
    </row>
    <row r="49" spans="1:13" x14ac:dyDescent="0.2">
      <c r="B49" s="228" t="s">
        <v>1541</v>
      </c>
      <c r="C49" s="303">
        <v>2.5000000000000001E-2</v>
      </c>
      <c r="D49" s="306">
        <f t="shared" ref="D49:D71" si="2">C49*79%</f>
        <v>1.9750000000000004E-2</v>
      </c>
      <c r="E49" s="228" t="s">
        <v>1430</v>
      </c>
      <c r="F49" s="303">
        <v>5.0000000000000001E-3</v>
      </c>
      <c r="G49" s="228" t="s">
        <v>915</v>
      </c>
      <c r="H49" s="303">
        <v>1.4999999999999999E-2</v>
      </c>
      <c r="I49" s="228" t="s">
        <v>1441</v>
      </c>
      <c r="J49" s="303">
        <v>5.0000000000000001E-3</v>
      </c>
      <c r="K49" s="228" t="s">
        <v>1468</v>
      </c>
      <c r="L49" s="304">
        <f>L48</f>
        <v>0.1396</v>
      </c>
    </row>
    <row r="50" spans="1:13" x14ac:dyDescent="0.2">
      <c r="B50" s="228" t="s">
        <v>1454</v>
      </c>
      <c r="C50" s="303">
        <v>1.2999999999999999E-2</v>
      </c>
      <c r="D50" s="306">
        <f t="shared" si="2"/>
        <v>1.027E-2</v>
      </c>
      <c r="E50" s="228" t="s">
        <v>1430</v>
      </c>
      <c r="F50" s="304">
        <f>F49</f>
        <v>5.0000000000000001E-3</v>
      </c>
      <c r="G50" s="228" t="s">
        <v>915</v>
      </c>
      <c r="H50" s="303">
        <v>1.4999999999999999E-2</v>
      </c>
      <c r="I50" s="228" t="s">
        <v>1441</v>
      </c>
      <c r="J50" s="303">
        <v>5.0000000000000001E-3</v>
      </c>
      <c r="K50" s="228" t="s">
        <v>1468</v>
      </c>
      <c r="L50" s="304">
        <f>L49</f>
        <v>0.1396</v>
      </c>
    </row>
    <row r="51" spans="1:13" x14ac:dyDescent="0.2">
      <c r="B51" s="228" t="s">
        <v>1738</v>
      </c>
      <c r="C51" s="303"/>
      <c r="D51" s="306"/>
      <c r="F51" s="304"/>
      <c r="H51" s="303"/>
      <c r="J51" s="303"/>
      <c r="L51" s="304"/>
    </row>
    <row r="52" spans="1:13" x14ac:dyDescent="0.2">
      <c r="B52" s="228" t="s">
        <v>1738</v>
      </c>
      <c r="C52" s="303"/>
      <c r="D52" s="306"/>
      <c r="F52" s="304"/>
      <c r="H52" s="303"/>
      <c r="J52" s="303"/>
      <c r="L52" s="304"/>
    </row>
    <row r="53" spans="1:13" x14ac:dyDescent="0.2">
      <c r="A53" s="228" t="s">
        <v>1469</v>
      </c>
      <c r="B53" s="228" t="s">
        <v>1741</v>
      </c>
      <c r="C53" s="303"/>
      <c r="D53" s="306"/>
      <c r="F53" s="304"/>
      <c r="H53" s="303"/>
      <c r="J53" s="303"/>
      <c r="L53" s="304"/>
    </row>
    <row r="54" spans="1:13" x14ac:dyDescent="0.2">
      <c r="B54" s="228" t="s">
        <v>813</v>
      </c>
      <c r="C54" s="303">
        <v>0.27300000000000002</v>
      </c>
      <c r="D54" s="306">
        <f>21%</f>
        <v>0.21</v>
      </c>
      <c r="E54" s="228" t="s">
        <v>1430</v>
      </c>
      <c r="F54" s="122">
        <f>F48*(1-50%)</f>
        <v>0</v>
      </c>
      <c r="G54" s="228" t="s">
        <v>1438</v>
      </c>
      <c r="H54" s="303">
        <v>1.4999999999999999E-2</v>
      </c>
      <c r="I54" s="228" t="s">
        <v>1441</v>
      </c>
      <c r="J54" s="303">
        <v>5.0000000000000001E-3</v>
      </c>
      <c r="K54" s="228" t="s">
        <v>1468</v>
      </c>
      <c r="L54" s="303">
        <v>7.8100000000000003E-2</v>
      </c>
      <c r="M54" s="228" t="s">
        <v>1414</v>
      </c>
    </row>
    <row r="55" spans="1:13" x14ac:dyDescent="0.2">
      <c r="B55" s="228" t="s">
        <v>1541</v>
      </c>
      <c r="C55" s="303">
        <v>5.1999999999999998E-2</v>
      </c>
      <c r="D55" s="306">
        <f t="shared" si="2"/>
        <v>4.1079999999999998E-2</v>
      </c>
      <c r="E55" s="228" t="s">
        <v>1430</v>
      </c>
      <c r="F55" s="304">
        <v>2.5000000000000001E-3</v>
      </c>
      <c r="G55" s="228" t="s">
        <v>1438</v>
      </c>
      <c r="H55" s="303">
        <v>1.4999999999999999E-2</v>
      </c>
      <c r="I55" s="228" t="s">
        <v>1441</v>
      </c>
      <c r="J55" s="303">
        <v>5.0000000000000001E-3</v>
      </c>
      <c r="K55" s="228" t="s">
        <v>1468</v>
      </c>
      <c r="L55" s="304">
        <f>L54</f>
        <v>7.8100000000000003E-2</v>
      </c>
    </row>
    <row r="56" spans="1:13" x14ac:dyDescent="0.2">
      <c r="B56" s="228" t="s">
        <v>1454</v>
      </c>
      <c r="C56" s="303">
        <v>2.5999999999999999E-2</v>
      </c>
      <c r="D56" s="306">
        <f t="shared" si="2"/>
        <v>2.0539999999999999E-2</v>
      </c>
      <c r="E56" s="228" t="s">
        <v>1430</v>
      </c>
      <c r="F56" s="304">
        <f>F55</f>
        <v>2.5000000000000001E-3</v>
      </c>
      <c r="G56" s="228" t="s">
        <v>1438</v>
      </c>
      <c r="H56" s="303">
        <v>1.4999999999999999E-2</v>
      </c>
      <c r="I56" s="228" t="s">
        <v>1441</v>
      </c>
      <c r="J56" s="303">
        <v>5.0000000000000001E-3</v>
      </c>
      <c r="K56" s="228" t="s">
        <v>1468</v>
      </c>
      <c r="L56" s="304">
        <f>L54</f>
        <v>7.8100000000000003E-2</v>
      </c>
    </row>
    <row r="57" spans="1:13" x14ac:dyDescent="0.2">
      <c r="B57" s="228" t="s">
        <v>1738</v>
      </c>
      <c r="C57" s="303"/>
      <c r="D57" s="306"/>
      <c r="F57" s="304"/>
      <c r="H57" s="303"/>
      <c r="J57" s="303"/>
      <c r="L57" s="304"/>
    </row>
    <row r="58" spans="1:13" x14ac:dyDescent="0.2">
      <c r="A58" s="228" t="s">
        <v>1448</v>
      </c>
      <c r="B58" s="228" t="s">
        <v>1741</v>
      </c>
      <c r="C58" s="303"/>
      <c r="D58" s="306"/>
      <c r="F58" s="304"/>
      <c r="H58" s="303"/>
      <c r="J58" s="303"/>
      <c r="L58" s="304"/>
    </row>
    <row r="59" spans="1:13" x14ac:dyDescent="0.2">
      <c r="B59" s="228" t="s">
        <v>813</v>
      </c>
      <c r="C59" s="303">
        <f>D59*100/79</f>
        <v>5.8140000000000004E-2</v>
      </c>
      <c r="D59" s="306">
        <f>D48*(1-49%)</f>
        <v>4.5930600000000002E-2</v>
      </c>
      <c r="E59" s="228" t="s">
        <v>1437</v>
      </c>
      <c r="F59" s="306">
        <f>F48</f>
        <v>0</v>
      </c>
      <c r="G59" s="228" t="s">
        <v>1439</v>
      </c>
      <c r="H59" s="303">
        <v>1.4999999999999999E-2</v>
      </c>
      <c r="I59" s="228" t="s">
        <v>1441</v>
      </c>
      <c r="J59" s="303">
        <v>5.0000000000000001E-3</v>
      </c>
      <c r="K59" s="228" t="s">
        <v>1468</v>
      </c>
      <c r="L59" s="303">
        <v>5.5800000000000002E-2</v>
      </c>
      <c r="M59" s="228" t="s">
        <v>888</v>
      </c>
    </row>
    <row r="60" spans="1:13" x14ac:dyDescent="0.2">
      <c r="B60" s="228" t="s">
        <v>1541</v>
      </c>
      <c r="C60" s="303">
        <f t="shared" ref="C60:C61" si="3">D60*100/79</f>
        <v>1.2750000000000003E-2</v>
      </c>
      <c r="D60" s="315">
        <f t="shared" ref="D60" si="4">D49*(1-49%)</f>
        <v>1.0072500000000002E-2</v>
      </c>
      <c r="E60" s="228" t="s">
        <v>1437</v>
      </c>
      <c r="F60" s="303">
        <f>F49</f>
        <v>5.0000000000000001E-3</v>
      </c>
      <c r="G60" s="228" t="s">
        <v>1439</v>
      </c>
      <c r="H60" s="303">
        <v>1.4999999999999999E-2</v>
      </c>
      <c r="I60" s="228" t="s">
        <v>1441</v>
      </c>
      <c r="J60" s="303">
        <v>5.0000000000000001E-3</v>
      </c>
      <c r="K60" s="228" t="s">
        <v>1468</v>
      </c>
      <c r="L60" s="304">
        <f>L59</f>
        <v>5.5800000000000002E-2</v>
      </c>
    </row>
    <row r="61" spans="1:13" x14ac:dyDescent="0.2">
      <c r="B61" s="228" t="s">
        <v>1454</v>
      </c>
      <c r="C61" s="303">
        <f t="shared" si="3"/>
        <v>6.6299999999999996E-3</v>
      </c>
      <c r="D61" s="315">
        <f>D50*(1-49%)</f>
        <v>5.2376999999999996E-3</v>
      </c>
      <c r="E61" s="228" t="s">
        <v>1437</v>
      </c>
      <c r="F61" s="303">
        <f>F50</f>
        <v>5.0000000000000001E-3</v>
      </c>
      <c r="G61" s="228" t="s">
        <v>1439</v>
      </c>
      <c r="H61" s="303">
        <v>1.4999999999999999E-2</v>
      </c>
      <c r="I61" s="228" t="s">
        <v>1441</v>
      </c>
      <c r="J61" s="303">
        <v>5.0000000000000001E-3</v>
      </c>
      <c r="K61" s="228" t="s">
        <v>1468</v>
      </c>
      <c r="L61" s="304">
        <f>L59</f>
        <v>5.5800000000000002E-2</v>
      </c>
    </row>
    <row r="62" spans="1:13" x14ac:dyDescent="0.2">
      <c r="B62" s="228" t="s">
        <v>1738</v>
      </c>
      <c r="C62" s="303"/>
      <c r="D62" s="315"/>
      <c r="F62" s="303"/>
      <c r="H62" s="303"/>
      <c r="J62" s="303"/>
      <c r="L62" s="304"/>
    </row>
    <row r="63" spans="1:13" x14ac:dyDescent="0.2">
      <c r="A63" s="228" t="s">
        <v>1449</v>
      </c>
      <c r="C63" s="303"/>
      <c r="D63" s="315"/>
      <c r="F63" s="303"/>
      <c r="H63" s="303"/>
      <c r="J63" s="303"/>
      <c r="L63" s="318">
        <f>L50*61%</f>
        <v>8.5155999999999996E-2</v>
      </c>
      <c r="M63" s="228" t="s">
        <v>1414</v>
      </c>
    </row>
    <row r="64" spans="1:13" x14ac:dyDescent="0.2">
      <c r="C64" s="303"/>
      <c r="D64" s="315"/>
      <c r="F64" s="303"/>
      <c r="H64" s="303"/>
      <c r="J64" s="303"/>
      <c r="L64" s="318"/>
    </row>
    <row r="65" spans="1:13" x14ac:dyDescent="0.2">
      <c r="A65" s="228" t="s">
        <v>1450</v>
      </c>
      <c r="B65" s="228" t="s">
        <v>1741</v>
      </c>
      <c r="C65" s="303"/>
      <c r="D65" s="315"/>
      <c r="F65" s="303"/>
      <c r="H65" s="303"/>
      <c r="J65" s="303"/>
      <c r="L65" s="318">
        <f>L48*56%</f>
        <v>7.8176000000000009E-2</v>
      </c>
      <c r="M65" s="228" t="s">
        <v>1414</v>
      </c>
    </row>
    <row r="66" spans="1:13" x14ac:dyDescent="0.2">
      <c r="B66" s="228" t="s">
        <v>1738</v>
      </c>
      <c r="C66" s="303"/>
      <c r="D66" s="315"/>
      <c r="F66" s="303"/>
      <c r="H66" s="303"/>
      <c r="J66" s="303"/>
      <c r="L66" s="318"/>
    </row>
    <row r="67" spans="1:13" x14ac:dyDescent="0.2">
      <c r="B67" s="228" t="s">
        <v>1738</v>
      </c>
      <c r="C67" s="303"/>
      <c r="D67" s="315"/>
      <c r="F67" s="303"/>
      <c r="H67" s="303"/>
      <c r="J67" s="303"/>
      <c r="L67" s="318"/>
    </row>
    <row r="68" spans="1:13" x14ac:dyDescent="0.2">
      <c r="A68" s="228" t="s">
        <v>1451</v>
      </c>
      <c r="B68" s="228" t="s">
        <v>1741</v>
      </c>
      <c r="C68" s="303"/>
      <c r="D68" s="315"/>
      <c r="F68" s="303"/>
      <c r="H68" s="303"/>
      <c r="J68" s="303"/>
      <c r="L68" s="318"/>
    </row>
    <row r="69" spans="1:13" x14ac:dyDescent="0.2">
      <c r="B69" s="228" t="s">
        <v>813</v>
      </c>
      <c r="C69" s="306">
        <v>0.33</v>
      </c>
      <c r="D69" s="306">
        <f>30%</f>
        <v>0.3</v>
      </c>
      <c r="E69" s="228" t="s">
        <v>1430</v>
      </c>
      <c r="F69" s="317">
        <f>F48</f>
        <v>0</v>
      </c>
      <c r="G69" s="308" t="s">
        <v>1440</v>
      </c>
      <c r="H69" s="303">
        <v>1.4999999999999999E-2</v>
      </c>
      <c r="I69" s="228" t="s">
        <v>1441</v>
      </c>
      <c r="J69" s="303">
        <v>5.0000000000000001E-3</v>
      </c>
      <c r="K69" s="228" t="s">
        <v>1468</v>
      </c>
      <c r="L69" s="303">
        <v>0.1396</v>
      </c>
      <c r="M69" s="228" t="s">
        <v>1414</v>
      </c>
    </row>
    <row r="70" spans="1:13" x14ac:dyDescent="0.2">
      <c r="B70" s="228" t="s">
        <v>1541</v>
      </c>
      <c r="C70" s="303">
        <v>6.7000000000000004E-2</v>
      </c>
      <c r="D70" s="306">
        <f>6%</f>
        <v>0.06</v>
      </c>
      <c r="E70" s="228" t="s">
        <v>1430</v>
      </c>
      <c r="F70" s="317">
        <f t="shared" ref="F70:F71" si="5">F49</f>
        <v>5.0000000000000001E-3</v>
      </c>
      <c r="G70" s="308" t="s">
        <v>1440</v>
      </c>
      <c r="H70" s="303">
        <v>1.4999999999999999E-2</v>
      </c>
      <c r="I70" s="228" t="s">
        <v>1441</v>
      </c>
      <c r="J70" s="303">
        <v>5.0000000000000001E-3</v>
      </c>
      <c r="K70" s="228" t="s">
        <v>1468</v>
      </c>
      <c r="L70" s="304">
        <f>L69</f>
        <v>0.1396</v>
      </c>
    </row>
    <row r="71" spans="1:13" x14ac:dyDescent="0.2">
      <c r="B71" s="228" t="s">
        <v>1454</v>
      </c>
      <c r="C71" s="303">
        <v>2.1999999999999999E-2</v>
      </c>
      <c r="D71" s="306">
        <f t="shared" si="2"/>
        <v>1.738E-2</v>
      </c>
      <c r="E71" s="228" t="s">
        <v>1430</v>
      </c>
      <c r="F71" s="317">
        <f t="shared" si="5"/>
        <v>5.0000000000000001E-3</v>
      </c>
      <c r="G71" s="308" t="s">
        <v>1440</v>
      </c>
      <c r="H71" s="303">
        <v>1.4999999999999999E-2</v>
      </c>
      <c r="I71" s="228" t="s">
        <v>1441</v>
      </c>
      <c r="J71" s="303">
        <v>5.0000000000000001E-3</v>
      </c>
      <c r="K71" s="228" t="s">
        <v>1468</v>
      </c>
      <c r="L71" s="304">
        <f>L69</f>
        <v>0.1396</v>
      </c>
    </row>
    <row r="72" spans="1:13" x14ac:dyDescent="0.2">
      <c r="B72" s="228" t="s">
        <v>1740</v>
      </c>
      <c r="C72" s="303"/>
      <c r="D72" s="306"/>
      <c r="F72" s="317"/>
      <c r="G72" s="308"/>
      <c r="H72" s="303"/>
      <c r="J72" s="303"/>
      <c r="L72" s="304"/>
    </row>
    <row r="73" spans="1:13" x14ac:dyDescent="0.2">
      <c r="A73" s="228" t="s">
        <v>812</v>
      </c>
      <c r="B73" s="228" t="s">
        <v>1741</v>
      </c>
      <c r="C73" s="303"/>
      <c r="D73" s="306"/>
      <c r="F73" s="317"/>
      <c r="G73" s="308"/>
      <c r="H73" s="303"/>
      <c r="J73" s="303"/>
      <c r="L73" s="304"/>
    </row>
    <row r="74" spans="1:13" x14ac:dyDescent="0.2">
      <c r="B74" s="228" t="s">
        <v>813</v>
      </c>
      <c r="C74" s="306"/>
      <c r="D74" s="306">
        <v>0.25</v>
      </c>
      <c r="E74" s="228" t="s">
        <v>1430</v>
      </c>
      <c r="F74" s="306">
        <v>7.0000000000000007E-2</v>
      </c>
      <c r="G74" s="228" t="s">
        <v>915</v>
      </c>
      <c r="H74" s="303">
        <v>1.4999999999999999E-2</v>
      </c>
      <c r="I74" s="228" t="s">
        <v>1441</v>
      </c>
      <c r="J74" s="303">
        <v>5.0000000000000001E-3</v>
      </c>
      <c r="K74" s="228" t="s">
        <v>1468</v>
      </c>
      <c r="L74" s="122" t="s">
        <v>1444</v>
      </c>
      <c r="M74" s="228" t="s">
        <v>915</v>
      </c>
    </row>
    <row r="75" spans="1:13" x14ac:dyDescent="0.2">
      <c r="B75" s="228" t="s">
        <v>1744</v>
      </c>
      <c r="C75" s="306"/>
      <c r="D75" s="306">
        <v>0.13</v>
      </c>
      <c r="E75" s="228" t="s">
        <v>1430</v>
      </c>
      <c r="F75" s="306">
        <v>0.01</v>
      </c>
      <c r="G75" s="228" t="s">
        <v>915</v>
      </c>
      <c r="H75" s="303">
        <v>1.4999999999999999E-2</v>
      </c>
      <c r="I75" s="228" t="s">
        <v>1441</v>
      </c>
      <c r="J75" s="303">
        <v>5.0000000000000001E-3</v>
      </c>
      <c r="K75" s="228" t="s">
        <v>1468</v>
      </c>
      <c r="L75" s="122" t="s">
        <v>1444</v>
      </c>
      <c r="M75" s="228" t="s">
        <v>915</v>
      </c>
    </row>
    <row r="76" spans="1:13" x14ac:dyDescent="0.2">
      <c r="B76" s="228" t="s">
        <v>1740</v>
      </c>
      <c r="C76" s="306"/>
      <c r="D76" s="306"/>
      <c r="F76" s="306"/>
      <c r="H76" s="303"/>
      <c r="J76" s="303"/>
      <c r="L76" s="122"/>
    </row>
    <row r="77" spans="1:13" x14ac:dyDescent="0.2">
      <c r="B77" s="228" t="s">
        <v>1740</v>
      </c>
      <c r="C77" s="306"/>
      <c r="D77" s="306"/>
      <c r="F77" s="306"/>
      <c r="H77" s="303"/>
      <c r="J77" s="303"/>
      <c r="L77" s="122"/>
    </row>
    <row r="78" spans="1:13" x14ac:dyDescent="0.2">
      <c r="A78" s="228" t="s">
        <v>1452</v>
      </c>
      <c r="B78" s="228" t="s">
        <v>1741</v>
      </c>
      <c r="C78" s="306"/>
      <c r="D78" s="306"/>
      <c r="F78" s="306"/>
      <c r="H78" s="303"/>
      <c r="J78" s="303"/>
      <c r="L78" s="122"/>
    </row>
    <row r="79" spans="1:13" x14ac:dyDescent="0.2">
      <c r="B79" s="228" t="s">
        <v>813</v>
      </c>
      <c r="C79" s="122"/>
      <c r="D79" s="306">
        <v>0.25</v>
      </c>
      <c r="E79" s="228" t="s">
        <v>1430</v>
      </c>
      <c r="F79" s="304">
        <v>5.0000000000000001E-3</v>
      </c>
      <c r="G79" s="308" t="s">
        <v>915</v>
      </c>
      <c r="H79" s="303">
        <v>1.4999999999999999E-2</v>
      </c>
      <c r="I79" s="228" t="s">
        <v>1441</v>
      </c>
      <c r="J79" s="303">
        <v>5.0000000000000001E-3</v>
      </c>
      <c r="K79" s="228" t="s">
        <v>1468</v>
      </c>
      <c r="L79" s="306">
        <v>0.02</v>
      </c>
      <c r="M79" s="228" t="s">
        <v>915</v>
      </c>
    </row>
    <row r="80" spans="1:13" x14ac:dyDescent="0.2">
      <c r="B80" s="228" t="s">
        <v>1744</v>
      </c>
      <c r="C80" s="122"/>
      <c r="D80" s="306">
        <v>0.13</v>
      </c>
      <c r="E80" s="228" t="s">
        <v>1430</v>
      </c>
      <c r="F80" s="303">
        <v>5.0000000000000001E-3</v>
      </c>
      <c r="G80" s="228" t="s">
        <v>915</v>
      </c>
      <c r="H80" s="303">
        <v>1.4999999999999999E-2</v>
      </c>
      <c r="I80" s="228" t="s">
        <v>1441</v>
      </c>
      <c r="J80" s="303">
        <v>5.0000000000000001E-3</v>
      </c>
      <c r="K80" s="228" t="s">
        <v>1468</v>
      </c>
      <c r="L80" s="306">
        <v>0.02</v>
      </c>
      <c r="M80" s="228" t="s">
        <v>915</v>
      </c>
    </row>
    <row r="81" spans="2:2" x14ac:dyDescent="0.2">
      <c r="B81" s="228" t="s">
        <v>1740</v>
      </c>
    </row>
    <row r="82" spans="2:2" x14ac:dyDescent="0.2">
      <c r="B82" s="228" t="s">
        <v>1740</v>
      </c>
    </row>
  </sheetData>
  <sheetProtection algorithmName="SHA-512" hashValue="YIaytmp1BZlXZjSjrvjnKzva8R2LTWiL6TRTzO5ZmDhY50MMXrIyDlp+acjQoig68IVP0ahI1mFLznTtbJlcAQ==" saltValue="QAUV9kbHiIMUMCj/zORgsA==" spinCount="100000" sheet="1" objects="1" scenarios="1"/>
  <protectedRanges>
    <protectedRange sqref="A1:XFD1048576" name="all"/>
  </protectedRange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0.249977111117893"/>
  </sheetPr>
  <dimension ref="A2:L31"/>
  <sheetViews>
    <sheetView workbookViewId="0">
      <selection sqref="A1:XFD1048576"/>
    </sheetView>
  </sheetViews>
  <sheetFormatPr defaultColWidth="9.140625" defaultRowHeight="14.25" x14ac:dyDescent="0.2"/>
  <cols>
    <col min="1" max="1" width="21.42578125" style="228" customWidth="1"/>
    <col min="2" max="2" width="22.85546875" style="228" customWidth="1"/>
    <col min="3" max="3" width="23.85546875" style="228" customWidth="1"/>
    <col min="4" max="4" width="22.42578125" style="228" customWidth="1"/>
    <col min="5" max="5" width="21.28515625" style="228" customWidth="1"/>
    <col min="6" max="6" width="23" style="228" customWidth="1"/>
    <col min="7" max="7" width="22.42578125" style="228" customWidth="1"/>
    <col min="8" max="8" width="21.85546875" style="228" customWidth="1"/>
    <col min="9" max="9" width="21.42578125" style="228" customWidth="1"/>
    <col min="10" max="10" width="24" style="228" customWidth="1"/>
    <col min="11" max="11" width="20.28515625" style="228" customWidth="1"/>
    <col min="12" max="12" width="23.42578125" style="228" customWidth="1"/>
    <col min="13" max="16384" width="9.140625" style="228"/>
  </cols>
  <sheetData>
    <row r="2" spans="1:12" s="324" customFormat="1" x14ac:dyDescent="0.2">
      <c r="A2" s="323">
        <v>1</v>
      </c>
      <c r="B2" s="323">
        <v>2</v>
      </c>
      <c r="C2" s="323">
        <v>3</v>
      </c>
      <c r="D2" s="323">
        <v>4</v>
      </c>
      <c r="E2" s="323">
        <v>5</v>
      </c>
      <c r="F2" s="323">
        <v>6</v>
      </c>
      <c r="G2" s="323">
        <v>7</v>
      </c>
      <c r="H2" s="323">
        <v>8</v>
      </c>
      <c r="I2" s="323">
        <v>9</v>
      </c>
      <c r="J2" s="323">
        <v>10</v>
      </c>
      <c r="K2" s="323"/>
      <c r="L2" s="323"/>
    </row>
    <row r="3" spans="1:12" s="319" customFormat="1" x14ac:dyDescent="0.2"/>
    <row r="4" spans="1:12" s="319" customFormat="1" ht="35.25" customHeight="1" x14ac:dyDescent="0.2">
      <c r="A4" s="320" t="s">
        <v>1423</v>
      </c>
      <c r="B4" s="321" t="s">
        <v>1460</v>
      </c>
      <c r="C4" s="322" t="s">
        <v>1461</v>
      </c>
      <c r="D4" s="320" t="s">
        <v>829</v>
      </c>
      <c r="E4" s="322" t="s">
        <v>1462</v>
      </c>
      <c r="F4" s="320" t="s">
        <v>829</v>
      </c>
      <c r="G4" s="322" t="s">
        <v>1463</v>
      </c>
      <c r="H4" s="320" t="s">
        <v>829</v>
      </c>
      <c r="I4" s="322" t="s">
        <v>1464</v>
      </c>
      <c r="J4" s="320" t="s">
        <v>829</v>
      </c>
      <c r="K4" s="322"/>
      <c r="L4" s="320"/>
    </row>
    <row r="6" spans="1:12" x14ac:dyDescent="0.2">
      <c r="A6" s="228" t="s">
        <v>811</v>
      </c>
      <c r="B6" s="303">
        <f>C6/79%</f>
        <v>0.110126582278481</v>
      </c>
      <c r="C6" s="315">
        <v>8.6999999999999994E-2</v>
      </c>
      <c r="D6" s="228" t="s">
        <v>1465</v>
      </c>
      <c r="E6" s="306">
        <v>0.01</v>
      </c>
      <c r="F6" s="228" t="s">
        <v>915</v>
      </c>
      <c r="G6" s="306">
        <v>0.03</v>
      </c>
      <c r="H6" s="228" t="s">
        <v>1441</v>
      </c>
      <c r="I6" s="303">
        <v>1E-3</v>
      </c>
      <c r="J6" s="228" t="s">
        <v>1442</v>
      </c>
      <c r="K6" s="303"/>
    </row>
    <row r="7" spans="1:12" x14ac:dyDescent="0.2">
      <c r="A7" s="228" t="s">
        <v>1426</v>
      </c>
      <c r="B7" s="303">
        <f>C7/79%</f>
        <v>6.4974683544303788E-2</v>
      </c>
      <c r="C7" s="315">
        <f>C6*59%</f>
        <v>5.1329999999999994E-2</v>
      </c>
      <c r="D7" s="228" t="s">
        <v>1466</v>
      </c>
      <c r="E7" s="315">
        <f>E6*59%</f>
        <v>5.8999999999999999E-3</v>
      </c>
      <c r="F7" s="228" t="s">
        <v>1467</v>
      </c>
      <c r="G7" s="306">
        <v>0.03</v>
      </c>
      <c r="H7" s="228" t="s">
        <v>1441</v>
      </c>
      <c r="I7" s="303">
        <v>1E-3</v>
      </c>
      <c r="J7" s="228" t="s">
        <v>1442</v>
      </c>
      <c r="K7" s="303"/>
    </row>
    <row r="8" spans="1:12" x14ac:dyDescent="0.2">
      <c r="A8" s="228" t="s">
        <v>1435</v>
      </c>
      <c r="B8" s="303"/>
      <c r="C8" s="315">
        <f>C6*67%</f>
        <v>5.8290000000000002E-2</v>
      </c>
      <c r="D8" s="228" t="s">
        <v>1430</v>
      </c>
      <c r="E8" s="306">
        <f>E6</f>
        <v>0.01</v>
      </c>
      <c r="F8" s="228" t="s">
        <v>1439</v>
      </c>
      <c r="G8" s="306">
        <v>0.03</v>
      </c>
      <c r="H8" s="228" t="s">
        <v>1441</v>
      </c>
      <c r="I8" s="303">
        <v>1E-3</v>
      </c>
      <c r="J8" s="228" t="s">
        <v>1442</v>
      </c>
      <c r="K8" s="303"/>
    </row>
    <row r="9" spans="1:12" x14ac:dyDescent="0.2">
      <c r="A9" s="228" t="s">
        <v>1428</v>
      </c>
      <c r="B9" s="306"/>
      <c r="C9" s="306">
        <v>0.06</v>
      </c>
      <c r="D9" s="228" t="s">
        <v>1465</v>
      </c>
      <c r="E9" s="306">
        <v>0.01</v>
      </c>
      <c r="F9" s="228" t="s">
        <v>915</v>
      </c>
      <c r="G9" s="306">
        <v>0.03</v>
      </c>
      <c r="H9" s="228" t="s">
        <v>1441</v>
      </c>
      <c r="I9" s="303">
        <v>1E-3</v>
      </c>
      <c r="J9" s="228" t="s">
        <v>1442</v>
      </c>
      <c r="K9" s="122"/>
    </row>
    <row r="10" spans="1:12" x14ac:dyDescent="0.2">
      <c r="A10" s="228" t="s">
        <v>1429</v>
      </c>
      <c r="B10" s="122"/>
      <c r="C10" s="306">
        <v>0.06</v>
      </c>
      <c r="D10" s="228" t="s">
        <v>1465</v>
      </c>
      <c r="E10" s="309">
        <v>0.01</v>
      </c>
      <c r="F10" s="325" t="s">
        <v>915</v>
      </c>
      <c r="G10" s="306">
        <v>0.03</v>
      </c>
      <c r="H10" s="228" t="s">
        <v>1441</v>
      </c>
      <c r="I10" s="303">
        <v>1E-3</v>
      </c>
      <c r="J10" s="228" t="s">
        <v>1442</v>
      </c>
      <c r="K10" s="306"/>
    </row>
    <row r="22" spans="1:12" s="324" customFormat="1" x14ac:dyDescent="0.2">
      <c r="A22" s="323">
        <v>1</v>
      </c>
      <c r="B22" s="323">
        <v>2</v>
      </c>
      <c r="C22" s="323">
        <v>3</v>
      </c>
      <c r="D22" s="323">
        <v>4</v>
      </c>
      <c r="E22" s="323">
        <v>5</v>
      </c>
      <c r="F22" s="323">
        <v>6</v>
      </c>
      <c r="G22" s="323">
        <v>7</v>
      </c>
      <c r="H22" s="323">
        <v>8</v>
      </c>
      <c r="I22" s="323">
        <v>9</v>
      </c>
      <c r="J22" s="323">
        <v>10</v>
      </c>
      <c r="K22" s="323"/>
      <c r="L22" s="323"/>
    </row>
    <row r="23" spans="1:12" s="319" customFormat="1" x14ac:dyDescent="0.2"/>
    <row r="24" spans="1:12" s="319" customFormat="1" ht="35.25" customHeight="1" x14ac:dyDescent="0.2">
      <c r="A24" s="320" t="s">
        <v>1447</v>
      </c>
      <c r="B24" s="321" t="s">
        <v>1470</v>
      </c>
      <c r="C24" s="322" t="s">
        <v>1471</v>
      </c>
      <c r="D24" s="320" t="s">
        <v>829</v>
      </c>
      <c r="E24" s="322" t="s">
        <v>1472</v>
      </c>
      <c r="F24" s="320" t="s">
        <v>829</v>
      </c>
      <c r="G24" s="322" t="s">
        <v>1473</v>
      </c>
      <c r="H24" s="320" t="s">
        <v>829</v>
      </c>
      <c r="I24" s="322" t="s">
        <v>1474</v>
      </c>
      <c r="J24" s="320" t="s">
        <v>829</v>
      </c>
      <c r="K24" s="322"/>
      <c r="L24" s="320"/>
    </row>
    <row r="26" spans="1:12" x14ac:dyDescent="0.2">
      <c r="A26" s="228" t="s">
        <v>810</v>
      </c>
      <c r="B26" s="303">
        <f>C26/79%</f>
        <v>0.110126582278481</v>
      </c>
      <c r="C26" s="315">
        <v>8.6999999999999994E-2</v>
      </c>
      <c r="D26" s="228" t="s">
        <v>1465</v>
      </c>
      <c r="E26" s="306">
        <v>0.01</v>
      </c>
      <c r="F26" s="228" t="s">
        <v>915</v>
      </c>
      <c r="G26" s="306">
        <v>0.03</v>
      </c>
      <c r="H26" s="228" t="s">
        <v>1441</v>
      </c>
      <c r="I26" s="303">
        <v>1E-3</v>
      </c>
      <c r="J26" s="228" t="s">
        <v>1442</v>
      </c>
      <c r="K26" s="303"/>
    </row>
    <row r="27" spans="1:12" x14ac:dyDescent="0.2">
      <c r="A27" s="228" t="s">
        <v>1469</v>
      </c>
      <c r="B27" s="303">
        <f>C27/79%</f>
        <v>6.4974683544303788E-2</v>
      </c>
      <c r="C27" s="315">
        <f>C26*59%</f>
        <v>5.1329999999999994E-2</v>
      </c>
      <c r="D27" s="228" t="s">
        <v>1466</v>
      </c>
      <c r="E27" s="315">
        <f>E26*59%</f>
        <v>5.8999999999999999E-3</v>
      </c>
      <c r="F27" s="228" t="s">
        <v>1467</v>
      </c>
      <c r="G27" s="306">
        <v>0.03</v>
      </c>
      <c r="H27" s="228" t="s">
        <v>1441</v>
      </c>
      <c r="I27" s="303">
        <v>1E-3</v>
      </c>
      <c r="J27" s="228" t="s">
        <v>1442</v>
      </c>
      <c r="K27" s="303"/>
    </row>
    <row r="28" spans="1:12" x14ac:dyDescent="0.2">
      <c r="A28" s="228" t="s">
        <v>1448</v>
      </c>
      <c r="B28" s="303"/>
      <c r="C28" s="306">
        <v>5.8000000000000003E-2</v>
      </c>
      <c r="D28" s="228" t="s">
        <v>1430</v>
      </c>
      <c r="E28" s="306">
        <f>E26</f>
        <v>0.01</v>
      </c>
      <c r="F28" s="228" t="s">
        <v>1439</v>
      </c>
      <c r="G28" s="306">
        <v>0.03</v>
      </c>
      <c r="H28" s="228" t="s">
        <v>1441</v>
      </c>
      <c r="I28" s="303">
        <v>1E-3</v>
      </c>
      <c r="J28" s="228" t="s">
        <v>1442</v>
      </c>
      <c r="K28" s="303"/>
    </row>
    <row r="29" spans="1:12" x14ac:dyDescent="0.2">
      <c r="A29" s="228" t="s">
        <v>812</v>
      </c>
      <c r="B29" s="306"/>
      <c r="C29" s="306">
        <v>0.06</v>
      </c>
      <c r="D29" s="228" t="s">
        <v>1465</v>
      </c>
      <c r="E29" s="306">
        <v>0.01</v>
      </c>
      <c r="F29" s="228" t="s">
        <v>915</v>
      </c>
      <c r="G29" s="306">
        <v>0.03</v>
      </c>
      <c r="H29" s="228" t="s">
        <v>1441</v>
      </c>
      <c r="I29" s="303">
        <v>1E-3</v>
      </c>
      <c r="J29" s="228" t="s">
        <v>1442</v>
      </c>
      <c r="K29" s="122"/>
    </row>
    <row r="30" spans="1:12" x14ac:dyDescent="0.2">
      <c r="A30" s="228" t="s">
        <v>1452</v>
      </c>
      <c r="B30" s="122"/>
      <c r="C30" s="306">
        <v>0.06</v>
      </c>
      <c r="D30" s="228" t="s">
        <v>1465</v>
      </c>
      <c r="E30" s="309">
        <v>0.01</v>
      </c>
      <c r="F30" s="325" t="s">
        <v>915</v>
      </c>
      <c r="G30" s="306">
        <v>0.03</v>
      </c>
      <c r="H30" s="228" t="s">
        <v>1441</v>
      </c>
      <c r="I30" s="303">
        <v>1E-3</v>
      </c>
      <c r="J30" s="228" t="s">
        <v>1442</v>
      </c>
      <c r="K30" s="306"/>
    </row>
    <row r="31" spans="1:12" x14ac:dyDescent="0.2">
      <c r="B31" s="122"/>
      <c r="C31" s="306"/>
      <c r="E31" s="303"/>
      <c r="G31" s="303"/>
      <c r="I31" s="303"/>
      <c r="K31" s="306"/>
    </row>
  </sheetData>
  <sheetProtection algorithmName="SHA-512" hashValue="wtDaREpLUP+UXJ8b4/Pcta65O6XxgGOzCPDfP2BncLi/UmUb2CYbbKCKMizjzL4Btx9g/ZKf2VsQ6EVFyp7m8w==" saltValue="BBt5F+zkwdjsZsLEZ3hZ0w==" spinCount="100000" sheet="1" objects="1" scenarios="1"/>
  <protectedRanges>
    <protectedRange sqref="A1:XFD1048576" name="all"/>
  </protectedRange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2" tint="-0.249977111117893"/>
  </sheetPr>
  <dimension ref="A1:NS726"/>
  <sheetViews>
    <sheetView topLeftCell="D1" workbookViewId="0">
      <pane xSplit="1" topLeftCell="CB1" activePane="topRight" state="frozen"/>
      <selection activeCell="D1" sqref="D1"/>
      <selection pane="topRight" activeCell="HN313" sqref="HN313"/>
    </sheetView>
  </sheetViews>
  <sheetFormatPr defaultColWidth="8.85546875" defaultRowHeight="15" x14ac:dyDescent="0.25"/>
  <cols>
    <col min="1" max="2" width="0" hidden="1" customWidth="1"/>
    <col min="3" max="3" width="5" hidden="1" customWidth="1"/>
    <col min="4" max="4" width="43.42578125" customWidth="1"/>
    <col min="5" max="14" width="8.42578125" customWidth="1"/>
    <col min="15" max="15" width="8.85546875" customWidth="1"/>
    <col min="16" max="17" width="8.42578125" customWidth="1"/>
    <col min="18" max="25" width="8.42578125" hidden="1" customWidth="1"/>
    <col min="26" max="26" width="8.42578125" customWidth="1"/>
    <col min="27" max="37" width="8.42578125" hidden="1" customWidth="1"/>
    <col min="38" max="38" width="8.42578125" customWidth="1"/>
    <col min="39" max="62" width="8.42578125" hidden="1" customWidth="1"/>
    <col min="63" max="67" width="8.42578125" customWidth="1"/>
    <col min="68" max="69" width="8.42578125" hidden="1" customWidth="1"/>
    <col min="70" max="71" width="8.42578125" customWidth="1"/>
    <col min="72" max="79" width="8.42578125" hidden="1" customWidth="1"/>
    <col min="80" max="82" width="8.42578125" customWidth="1"/>
    <col min="83" max="127" width="8.42578125" hidden="1" customWidth="1"/>
    <col min="128" max="128" width="8.42578125" customWidth="1"/>
    <col min="129" max="220" width="8.42578125" hidden="1" customWidth="1"/>
    <col min="221" max="229" width="8.42578125" customWidth="1"/>
    <col min="230" max="230" width="26.42578125" customWidth="1"/>
    <col min="231" max="235" width="8.42578125" hidden="1" customWidth="1"/>
    <col min="236" max="242" width="0" style="11" hidden="1" customWidth="1"/>
    <col min="243" max="243" width="15.7109375" style="11" hidden="1" customWidth="1"/>
    <col min="244" max="244" width="0" style="11" hidden="1" customWidth="1"/>
    <col min="245" max="383" width="8.85546875" style="11"/>
  </cols>
  <sheetData>
    <row r="1" spans="1:383" x14ac:dyDescent="0.25">
      <c r="A1">
        <v>1</v>
      </c>
      <c r="B1">
        <v>2</v>
      </c>
      <c r="C1">
        <v>3</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P1">
        <v>65</v>
      </c>
      <c r="BQ1">
        <v>66</v>
      </c>
      <c r="BR1">
        <v>67</v>
      </c>
      <c r="BS1">
        <v>68</v>
      </c>
      <c r="BT1">
        <v>69</v>
      </c>
      <c r="BU1">
        <v>70</v>
      </c>
      <c r="BV1">
        <v>71</v>
      </c>
      <c r="BW1">
        <v>72</v>
      </c>
      <c r="BX1">
        <v>73</v>
      </c>
      <c r="BY1">
        <v>74</v>
      </c>
      <c r="BZ1">
        <v>75</v>
      </c>
      <c r="CA1">
        <v>76</v>
      </c>
      <c r="CB1">
        <v>77</v>
      </c>
      <c r="CC1">
        <v>78</v>
      </c>
      <c r="CD1">
        <v>79</v>
      </c>
      <c r="CE1">
        <v>80</v>
      </c>
      <c r="CF1">
        <v>81</v>
      </c>
      <c r="CG1">
        <v>82</v>
      </c>
      <c r="CH1">
        <v>83</v>
      </c>
      <c r="CI1">
        <v>84</v>
      </c>
      <c r="CJ1">
        <v>85</v>
      </c>
      <c r="CK1">
        <v>86</v>
      </c>
      <c r="CL1">
        <v>87</v>
      </c>
      <c r="CM1">
        <v>88</v>
      </c>
      <c r="CN1">
        <v>89</v>
      </c>
      <c r="CO1">
        <v>90</v>
      </c>
      <c r="CP1">
        <v>91</v>
      </c>
      <c r="CQ1">
        <v>92</v>
      </c>
      <c r="CR1">
        <v>93</v>
      </c>
      <c r="CS1">
        <v>94</v>
      </c>
      <c r="CT1">
        <v>95</v>
      </c>
      <c r="CU1">
        <v>96</v>
      </c>
      <c r="CV1">
        <v>97</v>
      </c>
      <c r="CW1">
        <v>98</v>
      </c>
      <c r="CX1">
        <v>99</v>
      </c>
      <c r="CY1">
        <v>100</v>
      </c>
      <c r="CZ1">
        <v>101</v>
      </c>
      <c r="DA1">
        <v>102</v>
      </c>
      <c r="DB1">
        <v>103</v>
      </c>
      <c r="DC1">
        <v>104</v>
      </c>
      <c r="DD1">
        <v>105</v>
      </c>
      <c r="DE1">
        <v>106</v>
      </c>
      <c r="DF1">
        <v>107</v>
      </c>
      <c r="DG1">
        <v>108</v>
      </c>
      <c r="DH1">
        <v>109</v>
      </c>
      <c r="DI1">
        <v>110</v>
      </c>
      <c r="DJ1">
        <v>111</v>
      </c>
      <c r="DK1">
        <v>112</v>
      </c>
      <c r="DL1">
        <v>113</v>
      </c>
      <c r="DM1">
        <v>114</v>
      </c>
      <c r="DN1">
        <v>115</v>
      </c>
      <c r="DO1">
        <v>116</v>
      </c>
      <c r="DP1">
        <v>117</v>
      </c>
      <c r="DQ1">
        <v>118</v>
      </c>
      <c r="DR1">
        <v>119</v>
      </c>
      <c r="DS1">
        <v>120</v>
      </c>
      <c r="DT1">
        <v>121</v>
      </c>
      <c r="DU1">
        <v>122</v>
      </c>
      <c r="DV1">
        <v>123</v>
      </c>
      <c r="DW1">
        <v>124</v>
      </c>
      <c r="DX1">
        <v>125</v>
      </c>
      <c r="DY1">
        <v>126</v>
      </c>
      <c r="DZ1">
        <v>127</v>
      </c>
      <c r="EA1">
        <v>128</v>
      </c>
      <c r="EB1">
        <v>129</v>
      </c>
      <c r="EC1">
        <v>130</v>
      </c>
      <c r="ED1">
        <v>131</v>
      </c>
      <c r="EE1">
        <v>132</v>
      </c>
      <c r="EF1">
        <v>133</v>
      </c>
      <c r="EG1">
        <v>134</v>
      </c>
      <c r="EH1">
        <v>135</v>
      </c>
      <c r="EI1">
        <v>136</v>
      </c>
      <c r="EJ1">
        <v>137</v>
      </c>
      <c r="EK1">
        <v>138</v>
      </c>
      <c r="EL1">
        <v>139</v>
      </c>
      <c r="EM1">
        <v>140</v>
      </c>
      <c r="EN1">
        <v>141</v>
      </c>
      <c r="EO1">
        <v>142</v>
      </c>
      <c r="EP1">
        <v>143</v>
      </c>
      <c r="EQ1">
        <v>144</v>
      </c>
      <c r="ER1">
        <v>145</v>
      </c>
      <c r="ES1">
        <v>146</v>
      </c>
      <c r="ET1">
        <v>147</v>
      </c>
      <c r="EU1">
        <v>148</v>
      </c>
      <c r="EV1">
        <v>149</v>
      </c>
      <c r="EW1">
        <v>150</v>
      </c>
      <c r="EX1">
        <v>151</v>
      </c>
      <c r="EY1">
        <v>152</v>
      </c>
      <c r="EZ1">
        <v>153</v>
      </c>
      <c r="FA1">
        <v>154</v>
      </c>
      <c r="FB1">
        <v>155</v>
      </c>
      <c r="FC1">
        <v>156</v>
      </c>
      <c r="FD1">
        <v>157</v>
      </c>
      <c r="FE1">
        <v>158</v>
      </c>
      <c r="FF1">
        <v>159</v>
      </c>
      <c r="FG1">
        <v>160</v>
      </c>
      <c r="FH1">
        <v>161</v>
      </c>
      <c r="FI1">
        <v>162</v>
      </c>
      <c r="FJ1">
        <v>163</v>
      </c>
      <c r="FK1">
        <v>164</v>
      </c>
      <c r="FL1">
        <v>165</v>
      </c>
      <c r="FM1">
        <v>166</v>
      </c>
      <c r="FN1">
        <v>167</v>
      </c>
      <c r="FO1">
        <v>168</v>
      </c>
      <c r="FP1">
        <v>169</v>
      </c>
      <c r="FQ1">
        <v>170</v>
      </c>
      <c r="FR1">
        <v>171</v>
      </c>
      <c r="FS1">
        <v>172</v>
      </c>
      <c r="FT1">
        <v>173</v>
      </c>
      <c r="FU1">
        <v>174</v>
      </c>
      <c r="FV1">
        <v>175</v>
      </c>
      <c r="FW1">
        <v>176</v>
      </c>
      <c r="FX1">
        <v>177</v>
      </c>
      <c r="FY1">
        <v>178</v>
      </c>
      <c r="FZ1">
        <v>179</v>
      </c>
      <c r="GA1">
        <v>180</v>
      </c>
      <c r="GB1">
        <v>181</v>
      </c>
      <c r="GC1">
        <v>182</v>
      </c>
      <c r="GD1">
        <v>183</v>
      </c>
      <c r="GE1">
        <v>184</v>
      </c>
      <c r="GF1">
        <v>185</v>
      </c>
      <c r="GG1">
        <v>186</v>
      </c>
      <c r="GH1">
        <v>187</v>
      </c>
      <c r="GI1">
        <v>188</v>
      </c>
      <c r="GJ1">
        <v>189</v>
      </c>
      <c r="GK1">
        <v>190</v>
      </c>
      <c r="GL1">
        <v>191</v>
      </c>
      <c r="GM1">
        <v>192</v>
      </c>
      <c r="GN1">
        <v>193</v>
      </c>
      <c r="GO1">
        <v>194</v>
      </c>
      <c r="GP1">
        <v>195</v>
      </c>
      <c r="GQ1">
        <v>196</v>
      </c>
      <c r="GR1">
        <v>197</v>
      </c>
      <c r="GS1">
        <v>198</v>
      </c>
      <c r="GT1">
        <v>199</v>
      </c>
      <c r="GU1">
        <v>200</v>
      </c>
      <c r="GV1">
        <v>201</v>
      </c>
      <c r="GW1">
        <v>202</v>
      </c>
      <c r="GX1">
        <v>203</v>
      </c>
      <c r="GY1">
        <v>204</v>
      </c>
      <c r="GZ1">
        <v>205</v>
      </c>
      <c r="HA1">
        <v>206</v>
      </c>
      <c r="HB1">
        <v>207</v>
      </c>
      <c r="HC1">
        <v>208</v>
      </c>
      <c r="HD1">
        <v>209</v>
      </c>
      <c r="HE1">
        <v>210</v>
      </c>
      <c r="HF1">
        <v>211</v>
      </c>
      <c r="HG1">
        <v>212</v>
      </c>
      <c r="HH1">
        <v>213</v>
      </c>
      <c r="HI1">
        <v>214</v>
      </c>
      <c r="HJ1">
        <v>215</v>
      </c>
      <c r="HK1">
        <v>216</v>
      </c>
      <c r="HL1">
        <v>217</v>
      </c>
      <c r="HM1">
        <v>218</v>
      </c>
      <c r="HN1">
        <v>219</v>
      </c>
      <c r="HO1">
        <v>220</v>
      </c>
      <c r="HP1">
        <v>221</v>
      </c>
      <c r="HQ1">
        <v>222</v>
      </c>
      <c r="HR1">
        <v>223</v>
      </c>
      <c r="HS1">
        <v>224</v>
      </c>
      <c r="HT1">
        <v>225</v>
      </c>
      <c r="HU1">
        <v>226</v>
      </c>
      <c r="HV1">
        <v>227</v>
      </c>
      <c r="HW1">
        <v>228</v>
      </c>
      <c r="HX1">
        <v>229</v>
      </c>
      <c r="HY1">
        <v>230</v>
      </c>
      <c r="HZ1">
        <v>231</v>
      </c>
      <c r="IA1">
        <v>232</v>
      </c>
      <c r="IB1">
        <v>233</v>
      </c>
      <c r="IC1">
        <v>234</v>
      </c>
      <c r="ID1">
        <v>235</v>
      </c>
      <c r="IE1">
        <v>236</v>
      </c>
      <c r="IF1">
        <v>237</v>
      </c>
      <c r="IG1">
        <v>238</v>
      </c>
      <c r="IH1">
        <v>239</v>
      </c>
      <c r="II1">
        <v>240</v>
      </c>
      <c r="IJ1">
        <v>241</v>
      </c>
      <c r="IK1">
        <v>242</v>
      </c>
      <c r="IL1">
        <v>243</v>
      </c>
      <c r="IM1">
        <v>244</v>
      </c>
    </row>
    <row r="2" spans="1:383" s="147" customFormat="1" ht="12.75" x14ac:dyDescent="0.2">
      <c r="B2" s="887" t="s">
        <v>16</v>
      </c>
      <c r="C2" s="887"/>
      <c r="D2" s="887" t="s">
        <v>16</v>
      </c>
      <c r="E2" s="887"/>
      <c r="F2" s="148" t="s">
        <v>17</v>
      </c>
      <c r="G2" s="149"/>
      <c r="K2" s="150"/>
      <c r="L2" s="148" t="s">
        <v>18</v>
      </c>
      <c r="M2" s="148"/>
      <c r="N2" s="148"/>
      <c r="O2" s="148"/>
      <c r="P2" s="148"/>
      <c r="R2" s="148" t="s">
        <v>19</v>
      </c>
      <c r="S2" s="149"/>
      <c r="T2" s="149"/>
      <c r="U2" s="149"/>
      <c r="V2" s="149"/>
      <c r="W2" s="149"/>
      <c r="Y2" s="148" t="s">
        <v>20</v>
      </c>
      <c r="Z2" s="148" t="s">
        <v>21</v>
      </c>
      <c r="AA2" s="149"/>
      <c r="AB2" s="149"/>
      <c r="AC2" s="149"/>
      <c r="AD2" s="149"/>
      <c r="AE2" s="149"/>
      <c r="AF2" s="148"/>
      <c r="AG2" s="149"/>
      <c r="AH2" s="149"/>
      <c r="AI2" s="149"/>
      <c r="AJ2" s="149"/>
      <c r="AK2" s="149"/>
      <c r="AL2" s="151"/>
      <c r="AM2" s="148" t="s">
        <v>22</v>
      </c>
      <c r="AN2" s="149"/>
      <c r="AO2" s="149"/>
      <c r="AP2" s="149"/>
      <c r="AQ2" s="149"/>
      <c r="AR2" s="149"/>
      <c r="AS2" s="149"/>
      <c r="AT2" s="149"/>
      <c r="AU2" s="149"/>
      <c r="AV2" s="149"/>
      <c r="AW2" s="149"/>
      <c r="AY2" s="152" t="s">
        <v>23</v>
      </c>
      <c r="AZ2" s="153"/>
      <c r="BA2" s="153"/>
      <c r="BB2" s="153"/>
      <c r="BC2" s="153"/>
      <c r="BD2" s="153"/>
      <c r="BE2" s="153"/>
      <c r="BF2" s="153"/>
      <c r="BG2" s="153"/>
      <c r="BH2" s="153"/>
      <c r="BI2" s="153"/>
      <c r="BK2" s="154" t="s">
        <v>24</v>
      </c>
      <c r="BL2" s="148"/>
      <c r="BM2" s="148"/>
      <c r="BN2" s="148"/>
      <c r="BO2" s="155"/>
      <c r="BP2" s="155"/>
      <c r="BR2" s="156" t="s">
        <v>25</v>
      </c>
      <c r="BS2" s="149"/>
      <c r="BU2" s="156" t="s">
        <v>20</v>
      </c>
      <c r="BV2" s="149"/>
      <c r="BW2" s="149"/>
      <c r="BX2" s="149"/>
      <c r="BY2" s="149"/>
      <c r="BZ2" s="149"/>
      <c r="CA2" s="149"/>
      <c r="CC2" s="148" t="s">
        <v>26</v>
      </c>
      <c r="CD2" s="149"/>
      <c r="CE2" s="149"/>
      <c r="CF2" s="149"/>
      <c r="CG2" s="149"/>
      <c r="CH2" s="149"/>
      <c r="CI2" s="149"/>
      <c r="CJ2" s="151"/>
      <c r="CK2" s="148" t="s">
        <v>27</v>
      </c>
      <c r="CL2" s="149"/>
      <c r="CM2" s="149"/>
      <c r="CN2" s="149"/>
      <c r="CO2" s="149"/>
      <c r="CP2" s="149"/>
      <c r="CR2" s="148" t="s">
        <v>28</v>
      </c>
      <c r="CS2" s="149"/>
      <c r="CT2" s="149"/>
      <c r="CU2" s="149"/>
      <c r="CV2" s="149"/>
      <c r="CW2" s="149"/>
      <c r="CX2" s="149"/>
      <c r="CY2" s="149"/>
      <c r="CZ2" s="149"/>
      <c r="DA2" s="149"/>
      <c r="DB2" s="149"/>
      <c r="DC2" s="149"/>
      <c r="DD2" s="149"/>
      <c r="DE2" s="149"/>
      <c r="DI2" s="156" t="s">
        <v>29</v>
      </c>
      <c r="DJ2" s="149"/>
      <c r="DK2" s="149"/>
      <c r="DL2" s="149"/>
      <c r="DM2" s="149"/>
      <c r="DN2" s="149"/>
      <c r="DO2" s="149"/>
      <c r="DP2" s="149"/>
      <c r="DQ2" s="149"/>
      <c r="DR2" s="149"/>
      <c r="DS2" s="149"/>
      <c r="DT2" s="149"/>
      <c r="DU2" s="149"/>
      <c r="DV2" s="149"/>
      <c r="HM2" s="148" t="s">
        <v>1786</v>
      </c>
      <c r="HN2" s="149"/>
      <c r="HO2" s="149"/>
      <c r="HP2" s="149"/>
      <c r="HQ2" s="149"/>
      <c r="HR2" s="149"/>
      <c r="HS2" s="149"/>
      <c r="HT2" s="887"/>
      <c r="HU2" s="887"/>
      <c r="IB2" s="148" t="s">
        <v>1786</v>
      </c>
      <c r="IC2" s="149"/>
      <c r="ID2" s="149"/>
      <c r="IE2" s="149"/>
      <c r="IF2" s="149"/>
      <c r="IG2" s="149"/>
      <c r="IH2" s="149"/>
      <c r="II2" s="887"/>
      <c r="IJ2" s="887"/>
      <c r="IK2" s="887"/>
      <c r="IL2" s="887"/>
      <c r="IM2" s="617"/>
      <c r="IN2" s="146"/>
      <c r="IO2" s="146"/>
      <c r="IP2" s="146"/>
      <c r="IQ2" s="146"/>
      <c r="IR2" s="146"/>
      <c r="IS2" s="146"/>
      <c r="IT2" s="146"/>
      <c r="IU2" s="146"/>
      <c r="IV2" s="146"/>
      <c r="IW2" s="146"/>
      <c r="IX2" s="146"/>
      <c r="IY2" s="146"/>
      <c r="IZ2" s="146"/>
      <c r="JA2" s="146"/>
      <c r="JB2" s="146"/>
      <c r="JC2" s="146"/>
      <c r="JD2" s="146"/>
      <c r="JE2" s="146"/>
      <c r="JF2" s="146"/>
      <c r="JG2" s="146"/>
      <c r="JH2" s="146"/>
      <c r="JI2" s="146"/>
      <c r="JJ2" s="146"/>
      <c r="JK2" s="146"/>
      <c r="JL2" s="146"/>
      <c r="JM2" s="146"/>
      <c r="JN2" s="146"/>
      <c r="JO2" s="146"/>
      <c r="JP2" s="146"/>
      <c r="JQ2" s="146"/>
      <c r="JR2" s="146"/>
      <c r="JS2" s="146"/>
      <c r="JT2" s="146"/>
      <c r="JU2" s="146"/>
      <c r="JV2" s="146"/>
      <c r="JW2" s="146"/>
      <c r="JX2" s="146"/>
      <c r="JY2" s="146"/>
      <c r="JZ2" s="146"/>
      <c r="KA2" s="146"/>
      <c r="KB2" s="146"/>
      <c r="KC2" s="146"/>
      <c r="KD2" s="146"/>
      <c r="KE2" s="146"/>
      <c r="KF2" s="146"/>
      <c r="KG2" s="146"/>
      <c r="KH2" s="146"/>
      <c r="KI2" s="146"/>
      <c r="KJ2" s="146"/>
      <c r="KK2" s="146"/>
      <c r="KL2" s="146"/>
      <c r="KM2" s="146"/>
      <c r="KN2" s="146"/>
      <c r="KO2" s="146"/>
      <c r="KP2" s="146"/>
      <c r="KQ2" s="146"/>
      <c r="KR2" s="146"/>
      <c r="KS2" s="146"/>
      <c r="KT2" s="146"/>
      <c r="KU2" s="146"/>
      <c r="KV2" s="146"/>
      <c r="KW2" s="146"/>
      <c r="KX2" s="146"/>
      <c r="KY2" s="146"/>
      <c r="KZ2" s="146"/>
      <c r="LA2" s="146"/>
      <c r="LB2" s="146"/>
      <c r="LC2" s="146"/>
      <c r="LD2" s="146"/>
      <c r="LE2" s="146"/>
      <c r="LF2" s="146"/>
      <c r="LG2" s="146"/>
      <c r="LH2" s="146"/>
      <c r="LI2" s="146"/>
      <c r="LJ2" s="146"/>
      <c r="LK2" s="146"/>
      <c r="LL2" s="146"/>
      <c r="LM2" s="146"/>
      <c r="LN2" s="146"/>
      <c r="LO2" s="146"/>
      <c r="LP2" s="146"/>
      <c r="LQ2" s="146"/>
      <c r="LR2" s="146"/>
      <c r="LS2" s="146"/>
      <c r="LT2" s="146"/>
      <c r="LU2" s="146"/>
      <c r="LV2" s="146"/>
      <c r="LW2" s="146"/>
      <c r="LX2" s="146"/>
      <c r="LY2" s="146"/>
      <c r="LZ2" s="146"/>
      <c r="MA2" s="146"/>
      <c r="MB2" s="146"/>
      <c r="MC2" s="146"/>
      <c r="MD2" s="146"/>
      <c r="ME2" s="146"/>
      <c r="MF2" s="146"/>
      <c r="MG2" s="146"/>
      <c r="MH2" s="146"/>
      <c r="MI2" s="146"/>
      <c r="MJ2" s="146"/>
      <c r="MK2" s="146"/>
      <c r="ML2" s="146"/>
      <c r="MM2" s="146"/>
      <c r="MN2" s="146"/>
      <c r="MO2" s="146"/>
      <c r="MP2" s="146"/>
      <c r="MQ2" s="146"/>
      <c r="MR2" s="146"/>
      <c r="MS2" s="146"/>
      <c r="MT2" s="146"/>
      <c r="MU2" s="146"/>
      <c r="MV2" s="146"/>
      <c r="MW2" s="146"/>
      <c r="MX2" s="146"/>
      <c r="MY2" s="146"/>
      <c r="MZ2" s="146"/>
      <c r="NA2" s="146"/>
      <c r="NB2" s="146"/>
      <c r="NC2" s="146"/>
      <c r="ND2" s="146"/>
      <c r="NE2" s="146"/>
      <c r="NF2" s="146"/>
      <c r="NG2" s="146"/>
      <c r="NH2" s="146"/>
      <c r="NI2" s="146"/>
      <c r="NJ2" s="146"/>
      <c r="NK2" s="146"/>
      <c r="NL2" s="146"/>
      <c r="NM2" s="146"/>
      <c r="NN2" s="146"/>
      <c r="NO2" s="146"/>
      <c r="NP2" s="146"/>
      <c r="NQ2" s="146"/>
      <c r="NR2" s="146"/>
      <c r="NS2" s="146"/>
    </row>
    <row r="3" spans="1:383" s="147" customFormat="1" ht="44.25" customHeight="1" thickBot="1" x14ac:dyDescent="0.25">
      <c r="A3" s="157" t="s">
        <v>30</v>
      </c>
      <c r="B3" s="158" t="s">
        <v>31</v>
      </c>
      <c r="C3" s="158" t="s">
        <v>32</v>
      </c>
      <c r="D3" s="159" t="s">
        <v>33</v>
      </c>
      <c r="E3" s="160" t="s">
        <v>34</v>
      </c>
      <c r="F3" s="161" t="s">
        <v>35</v>
      </c>
      <c r="G3" s="161" t="s">
        <v>36</v>
      </c>
      <c r="H3" s="162" t="s">
        <v>37</v>
      </c>
      <c r="I3" s="162" t="s">
        <v>38</v>
      </c>
      <c r="J3" s="163" t="s">
        <v>39</v>
      </c>
      <c r="K3" s="164" t="s">
        <v>40</v>
      </c>
      <c r="L3" s="165" t="s">
        <v>41</v>
      </c>
      <c r="M3" s="165" t="s">
        <v>42</v>
      </c>
      <c r="N3" s="165" t="s">
        <v>43</v>
      </c>
      <c r="O3" s="165" t="s">
        <v>44</v>
      </c>
      <c r="P3" s="162" t="s">
        <v>45</v>
      </c>
      <c r="Q3" s="166"/>
      <c r="R3" s="167" t="s">
        <v>976</v>
      </c>
      <c r="S3" s="167" t="s">
        <v>977</v>
      </c>
      <c r="T3" s="167" t="s">
        <v>978</v>
      </c>
      <c r="U3" s="167" t="s">
        <v>979</v>
      </c>
      <c r="V3" s="167" t="s">
        <v>980</v>
      </c>
      <c r="W3" s="167" t="s">
        <v>981</v>
      </c>
      <c r="X3" s="163"/>
      <c r="Y3" s="167" t="s">
        <v>46</v>
      </c>
      <c r="Z3" s="167" t="s">
        <v>47</v>
      </c>
      <c r="AA3" s="167" t="s">
        <v>48</v>
      </c>
      <c r="AB3" s="167" t="s">
        <v>49</v>
      </c>
      <c r="AC3" s="167" t="s">
        <v>50</v>
      </c>
      <c r="AD3" s="167" t="s">
        <v>51</v>
      </c>
      <c r="AE3" s="167" t="s">
        <v>52</v>
      </c>
      <c r="AF3" s="167" t="s">
        <v>53</v>
      </c>
      <c r="AG3" s="167" t="s">
        <v>54</v>
      </c>
      <c r="AH3" s="167" t="s">
        <v>55</v>
      </c>
      <c r="AI3" s="167" t="s">
        <v>56</v>
      </c>
      <c r="AJ3" s="167" t="s">
        <v>57</v>
      </c>
      <c r="AK3" s="167" t="s">
        <v>58</v>
      </c>
      <c r="AL3" s="163"/>
      <c r="AM3" s="168" t="s">
        <v>59</v>
      </c>
      <c r="AN3" s="168" t="s">
        <v>60</v>
      </c>
      <c r="AO3" s="168" t="s">
        <v>61</v>
      </c>
      <c r="AP3" s="168" t="s">
        <v>62</v>
      </c>
      <c r="AQ3" s="168" t="s">
        <v>63</v>
      </c>
      <c r="AR3" s="168" t="s">
        <v>64</v>
      </c>
      <c r="AS3" s="168" t="s">
        <v>65</v>
      </c>
      <c r="AT3" s="168" t="s">
        <v>66</v>
      </c>
      <c r="AU3" s="168" t="s">
        <v>67</v>
      </c>
      <c r="AV3" s="168" t="s">
        <v>68</v>
      </c>
      <c r="AW3" s="168" t="s">
        <v>69</v>
      </c>
      <c r="AX3" s="168"/>
      <c r="AY3" s="168" t="s">
        <v>59</v>
      </c>
      <c r="AZ3" s="168" t="s">
        <v>60</v>
      </c>
      <c r="BA3" s="168" t="s">
        <v>61</v>
      </c>
      <c r="BB3" s="168" t="s">
        <v>70</v>
      </c>
      <c r="BC3" s="168" t="s">
        <v>63</v>
      </c>
      <c r="BD3" s="168" t="s">
        <v>64</v>
      </c>
      <c r="BE3" s="168" t="s">
        <v>65</v>
      </c>
      <c r="BF3" s="168" t="s">
        <v>71</v>
      </c>
      <c r="BG3" s="168" t="s">
        <v>67</v>
      </c>
      <c r="BH3" s="168" t="s">
        <v>72</v>
      </c>
      <c r="BI3" s="168" t="s">
        <v>69</v>
      </c>
      <c r="BJ3" s="169"/>
      <c r="BK3" s="167" t="s">
        <v>73</v>
      </c>
      <c r="BL3" s="167" t="s">
        <v>74</v>
      </c>
      <c r="BM3" s="167" t="s">
        <v>75</v>
      </c>
      <c r="BN3" s="157" t="s">
        <v>76</v>
      </c>
      <c r="BO3" s="157"/>
      <c r="BP3" s="157" t="s">
        <v>77</v>
      </c>
      <c r="BQ3" s="167" t="s">
        <v>78</v>
      </c>
      <c r="BR3" s="157" t="s">
        <v>35</v>
      </c>
      <c r="BS3" s="167" t="s">
        <v>36</v>
      </c>
      <c r="BT3" s="169"/>
      <c r="BU3" s="170" t="s">
        <v>79</v>
      </c>
      <c r="BV3" s="170" t="s">
        <v>80</v>
      </c>
      <c r="BW3" s="170" t="s">
        <v>81</v>
      </c>
      <c r="BX3" s="170" t="s">
        <v>82</v>
      </c>
      <c r="BY3" s="170" t="s">
        <v>83</v>
      </c>
      <c r="BZ3" s="167" t="s">
        <v>84</v>
      </c>
      <c r="CA3" s="167" t="s">
        <v>85</v>
      </c>
      <c r="CB3" s="169"/>
      <c r="CC3" s="167" t="s">
        <v>46</v>
      </c>
      <c r="CD3" s="167" t="s">
        <v>47</v>
      </c>
      <c r="CE3" s="167" t="s">
        <v>48</v>
      </c>
      <c r="CF3" s="167" t="s">
        <v>49</v>
      </c>
      <c r="CG3" s="167" t="s">
        <v>50</v>
      </c>
      <c r="CH3" s="167" t="s">
        <v>86</v>
      </c>
      <c r="CI3" s="167" t="s">
        <v>52</v>
      </c>
      <c r="CJ3" s="167"/>
      <c r="CK3" s="167" t="s">
        <v>53</v>
      </c>
      <c r="CL3" s="167" t="s">
        <v>54</v>
      </c>
      <c r="CM3" s="167" t="s">
        <v>55</v>
      </c>
      <c r="CN3" s="167" t="s">
        <v>56</v>
      </c>
      <c r="CO3" s="167" t="s">
        <v>57</v>
      </c>
      <c r="CP3" s="167" t="s">
        <v>58</v>
      </c>
      <c r="CQ3" s="171" t="s">
        <v>87</v>
      </c>
      <c r="CR3" s="171" t="s">
        <v>88</v>
      </c>
      <c r="CS3" s="171" t="s">
        <v>89</v>
      </c>
      <c r="CT3" s="171" t="s">
        <v>90</v>
      </c>
      <c r="CU3" s="171" t="s">
        <v>91</v>
      </c>
      <c r="CV3" s="171" t="s">
        <v>92</v>
      </c>
      <c r="CW3" s="171" t="s">
        <v>93</v>
      </c>
      <c r="CX3" s="171" t="s">
        <v>94</v>
      </c>
      <c r="CY3" s="171" t="s">
        <v>95</v>
      </c>
      <c r="CZ3" s="171" t="s">
        <v>96</v>
      </c>
      <c r="DA3" s="171" t="s">
        <v>97</v>
      </c>
      <c r="DB3" s="171" t="s">
        <v>98</v>
      </c>
      <c r="DC3" s="171" t="s">
        <v>99</v>
      </c>
      <c r="DD3" s="171" t="s">
        <v>100</v>
      </c>
      <c r="DE3" s="171" t="s">
        <v>101</v>
      </c>
      <c r="DF3" s="167" t="s">
        <v>102</v>
      </c>
      <c r="DG3" s="167" t="s">
        <v>103</v>
      </c>
      <c r="DH3" s="167" t="s">
        <v>104</v>
      </c>
      <c r="DI3" s="167" t="s">
        <v>105</v>
      </c>
      <c r="DJ3" s="167" t="s">
        <v>106</v>
      </c>
      <c r="DK3" s="167" t="s">
        <v>107</v>
      </c>
      <c r="DL3" s="167" t="s">
        <v>108</v>
      </c>
      <c r="DM3" s="167" t="s">
        <v>109</v>
      </c>
      <c r="DN3" s="167" t="s">
        <v>110</v>
      </c>
      <c r="DO3" s="167" t="s">
        <v>111</v>
      </c>
      <c r="DP3" s="167" t="s">
        <v>112</v>
      </c>
      <c r="DQ3" s="167" t="s">
        <v>113</v>
      </c>
      <c r="DR3" s="167" t="s">
        <v>114</v>
      </c>
      <c r="DS3" s="167" t="s">
        <v>115</v>
      </c>
      <c r="DT3" s="167" t="s">
        <v>116</v>
      </c>
      <c r="DU3" s="167" t="s">
        <v>117</v>
      </c>
      <c r="DV3" s="167" t="s">
        <v>118</v>
      </c>
      <c r="DW3" s="167" t="s">
        <v>119</v>
      </c>
      <c r="DX3" s="172"/>
      <c r="DY3" s="172" t="s">
        <v>121</v>
      </c>
      <c r="DZ3" s="172" t="s">
        <v>122</v>
      </c>
      <c r="EA3" s="172" t="s">
        <v>123</v>
      </c>
      <c r="EB3" s="172" t="s">
        <v>124</v>
      </c>
      <c r="EC3" s="172" t="s">
        <v>125</v>
      </c>
      <c r="ED3" s="172" t="s">
        <v>126</v>
      </c>
      <c r="EE3" s="172" t="s">
        <v>127</v>
      </c>
      <c r="EF3" s="172" t="s">
        <v>128</v>
      </c>
      <c r="EG3" s="172" t="s">
        <v>129</v>
      </c>
      <c r="EH3" s="172" t="s">
        <v>130</v>
      </c>
      <c r="EI3" s="172" t="s">
        <v>131</v>
      </c>
      <c r="EJ3" s="172" t="s">
        <v>132</v>
      </c>
      <c r="EK3" s="172" t="s">
        <v>133</v>
      </c>
      <c r="EL3" s="172" t="s">
        <v>134</v>
      </c>
      <c r="EM3" s="172" t="s">
        <v>135</v>
      </c>
      <c r="EN3" s="172" t="s">
        <v>136</v>
      </c>
      <c r="EO3" s="172" t="s">
        <v>137</v>
      </c>
      <c r="EP3" s="172" t="s">
        <v>138</v>
      </c>
      <c r="EQ3" s="172" t="s">
        <v>139</v>
      </c>
      <c r="ER3" s="172" t="s">
        <v>140</v>
      </c>
      <c r="ES3" s="172" t="s">
        <v>141</v>
      </c>
      <c r="ET3" s="172" t="s">
        <v>142</v>
      </c>
      <c r="EU3" s="172" t="s">
        <v>143</v>
      </c>
      <c r="EV3" s="172" t="s">
        <v>144</v>
      </c>
      <c r="EW3" s="172" t="s">
        <v>145</v>
      </c>
      <c r="EX3" s="172" t="s">
        <v>146</v>
      </c>
      <c r="EY3" s="172" t="s">
        <v>147</v>
      </c>
      <c r="EZ3" s="172" t="s">
        <v>148</v>
      </c>
      <c r="FA3" s="172" t="s">
        <v>149</v>
      </c>
      <c r="FB3" s="172" t="s">
        <v>150</v>
      </c>
      <c r="FC3" s="172" t="s">
        <v>151</v>
      </c>
      <c r="FD3" s="172" t="s">
        <v>152</v>
      </c>
      <c r="FE3" s="172" t="s">
        <v>153</v>
      </c>
      <c r="FF3" s="172" t="s">
        <v>154</v>
      </c>
      <c r="FG3" s="172" t="s">
        <v>155</v>
      </c>
      <c r="FH3" s="172" t="s">
        <v>156</v>
      </c>
      <c r="FI3" s="172" t="s">
        <v>157</v>
      </c>
      <c r="FJ3" s="172" t="s">
        <v>158</v>
      </c>
      <c r="FK3" s="172" t="s">
        <v>159</v>
      </c>
      <c r="FL3" s="172" t="s">
        <v>160</v>
      </c>
      <c r="FM3" s="172" t="s">
        <v>161</v>
      </c>
      <c r="FN3" s="172" t="s">
        <v>162</v>
      </c>
      <c r="FO3" s="172" t="s">
        <v>163</v>
      </c>
      <c r="FP3" s="172" t="s">
        <v>164</v>
      </c>
      <c r="FQ3" s="172" t="s">
        <v>165</v>
      </c>
      <c r="FR3" s="172" t="s">
        <v>166</v>
      </c>
      <c r="FS3" s="172" t="s">
        <v>167</v>
      </c>
      <c r="FT3" s="172" t="s">
        <v>168</v>
      </c>
      <c r="FU3" s="172" t="s">
        <v>169</v>
      </c>
      <c r="FV3" s="172" t="s">
        <v>170</v>
      </c>
      <c r="FW3" s="172" t="s">
        <v>171</v>
      </c>
      <c r="FX3" s="172" t="s">
        <v>172</v>
      </c>
      <c r="FY3" s="172" t="s">
        <v>173</v>
      </c>
      <c r="FZ3" s="172" t="s">
        <v>174</v>
      </c>
      <c r="GA3" s="172" t="s">
        <v>175</v>
      </c>
      <c r="GB3" s="172" t="s">
        <v>176</v>
      </c>
      <c r="GC3" s="172" t="s">
        <v>177</v>
      </c>
      <c r="GD3" s="172" t="s">
        <v>178</v>
      </c>
      <c r="GE3" s="172" t="s">
        <v>179</v>
      </c>
      <c r="GF3" s="172" t="s">
        <v>180</v>
      </c>
      <c r="GG3" s="172" t="s">
        <v>181</v>
      </c>
      <c r="GH3" s="172" t="s">
        <v>182</v>
      </c>
      <c r="GI3" s="172" t="s">
        <v>183</v>
      </c>
      <c r="GJ3" s="172" t="s">
        <v>184</v>
      </c>
      <c r="GK3" s="172" t="s">
        <v>185</v>
      </c>
      <c r="GL3" s="172" t="s">
        <v>186</v>
      </c>
      <c r="GM3" s="172" t="s">
        <v>187</v>
      </c>
      <c r="GN3" s="172" t="s">
        <v>188</v>
      </c>
      <c r="GO3" s="172" t="s">
        <v>189</v>
      </c>
      <c r="GP3" s="172" t="s">
        <v>190</v>
      </c>
      <c r="GQ3" s="172" t="s">
        <v>191</v>
      </c>
      <c r="GR3" s="172" t="s">
        <v>192</v>
      </c>
      <c r="GS3" s="172" t="s">
        <v>193</v>
      </c>
      <c r="GT3" s="172" t="s">
        <v>194</v>
      </c>
      <c r="GU3" s="172" t="s">
        <v>195</v>
      </c>
      <c r="GV3" s="172" t="s">
        <v>196</v>
      </c>
      <c r="GW3" s="172" t="s">
        <v>197</v>
      </c>
      <c r="GX3" s="172" t="s">
        <v>198</v>
      </c>
      <c r="GY3" s="172" t="s">
        <v>199</v>
      </c>
      <c r="GZ3" s="172" t="s">
        <v>200</v>
      </c>
      <c r="HA3" s="172" t="s">
        <v>201</v>
      </c>
      <c r="HB3" s="172" t="s">
        <v>202</v>
      </c>
      <c r="HC3" s="172" t="s">
        <v>203</v>
      </c>
      <c r="HD3" s="172" t="s">
        <v>204</v>
      </c>
      <c r="HE3" s="172" t="s">
        <v>205</v>
      </c>
      <c r="HF3" s="172" t="s">
        <v>206</v>
      </c>
      <c r="HG3" s="172" t="s">
        <v>207</v>
      </c>
      <c r="HH3" s="172" t="s">
        <v>208</v>
      </c>
      <c r="HI3" s="172" t="s">
        <v>209</v>
      </c>
      <c r="HJ3" s="172" t="s">
        <v>210</v>
      </c>
      <c r="HK3" s="172" t="s">
        <v>211</v>
      </c>
      <c r="HL3" s="172" t="s">
        <v>212</v>
      </c>
      <c r="HM3" s="171" t="s">
        <v>1787</v>
      </c>
      <c r="HN3" s="171" t="s">
        <v>1788</v>
      </c>
      <c r="HO3" s="171" t="s">
        <v>1789</v>
      </c>
      <c r="HP3" s="171" t="s">
        <v>1790</v>
      </c>
      <c r="HQ3" s="171" t="s">
        <v>1792</v>
      </c>
      <c r="HR3" s="171" t="s">
        <v>1791</v>
      </c>
      <c r="HS3" s="171" t="s">
        <v>1793</v>
      </c>
      <c r="HT3" s="626" t="s">
        <v>1807</v>
      </c>
      <c r="HU3" s="626" t="s">
        <v>1924</v>
      </c>
      <c r="HV3" s="626" t="s">
        <v>1925</v>
      </c>
      <c r="HW3" s="173" t="s">
        <v>213</v>
      </c>
      <c r="HX3" s="173" t="s">
        <v>214</v>
      </c>
      <c r="HY3" s="173" t="s">
        <v>215</v>
      </c>
      <c r="HZ3" s="174"/>
      <c r="IB3" s="171" t="s">
        <v>1787</v>
      </c>
      <c r="IC3" s="171" t="s">
        <v>1788</v>
      </c>
      <c r="ID3" s="171" t="s">
        <v>1789</v>
      </c>
      <c r="IE3" s="171" t="s">
        <v>1790</v>
      </c>
      <c r="IF3" s="171" t="s">
        <v>1792</v>
      </c>
      <c r="IG3" s="171" t="s">
        <v>1791</v>
      </c>
      <c r="IH3" s="171" t="s">
        <v>1793</v>
      </c>
      <c r="II3" s="626" t="s">
        <v>1807</v>
      </c>
      <c r="IJ3" s="626" t="s">
        <v>1808</v>
      </c>
      <c r="IK3" s="626"/>
      <c r="IL3" s="626"/>
      <c r="IM3" s="62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row>
    <row r="4" spans="1:383" s="16" customFormat="1" ht="15" customHeight="1" x14ac:dyDescent="0.2">
      <c r="A4" s="15">
        <v>94800</v>
      </c>
      <c r="B4" s="25">
        <v>948</v>
      </c>
      <c r="C4" s="26">
        <v>0</v>
      </c>
      <c r="D4" s="20" t="s">
        <v>216</v>
      </c>
      <c r="E4" s="14">
        <v>40310</v>
      </c>
      <c r="F4" s="18">
        <v>1.5695119733062399</v>
      </c>
      <c r="G4" s="18">
        <v>1.5042855016883101</v>
      </c>
      <c r="H4" s="21">
        <v>100</v>
      </c>
      <c r="I4" s="21">
        <v>100</v>
      </c>
      <c r="J4" s="21">
        <v>100</v>
      </c>
      <c r="K4" s="18">
        <v>1</v>
      </c>
      <c r="L4" s="18">
        <v>99</v>
      </c>
      <c r="M4" s="18">
        <v>1E-4</v>
      </c>
      <c r="N4" s="18">
        <v>0</v>
      </c>
      <c r="O4" s="18">
        <v>0</v>
      </c>
      <c r="P4" s="18">
        <v>0</v>
      </c>
      <c r="Q4" s="19"/>
      <c r="R4" s="18">
        <v>0</v>
      </c>
      <c r="S4" s="18">
        <v>0</v>
      </c>
      <c r="T4" s="18">
        <v>0</v>
      </c>
      <c r="U4" s="18">
        <v>0</v>
      </c>
      <c r="V4" s="18">
        <v>0</v>
      </c>
      <c r="W4" s="18">
        <v>0</v>
      </c>
      <c r="X4" s="18"/>
      <c r="Y4" s="18">
        <v>0</v>
      </c>
      <c r="Z4" s="18">
        <v>0</v>
      </c>
      <c r="AA4" s="18">
        <v>0</v>
      </c>
      <c r="AB4" s="18">
        <v>0</v>
      </c>
      <c r="AC4" s="18">
        <v>0</v>
      </c>
      <c r="AD4" s="18">
        <v>0</v>
      </c>
      <c r="AE4" s="18">
        <v>0</v>
      </c>
      <c r="AF4" s="18">
        <v>0</v>
      </c>
      <c r="AG4" s="18">
        <v>0</v>
      </c>
      <c r="AH4" s="18">
        <v>0</v>
      </c>
      <c r="AI4" s="18">
        <v>0</v>
      </c>
      <c r="AJ4" s="18">
        <v>0</v>
      </c>
      <c r="AK4" s="18">
        <v>0</v>
      </c>
      <c r="AL4" s="18"/>
      <c r="AM4" s="18">
        <v>0</v>
      </c>
      <c r="AN4" s="18">
        <v>0</v>
      </c>
      <c r="AO4" s="18">
        <v>0</v>
      </c>
      <c r="AP4" s="18">
        <v>0</v>
      </c>
      <c r="AQ4" s="18">
        <v>0</v>
      </c>
      <c r="AR4" s="18">
        <v>0</v>
      </c>
      <c r="AS4" s="18">
        <v>0</v>
      </c>
      <c r="AT4" s="18">
        <v>0</v>
      </c>
      <c r="AU4" s="18">
        <v>0</v>
      </c>
      <c r="AV4" s="18">
        <v>0</v>
      </c>
      <c r="AW4" s="18">
        <v>0</v>
      </c>
      <c r="AX4" s="18"/>
      <c r="AY4" s="18">
        <v>1</v>
      </c>
      <c r="AZ4" s="18">
        <v>1</v>
      </c>
      <c r="BA4" s="18">
        <v>1</v>
      </c>
      <c r="BB4" s="18">
        <v>1</v>
      </c>
      <c r="BC4" s="18">
        <v>1</v>
      </c>
      <c r="BD4" s="18">
        <v>1</v>
      </c>
      <c r="BE4" s="18">
        <v>1</v>
      </c>
      <c r="BF4" s="18">
        <v>1</v>
      </c>
      <c r="BG4" s="18">
        <v>1</v>
      </c>
      <c r="BH4" s="18">
        <v>1</v>
      </c>
      <c r="BI4" s="18">
        <v>1</v>
      </c>
      <c r="BJ4" s="19"/>
      <c r="BK4" s="18">
        <v>1.0101010101010101E-4</v>
      </c>
      <c r="BL4" s="18">
        <v>0</v>
      </c>
      <c r="BM4" s="18">
        <v>0</v>
      </c>
      <c r="BN4" s="18">
        <v>0</v>
      </c>
      <c r="BO4" s="18"/>
      <c r="BP4" s="18">
        <v>0</v>
      </c>
      <c r="BQ4" s="18">
        <v>0</v>
      </c>
      <c r="BR4" s="18">
        <v>1.5853656296022625</v>
      </c>
      <c r="BS4" s="18">
        <v>1.5194803047356669</v>
      </c>
      <c r="BT4" s="19"/>
      <c r="BU4" s="18">
        <v>1000</v>
      </c>
      <c r="BV4" s="18">
        <v>999.99908080808086</v>
      </c>
      <c r="BW4" s="18">
        <v>0</v>
      </c>
      <c r="BX4" s="18" t="s">
        <v>217</v>
      </c>
      <c r="BY4" s="18" t="s">
        <v>217</v>
      </c>
      <c r="BZ4" s="18" t="s">
        <v>217</v>
      </c>
      <c r="CA4" s="18" t="s">
        <v>217</v>
      </c>
      <c r="CB4" s="19"/>
      <c r="CC4" s="19">
        <v>0</v>
      </c>
      <c r="CD4" s="19">
        <v>0</v>
      </c>
      <c r="CE4" s="19">
        <v>0</v>
      </c>
      <c r="CF4" s="19">
        <v>0</v>
      </c>
      <c r="CG4" s="19">
        <v>0</v>
      </c>
      <c r="CH4" s="19">
        <v>0</v>
      </c>
      <c r="CI4" s="19">
        <v>0</v>
      </c>
      <c r="CJ4" s="19"/>
      <c r="CK4" s="19">
        <v>0</v>
      </c>
      <c r="CL4" s="19">
        <v>0</v>
      </c>
      <c r="CM4" s="19">
        <v>0</v>
      </c>
      <c r="CN4" s="19">
        <v>0</v>
      </c>
      <c r="CO4" s="19">
        <v>0</v>
      </c>
      <c r="CP4" s="19">
        <v>0</v>
      </c>
      <c r="CQ4" s="19">
        <v>0</v>
      </c>
      <c r="CR4" s="19">
        <v>0</v>
      </c>
      <c r="CS4" s="19">
        <v>0</v>
      </c>
      <c r="CT4" s="19">
        <v>0</v>
      </c>
      <c r="CU4" s="19">
        <v>0</v>
      </c>
      <c r="CV4" s="19">
        <v>0</v>
      </c>
      <c r="CW4" s="19">
        <v>0</v>
      </c>
      <c r="CX4" s="19">
        <v>0</v>
      </c>
      <c r="CY4" s="19">
        <v>0</v>
      </c>
      <c r="CZ4" s="19">
        <v>0</v>
      </c>
      <c r="DA4" s="19">
        <v>0</v>
      </c>
      <c r="DB4" s="19">
        <v>0</v>
      </c>
      <c r="DC4" s="19">
        <v>0</v>
      </c>
      <c r="DD4" s="19">
        <v>0</v>
      </c>
      <c r="DE4" s="19">
        <v>0</v>
      </c>
      <c r="DF4" s="23">
        <v>0</v>
      </c>
      <c r="DG4" s="23">
        <v>0</v>
      </c>
      <c r="DH4" s="23">
        <v>0</v>
      </c>
      <c r="DI4" s="19">
        <v>0</v>
      </c>
      <c r="DJ4" s="19">
        <v>0</v>
      </c>
      <c r="DK4" s="19">
        <v>0</v>
      </c>
      <c r="DL4" s="19">
        <v>0</v>
      </c>
      <c r="DM4" s="19">
        <v>0</v>
      </c>
      <c r="DN4" s="19">
        <v>0</v>
      </c>
      <c r="DO4" s="19">
        <v>0</v>
      </c>
      <c r="DP4" s="19">
        <v>0</v>
      </c>
      <c r="DQ4" s="19">
        <v>0</v>
      </c>
      <c r="DR4" s="19">
        <v>0</v>
      </c>
      <c r="DS4" s="19">
        <v>0</v>
      </c>
      <c r="DT4" s="19">
        <v>0</v>
      </c>
      <c r="DU4" s="19">
        <v>0</v>
      </c>
      <c r="DV4" s="19">
        <v>0</v>
      </c>
      <c r="DW4" s="17" t="s">
        <v>218</v>
      </c>
      <c r="DX4" s="22" t="s">
        <v>218</v>
      </c>
      <c r="DY4" s="22" t="s">
        <v>218</v>
      </c>
      <c r="DZ4" s="22" t="s">
        <v>218</v>
      </c>
      <c r="EA4" s="22" t="s">
        <v>218</v>
      </c>
      <c r="EB4" s="22" t="s">
        <v>218</v>
      </c>
      <c r="EC4" s="22" t="s">
        <v>218</v>
      </c>
      <c r="ED4" s="22" t="s">
        <v>218</v>
      </c>
      <c r="EE4" s="22" t="s">
        <v>218</v>
      </c>
      <c r="EF4" s="22" t="s">
        <v>218</v>
      </c>
      <c r="EG4" s="22" t="s">
        <v>218</v>
      </c>
      <c r="EH4" s="22" t="s">
        <v>218</v>
      </c>
      <c r="EI4" s="22" t="s">
        <v>218</v>
      </c>
      <c r="EJ4" s="22" t="s">
        <v>218</v>
      </c>
      <c r="EK4" s="22" t="s">
        <v>218</v>
      </c>
      <c r="EL4" s="22" t="s">
        <v>218</v>
      </c>
      <c r="EM4" s="22" t="s">
        <v>218</v>
      </c>
      <c r="EN4" s="22" t="s">
        <v>218</v>
      </c>
      <c r="EO4" s="22" t="s">
        <v>218</v>
      </c>
      <c r="EP4" s="22" t="s">
        <v>218</v>
      </c>
      <c r="EQ4" s="22" t="s">
        <v>218</v>
      </c>
      <c r="ER4" s="22" t="s">
        <v>218</v>
      </c>
      <c r="ES4" s="22" t="s">
        <v>218</v>
      </c>
      <c r="ET4" s="22" t="s">
        <v>218</v>
      </c>
      <c r="EU4" s="22" t="s">
        <v>218</v>
      </c>
      <c r="EV4" s="22" t="s">
        <v>218</v>
      </c>
      <c r="EW4" s="22" t="s">
        <v>218</v>
      </c>
      <c r="EX4" s="22" t="s">
        <v>218</v>
      </c>
      <c r="EY4" s="22" t="s">
        <v>218</v>
      </c>
      <c r="EZ4" s="22" t="s">
        <v>218</v>
      </c>
      <c r="FA4" s="22" t="s">
        <v>218</v>
      </c>
      <c r="FB4" s="22" t="s">
        <v>218</v>
      </c>
      <c r="FC4" s="22" t="s">
        <v>218</v>
      </c>
      <c r="FD4" s="22" t="s">
        <v>218</v>
      </c>
      <c r="FE4" s="22" t="s">
        <v>218</v>
      </c>
      <c r="FF4" s="22" t="s">
        <v>218</v>
      </c>
      <c r="FG4" s="22" t="s">
        <v>218</v>
      </c>
      <c r="FH4" s="22" t="s">
        <v>218</v>
      </c>
      <c r="FI4" s="22" t="s">
        <v>218</v>
      </c>
      <c r="FJ4" s="22" t="s">
        <v>218</v>
      </c>
      <c r="FK4" s="22" t="s">
        <v>218</v>
      </c>
      <c r="FL4" s="22" t="s">
        <v>218</v>
      </c>
      <c r="FM4" s="22" t="s">
        <v>218</v>
      </c>
      <c r="FN4" s="22" t="s">
        <v>218</v>
      </c>
      <c r="FO4" s="22" t="s">
        <v>218</v>
      </c>
      <c r="FP4" s="22" t="s">
        <v>218</v>
      </c>
      <c r="FQ4" s="22" t="s">
        <v>218</v>
      </c>
      <c r="FR4" s="22" t="s">
        <v>218</v>
      </c>
      <c r="FS4" s="22" t="s">
        <v>218</v>
      </c>
      <c r="FT4" s="22" t="s">
        <v>218</v>
      </c>
      <c r="FU4" s="22" t="s">
        <v>218</v>
      </c>
      <c r="FV4" s="22" t="s">
        <v>218</v>
      </c>
      <c r="FW4" s="22" t="s">
        <v>218</v>
      </c>
      <c r="FX4" s="22" t="s">
        <v>218</v>
      </c>
      <c r="FY4" s="22" t="s">
        <v>218</v>
      </c>
      <c r="FZ4" s="22" t="s">
        <v>218</v>
      </c>
      <c r="GA4" s="22" t="s">
        <v>218</v>
      </c>
      <c r="GB4" s="22" t="s">
        <v>218</v>
      </c>
      <c r="GC4" s="22" t="s">
        <v>218</v>
      </c>
      <c r="GD4" s="22" t="s">
        <v>218</v>
      </c>
      <c r="GE4" s="22" t="s">
        <v>218</v>
      </c>
      <c r="GF4" s="22" t="s">
        <v>218</v>
      </c>
      <c r="GG4" s="22" t="s">
        <v>218</v>
      </c>
      <c r="GH4" s="22" t="s">
        <v>218</v>
      </c>
      <c r="GI4" s="22" t="s">
        <v>218</v>
      </c>
      <c r="GJ4" s="22" t="s">
        <v>218</v>
      </c>
      <c r="GK4" s="22" t="s">
        <v>218</v>
      </c>
      <c r="GL4" s="22" t="s">
        <v>218</v>
      </c>
      <c r="GM4" s="22" t="s">
        <v>218</v>
      </c>
      <c r="GN4" s="22" t="s">
        <v>218</v>
      </c>
      <c r="GO4" s="22" t="s">
        <v>218</v>
      </c>
      <c r="GP4" s="22" t="s">
        <v>218</v>
      </c>
      <c r="GQ4" s="22" t="s">
        <v>218</v>
      </c>
      <c r="GR4" s="22" t="s">
        <v>218</v>
      </c>
      <c r="GS4" s="22" t="s">
        <v>218</v>
      </c>
      <c r="GT4" s="22" t="s">
        <v>218</v>
      </c>
      <c r="GU4" s="22" t="s">
        <v>218</v>
      </c>
      <c r="GV4" s="22" t="s">
        <v>218</v>
      </c>
      <c r="GW4" s="22" t="s">
        <v>218</v>
      </c>
      <c r="GX4" s="22" t="s">
        <v>218</v>
      </c>
      <c r="GY4" s="22" t="s">
        <v>218</v>
      </c>
      <c r="GZ4" s="22" t="s">
        <v>218</v>
      </c>
      <c r="HA4" s="22" t="s">
        <v>218</v>
      </c>
      <c r="HB4" s="22" t="s">
        <v>218</v>
      </c>
      <c r="HC4" s="22" t="s">
        <v>218</v>
      </c>
      <c r="HD4" s="22" t="s">
        <v>218</v>
      </c>
      <c r="HE4" s="22" t="s">
        <v>218</v>
      </c>
      <c r="HF4" s="22" t="s">
        <v>218</v>
      </c>
      <c r="HG4" s="22" t="s">
        <v>218</v>
      </c>
      <c r="HH4" s="22" t="s">
        <v>218</v>
      </c>
      <c r="HI4" s="22" t="s">
        <v>218</v>
      </c>
      <c r="HJ4" s="22" t="s">
        <v>218</v>
      </c>
      <c r="HK4" s="22" t="s">
        <v>218</v>
      </c>
      <c r="HL4" s="22" t="s">
        <v>218</v>
      </c>
      <c r="HM4" s="860"/>
      <c r="HN4" s="860"/>
      <c r="HO4" s="860"/>
      <c r="HP4" s="860"/>
      <c r="HQ4" s="860"/>
      <c r="HR4" s="860"/>
      <c r="HS4" s="860"/>
      <c r="HT4" s="145"/>
      <c r="HU4" s="145" t="s">
        <v>1809</v>
      </c>
      <c r="HV4" s="22" t="s">
        <v>1926</v>
      </c>
      <c r="HW4" s="22">
        <v>0</v>
      </c>
      <c r="HX4" s="22">
        <v>0</v>
      </c>
      <c r="HY4" s="22">
        <v>0</v>
      </c>
      <c r="HZ4" s="19"/>
      <c r="IA4" s="19"/>
      <c r="IB4" s="621">
        <f>'background data'!$G$10</f>
        <v>0.47300000000000003</v>
      </c>
      <c r="IC4" s="621">
        <f>'background data'!$H$10</f>
        <v>0.13</v>
      </c>
      <c r="ID4" s="621">
        <f>'background data'!$J$10</f>
        <v>0.39100000000000001</v>
      </c>
      <c r="IE4" s="621">
        <f>'background data'!$L$10</f>
        <v>5.5E-2</v>
      </c>
      <c r="IF4" s="621">
        <f>'background data'!$M$10</f>
        <v>3.97</v>
      </c>
      <c r="IG4" s="621">
        <f>'background data'!$N$10</f>
        <v>4.5999999999999999E-3</v>
      </c>
      <c r="IH4" s="621">
        <f>'background data'!$O$10</f>
        <v>2.73</v>
      </c>
      <c r="II4" s="145"/>
      <c r="IJ4" s="145"/>
      <c r="IK4" s="145"/>
      <c r="IL4" s="145"/>
      <c r="IM4" s="145"/>
      <c r="IN4" s="145"/>
      <c r="IO4" s="145"/>
      <c r="IP4" s="145"/>
      <c r="IQ4" s="145"/>
      <c r="IR4" s="145"/>
      <c r="IS4" s="145"/>
      <c r="IT4" s="145"/>
      <c r="IU4" s="145"/>
      <c r="IV4" s="145"/>
      <c r="IW4" s="145"/>
      <c r="IX4" s="145"/>
      <c r="IY4" s="145"/>
      <c r="IZ4" s="145"/>
      <c r="JA4" s="145"/>
      <c r="JB4" s="145"/>
      <c r="JC4" s="145"/>
      <c r="JD4" s="145"/>
      <c r="JE4" s="145"/>
      <c r="JF4" s="145"/>
      <c r="JG4" s="145"/>
      <c r="JH4" s="145"/>
      <c r="JI4" s="145"/>
      <c r="JJ4" s="145"/>
      <c r="JK4" s="145"/>
      <c r="JL4" s="145"/>
      <c r="JM4" s="145"/>
      <c r="JN4" s="145"/>
      <c r="JO4" s="145"/>
      <c r="JP4" s="145"/>
      <c r="JQ4" s="145"/>
      <c r="JR4" s="145"/>
      <c r="JS4" s="145"/>
      <c r="JT4" s="145"/>
      <c r="JU4" s="145"/>
      <c r="JV4" s="145"/>
      <c r="JW4" s="145"/>
      <c r="JX4" s="145"/>
      <c r="JY4" s="145"/>
      <c r="JZ4" s="145"/>
      <c r="KA4" s="145"/>
      <c r="KB4" s="145"/>
      <c r="KC4" s="145"/>
      <c r="KD4" s="145"/>
      <c r="KE4" s="145"/>
      <c r="KF4" s="145"/>
      <c r="KG4" s="145"/>
      <c r="KH4" s="145"/>
      <c r="KI4" s="145"/>
      <c r="KJ4" s="145"/>
      <c r="KK4" s="145"/>
      <c r="KL4" s="145"/>
      <c r="KM4" s="145"/>
      <c r="KN4" s="145"/>
      <c r="KO4" s="145"/>
      <c r="KP4" s="145"/>
      <c r="KQ4" s="145"/>
      <c r="KR4" s="145"/>
      <c r="KS4" s="145"/>
      <c r="KT4" s="145"/>
      <c r="KU4" s="145"/>
      <c r="KV4" s="145"/>
      <c r="KW4" s="145"/>
      <c r="KX4" s="145"/>
      <c r="KY4" s="145"/>
      <c r="KZ4" s="145"/>
      <c r="LA4" s="145"/>
      <c r="LB4" s="145"/>
      <c r="LC4" s="145"/>
      <c r="LD4" s="145"/>
      <c r="LE4" s="145"/>
      <c r="LF4" s="145"/>
      <c r="LG4" s="145"/>
      <c r="LH4" s="145"/>
      <c r="LI4" s="145"/>
      <c r="LJ4" s="145"/>
      <c r="LK4" s="145"/>
      <c r="LL4" s="145"/>
      <c r="LM4" s="145"/>
      <c r="LN4" s="145"/>
      <c r="LO4" s="145"/>
      <c r="LP4" s="145"/>
      <c r="LQ4" s="145"/>
      <c r="LR4" s="145"/>
      <c r="LS4" s="145"/>
      <c r="LT4" s="145"/>
      <c r="LU4" s="145"/>
      <c r="LV4" s="145"/>
      <c r="LW4" s="145"/>
      <c r="LX4" s="145"/>
      <c r="LY4" s="145"/>
      <c r="LZ4" s="145"/>
      <c r="MA4" s="145"/>
      <c r="MB4" s="145"/>
      <c r="MC4" s="145"/>
      <c r="MD4" s="145"/>
      <c r="ME4" s="145"/>
      <c r="MF4" s="145"/>
      <c r="MG4" s="145"/>
      <c r="MH4" s="145"/>
      <c r="MI4" s="145"/>
      <c r="MJ4" s="145"/>
      <c r="MK4" s="145"/>
      <c r="ML4" s="145"/>
      <c r="MM4" s="145"/>
      <c r="MN4" s="145"/>
      <c r="MO4" s="145"/>
      <c r="MP4" s="145"/>
      <c r="MQ4" s="145"/>
      <c r="MR4" s="145"/>
      <c r="MS4" s="145"/>
      <c r="MT4" s="145"/>
      <c r="MU4" s="145"/>
      <c r="MV4" s="145"/>
      <c r="MW4" s="145"/>
      <c r="MX4" s="145"/>
      <c r="MY4" s="145"/>
      <c r="MZ4" s="145"/>
      <c r="NA4" s="145"/>
      <c r="NB4" s="145"/>
      <c r="NC4" s="145"/>
      <c r="ND4" s="145"/>
      <c r="NE4" s="145"/>
      <c r="NF4" s="145"/>
      <c r="NG4" s="145"/>
      <c r="NH4" s="145"/>
      <c r="NI4" s="145"/>
      <c r="NJ4" s="145"/>
      <c r="NK4" s="145"/>
      <c r="NL4" s="145"/>
      <c r="NM4" s="145"/>
      <c r="NN4" s="145"/>
      <c r="NO4" s="145"/>
      <c r="NP4" s="145"/>
      <c r="NQ4" s="145"/>
      <c r="NR4" s="145"/>
      <c r="NS4" s="145"/>
    </row>
    <row r="5" spans="1:383" s="16" customFormat="1" ht="15" customHeight="1" x14ac:dyDescent="0.2">
      <c r="A5" s="15">
        <v>99565</v>
      </c>
      <c r="B5" s="25">
        <v>995</v>
      </c>
      <c r="C5" s="26">
        <v>65</v>
      </c>
      <c r="D5" s="20" t="s">
        <v>219</v>
      </c>
      <c r="E5" s="14">
        <v>42585</v>
      </c>
      <c r="F5" s="18">
        <v>1.23848610956876</v>
      </c>
      <c r="G5" s="18">
        <v>1.19562155869088</v>
      </c>
      <c r="H5" s="21">
        <v>96.5</v>
      </c>
      <c r="I5" s="21">
        <v>96.000033500000001</v>
      </c>
      <c r="J5" s="21">
        <v>100</v>
      </c>
      <c r="K5" s="18">
        <v>1</v>
      </c>
      <c r="L5" s="18">
        <v>95</v>
      </c>
      <c r="M5" s="18">
        <v>80</v>
      </c>
      <c r="N5" s="18">
        <v>0.390143737166324</v>
      </c>
      <c r="O5" s="18">
        <v>1.65811088295687</v>
      </c>
      <c r="P5" s="18">
        <v>0</v>
      </c>
      <c r="Q5" s="19"/>
      <c r="R5" s="18">
        <v>100</v>
      </c>
      <c r="S5" s="18">
        <v>0</v>
      </c>
      <c r="T5" s="18">
        <v>0</v>
      </c>
      <c r="U5" s="18">
        <v>0</v>
      </c>
      <c r="V5" s="18">
        <v>0</v>
      </c>
      <c r="W5" s="18">
        <v>0</v>
      </c>
      <c r="X5" s="18"/>
      <c r="Y5" s="18">
        <v>0</v>
      </c>
      <c r="Z5" s="18">
        <v>1.2320328542094527</v>
      </c>
      <c r="AA5" s="18">
        <v>1.950718685831621</v>
      </c>
      <c r="AB5" s="18">
        <v>0.30800821355236102</v>
      </c>
      <c r="AC5" s="18">
        <v>3.7987679671457895</v>
      </c>
      <c r="AD5" s="18">
        <v>0.41067761806981473</v>
      </c>
      <c r="AE5" s="18">
        <v>57.291666666666742</v>
      </c>
      <c r="AF5" s="18">
        <v>0</v>
      </c>
      <c r="AG5" s="18">
        <v>0</v>
      </c>
      <c r="AH5" s="18">
        <v>0</v>
      </c>
      <c r="AI5" s="18">
        <v>0</v>
      </c>
      <c r="AJ5" s="18">
        <v>0</v>
      </c>
      <c r="AK5" s="18">
        <v>0</v>
      </c>
      <c r="AL5" s="18"/>
      <c r="AM5" s="18">
        <v>68.25</v>
      </c>
      <c r="AN5" s="18">
        <v>0.125</v>
      </c>
      <c r="AO5" s="18">
        <v>7.4999999999999997E-2</v>
      </c>
      <c r="AP5" s="18">
        <v>0.35</v>
      </c>
      <c r="AQ5" s="18">
        <v>0.05</v>
      </c>
      <c r="AR5" s="18">
        <v>0.375</v>
      </c>
      <c r="AS5" s="18">
        <v>0.61250000000000004</v>
      </c>
      <c r="AT5" s="18">
        <v>0</v>
      </c>
      <c r="AU5" s="18">
        <v>0</v>
      </c>
      <c r="AV5" s="18">
        <v>0</v>
      </c>
      <c r="AW5" s="18">
        <v>0.46250000000000002</v>
      </c>
      <c r="AX5" s="18"/>
      <c r="AY5" s="18">
        <v>1</v>
      </c>
      <c r="AZ5" s="18">
        <v>0.85</v>
      </c>
      <c r="BA5" s="18">
        <v>0.85</v>
      </c>
      <c r="BB5" s="18">
        <v>0.85</v>
      </c>
      <c r="BC5" s="18">
        <v>0.85</v>
      </c>
      <c r="BD5" s="18">
        <v>0.85</v>
      </c>
      <c r="BE5" s="18">
        <v>0.85</v>
      </c>
      <c r="BF5" s="18">
        <v>0.85</v>
      </c>
      <c r="BG5" s="18">
        <v>0.85</v>
      </c>
      <c r="BH5" s="18">
        <v>0.85</v>
      </c>
      <c r="BI5" s="18">
        <v>0.85</v>
      </c>
      <c r="BJ5" s="19"/>
      <c r="BK5" s="18">
        <v>84.21052631578948</v>
      </c>
      <c r="BL5" s="18">
        <v>0.41067761806981473</v>
      </c>
      <c r="BM5" s="18">
        <v>1.7453798767967053</v>
      </c>
      <c r="BN5" s="18">
        <v>0</v>
      </c>
      <c r="BO5" s="18"/>
      <c r="BP5" s="18">
        <v>0</v>
      </c>
      <c r="BQ5" s="18">
        <v>0</v>
      </c>
      <c r="BR5" s="18">
        <v>1.3036695890197474</v>
      </c>
      <c r="BS5" s="18">
        <v>1.2585490091482947</v>
      </c>
      <c r="BT5" s="19"/>
      <c r="BU5" s="18">
        <v>982.54620123203267</v>
      </c>
      <c r="BV5" s="18">
        <v>170.84000488683159</v>
      </c>
      <c r="BW5" s="18">
        <v>7.017716933118411</v>
      </c>
      <c r="BX5" s="18" t="s">
        <v>217</v>
      </c>
      <c r="BY5" s="18" t="s">
        <v>217</v>
      </c>
      <c r="BZ5" s="18" t="s">
        <v>217</v>
      </c>
      <c r="CA5" s="18" t="s">
        <v>217</v>
      </c>
      <c r="CB5" s="19"/>
      <c r="CC5" s="19">
        <v>0</v>
      </c>
      <c r="CD5" s="19">
        <v>1.1704312114989801</v>
      </c>
      <c r="CE5" s="19">
        <v>1.8531827515400399</v>
      </c>
      <c r="CF5" s="19">
        <v>0.29260780287474297</v>
      </c>
      <c r="CG5" s="19">
        <v>3.6088295687884999</v>
      </c>
      <c r="CH5" s="19">
        <v>0.390143737166324</v>
      </c>
      <c r="CI5" s="19">
        <v>54.4270833333334</v>
      </c>
      <c r="CJ5" s="19"/>
      <c r="CK5" s="19">
        <v>0</v>
      </c>
      <c r="CL5" s="19">
        <v>0</v>
      </c>
      <c r="CM5" s="19">
        <v>0</v>
      </c>
      <c r="CN5" s="19">
        <v>0</v>
      </c>
      <c r="CO5" s="19">
        <v>0</v>
      </c>
      <c r="CP5" s="19">
        <v>0</v>
      </c>
      <c r="CQ5" s="19">
        <v>800</v>
      </c>
      <c r="CR5" s="19">
        <v>645.94991725709338</v>
      </c>
      <c r="CS5" s="19">
        <v>440.86081852796622</v>
      </c>
      <c r="CT5" s="19">
        <v>0.68632178708566172</v>
      </c>
      <c r="CU5" s="19">
        <v>0.411793072251397</v>
      </c>
      <c r="CV5" s="19">
        <v>1.0981148593370589</v>
      </c>
      <c r="CW5" s="19">
        <v>1.9217010038398525</v>
      </c>
      <c r="CX5" s="19">
        <v>0.27452871483426472</v>
      </c>
      <c r="CY5" s="19">
        <v>2.0589653612569849</v>
      </c>
      <c r="CZ5" s="19">
        <v>3.3629767567197422</v>
      </c>
      <c r="DA5" s="19">
        <v>0</v>
      </c>
      <c r="DB5" s="19">
        <v>0</v>
      </c>
      <c r="DC5" s="19">
        <v>0</v>
      </c>
      <c r="DD5" s="19">
        <v>0</v>
      </c>
      <c r="DE5" s="19">
        <v>2.5393906122169483</v>
      </c>
      <c r="DF5" s="23">
        <v>0</v>
      </c>
      <c r="DG5" s="23">
        <v>0</v>
      </c>
      <c r="DH5" s="23">
        <v>0</v>
      </c>
      <c r="DI5" s="19">
        <v>0</v>
      </c>
      <c r="DJ5" s="19">
        <v>0</v>
      </c>
      <c r="DK5" s="19">
        <v>0</v>
      </c>
      <c r="DL5" s="19">
        <v>0</v>
      </c>
      <c r="DM5" s="19">
        <v>0</v>
      </c>
      <c r="DN5" s="19">
        <v>0</v>
      </c>
      <c r="DO5" s="19">
        <v>0</v>
      </c>
      <c r="DP5" s="19">
        <v>0</v>
      </c>
      <c r="DQ5" s="19">
        <v>0</v>
      </c>
      <c r="DR5" s="19">
        <v>0</v>
      </c>
      <c r="DS5" s="19">
        <v>0</v>
      </c>
      <c r="DT5" s="19">
        <v>0</v>
      </c>
      <c r="DU5" s="19">
        <v>0</v>
      </c>
      <c r="DV5" s="19">
        <v>0</v>
      </c>
      <c r="DW5" s="17" t="s">
        <v>218</v>
      </c>
      <c r="DX5" s="22" t="s">
        <v>218</v>
      </c>
      <c r="DY5" s="22" t="s">
        <v>218</v>
      </c>
      <c r="DZ5" s="22" t="s">
        <v>218</v>
      </c>
      <c r="EA5" s="22" t="s">
        <v>218</v>
      </c>
      <c r="EB5" s="22" t="s">
        <v>218</v>
      </c>
      <c r="EC5" s="22" t="s">
        <v>218</v>
      </c>
      <c r="ED5" s="22" t="s">
        <v>218</v>
      </c>
      <c r="EE5" s="22" t="s">
        <v>218</v>
      </c>
      <c r="EF5" s="22" t="s">
        <v>218</v>
      </c>
      <c r="EG5" s="22" t="s">
        <v>218</v>
      </c>
      <c r="EH5" s="22" t="s">
        <v>218</v>
      </c>
      <c r="EI5" s="22" t="s">
        <v>218</v>
      </c>
      <c r="EJ5" s="22" t="s">
        <v>218</v>
      </c>
      <c r="EK5" s="22" t="s">
        <v>218</v>
      </c>
      <c r="EL5" s="22" t="s">
        <v>218</v>
      </c>
      <c r="EM5" s="22" t="s">
        <v>218</v>
      </c>
      <c r="EN5" s="22" t="s">
        <v>218</v>
      </c>
      <c r="EO5" s="22" t="s">
        <v>218</v>
      </c>
      <c r="EP5" s="22" t="s">
        <v>218</v>
      </c>
      <c r="EQ5" s="22" t="s">
        <v>218</v>
      </c>
      <c r="ER5" s="22" t="s">
        <v>218</v>
      </c>
      <c r="ES5" s="22" t="s">
        <v>218</v>
      </c>
      <c r="ET5" s="22" t="s">
        <v>218</v>
      </c>
      <c r="EU5" s="22" t="s">
        <v>218</v>
      </c>
      <c r="EV5" s="22" t="s">
        <v>218</v>
      </c>
      <c r="EW5" s="22" t="s">
        <v>218</v>
      </c>
      <c r="EX5" s="22" t="s">
        <v>218</v>
      </c>
      <c r="EY5" s="22" t="s">
        <v>218</v>
      </c>
      <c r="EZ5" s="22" t="s">
        <v>218</v>
      </c>
      <c r="FA5" s="22" t="s">
        <v>218</v>
      </c>
      <c r="FB5" s="22" t="s">
        <v>218</v>
      </c>
      <c r="FC5" s="22" t="s">
        <v>218</v>
      </c>
      <c r="FD5" s="22" t="s">
        <v>218</v>
      </c>
      <c r="FE5" s="22" t="s">
        <v>218</v>
      </c>
      <c r="FF5" s="22" t="s">
        <v>218</v>
      </c>
      <c r="FG5" s="22" t="s">
        <v>218</v>
      </c>
      <c r="FH5" s="22" t="s">
        <v>218</v>
      </c>
      <c r="FI5" s="22" t="s">
        <v>218</v>
      </c>
      <c r="FJ5" s="22" t="s">
        <v>218</v>
      </c>
      <c r="FK5" s="22" t="s">
        <v>218</v>
      </c>
      <c r="FL5" s="22" t="s">
        <v>218</v>
      </c>
      <c r="FM5" s="22" t="s">
        <v>218</v>
      </c>
      <c r="FN5" s="22" t="s">
        <v>218</v>
      </c>
      <c r="FO5" s="22" t="s">
        <v>218</v>
      </c>
      <c r="FP5" s="22" t="s">
        <v>218</v>
      </c>
      <c r="FQ5" s="22" t="s">
        <v>218</v>
      </c>
      <c r="FR5" s="22" t="s">
        <v>218</v>
      </c>
      <c r="FS5" s="22" t="s">
        <v>218</v>
      </c>
      <c r="FT5" s="22" t="s">
        <v>218</v>
      </c>
      <c r="FU5" s="22" t="s">
        <v>218</v>
      </c>
      <c r="FV5" s="22" t="s">
        <v>218</v>
      </c>
      <c r="FW5" s="22" t="s">
        <v>218</v>
      </c>
      <c r="FX5" s="22" t="s">
        <v>218</v>
      </c>
      <c r="FY5" s="22" t="s">
        <v>218</v>
      </c>
      <c r="FZ5" s="22" t="s">
        <v>218</v>
      </c>
      <c r="GA5" s="22" t="s">
        <v>218</v>
      </c>
      <c r="GB5" s="22" t="s">
        <v>218</v>
      </c>
      <c r="GC5" s="22" t="s">
        <v>218</v>
      </c>
      <c r="GD5" s="22" t="s">
        <v>218</v>
      </c>
      <c r="GE5" s="22" t="s">
        <v>218</v>
      </c>
      <c r="GF5" s="22" t="s">
        <v>218</v>
      </c>
      <c r="GG5" s="22" t="s">
        <v>218</v>
      </c>
      <c r="GH5" s="22" t="s">
        <v>218</v>
      </c>
      <c r="GI5" s="22" t="s">
        <v>218</v>
      </c>
      <c r="GJ5" s="22" t="s">
        <v>218</v>
      </c>
      <c r="GK5" s="22" t="s">
        <v>218</v>
      </c>
      <c r="GL5" s="22" t="s">
        <v>218</v>
      </c>
      <c r="GM5" s="22" t="s">
        <v>218</v>
      </c>
      <c r="GN5" s="22" t="s">
        <v>218</v>
      </c>
      <c r="GO5" s="22" t="s">
        <v>218</v>
      </c>
      <c r="GP5" s="22" t="s">
        <v>218</v>
      </c>
      <c r="GQ5" s="22" t="s">
        <v>218</v>
      </c>
      <c r="GR5" s="22" t="s">
        <v>218</v>
      </c>
      <c r="GS5" s="22" t="s">
        <v>218</v>
      </c>
      <c r="GT5" s="22" t="s">
        <v>218</v>
      </c>
      <c r="GU5" s="22" t="s">
        <v>218</v>
      </c>
      <c r="GV5" s="22" t="s">
        <v>218</v>
      </c>
      <c r="GW5" s="22" t="s">
        <v>218</v>
      </c>
      <c r="GX5" s="22" t="s">
        <v>218</v>
      </c>
      <c r="GY5" s="22" t="s">
        <v>218</v>
      </c>
      <c r="GZ5" s="22" t="s">
        <v>218</v>
      </c>
      <c r="HA5" s="22" t="s">
        <v>218</v>
      </c>
      <c r="HB5" s="22" t="s">
        <v>218</v>
      </c>
      <c r="HC5" s="22" t="s">
        <v>218</v>
      </c>
      <c r="HD5" s="22" t="s">
        <v>218</v>
      </c>
      <c r="HE5" s="22" t="s">
        <v>218</v>
      </c>
      <c r="HF5" s="22" t="s">
        <v>218</v>
      </c>
      <c r="HG5" s="22" t="s">
        <v>218</v>
      </c>
      <c r="HH5" s="22" t="s">
        <v>218</v>
      </c>
      <c r="HI5" s="22" t="s">
        <v>218</v>
      </c>
      <c r="HJ5" s="22" t="s">
        <v>218</v>
      </c>
      <c r="HK5" s="22" t="s">
        <v>218</v>
      </c>
      <c r="HL5" s="22" t="s">
        <v>218</v>
      </c>
      <c r="HM5" s="860"/>
      <c r="HN5" s="860"/>
      <c r="HO5" s="860"/>
      <c r="HP5" s="860"/>
      <c r="HQ5" s="860"/>
      <c r="HR5" s="860"/>
      <c r="HS5" s="860"/>
      <c r="HT5" s="145"/>
      <c r="HU5" s="145" t="s">
        <v>1809</v>
      </c>
      <c r="HV5" s="22" t="s">
        <v>1926</v>
      </c>
      <c r="HW5" s="22" t="s">
        <v>218</v>
      </c>
      <c r="HX5" s="22" t="s">
        <v>218</v>
      </c>
      <c r="HY5" s="22" t="s">
        <v>218</v>
      </c>
      <c r="HZ5" s="19"/>
      <c r="IA5" s="19"/>
      <c r="IB5" s="621">
        <f>'background data'!$G$10</f>
        <v>0.47300000000000003</v>
      </c>
      <c r="IC5" s="621">
        <f>'background data'!$H$10</f>
        <v>0.13</v>
      </c>
      <c r="ID5" s="621">
        <f>'background data'!$J$10</f>
        <v>0.39100000000000001</v>
      </c>
      <c r="IE5" s="621">
        <f>'background data'!$L$10</f>
        <v>5.5E-2</v>
      </c>
      <c r="IF5" s="621">
        <f>'background data'!$M$10</f>
        <v>3.97</v>
      </c>
      <c r="IG5" s="621">
        <f>'background data'!$N$10</f>
        <v>4.5999999999999999E-3</v>
      </c>
      <c r="IH5" s="621">
        <f>'background data'!$O$10</f>
        <v>2.73</v>
      </c>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row>
    <row r="6" spans="1:383" s="16" customFormat="1" ht="15" customHeight="1" x14ac:dyDescent="0.2">
      <c r="A6" s="15">
        <v>99566</v>
      </c>
      <c r="B6" s="25">
        <v>995</v>
      </c>
      <c r="C6" s="26">
        <v>66</v>
      </c>
      <c r="D6" s="20" t="s">
        <v>220</v>
      </c>
      <c r="E6" s="14">
        <v>42585</v>
      </c>
      <c r="F6" s="18">
        <v>1.23848610956876</v>
      </c>
      <c r="G6" s="18">
        <v>1.19562155869088</v>
      </c>
      <c r="H6" s="21">
        <v>96.5</v>
      </c>
      <c r="I6" s="21">
        <v>96.000033500000001</v>
      </c>
      <c r="J6" s="21">
        <v>100</v>
      </c>
      <c r="K6" s="18">
        <v>1</v>
      </c>
      <c r="L6" s="18">
        <v>95</v>
      </c>
      <c r="M6" s="18">
        <v>80</v>
      </c>
      <c r="N6" s="18">
        <v>0.390143737166324</v>
      </c>
      <c r="O6" s="18">
        <v>1.65811088295687</v>
      </c>
      <c r="P6" s="18">
        <v>0</v>
      </c>
      <c r="Q6" s="19"/>
      <c r="R6" s="18">
        <v>75</v>
      </c>
      <c r="S6" s="18">
        <v>0</v>
      </c>
      <c r="T6" s="18">
        <v>0</v>
      </c>
      <c r="U6" s="18">
        <v>0</v>
      </c>
      <c r="V6" s="18">
        <v>0</v>
      </c>
      <c r="W6" s="18">
        <v>0</v>
      </c>
      <c r="X6" s="18"/>
      <c r="Y6" s="18">
        <v>0</v>
      </c>
      <c r="Z6" s="18">
        <v>1.2320328542094527</v>
      </c>
      <c r="AA6" s="18">
        <v>1.950718685831621</v>
      </c>
      <c r="AB6" s="18">
        <v>0.30800821355236102</v>
      </c>
      <c r="AC6" s="18">
        <v>3.7987679671457895</v>
      </c>
      <c r="AD6" s="18">
        <v>0.41067761806981473</v>
      </c>
      <c r="AE6" s="18">
        <v>57.291666666666742</v>
      </c>
      <c r="AF6" s="18">
        <v>0</v>
      </c>
      <c r="AG6" s="18">
        <v>0</v>
      </c>
      <c r="AH6" s="18">
        <v>0</v>
      </c>
      <c r="AI6" s="18">
        <v>0</v>
      </c>
      <c r="AJ6" s="18">
        <v>0</v>
      </c>
      <c r="AK6" s="18">
        <v>0</v>
      </c>
      <c r="AL6" s="18"/>
      <c r="AM6" s="18">
        <v>68.25</v>
      </c>
      <c r="AN6" s="18">
        <v>0.125</v>
      </c>
      <c r="AO6" s="18">
        <v>7.4999999999999997E-2</v>
      </c>
      <c r="AP6" s="18">
        <v>0.35</v>
      </c>
      <c r="AQ6" s="18">
        <v>0.05</v>
      </c>
      <c r="AR6" s="18">
        <v>0.375</v>
      </c>
      <c r="AS6" s="18">
        <v>0.61250000000000004</v>
      </c>
      <c r="AT6" s="18">
        <v>0</v>
      </c>
      <c r="AU6" s="18">
        <v>0</v>
      </c>
      <c r="AV6" s="18">
        <v>0</v>
      </c>
      <c r="AW6" s="18">
        <v>0.46250000000000002</v>
      </c>
      <c r="AX6" s="18"/>
      <c r="AY6" s="18">
        <v>1</v>
      </c>
      <c r="AZ6" s="18">
        <v>0.85</v>
      </c>
      <c r="BA6" s="18">
        <v>0.85</v>
      </c>
      <c r="BB6" s="18">
        <v>0.85</v>
      </c>
      <c r="BC6" s="18">
        <v>0.85</v>
      </c>
      <c r="BD6" s="18">
        <v>0.85</v>
      </c>
      <c r="BE6" s="18">
        <v>0.85</v>
      </c>
      <c r="BF6" s="18">
        <v>0.85</v>
      </c>
      <c r="BG6" s="18">
        <v>0.85</v>
      </c>
      <c r="BH6" s="18">
        <v>0.85</v>
      </c>
      <c r="BI6" s="18">
        <v>0.85</v>
      </c>
      <c r="BJ6" s="19"/>
      <c r="BK6" s="18">
        <v>84.21052631578948</v>
      </c>
      <c r="BL6" s="18">
        <v>0.41067761806981473</v>
      </c>
      <c r="BM6" s="18">
        <v>1.7453798767967053</v>
      </c>
      <c r="BN6" s="18">
        <v>0</v>
      </c>
      <c r="BO6" s="18"/>
      <c r="BP6" s="18">
        <v>0</v>
      </c>
      <c r="BQ6" s="18">
        <v>0</v>
      </c>
      <c r="BR6" s="18">
        <v>1.3036695890197474</v>
      </c>
      <c r="BS6" s="18">
        <v>1.2585490091482947</v>
      </c>
      <c r="BT6" s="19"/>
      <c r="BU6" s="18">
        <v>982.54620123203267</v>
      </c>
      <c r="BV6" s="18">
        <v>170.84000488683159</v>
      </c>
      <c r="BW6" s="18">
        <v>7.017716933118411</v>
      </c>
      <c r="BX6" s="18" t="s">
        <v>217</v>
      </c>
      <c r="BY6" s="18" t="s">
        <v>217</v>
      </c>
      <c r="BZ6" s="18" t="s">
        <v>217</v>
      </c>
      <c r="CA6" s="18" t="s">
        <v>217</v>
      </c>
      <c r="CB6" s="19"/>
      <c r="CC6" s="19">
        <v>0</v>
      </c>
      <c r="CD6" s="19">
        <v>1.1704312114989801</v>
      </c>
      <c r="CE6" s="19">
        <v>1.8531827515400399</v>
      </c>
      <c r="CF6" s="19">
        <v>0.29260780287474297</v>
      </c>
      <c r="CG6" s="19">
        <v>3.6088295687884999</v>
      </c>
      <c r="CH6" s="19">
        <v>0.390143737166324</v>
      </c>
      <c r="CI6" s="19">
        <v>54.4270833333334</v>
      </c>
      <c r="CJ6" s="19"/>
      <c r="CK6" s="19">
        <v>0</v>
      </c>
      <c r="CL6" s="19">
        <v>0</v>
      </c>
      <c r="CM6" s="19">
        <v>0</v>
      </c>
      <c r="CN6" s="19">
        <v>0</v>
      </c>
      <c r="CO6" s="19">
        <v>0</v>
      </c>
      <c r="CP6" s="19">
        <v>0</v>
      </c>
      <c r="CQ6" s="19">
        <v>600</v>
      </c>
      <c r="CR6" s="19">
        <v>484.46243794282003</v>
      </c>
      <c r="CS6" s="19">
        <v>330.64561389597463</v>
      </c>
      <c r="CT6" s="19">
        <v>0.51474134031424623</v>
      </c>
      <c r="CU6" s="19">
        <v>0.30884480418854776</v>
      </c>
      <c r="CV6" s="19">
        <v>0.82358614450279399</v>
      </c>
      <c r="CW6" s="19">
        <v>1.4412757528798894</v>
      </c>
      <c r="CX6" s="19">
        <v>0.2058965361256985</v>
      </c>
      <c r="CY6" s="19">
        <v>1.5442240209427389</v>
      </c>
      <c r="CZ6" s="19">
        <v>2.5222325675398065</v>
      </c>
      <c r="DA6" s="19">
        <v>0</v>
      </c>
      <c r="DB6" s="19">
        <v>0</v>
      </c>
      <c r="DC6" s="19">
        <v>0</v>
      </c>
      <c r="DD6" s="19">
        <v>0</v>
      </c>
      <c r="DE6" s="19">
        <v>1.9045429591627112</v>
      </c>
      <c r="DF6" s="23">
        <v>0</v>
      </c>
      <c r="DG6" s="23">
        <v>0</v>
      </c>
      <c r="DH6" s="23">
        <v>0</v>
      </c>
      <c r="DI6" s="19">
        <v>0</v>
      </c>
      <c r="DJ6" s="19">
        <v>0</v>
      </c>
      <c r="DK6" s="19">
        <v>0</v>
      </c>
      <c r="DL6" s="19">
        <v>0</v>
      </c>
      <c r="DM6" s="19">
        <v>0</v>
      </c>
      <c r="DN6" s="19">
        <v>0</v>
      </c>
      <c r="DO6" s="19">
        <v>0</v>
      </c>
      <c r="DP6" s="19">
        <v>0</v>
      </c>
      <c r="DQ6" s="19">
        <v>0</v>
      </c>
      <c r="DR6" s="19">
        <v>0</v>
      </c>
      <c r="DS6" s="19">
        <v>0</v>
      </c>
      <c r="DT6" s="19">
        <v>0</v>
      </c>
      <c r="DU6" s="19">
        <v>0</v>
      </c>
      <c r="DV6" s="19">
        <v>0</v>
      </c>
      <c r="DW6" s="17" t="s">
        <v>218</v>
      </c>
      <c r="DX6" s="22" t="s">
        <v>218</v>
      </c>
      <c r="DY6" s="22" t="s">
        <v>218</v>
      </c>
      <c r="DZ6" s="22" t="s">
        <v>218</v>
      </c>
      <c r="EA6" s="22" t="s">
        <v>218</v>
      </c>
      <c r="EB6" s="22" t="s">
        <v>218</v>
      </c>
      <c r="EC6" s="22" t="s">
        <v>218</v>
      </c>
      <c r="ED6" s="22" t="s">
        <v>218</v>
      </c>
      <c r="EE6" s="22" t="s">
        <v>218</v>
      </c>
      <c r="EF6" s="22" t="s">
        <v>218</v>
      </c>
      <c r="EG6" s="22" t="s">
        <v>218</v>
      </c>
      <c r="EH6" s="22" t="s">
        <v>218</v>
      </c>
      <c r="EI6" s="22" t="s">
        <v>218</v>
      </c>
      <c r="EJ6" s="22" t="s">
        <v>218</v>
      </c>
      <c r="EK6" s="22" t="s">
        <v>218</v>
      </c>
      <c r="EL6" s="22" t="s">
        <v>218</v>
      </c>
      <c r="EM6" s="22" t="s">
        <v>218</v>
      </c>
      <c r="EN6" s="22" t="s">
        <v>218</v>
      </c>
      <c r="EO6" s="22" t="s">
        <v>218</v>
      </c>
      <c r="EP6" s="22" t="s">
        <v>218</v>
      </c>
      <c r="EQ6" s="22" t="s">
        <v>218</v>
      </c>
      <c r="ER6" s="22" t="s">
        <v>218</v>
      </c>
      <c r="ES6" s="22" t="s">
        <v>218</v>
      </c>
      <c r="ET6" s="22" t="s">
        <v>218</v>
      </c>
      <c r="EU6" s="22" t="s">
        <v>218</v>
      </c>
      <c r="EV6" s="22" t="s">
        <v>218</v>
      </c>
      <c r="EW6" s="22" t="s">
        <v>218</v>
      </c>
      <c r="EX6" s="22" t="s">
        <v>218</v>
      </c>
      <c r="EY6" s="22" t="s">
        <v>218</v>
      </c>
      <c r="EZ6" s="22" t="s">
        <v>218</v>
      </c>
      <c r="FA6" s="22" t="s">
        <v>218</v>
      </c>
      <c r="FB6" s="22" t="s">
        <v>218</v>
      </c>
      <c r="FC6" s="22" t="s">
        <v>218</v>
      </c>
      <c r="FD6" s="22" t="s">
        <v>218</v>
      </c>
      <c r="FE6" s="22" t="s">
        <v>218</v>
      </c>
      <c r="FF6" s="22" t="s">
        <v>218</v>
      </c>
      <c r="FG6" s="22" t="s">
        <v>218</v>
      </c>
      <c r="FH6" s="22" t="s">
        <v>218</v>
      </c>
      <c r="FI6" s="22" t="s">
        <v>218</v>
      </c>
      <c r="FJ6" s="22" t="s">
        <v>218</v>
      </c>
      <c r="FK6" s="22" t="s">
        <v>218</v>
      </c>
      <c r="FL6" s="22" t="s">
        <v>218</v>
      </c>
      <c r="FM6" s="22" t="s">
        <v>218</v>
      </c>
      <c r="FN6" s="22" t="s">
        <v>218</v>
      </c>
      <c r="FO6" s="22" t="s">
        <v>218</v>
      </c>
      <c r="FP6" s="22" t="s">
        <v>218</v>
      </c>
      <c r="FQ6" s="22" t="s">
        <v>218</v>
      </c>
      <c r="FR6" s="22" t="s">
        <v>218</v>
      </c>
      <c r="FS6" s="22" t="s">
        <v>218</v>
      </c>
      <c r="FT6" s="22" t="s">
        <v>218</v>
      </c>
      <c r="FU6" s="22" t="s">
        <v>218</v>
      </c>
      <c r="FV6" s="22" t="s">
        <v>218</v>
      </c>
      <c r="FW6" s="22" t="s">
        <v>218</v>
      </c>
      <c r="FX6" s="22" t="s">
        <v>218</v>
      </c>
      <c r="FY6" s="22" t="s">
        <v>218</v>
      </c>
      <c r="FZ6" s="22" t="s">
        <v>218</v>
      </c>
      <c r="GA6" s="22" t="s">
        <v>218</v>
      </c>
      <c r="GB6" s="22" t="s">
        <v>218</v>
      </c>
      <c r="GC6" s="22" t="s">
        <v>218</v>
      </c>
      <c r="GD6" s="22" t="s">
        <v>218</v>
      </c>
      <c r="GE6" s="22" t="s">
        <v>218</v>
      </c>
      <c r="GF6" s="22" t="s">
        <v>218</v>
      </c>
      <c r="GG6" s="22" t="s">
        <v>218</v>
      </c>
      <c r="GH6" s="22" t="s">
        <v>218</v>
      </c>
      <c r="GI6" s="22" t="s">
        <v>218</v>
      </c>
      <c r="GJ6" s="22" t="s">
        <v>218</v>
      </c>
      <c r="GK6" s="22" t="s">
        <v>218</v>
      </c>
      <c r="GL6" s="22" t="s">
        <v>218</v>
      </c>
      <c r="GM6" s="22" t="s">
        <v>218</v>
      </c>
      <c r="GN6" s="22" t="s">
        <v>218</v>
      </c>
      <c r="GO6" s="22" t="s">
        <v>218</v>
      </c>
      <c r="GP6" s="22" t="s">
        <v>218</v>
      </c>
      <c r="GQ6" s="22" t="s">
        <v>218</v>
      </c>
      <c r="GR6" s="22" t="s">
        <v>218</v>
      </c>
      <c r="GS6" s="22" t="s">
        <v>218</v>
      </c>
      <c r="GT6" s="22" t="s">
        <v>218</v>
      </c>
      <c r="GU6" s="22" t="s">
        <v>218</v>
      </c>
      <c r="GV6" s="22" t="s">
        <v>218</v>
      </c>
      <c r="GW6" s="22" t="s">
        <v>218</v>
      </c>
      <c r="GX6" s="22" t="s">
        <v>218</v>
      </c>
      <c r="GY6" s="22" t="s">
        <v>218</v>
      </c>
      <c r="GZ6" s="22" t="s">
        <v>218</v>
      </c>
      <c r="HA6" s="22" t="s">
        <v>218</v>
      </c>
      <c r="HB6" s="22" t="s">
        <v>218</v>
      </c>
      <c r="HC6" s="22" t="s">
        <v>218</v>
      </c>
      <c r="HD6" s="22" t="s">
        <v>218</v>
      </c>
      <c r="HE6" s="22" t="s">
        <v>218</v>
      </c>
      <c r="HF6" s="22" t="s">
        <v>218</v>
      </c>
      <c r="HG6" s="22" t="s">
        <v>218</v>
      </c>
      <c r="HH6" s="22" t="s">
        <v>218</v>
      </c>
      <c r="HI6" s="22" t="s">
        <v>218</v>
      </c>
      <c r="HJ6" s="22" t="s">
        <v>218</v>
      </c>
      <c r="HK6" s="22" t="s">
        <v>218</v>
      </c>
      <c r="HL6" s="22" t="s">
        <v>218</v>
      </c>
      <c r="HM6" s="860"/>
      <c r="HN6" s="860"/>
      <c r="HO6" s="860"/>
      <c r="HP6" s="860"/>
      <c r="HQ6" s="860"/>
      <c r="HR6" s="860"/>
      <c r="HS6" s="860"/>
      <c r="HT6" s="145"/>
      <c r="HU6" s="145" t="s">
        <v>1809</v>
      </c>
      <c r="HV6" s="22" t="s">
        <v>1926</v>
      </c>
      <c r="HW6" s="22" t="s">
        <v>218</v>
      </c>
      <c r="HX6" s="22" t="s">
        <v>218</v>
      </c>
      <c r="HY6" s="22" t="s">
        <v>218</v>
      </c>
      <c r="HZ6" s="19"/>
      <c r="IA6" s="19"/>
      <c r="IB6" s="621">
        <f>'background data'!$G$10</f>
        <v>0.47300000000000003</v>
      </c>
      <c r="IC6" s="621">
        <f>'background data'!$H$10</f>
        <v>0.13</v>
      </c>
      <c r="ID6" s="621">
        <f>'background data'!$J$10</f>
        <v>0.39100000000000001</v>
      </c>
      <c r="IE6" s="621">
        <f>'background data'!$L$10</f>
        <v>5.5E-2</v>
      </c>
      <c r="IF6" s="621">
        <f>'background data'!$M$10</f>
        <v>3.97</v>
      </c>
      <c r="IG6" s="621">
        <f>'background data'!$N$10</f>
        <v>4.5999999999999999E-3</v>
      </c>
      <c r="IH6" s="621">
        <f>'background data'!$O$10</f>
        <v>2.73</v>
      </c>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row>
    <row r="7" spans="1:383" s="16" customFormat="1" ht="15" customHeight="1" x14ac:dyDescent="0.2">
      <c r="A7" s="15">
        <v>80500</v>
      </c>
      <c r="B7" s="25">
        <v>805</v>
      </c>
      <c r="C7" s="26">
        <v>0</v>
      </c>
      <c r="D7" s="20" t="s">
        <v>221</v>
      </c>
      <c r="E7" s="14">
        <v>40310</v>
      </c>
      <c r="F7" s="18">
        <v>1.2317951056910501</v>
      </c>
      <c r="G7" s="18">
        <v>1.18620933153247</v>
      </c>
      <c r="H7" s="21">
        <v>99.8</v>
      </c>
      <c r="I7" s="21">
        <v>98.2</v>
      </c>
      <c r="J7" s="21">
        <v>91</v>
      </c>
      <c r="K7" s="18">
        <v>1</v>
      </c>
      <c r="L7" s="18">
        <v>94</v>
      </c>
      <c r="M7" s="18">
        <v>82.531999999999996</v>
      </c>
      <c r="N7" s="18">
        <v>2.0680000000000001</v>
      </c>
      <c r="O7" s="18">
        <v>5.8280000000000003</v>
      </c>
      <c r="P7" s="18">
        <v>0</v>
      </c>
      <c r="Q7" s="19"/>
      <c r="R7" s="18">
        <v>94</v>
      </c>
      <c r="S7" s="18">
        <v>55</v>
      </c>
      <c r="T7" s="18">
        <v>55</v>
      </c>
      <c r="U7" s="18">
        <v>55</v>
      </c>
      <c r="V7" s="18">
        <v>55</v>
      </c>
      <c r="W7" s="18">
        <v>55</v>
      </c>
      <c r="X7" s="18"/>
      <c r="Y7" s="18">
        <v>0.59</v>
      </c>
      <c r="Z7" s="18">
        <v>0.95000000000000007</v>
      </c>
      <c r="AA7" s="18">
        <v>22.1</v>
      </c>
      <c r="AB7" s="18">
        <v>11</v>
      </c>
      <c r="AC7" s="18">
        <v>1.44</v>
      </c>
      <c r="AD7" s="18">
        <v>0.12</v>
      </c>
      <c r="AE7" s="18">
        <v>0</v>
      </c>
      <c r="AF7" s="18">
        <v>40</v>
      </c>
      <c r="AG7" s="18">
        <v>25</v>
      </c>
      <c r="AH7" s="18">
        <v>0</v>
      </c>
      <c r="AI7" s="18">
        <v>14</v>
      </c>
      <c r="AJ7" s="18">
        <v>0</v>
      </c>
      <c r="AK7" s="18">
        <v>0</v>
      </c>
      <c r="AL7" s="18"/>
      <c r="AM7" s="18">
        <v>8.6999999999999993</v>
      </c>
      <c r="AN7" s="18">
        <v>0.9</v>
      </c>
      <c r="AO7" s="18">
        <v>3.6</v>
      </c>
      <c r="AP7" s="18">
        <v>6.1</v>
      </c>
      <c r="AQ7" s="18">
        <v>1.9</v>
      </c>
      <c r="AR7" s="18">
        <v>4</v>
      </c>
      <c r="AS7" s="18">
        <v>9.6999999999999993</v>
      </c>
      <c r="AT7" s="18">
        <v>3.3</v>
      </c>
      <c r="AU7" s="18">
        <v>5.7</v>
      </c>
      <c r="AV7" s="18">
        <v>5.4</v>
      </c>
      <c r="AW7" s="18">
        <v>6.6</v>
      </c>
      <c r="AX7" s="18"/>
      <c r="AY7" s="18">
        <v>1</v>
      </c>
      <c r="AZ7" s="18">
        <v>1</v>
      </c>
      <c r="BA7" s="18">
        <v>1</v>
      </c>
      <c r="BB7" s="18">
        <v>1</v>
      </c>
      <c r="BC7" s="18">
        <v>1</v>
      </c>
      <c r="BD7" s="18">
        <v>1</v>
      </c>
      <c r="BE7" s="18">
        <v>1</v>
      </c>
      <c r="BF7" s="18">
        <v>1</v>
      </c>
      <c r="BG7" s="18">
        <v>1</v>
      </c>
      <c r="BH7" s="18">
        <v>1</v>
      </c>
      <c r="BI7" s="18">
        <v>1</v>
      </c>
      <c r="BJ7" s="19"/>
      <c r="BK7" s="18">
        <v>87.8</v>
      </c>
      <c r="BL7" s="18">
        <v>2.2000000000000002</v>
      </c>
      <c r="BM7" s="18">
        <v>6.2</v>
      </c>
      <c r="BN7" s="18">
        <v>0</v>
      </c>
      <c r="BO7" s="18"/>
      <c r="BP7" s="18">
        <v>63</v>
      </c>
      <c r="BQ7" s="18">
        <v>13.86</v>
      </c>
      <c r="BR7" s="18">
        <v>1.3104203252032447</v>
      </c>
      <c r="BS7" s="18">
        <v>1.2619248207792233</v>
      </c>
      <c r="BT7" s="19"/>
      <c r="BU7" s="18">
        <v>938</v>
      </c>
      <c r="BV7" s="18">
        <v>94.364000000000118</v>
      </c>
      <c r="BW7" s="18">
        <v>21.439999999999895</v>
      </c>
      <c r="BX7" s="18">
        <v>0</v>
      </c>
      <c r="BY7" s="18">
        <v>0</v>
      </c>
      <c r="BZ7" s="18" t="s">
        <v>217</v>
      </c>
      <c r="CA7" s="18" t="s">
        <v>217</v>
      </c>
      <c r="CB7" s="19"/>
      <c r="CC7" s="19">
        <v>0.55459999999999998</v>
      </c>
      <c r="CD7" s="19">
        <v>0.89300000000000002</v>
      </c>
      <c r="CE7" s="19">
        <v>20.774000000000001</v>
      </c>
      <c r="CF7" s="19">
        <v>10.34</v>
      </c>
      <c r="CG7" s="19">
        <v>1.3535999999999999</v>
      </c>
      <c r="CH7" s="19">
        <v>0.11279999999999998</v>
      </c>
      <c r="CI7" s="19">
        <v>0</v>
      </c>
      <c r="CJ7" s="19"/>
      <c r="CK7" s="19">
        <v>37.599999999999994</v>
      </c>
      <c r="CL7" s="19">
        <v>23.5</v>
      </c>
      <c r="CM7" s="19">
        <v>0</v>
      </c>
      <c r="CN7" s="19">
        <v>13.16</v>
      </c>
      <c r="CO7" s="19">
        <v>0</v>
      </c>
      <c r="CP7" s="19">
        <v>0</v>
      </c>
      <c r="CQ7" s="19">
        <v>775.80079999999998</v>
      </c>
      <c r="CR7" s="19">
        <v>629.81318598823907</v>
      </c>
      <c r="CS7" s="19">
        <v>54.793747180976801</v>
      </c>
      <c r="CT7" s="19">
        <v>5.6683186738941522</v>
      </c>
      <c r="CU7" s="19">
        <v>22.673274695576609</v>
      </c>
      <c r="CV7" s="19">
        <v>28.341593369470761</v>
      </c>
      <c r="CW7" s="19">
        <v>38.418604345282588</v>
      </c>
      <c r="CX7" s="19">
        <v>11.966450533776543</v>
      </c>
      <c r="CY7" s="19">
        <v>25.192527439529567</v>
      </c>
      <c r="CZ7" s="19">
        <v>61.09187904085919</v>
      </c>
      <c r="DA7" s="19">
        <v>20.783835137611891</v>
      </c>
      <c r="DB7" s="19">
        <v>35.899351601329627</v>
      </c>
      <c r="DC7" s="19">
        <v>34.009912043364913</v>
      </c>
      <c r="DD7" s="19">
        <v>69.909263644694533</v>
      </c>
      <c r="DE7" s="19">
        <v>41.567670275223783</v>
      </c>
      <c r="DF7" s="23">
        <v>0</v>
      </c>
      <c r="DG7" s="23">
        <v>0</v>
      </c>
      <c r="DH7" s="23">
        <v>0</v>
      </c>
      <c r="DI7" s="19">
        <v>0</v>
      </c>
      <c r="DJ7" s="19">
        <v>0</v>
      </c>
      <c r="DK7" s="19">
        <v>0</v>
      </c>
      <c r="DL7" s="19">
        <v>0</v>
      </c>
      <c r="DM7" s="19">
        <v>0</v>
      </c>
      <c r="DN7" s="19">
        <v>0</v>
      </c>
      <c r="DO7" s="19">
        <v>0</v>
      </c>
      <c r="DP7" s="19">
        <v>0</v>
      </c>
      <c r="DQ7" s="19">
        <v>0</v>
      </c>
      <c r="DR7" s="19">
        <v>0</v>
      </c>
      <c r="DS7" s="19">
        <v>0</v>
      </c>
      <c r="DT7" s="19">
        <v>0</v>
      </c>
      <c r="DU7" s="19">
        <v>0</v>
      </c>
      <c r="DV7" s="19">
        <v>0</v>
      </c>
      <c r="DW7" s="17" t="s">
        <v>222</v>
      </c>
      <c r="DX7" s="22" t="s">
        <v>218</v>
      </c>
      <c r="DY7" s="22" t="s">
        <v>218</v>
      </c>
      <c r="DZ7" s="22" t="s">
        <v>218</v>
      </c>
      <c r="EA7" s="22" t="s">
        <v>218</v>
      </c>
      <c r="EB7" s="22" t="s">
        <v>218</v>
      </c>
      <c r="EC7" s="22" t="s">
        <v>218</v>
      </c>
      <c r="ED7" s="22" t="s">
        <v>218</v>
      </c>
      <c r="EE7" s="22" t="s">
        <v>218</v>
      </c>
      <c r="EF7" s="22" t="s">
        <v>218</v>
      </c>
      <c r="EG7" s="22" t="s">
        <v>218</v>
      </c>
      <c r="EH7" s="22" t="s">
        <v>218</v>
      </c>
      <c r="EI7" s="22" t="s">
        <v>218</v>
      </c>
      <c r="EJ7" s="22" t="s">
        <v>218</v>
      </c>
      <c r="EK7" s="22" t="s">
        <v>218</v>
      </c>
      <c r="EL7" s="22" t="s">
        <v>218</v>
      </c>
      <c r="EM7" s="22" t="s">
        <v>218</v>
      </c>
      <c r="EN7" s="22" t="s">
        <v>218</v>
      </c>
      <c r="EO7" s="22" t="s">
        <v>218</v>
      </c>
      <c r="EP7" s="22" t="s">
        <v>218</v>
      </c>
      <c r="EQ7" s="22" t="s">
        <v>218</v>
      </c>
      <c r="ER7" s="22" t="s">
        <v>218</v>
      </c>
      <c r="ES7" s="22" t="s">
        <v>218</v>
      </c>
      <c r="ET7" s="22" t="s">
        <v>218</v>
      </c>
      <c r="EU7" s="22" t="s">
        <v>218</v>
      </c>
      <c r="EV7" s="22" t="s">
        <v>218</v>
      </c>
      <c r="EW7" s="22" t="s">
        <v>218</v>
      </c>
      <c r="EX7" s="22" t="s">
        <v>218</v>
      </c>
      <c r="EY7" s="22" t="s">
        <v>218</v>
      </c>
      <c r="EZ7" s="22" t="s">
        <v>218</v>
      </c>
      <c r="FA7" s="22" t="s">
        <v>218</v>
      </c>
      <c r="FB7" s="22" t="s">
        <v>218</v>
      </c>
      <c r="FC7" s="22" t="s">
        <v>218</v>
      </c>
      <c r="FD7" s="22" t="s">
        <v>218</v>
      </c>
      <c r="FE7" s="22" t="s">
        <v>218</v>
      </c>
      <c r="FF7" s="22" t="s">
        <v>218</v>
      </c>
      <c r="FG7" s="22" t="s">
        <v>218</v>
      </c>
      <c r="FH7" s="22" t="s">
        <v>218</v>
      </c>
      <c r="FI7" s="22" t="s">
        <v>218</v>
      </c>
      <c r="FJ7" s="22" t="s">
        <v>218</v>
      </c>
      <c r="FK7" s="22" t="s">
        <v>218</v>
      </c>
      <c r="FL7" s="22" t="s">
        <v>218</v>
      </c>
      <c r="FM7" s="22" t="s">
        <v>218</v>
      </c>
      <c r="FN7" s="22" t="s">
        <v>218</v>
      </c>
      <c r="FO7" s="22" t="s">
        <v>218</v>
      </c>
      <c r="FP7" s="22" t="s">
        <v>218</v>
      </c>
      <c r="FQ7" s="22" t="s">
        <v>218</v>
      </c>
      <c r="FR7" s="22" t="s">
        <v>218</v>
      </c>
      <c r="FS7" s="22" t="s">
        <v>218</v>
      </c>
      <c r="FT7" s="22" t="s">
        <v>218</v>
      </c>
      <c r="FU7" s="22" t="s">
        <v>218</v>
      </c>
      <c r="FV7" s="22" t="s">
        <v>218</v>
      </c>
      <c r="FW7" s="22" t="s">
        <v>218</v>
      </c>
      <c r="FX7" s="22" t="s">
        <v>218</v>
      </c>
      <c r="FY7" s="22" t="s">
        <v>218</v>
      </c>
      <c r="FZ7" s="22" t="s">
        <v>218</v>
      </c>
      <c r="GA7" s="22" t="s">
        <v>218</v>
      </c>
      <c r="GB7" s="22" t="s">
        <v>218</v>
      </c>
      <c r="GC7" s="22" t="s">
        <v>218</v>
      </c>
      <c r="GD7" s="22" t="s">
        <v>218</v>
      </c>
      <c r="GE7" s="22" t="s">
        <v>218</v>
      </c>
      <c r="GF7" s="22" t="s">
        <v>218</v>
      </c>
      <c r="GG7" s="22" t="s">
        <v>218</v>
      </c>
      <c r="GH7" s="22" t="s">
        <v>218</v>
      </c>
      <c r="GI7" s="22" t="s">
        <v>218</v>
      </c>
      <c r="GJ7" s="22" t="s">
        <v>218</v>
      </c>
      <c r="GK7" s="22" t="s">
        <v>218</v>
      </c>
      <c r="GL7" s="22" t="s">
        <v>218</v>
      </c>
      <c r="GM7" s="22" t="s">
        <v>218</v>
      </c>
      <c r="GN7" s="22" t="s">
        <v>218</v>
      </c>
      <c r="GO7" s="22" t="s">
        <v>218</v>
      </c>
      <c r="GP7" s="22" t="s">
        <v>218</v>
      </c>
      <c r="GQ7" s="22" t="s">
        <v>218</v>
      </c>
      <c r="GR7" s="22" t="s">
        <v>218</v>
      </c>
      <c r="GS7" s="22" t="s">
        <v>218</v>
      </c>
      <c r="GT7" s="22" t="s">
        <v>218</v>
      </c>
      <c r="GU7" s="22" t="s">
        <v>218</v>
      </c>
      <c r="GV7" s="22" t="s">
        <v>218</v>
      </c>
      <c r="GW7" s="22" t="s">
        <v>218</v>
      </c>
      <c r="GX7" s="22" t="s">
        <v>218</v>
      </c>
      <c r="GY7" s="22" t="s">
        <v>218</v>
      </c>
      <c r="GZ7" s="22" t="s">
        <v>218</v>
      </c>
      <c r="HA7" s="22" t="s">
        <v>218</v>
      </c>
      <c r="HB7" s="22" t="s">
        <v>218</v>
      </c>
      <c r="HC7" s="22" t="s">
        <v>218</v>
      </c>
      <c r="HD7" s="22" t="s">
        <v>218</v>
      </c>
      <c r="HE7" s="22" t="s">
        <v>218</v>
      </c>
      <c r="HF7" s="22" t="s">
        <v>218</v>
      </c>
      <c r="HG7" s="22" t="s">
        <v>218</v>
      </c>
      <c r="HH7" s="22" t="s">
        <v>218</v>
      </c>
      <c r="HI7" s="22" t="s">
        <v>218</v>
      </c>
      <c r="HJ7" s="22" t="s">
        <v>218</v>
      </c>
      <c r="HK7" s="22" t="s">
        <v>218</v>
      </c>
      <c r="HL7" s="22" t="s">
        <v>218</v>
      </c>
      <c r="HM7" s="860"/>
      <c r="HN7" s="860"/>
      <c r="HO7" s="860"/>
      <c r="HP7" s="860"/>
      <c r="HQ7" s="860"/>
      <c r="HR7" s="860"/>
      <c r="HS7" s="860"/>
      <c r="HT7" s="145"/>
      <c r="HU7" s="145" t="s">
        <v>1809</v>
      </c>
      <c r="HV7" s="22" t="s">
        <v>1926</v>
      </c>
      <c r="HW7" s="22" t="s">
        <v>223</v>
      </c>
      <c r="HX7" s="22">
        <v>0</v>
      </c>
      <c r="HY7" s="22">
        <v>0</v>
      </c>
      <c r="HZ7" s="19"/>
      <c r="IA7" s="19"/>
      <c r="IB7" s="621">
        <f>'background data'!$G$10</f>
        <v>0.47300000000000003</v>
      </c>
      <c r="IC7" s="621">
        <f>'background data'!$H$10</f>
        <v>0.13</v>
      </c>
      <c r="ID7" s="621">
        <f>'background data'!$J$10</f>
        <v>0.39100000000000001</v>
      </c>
      <c r="IE7" s="621">
        <f>'background data'!$L$10</f>
        <v>5.5E-2</v>
      </c>
      <c r="IF7" s="621">
        <f>'background data'!$M$10</f>
        <v>3.97</v>
      </c>
      <c r="IG7" s="621">
        <f>'background data'!$N$10</f>
        <v>4.5999999999999999E-3</v>
      </c>
      <c r="IH7" s="621">
        <f>'background data'!$O$10</f>
        <v>2.73</v>
      </c>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row>
    <row r="8" spans="1:383" s="16" customFormat="1" ht="15" customHeight="1" x14ac:dyDescent="0.2">
      <c r="A8" s="15">
        <v>80600</v>
      </c>
      <c r="B8" s="25">
        <v>806</v>
      </c>
      <c r="C8" s="26">
        <v>0</v>
      </c>
      <c r="D8" s="20" t="s">
        <v>224</v>
      </c>
      <c r="E8" s="14">
        <v>40310</v>
      </c>
      <c r="F8" s="18">
        <v>1.2619960704607001</v>
      </c>
      <c r="G8" s="18">
        <v>1.21385868051948</v>
      </c>
      <c r="H8" s="21">
        <v>97.8</v>
      </c>
      <c r="I8" s="21">
        <v>97.8</v>
      </c>
      <c r="J8" s="21">
        <v>91</v>
      </c>
      <c r="K8" s="18">
        <v>1</v>
      </c>
      <c r="L8" s="18">
        <v>97</v>
      </c>
      <c r="M8" s="18">
        <v>95</v>
      </c>
      <c r="N8" s="18">
        <v>1.8</v>
      </c>
      <c r="O8" s="18">
        <v>3.9</v>
      </c>
      <c r="P8" s="18">
        <v>0.3</v>
      </c>
      <c r="Q8" s="19"/>
      <c r="R8" s="18">
        <v>94</v>
      </c>
      <c r="S8" s="18">
        <v>55</v>
      </c>
      <c r="T8" s="18">
        <v>55</v>
      </c>
      <c r="U8" s="18">
        <v>55</v>
      </c>
      <c r="V8" s="18">
        <v>55</v>
      </c>
      <c r="W8" s="18">
        <v>55</v>
      </c>
      <c r="X8" s="18"/>
      <c r="Y8" s="18">
        <v>0.01</v>
      </c>
      <c r="Z8" s="18">
        <v>0.3</v>
      </c>
      <c r="AA8" s="18">
        <v>0.36</v>
      </c>
      <c r="AB8" s="18">
        <v>0.73</v>
      </c>
      <c r="AC8" s="18">
        <v>1.24</v>
      </c>
      <c r="AD8" s="18">
        <v>3.0000000000000002E-2</v>
      </c>
      <c r="AE8" s="18">
        <v>0.2</v>
      </c>
      <c r="AF8" s="18">
        <v>2769.31</v>
      </c>
      <c r="AG8" s="18">
        <v>32.01</v>
      </c>
      <c r="AH8" s="18">
        <v>0</v>
      </c>
      <c r="AI8" s="18">
        <v>23.42</v>
      </c>
      <c r="AJ8" s="18">
        <v>0</v>
      </c>
      <c r="AK8" s="18">
        <v>0.74</v>
      </c>
      <c r="AL8" s="18"/>
      <c r="AM8" s="18">
        <v>8.7563710499490295</v>
      </c>
      <c r="AN8" s="18">
        <v>0.71355759429153898</v>
      </c>
      <c r="AO8" s="18">
        <v>0.62181447502548404</v>
      </c>
      <c r="AP8" s="18">
        <v>3.14984709480122</v>
      </c>
      <c r="AQ8" s="18">
        <v>1.40163098878695</v>
      </c>
      <c r="AR8" s="18">
        <v>0.56676860346585101</v>
      </c>
      <c r="AS8" s="18">
        <v>13.6085626911315</v>
      </c>
      <c r="AT8" s="18">
        <v>7.7828746177369998</v>
      </c>
      <c r="AU8" s="18">
        <v>6.8552497451579999</v>
      </c>
      <c r="AV8" s="18">
        <v>2.21202854230377</v>
      </c>
      <c r="AW8" s="18">
        <v>9.3068297655453591</v>
      </c>
      <c r="AX8" s="18"/>
      <c r="AY8" s="18">
        <v>1</v>
      </c>
      <c r="AZ8" s="18">
        <v>1</v>
      </c>
      <c r="BA8" s="18">
        <v>1</v>
      </c>
      <c r="BB8" s="18">
        <v>1</v>
      </c>
      <c r="BC8" s="18">
        <v>1</v>
      </c>
      <c r="BD8" s="18">
        <v>1</v>
      </c>
      <c r="BE8" s="18">
        <v>1</v>
      </c>
      <c r="BF8" s="18">
        <v>1</v>
      </c>
      <c r="BG8" s="18">
        <v>1</v>
      </c>
      <c r="BH8" s="18">
        <v>1</v>
      </c>
      <c r="BI8" s="18">
        <v>1</v>
      </c>
      <c r="BJ8" s="19"/>
      <c r="BK8" s="18">
        <v>97.9381443298969</v>
      </c>
      <c r="BL8" s="18">
        <v>1.8556701030927836</v>
      </c>
      <c r="BM8" s="18">
        <v>4.0206185567010309</v>
      </c>
      <c r="BN8" s="18">
        <v>0.30927835051546393</v>
      </c>
      <c r="BO8" s="18"/>
      <c r="BP8" s="18">
        <v>63</v>
      </c>
      <c r="BQ8" s="18">
        <v>11.690721649484535</v>
      </c>
      <c r="BR8" s="18">
        <v>1.3010268767636084</v>
      </c>
      <c r="BS8" s="18">
        <v>1.2514007015664743</v>
      </c>
      <c r="BT8" s="19"/>
      <c r="BU8" s="18">
        <v>959.79381443298973</v>
      </c>
      <c r="BV8" s="18">
        <v>29.441237113402266</v>
      </c>
      <c r="BW8" s="18">
        <v>0</v>
      </c>
      <c r="BX8" s="18">
        <v>0</v>
      </c>
      <c r="BY8" s="18">
        <v>0</v>
      </c>
      <c r="BZ8" s="18" t="s">
        <v>217</v>
      </c>
      <c r="CA8" s="18" t="s">
        <v>217</v>
      </c>
      <c r="CB8" s="19"/>
      <c r="CC8" s="19">
        <v>9.7000000000000003E-3</v>
      </c>
      <c r="CD8" s="19">
        <v>0.29099999999999998</v>
      </c>
      <c r="CE8" s="19">
        <v>0.34919999999999995</v>
      </c>
      <c r="CF8" s="19">
        <v>0.70809999999999995</v>
      </c>
      <c r="CG8" s="19">
        <v>1.2027999999999999</v>
      </c>
      <c r="CH8" s="19">
        <v>2.9100000000000001E-2</v>
      </c>
      <c r="CI8" s="19">
        <v>0.19400000000000001</v>
      </c>
      <c r="CJ8" s="19"/>
      <c r="CK8" s="19">
        <v>2686.2307000000001</v>
      </c>
      <c r="CL8" s="19">
        <v>31.049699999999998</v>
      </c>
      <c r="CM8" s="19">
        <v>0</v>
      </c>
      <c r="CN8" s="19">
        <v>22.717400000000001</v>
      </c>
      <c r="CO8" s="19">
        <v>0</v>
      </c>
      <c r="CP8" s="19">
        <v>0.71779999999999999</v>
      </c>
      <c r="CQ8" s="19">
        <v>893</v>
      </c>
      <c r="CR8" s="19">
        <v>707.60917636930867</v>
      </c>
      <c r="CS8" s="19">
        <v>61.960885066384883</v>
      </c>
      <c r="CT8" s="19">
        <v>5.0491990158870177</v>
      </c>
      <c r="CU8" s="19">
        <v>4.4000162852729661</v>
      </c>
      <c r="CV8" s="19">
        <v>9.4492153011599687</v>
      </c>
      <c r="CW8" s="19">
        <v>22.288607084415514</v>
      </c>
      <c r="CX8" s="19">
        <v>9.9180694954922828</v>
      </c>
      <c r="CY8" s="19">
        <v>4.0105066469045418</v>
      </c>
      <c r="CZ8" s="19">
        <v>96.295438374416392</v>
      </c>
      <c r="DA8" s="19">
        <v>55.072334980424756</v>
      </c>
      <c r="DB8" s="19">
        <v>48.508376259771623</v>
      </c>
      <c r="DC8" s="19">
        <v>15.652516949249678</v>
      </c>
      <c r="DD8" s="19">
        <v>64.160893209021381</v>
      </c>
      <c r="DE8" s="19">
        <v>65.855981450069208</v>
      </c>
      <c r="DF8" s="23">
        <v>0</v>
      </c>
      <c r="DG8" s="23">
        <v>0</v>
      </c>
      <c r="DH8" s="23">
        <v>0</v>
      </c>
      <c r="DI8" s="19">
        <v>0</v>
      </c>
      <c r="DJ8" s="19">
        <v>0</v>
      </c>
      <c r="DK8" s="19">
        <v>0</v>
      </c>
      <c r="DL8" s="19">
        <v>0</v>
      </c>
      <c r="DM8" s="19">
        <v>0</v>
      </c>
      <c r="DN8" s="19">
        <v>0</v>
      </c>
      <c r="DO8" s="19">
        <v>0</v>
      </c>
      <c r="DP8" s="19">
        <v>0</v>
      </c>
      <c r="DQ8" s="19">
        <v>0</v>
      </c>
      <c r="DR8" s="19">
        <v>0</v>
      </c>
      <c r="DS8" s="19">
        <v>0</v>
      </c>
      <c r="DT8" s="19">
        <v>0</v>
      </c>
      <c r="DU8" s="19">
        <v>0</v>
      </c>
      <c r="DV8" s="19">
        <v>0</v>
      </c>
      <c r="DW8" s="17" t="s">
        <v>222</v>
      </c>
      <c r="DX8" s="22" t="s">
        <v>218</v>
      </c>
      <c r="DY8" s="22" t="s">
        <v>218</v>
      </c>
      <c r="DZ8" s="22" t="s">
        <v>218</v>
      </c>
      <c r="EA8" s="22" t="s">
        <v>218</v>
      </c>
      <c r="EB8" s="22" t="s">
        <v>218</v>
      </c>
      <c r="EC8" s="22" t="s">
        <v>218</v>
      </c>
      <c r="ED8" s="22" t="s">
        <v>218</v>
      </c>
      <c r="EE8" s="22" t="s">
        <v>218</v>
      </c>
      <c r="EF8" s="22" t="s">
        <v>218</v>
      </c>
      <c r="EG8" s="22" t="s">
        <v>218</v>
      </c>
      <c r="EH8" s="22" t="s">
        <v>218</v>
      </c>
      <c r="EI8" s="22" t="s">
        <v>218</v>
      </c>
      <c r="EJ8" s="22" t="s">
        <v>218</v>
      </c>
      <c r="EK8" s="22" t="s">
        <v>218</v>
      </c>
      <c r="EL8" s="22" t="s">
        <v>218</v>
      </c>
      <c r="EM8" s="22" t="s">
        <v>218</v>
      </c>
      <c r="EN8" s="22" t="s">
        <v>218</v>
      </c>
      <c r="EO8" s="22" t="s">
        <v>218</v>
      </c>
      <c r="EP8" s="22" t="s">
        <v>218</v>
      </c>
      <c r="EQ8" s="22" t="s">
        <v>218</v>
      </c>
      <c r="ER8" s="22" t="s">
        <v>218</v>
      </c>
      <c r="ES8" s="22" t="s">
        <v>218</v>
      </c>
      <c r="ET8" s="22" t="s">
        <v>218</v>
      </c>
      <c r="EU8" s="22" t="s">
        <v>218</v>
      </c>
      <c r="EV8" s="22" t="s">
        <v>218</v>
      </c>
      <c r="EW8" s="22" t="s">
        <v>218</v>
      </c>
      <c r="EX8" s="22" t="s">
        <v>218</v>
      </c>
      <c r="EY8" s="22" t="s">
        <v>218</v>
      </c>
      <c r="EZ8" s="22" t="s">
        <v>218</v>
      </c>
      <c r="FA8" s="22" t="s">
        <v>218</v>
      </c>
      <c r="FB8" s="22" t="s">
        <v>218</v>
      </c>
      <c r="FC8" s="22" t="s">
        <v>218</v>
      </c>
      <c r="FD8" s="22" t="s">
        <v>218</v>
      </c>
      <c r="FE8" s="22" t="s">
        <v>218</v>
      </c>
      <c r="FF8" s="22" t="s">
        <v>218</v>
      </c>
      <c r="FG8" s="22" t="s">
        <v>218</v>
      </c>
      <c r="FH8" s="22" t="s">
        <v>218</v>
      </c>
      <c r="FI8" s="22" t="s">
        <v>218</v>
      </c>
      <c r="FJ8" s="22" t="s">
        <v>218</v>
      </c>
      <c r="FK8" s="22" t="s">
        <v>218</v>
      </c>
      <c r="FL8" s="22" t="s">
        <v>218</v>
      </c>
      <c r="FM8" s="22" t="s">
        <v>218</v>
      </c>
      <c r="FN8" s="22" t="s">
        <v>218</v>
      </c>
      <c r="FO8" s="22" t="s">
        <v>218</v>
      </c>
      <c r="FP8" s="22" t="s">
        <v>218</v>
      </c>
      <c r="FQ8" s="22" t="s">
        <v>218</v>
      </c>
      <c r="FR8" s="22" t="s">
        <v>218</v>
      </c>
      <c r="FS8" s="22" t="s">
        <v>218</v>
      </c>
      <c r="FT8" s="22" t="s">
        <v>218</v>
      </c>
      <c r="FU8" s="22" t="s">
        <v>218</v>
      </c>
      <c r="FV8" s="22" t="s">
        <v>218</v>
      </c>
      <c r="FW8" s="22" t="s">
        <v>218</v>
      </c>
      <c r="FX8" s="22" t="s">
        <v>218</v>
      </c>
      <c r="FY8" s="22" t="s">
        <v>218</v>
      </c>
      <c r="FZ8" s="22" t="s">
        <v>218</v>
      </c>
      <c r="GA8" s="22" t="s">
        <v>218</v>
      </c>
      <c r="GB8" s="22" t="s">
        <v>218</v>
      </c>
      <c r="GC8" s="22" t="s">
        <v>218</v>
      </c>
      <c r="GD8" s="22" t="s">
        <v>218</v>
      </c>
      <c r="GE8" s="22" t="s">
        <v>218</v>
      </c>
      <c r="GF8" s="22" t="s">
        <v>218</v>
      </c>
      <c r="GG8" s="22" t="s">
        <v>218</v>
      </c>
      <c r="GH8" s="22" t="s">
        <v>218</v>
      </c>
      <c r="GI8" s="22" t="s">
        <v>218</v>
      </c>
      <c r="GJ8" s="22" t="s">
        <v>218</v>
      </c>
      <c r="GK8" s="22" t="s">
        <v>218</v>
      </c>
      <c r="GL8" s="22" t="s">
        <v>218</v>
      </c>
      <c r="GM8" s="22" t="s">
        <v>218</v>
      </c>
      <c r="GN8" s="22" t="s">
        <v>218</v>
      </c>
      <c r="GO8" s="22" t="s">
        <v>218</v>
      </c>
      <c r="GP8" s="22" t="s">
        <v>218</v>
      </c>
      <c r="GQ8" s="22" t="s">
        <v>218</v>
      </c>
      <c r="GR8" s="22" t="s">
        <v>218</v>
      </c>
      <c r="GS8" s="22" t="s">
        <v>218</v>
      </c>
      <c r="GT8" s="22" t="s">
        <v>218</v>
      </c>
      <c r="GU8" s="22" t="s">
        <v>218</v>
      </c>
      <c r="GV8" s="22" t="s">
        <v>218</v>
      </c>
      <c r="GW8" s="22" t="s">
        <v>218</v>
      </c>
      <c r="GX8" s="22" t="s">
        <v>218</v>
      </c>
      <c r="GY8" s="22" t="s">
        <v>218</v>
      </c>
      <c r="GZ8" s="22" t="s">
        <v>218</v>
      </c>
      <c r="HA8" s="22" t="s">
        <v>218</v>
      </c>
      <c r="HB8" s="22" t="s">
        <v>218</v>
      </c>
      <c r="HC8" s="22" t="s">
        <v>218</v>
      </c>
      <c r="HD8" s="22" t="s">
        <v>218</v>
      </c>
      <c r="HE8" s="22" t="s">
        <v>218</v>
      </c>
      <c r="HF8" s="22" t="s">
        <v>218</v>
      </c>
      <c r="HG8" s="22" t="s">
        <v>218</v>
      </c>
      <c r="HH8" s="22" t="s">
        <v>218</v>
      </c>
      <c r="HI8" s="22" t="s">
        <v>218</v>
      </c>
      <c r="HJ8" s="22" t="s">
        <v>218</v>
      </c>
      <c r="HK8" s="22" t="s">
        <v>218</v>
      </c>
      <c r="HL8" s="22" t="s">
        <v>218</v>
      </c>
      <c r="HM8" s="860"/>
      <c r="HN8" s="860"/>
      <c r="HO8" s="860"/>
      <c r="HP8" s="860"/>
      <c r="HQ8" s="860"/>
      <c r="HR8" s="860"/>
      <c r="HS8" s="860"/>
      <c r="HT8" s="145"/>
      <c r="HU8" s="145" t="s">
        <v>1809</v>
      </c>
      <c r="HV8" s="22" t="s">
        <v>1926</v>
      </c>
      <c r="HW8" s="22" t="s">
        <v>225</v>
      </c>
      <c r="HX8" s="22" t="s">
        <v>226</v>
      </c>
      <c r="HY8" s="22">
        <v>0</v>
      </c>
      <c r="HZ8" s="19"/>
      <c r="IA8" s="19"/>
      <c r="IB8" s="621">
        <f>'background data'!$G$10</f>
        <v>0.47300000000000003</v>
      </c>
      <c r="IC8" s="621">
        <f>'background data'!$H$10</f>
        <v>0.13</v>
      </c>
      <c r="ID8" s="621">
        <f>'background data'!$J$10</f>
        <v>0.39100000000000001</v>
      </c>
      <c r="IE8" s="621">
        <f>'background data'!$L$10</f>
        <v>5.5E-2</v>
      </c>
      <c r="IF8" s="621">
        <f>'background data'!$M$10</f>
        <v>3.97</v>
      </c>
      <c r="IG8" s="621">
        <f>'background data'!$N$10</f>
        <v>4.5999999999999999E-3</v>
      </c>
      <c r="IH8" s="621">
        <f>'background data'!$O$10</f>
        <v>2.73</v>
      </c>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row>
    <row r="9" spans="1:383" s="16" customFormat="1" ht="15" customHeight="1" x14ac:dyDescent="0.2">
      <c r="A9" s="15">
        <v>46202</v>
      </c>
      <c r="B9" s="25">
        <v>462</v>
      </c>
      <c r="C9" s="26">
        <v>2</v>
      </c>
      <c r="D9" s="20" t="s">
        <v>227</v>
      </c>
      <c r="E9" s="14">
        <v>40310</v>
      </c>
      <c r="F9" s="18">
        <v>-0.112682926829268</v>
      </c>
      <c r="G9" s="18">
        <v>-0.108</v>
      </c>
      <c r="H9" s="21">
        <v>70</v>
      </c>
      <c r="I9" s="21">
        <v>70</v>
      </c>
      <c r="J9" s="21">
        <v>0</v>
      </c>
      <c r="K9" s="18">
        <v>1</v>
      </c>
      <c r="L9" s="18">
        <v>99</v>
      </c>
      <c r="M9" s="18">
        <v>0</v>
      </c>
      <c r="N9" s="18">
        <v>0</v>
      </c>
      <c r="O9" s="18">
        <v>99</v>
      </c>
      <c r="P9" s="18">
        <v>0</v>
      </c>
      <c r="Q9" s="19"/>
      <c r="R9" s="18">
        <v>0</v>
      </c>
      <c r="S9" s="18">
        <v>67</v>
      </c>
      <c r="T9" s="18">
        <v>67</v>
      </c>
      <c r="U9" s="18">
        <v>67</v>
      </c>
      <c r="V9" s="18">
        <v>67</v>
      </c>
      <c r="W9" s="18">
        <v>67</v>
      </c>
      <c r="X9" s="18"/>
      <c r="Y9" s="18">
        <v>212.12121212121212</v>
      </c>
      <c r="Z9" s="18">
        <v>181.81818181818181</v>
      </c>
      <c r="AA9" s="18">
        <v>0</v>
      </c>
      <c r="AB9" s="18">
        <v>0</v>
      </c>
      <c r="AC9" s="18">
        <v>0</v>
      </c>
      <c r="AD9" s="18">
        <v>0</v>
      </c>
      <c r="AE9" s="18">
        <v>0</v>
      </c>
      <c r="AF9" s="18">
        <v>0</v>
      </c>
      <c r="AG9" s="18">
        <v>0</v>
      </c>
      <c r="AH9" s="18">
        <v>0</v>
      </c>
      <c r="AI9" s="18">
        <v>0</v>
      </c>
      <c r="AJ9" s="18">
        <v>0</v>
      </c>
      <c r="AK9" s="18">
        <v>0</v>
      </c>
      <c r="AL9" s="18"/>
      <c r="AM9" s="18">
        <v>0</v>
      </c>
      <c r="AN9" s="18">
        <v>0</v>
      </c>
      <c r="AO9" s="18">
        <v>0</v>
      </c>
      <c r="AP9" s="18">
        <v>0</v>
      </c>
      <c r="AQ9" s="18">
        <v>0</v>
      </c>
      <c r="AR9" s="18">
        <v>0</v>
      </c>
      <c r="AS9" s="18">
        <v>0</v>
      </c>
      <c r="AT9" s="18">
        <v>0</v>
      </c>
      <c r="AU9" s="18">
        <v>0</v>
      </c>
      <c r="AV9" s="18">
        <v>0</v>
      </c>
      <c r="AW9" s="18">
        <v>0</v>
      </c>
      <c r="AX9" s="18"/>
      <c r="AY9" s="18">
        <v>1</v>
      </c>
      <c r="AZ9" s="18">
        <v>1</v>
      </c>
      <c r="BA9" s="18">
        <v>1</v>
      </c>
      <c r="BB9" s="18">
        <v>1</v>
      </c>
      <c r="BC9" s="18">
        <v>1</v>
      </c>
      <c r="BD9" s="18">
        <v>1</v>
      </c>
      <c r="BE9" s="18">
        <v>1</v>
      </c>
      <c r="BF9" s="18">
        <v>1</v>
      </c>
      <c r="BG9" s="18">
        <v>1</v>
      </c>
      <c r="BH9" s="18">
        <v>1</v>
      </c>
      <c r="BI9" s="18">
        <v>1</v>
      </c>
      <c r="BJ9" s="19"/>
      <c r="BK9" s="18">
        <v>0</v>
      </c>
      <c r="BL9" s="18">
        <v>0</v>
      </c>
      <c r="BM9" s="18">
        <v>100</v>
      </c>
      <c r="BN9" s="18">
        <v>0</v>
      </c>
      <c r="BO9" s="18"/>
      <c r="BP9" s="18">
        <v>0</v>
      </c>
      <c r="BQ9" s="18">
        <v>0</v>
      </c>
      <c r="BR9" s="18">
        <v>-0.11382113821138182</v>
      </c>
      <c r="BS9" s="18">
        <v>-0.10909090909090909</v>
      </c>
      <c r="BT9" s="19"/>
      <c r="BU9" s="18">
        <v>0</v>
      </c>
      <c r="BV9" s="18">
        <v>0</v>
      </c>
      <c r="BW9" s="18">
        <v>0</v>
      </c>
      <c r="BX9" s="18" t="s">
        <v>217</v>
      </c>
      <c r="BY9" s="18" t="s">
        <v>217</v>
      </c>
      <c r="BZ9" s="18" t="s">
        <v>217</v>
      </c>
      <c r="CA9" s="18" t="s">
        <v>217</v>
      </c>
      <c r="CB9" s="19"/>
      <c r="CC9" s="19">
        <v>210</v>
      </c>
      <c r="CD9" s="19">
        <v>180</v>
      </c>
      <c r="CE9" s="19">
        <v>0</v>
      </c>
      <c r="CF9" s="19">
        <v>0</v>
      </c>
      <c r="CG9" s="19">
        <v>0</v>
      </c>
      <c r="CH9" s="19">
        <v>0</v>
      </c>
      <c r="CI9" s="19">
        <v>0</v>
      </c>
      <c r="CJ9" s="19"/>
      <c r="CK9" s="19">
        <v>0</v>
      </c>
      <c r="CL9" s="19">
        <v>0</v>
      </c>
      <c r="CM9" s="19">
        <v>0</v>
      </c>
      <c r="CN9" s="19">
        <v>0</v>
      </c>
      <c r="CO9" s="19">
        <v>0</v>
      </c>
      <c r="CP9" s="19">
        <v>0</v>
      </c>
      <c r="CQ9" s="19">
        <v>0</v>
      </c>
      <c r="CR9" s="19">
        <v>0</v>
      </c>
      <c r="CS9" s="19">
        <v>0</v>
      </c>
      <c r="CT9" s="19">
        <v>0</v>
      </c>
      <c r="CU9" s="19">
        <v>0</v>
      </c>
      <c r="CV9" s="19">
        <v>0</v>
      </c>
      <c r="CW9" s="19">
        <v>0</v>
      </c>
      <c r="CX9" s="19">
        <v>0</v>
      </c>
      <c r="CY9" s="19">
        <v>0</v>
      </c>
      <c r="CZ9" s="19">
        <v>0</v>
      </c>
      <c r="DA9" s="19">
        <v>0</v>
      </c>
      <c r="DB9" s="19">
        <v>0</v>
      </c>
      <c r="DC9" s="19">
        <v>0</v>
      </c>
      <c r="DD9" s="19">
        <v>0</v>
      </c>
      <c r="DE9" s="19">
        <v>0</v>
      </c>
      <c r="DF9" s="23">
        <v>0</v>
      </c>
      <c r="DG9" s="23">
        <v>0</v>
      </c>
      <c r="DH9" s="23">
        <v>0</v>
      </c>
      <c r="DI9" s="19">
        <v>0</v>
      </c>
      <c r="DJ9" s="19">
        <v>0</v>
      </c>
      <c r="DK9" s="19">
        <v>0</v>
      </c>
      <c r="DL9" s="19">
        <v>0</v>
      </c>
      <c r="DM9" s="19">
        <v>0</v>
      </c>
      <c r="DN9" s="19">
        <v>0</v>
      </c>
      <c r="DO9" s="19">
        <v>0</v>
      </c>
      <c r="DP9" s="19">
        <v>0</v>
      </c>
      <c r="DQ9" s="19">
        <v>0</v>
      </c>
      <c r="DR9" s="19">
        <v>0</v>
      </c>
      <c r="DS9" s="19">
        <v>0</v>
      </c>
      <c r="DT9" s="19">
        <v>0</v>
      </c>
      <c r="DU9" s="19">
        <v>0</v>
      </c>
      <c r="DV9" s="19">
        <v>0</v>
      </c>
      <c r="DW9" s="17" t="s">
        <v>218</v>
      </c>
      <c r="DX9" s="22" t="s">
        <v>218</v>
      </c>
      <c r="DY9" s="22" t="s">
        <v>218</v>
      </c>
      <c r="DZ9" s="22" t="s">
        <v>218</v>
      </c>
      <c r="EA9" s="22" t="s">
        <v>218</v>
      </c>
      <c r="EB9" s="22" t="s">
        <v>218</v>
      </c>
      <c r="EC9" s="22" t="s">
        <v>218</v>
      </c>
      <c r="ED9" s="22" t="s">
        <v>218</v>
      </c>
      <c r="EE9" s="22" t="s">
        <v>218</v>
      </c>
      <c r="EF9" s="22" t="s">
        <v>218</v>
      </c>
      <c r="EG9" s="22" t="s">
        <v>218</v>
      </c>
      <c r="EH9" s="22" t="s">
        <v>218</v>
      </c>
      <c r="EI9" s="22" t="s">
        <v>218</v>
      </c>
      <c r="EJ9" s="22" t="s">
        <v>218</v>
      </c>
      <c r="EK9" s="22" t="s">
        <v>218</v>
      </c>
      <c r="EL9" s="22" t="s">
        <v>218</v>
      </c>
      <c r="EM9" s="22" t="s">
        <v>218</v>
      </c>
      <c r="EN9" s="22" t="s">
        <v>218</v>
      </c>
      <c r="EO9" s="22" t="s">
        <v>218</v>
      </c>
      <c r="EP9" s="22" t="s">
        <v>218</v>
      </c>
      <c r="EQ9" s="22" t="s">
        <v>218</v>
      </c>
      <c r="ER9" s="22" t="s">
        <v>218</v>
      </c>
      <c r="ES9" s="22" t="s">
        <v>218</v>
      </c>
      <c r="ET9" s="22" t="s">
        <v>218</v>
      </c>
      <c r="EU9" s="22" t="s">
        <v>218</v>
      </c>
      <c r="EV9" s="22" t="s">
        <v>218</v>
      </c>
      <c r="EW9" s="22" t="s">
        <v>218</v>
      </c>
      <c r="EX9" s="22" t="s">
        <v>218</v>
      </c>
      <c r="EY9" s="22" t="s">
        <v>218</v>
      </c>
      <c r="EZ9" s="22" t="s">
        <v>218</v>
      </c>
      <c r="FA9" s="22" t="s">
        <v>218</v>
      </c>
      <c r="FB9" s="22" t="s">
        <v>218</v>
      </c>
      <c r="FC9" s="22" t="s">
        <v>218</v>
      </c>
      <c r="FD9" s="22" t="s">
        <v>218</v>
      </c>
      <c r="FE9" s="22" t="s">
        <v>218</v>
      </c>
      <c r="FF9" s="22" t="s">
        <v>218</v>
      </c>
      <c r="FG9" s="22" t="s">
        <v>218</v>
      </c>
      <c r="FH9" s="22" t="s">
        <v>218</v>
      </c>
      <c r="FI9" s="22" t="s">
        <v>218</v>
      </c>
      <c r="FJ9" s="22" t="s">
        <v>218</v>
      </c>
      <c r="FK9" s="22" t="s">
        <v>218</v>
      </c>
      <c r="FL9" s="22" t="s">
        <v>218</v>
      </c>
      <c r="FM9" s="22" t="s">
        <v>218</v>
      </c>
      <c r="FN9" s="22" t="s">
        <v>218</v>
      </c>
      <c r="FO9" s="22" t="s">
        <v>218</v>
      </c>
      <c r="FP9" s="22" t="s">
        <v>218</v>
      </c>
      <c r="FQ9" s="22" t="s">
        <v>218</v>
      </c>
      <c r="FR9" s="22" t="s">
        <v>218</v>
      </c>
      <c r="FS9" s="22" t="s">
        <v>218</v>
      </c>
      <c r="FT9" s="22" t="s">
        <v>218</v>
      </c>
      <c r="FU9" s="22" t="s">
        <v>218</v>
      </c>
      <c r="FV9" s="22" t="s">
        <v>218</v>
      </c>
      <c r="FW9" s="22" t="s">
        <v>218</v>
      </c>
      <c r="FX9" s="22" t="s">
        <v>218</v>
      </c>
      <c r="FY9" s="22" t="s">
        <v>218</v>
      </c>
      <c r="FZ9" s="22" t="s">
        <v>218</v>
      </c>
      <c r="GA9" s="22" t="s">
        <v>218</v>
      </c>
      <c r="GB9" s="22" t="s">
        <v>218</v>
      </c>
      <c r="GC9" s="22" t="s">
        <v>218</v>
      </c>
      <c r="GD9" s="22" t="s">
        <v>218</v>
      </c>
      <c r="GE9" s="22" t="s">
        <v>218</v>
      </c>
      <c r="GF9" s="22" t="s">
        <v>218</v>
      </c>
      <c r="GG9" s="22" t="s">
        <v>218</v>
      </c>
      <c r="GH9" s="22" t="s">
        <v>218</v>
      </c>
      <c r="GI9" s="22" t="s">
        <v>218</v>
      </c>
      <c r="GJ9" s="22" t="s">
        <v>218</v>
      </c>
      <c r="GK9" s="22" t="s">
        <v>218</v>
      </c>
      <c r="GL9" s="22" t="s">
        <v>218</v>
      </c>
      <c r="GM9" s="22" t="s">
        <v>218</v>
      </c>
      <c r="GN9" s="22" t="s">
        <v>218</v>
      </c>
      <c r="GO9" s="22" t="s">
        <v>218</v>
      </c>
      <c r="GP9" s="22" t="s">
        <v>218</v>
      </c>
      <c r="GQ9" s="22" t="s">
        <v>218</v>
      </c>
      <c r="GR9" s="22" t="s">
        <v>218</v>
      </c>
      <c r="GS9" s="22" t="s">
        <v>218</v>
      </c>
      <c r="GT9" s="22" t="s">
        <v>218</v>
      </c>
      <c r="GU9" s="22" t="s">
        <v>218</v>
      </c>
      <c r="GV9" s="22" t="s">
        <v>218</v>
      </c>
      <c r="GW9" s="22" t="s">
        <v>218</v>
      </c>
      <c r="GX9" s="22" t="s">
        <v>218</v>
      </c>
      <c r="GY9" s="22" t="s">
        <v>218</v>
      </c>
      <c r="GZ9" s="22" t="s">
        <v>218</v>
      </c>
      <c r="HA9" s="22" t="s">
        <v>218</v>
      </c>
      <c r="HB9" s="22" t="s">
        <v>218</v>
      </c>
      <c r="HC9" s="22" t="s">
        <v>218</v>
      </c>
      <c r="HD9" s="22" t="s">
        <v>218</v>
      </c>
      <c r="HE9" s="22" t="s">
        <v>218</v>
      </c>
      <c r="HF9" s="22" t="s">
        <v>218</v>
      </c>
      <c r="HG9" s="22" t="s">
        <v>218</v>
      </c>
      <c r="HH9" s="22" t="s">
        <v>218</v>
      </c>
      <c r="HI9" s="22" t="s">
        <v>218</v>
      </c>
      <c r="HJ9" s="22" t="s">
        <v>218</v>
      </c>
      <c r="HK9" s="22" t="s">
        <v>218</v>
      </c>
      <c r="HL9" s="22" t="s">
        <v>218</v>
      </c>
      <c r="HM9" s="860"/>
      <c r="HN9" s="860"/>
      <c r="HO9" s="860"/>
      <c r="HP9" s="860"/>
      <c r="HQ9" s="860"/>
      <c r="HR9" s="860"/>
      <c r="HS9" s="860"/>
      <c r="HT9" s="145"/>
      <c r="HU9" s="145" t="s">
        <v>1809</v>
      </c>
      <c r="HV9" s="22" t="s">
        <v>1926</v>
      </c>
      <c r="HW9" s="22">
        <v>0</v>
      </c>
      <c r="HX9" s="22">
        <v>0</v>
      </c>
      <c r="HY9" s="22">
        <v>0</v>
      </c>
      <c r="HZ9" s="19"/>
      <c r="IA9" s="19"/>
      <c r="IB9" s="621">
        <f>'background data'!$G$10</f>
        <v>0.47300000000000003</v>
      </c>
      <c r="IC9" s="621">
        <f>'background data'!$H$10</f>
        <v>0.13</v>
      </c>
      <c r="ID9" s="621">
        <f>'background data'!$J$10</f>
        <v>0.39100000000000001</v>
      </c>
      <c r="IE9" s="621">
        <f>'background data'!$L$10</f>
        <v>5.5E-2</v>
      </c>
      <c r="IF9" s="621">
        <f>'background data'!$M$10</f>
        <v>3.97</v>
      </c>
      <c r="IG9" s="621">
        <f>'background data'!$N$10</f>
        <v>4.5999999999999999E-3</v>
      </c>
      <c r="IH9" s="621">
        <f>'background data'!$O$10</f>
        <v>2.73</v>
      </c>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row>
    <row r="10" spans="1:383" s="16" customFormat="1" ht="15" customHeight="1" x14ac:dyDescent="0.2">
      <c r="A10" s="15">
        <v>46203</v>
      </c>
      <c r="B10" s="25">
        <v>462</v>
      </c>
      <c r="C10" s="26">
        <v>3</v>
      </c>
      <c r="D10" s="20" t="s">
        <v>228</v>
      </c>
      <c r="E10" s="14">
        <v>40310</v>
      </c>
      <c r="F10" s="18">
        <v>-0.112682926829268</v>
      </c>
      <c r="G10" s="18">
        <v>-0.108</v>
      </c>
      <c r="H10" s="21">
        <v>70</v>
      </c>
      <c r="I10" s="21">
        <v>70</v>
      </c>
      <c r="J10" s="21">
        <v>0</v>
      </c>
      <c r="K10" s="18">
        <v>1</v>
      </c>
      <c r="L10" s="18">
        <v>99</v>
      </c>
      <c r="M10" s="18">
        <v>0</v>
      </c>
      <c r="N10" s="18">
        <v>0</v>
      </c>
      <c r="O10" s="18">
        <v>99</v>
      </c>
      <c r="P10" s="18">
        <v>0</v>
      </c>
      <c r="Q10" s="19"/>
      <c r="R10" s="18">
        <v>0</v>
      </c>
      <c r="S10" s="18">
        <v>67</v>
      </c>
      <c r="T10" s="18">
        <v>67</v>
      </c>
      <c r="U10" s="18">
        <v>67</v>
      </c>
      <c r="V10" s="18">
        <v>67</v>
      </c>
      <c r="W10" s="18">
        <v>67</v>
      </c>
      <c r="X10" s="18"/>
      <c r="Y10" s="18">
        <v>161.61616161616161</v>
      </c>
      <c r="Z10" s="18">
        <v>229.2929292929293</v>
      </c>
      <c r="AA10" s="18">
        <v>0</v>
      </c>
      <c r="AB10" s="18">
        <v>0</v>
      </c>
      <c r="AC10" s="18">
        <v>0</v>
      </c>
      <c r="AD10" s="18">
        <v>0</v>
      </c>
      <c r="AE10" s="18">
        <v>0</v>
      </c>
      <c r="AF10" s="18">
        <v>0</v>
      </c>
      <c r="AG10" s="18">
        <v>0</v>
      </c>
      <c r="AH10" s="18">
        <v>0</v>
      </c>
      <c r="AI10" s="18">
        <v>0</v>
      </c>
      <c r="AJ10" s="18">
        <v>0</v>
      </c>
      <c r="AK10" s="18">
        <v>0</v>
      </c>
      <c r="AL10" s="18"/>
      <c r="AM10" s="18">
        <v>0</v>
      </c>
      <c r="AN10" s="18">
        <v>0</v>
      </c>
      <c r="AO10" s="18">
        <v>0</v>
      </c>
      <c r="AP10" s="18">
        <v>0</v>
      </c>
      <c r="AQ10" s="18">
        <v>0</v>
      </c>
      <c r="AR10" s="18">
        <v>0</v>
      </c>
      <c r="AS10" s="18">
        <v>0</v>
      </c>
      <c r="AT10" s="18">
        <v>0</v>
      </c>
      <c r="AU10" s="18">
        <v>0</v>
      </c>
      <c r="AV10" s="18">
        <v>0</v>
      </c>
      <c r="AW10" s="18">
        <v>0</v>
      </c>
      <c r="AX10" s="18"/>
      <c r="AY10" s="18">
        <v>1</v>
      </c>
      <c r="AZ10" s="18">
        <v>1</v>
      </c>
      <c r="BA10" s="18">
        <v>1</v>
      </c>
      <c r="BB10" s="18">
        <v>1</v>
      </c>
      <c r="BC10" s="18">
        <v>1</v>
      </c>
      <c r="BD10" s="18">
        <v>1</v>
      </c>
      <c r="BE10" s="18">
        <v>1</v>
      </c>
      <c r="BF10" s="18">
        <v>1</v>
      </c>
      <c r="BG10" s="18">
        <v>1</v>
      </c>
      <c r="BH10" s="18">
        <v>1</v>
      </c>
      <c r="BI10" s="18">
        <v>1</v>
      </c>
      <c r="BJ10" s="19"/>
      <c r="BK10" s="18">
        <v>0</v>
      </c>
      <c r="BL10" s="18">
        <v>0</v>
      </c>
      <c r="BM10" s="18">
        <v>100</v>
      </c>
      <c r="BN10" s="18">
        <v>0</v>
      </c>
      <c r="BO10" s="18"/>
      <c r="BP10" s="18">
        <v>0</v>
      </c>
      <c r="BQ10" s="18">
        <v>0</v>
      </c>
      <c r="BR10" s="18">
        <v>-0.11382113821138182</v>
      </c>
      <c r="BS10" s="18">
        <v>-0.10909090909090909</v>
      </c>
      <c r="BT10" s="19"/>
      <c r="BU10" s="18">
        <v>0</v>
      </c>
      <c r="BV10" s="18">
        <v>0</v>
      </c>
      <c r="BW10" s="18">
        <v>0</v>
      </c>
      <c r="BX10" s="18" t="s">
        <v>217</v>
      </c>
      <c r="BY10" s="18" t="s">
        <v>217</v>
      </c>
      <c r="BZ10" s="18" t="s">
        <v>217</v>
      </c>
      <c r="CA10" s="18" t="s">
        <v>217</v>
      </c>
      <c r="CB10" s="19"/>
      <c r="CC10" s="19">
        <v>160</v>
      </c>
      <c r="CD10" s="19">
        <v>227</v>
      </c>
      <c r="CE10" s="19">
        <v>0</v>
      </c>
      <c r="CF10" s="19">
        <v>0</v>
      </c>
      <c r="CG10" s="19">
        <v>0</v>
      </c>
      <c r="CH10" s="19">
        <v>0</v>
      </c>
      <c r="CI10" s="19">
        <v>0</v>
      </c>
      <c r="CJ10" s="19"/>
      <c r="CK10" s="19">
        <v>0</v>
      </c>
      <c r="CL10" s="19">
        <v>0</v>
      </c>
      <c r="CM10" s="19">
        <v>0</v>
      </c>
      <c r="CN10" s="19">
        <v>0</v>
      </c>
      <c r="CO10" s="19">
        <v>0</v>
      </c>
      <c r="CP10" s="19">
        <v>0</v>
      </c>
      <c r="CQ10" s="19">
        <v>0</v>
      </c>
      <c r="CR10" s="19">
        <v>0</v>
      </c>
      <c r="CS10" s="19">
        <v>0</v>
      </c>
      <c r="CT10" s="19">
        <v>0</v>
      </c>
      <c r="CU10" s="19">
        <v>0</v>
      </c>
      <c r="CV10" s="19">
        <v>0</v>
      </c>
      <c r="CW10" s="19">
        <v>0</v>
      </c>
      <c r="CX10" s="19">
        <v>0</v>
      </c>
      <c r="CY10" s="19">
        <v>0</v>
      </c>
      <c r="CZ10" s="19">
        <v>0</v>
      </c>
      <c r="DA10" s="19">
        <v>0</v>
      </c>
      <c r="DB10" s="19">
        <v>0</v>
      </c>
      <c r="DC10" s="19">
        <v>0</v>
      </c>
      <c r="DD10" s="19">
        <v>0</v>
      </c>
      <c r="DE10" s="19">
        <v>0</v>
      </c>
      <c r="DF10" s="23">
        <v>0</v>
      </c>
      <c r="DG10" s="23">
        <v>0</v>
      </c>
      <c r="DH10" s="23">
        <v>0</v>
      </c>
      <c r="DI10" s="19">
        <v>0</v>
      </c>
      <c r="DJ10" s="19">
        <v>0</v>
      </c>
      <c r="DK10" s="19">
        <v>0</v>
      </c>
      <c r="DL10" s="19">
        <v>0</v>
      </c>
      <c r="DM10" s="19">
        <v>0</v>
      </c>
      <c r="DN10" s="19">
        <v>0</v>
      </c>
      <c r="DO10" s="19">
        <v>0</v>
      </c>
      <c r="DP10" s="19">
        <v>0</v>
      </c>
      <c r="DQ10" s="19">
        <v>0</v>
      </c>
      <c r="DR10" s="19">
        <v>0</v>
      </c>
      <c r="DS10" s="19">
        <v>0</v>
      </c>
      <c r="DT10" s="19">
        <v>0</v>
      </c>
      <c r="DU10" s="19">
        <v>0</v>
      </c>
      <c r="DV10" s="19">
        <v>0</v>
      </c>
      <c r="DW10" s="17" t="s">
        <v>218</v>
      </c>
      <c r="DX10" s="22" t="s">
        <v>218</v>
      </c>
      <c r="DY10" s="22" t="s">
        <v>218</v>
      </c>
      <c r="DZ10" s="22" t="s">
        <v>218</v>
      </c>
      <c r="EA10" s="22" t="s">
        <v>218</v>
      </c>
      <c r="EB10" s="22" t="s">
        <v>218</v>
      </c>
      <c r="EC10" s="22" t="s">
        <v>218</v>
      </c>
      <c r="ED10" s="22" t="s">
        <v>218</v>
      </c>
      <c r="EE10" s="22" t="s">
        <v>218</v>
      </c>
      <c r="EF10" s="22" t="s">
        <v>218</v>
      </c>
      <c r="EG10" s="22" t="s">
        <v>218</v>
      </c>
      <c r="EH10" s="22" t="s">
        <v>218</v>
      </c>
      <c r="EI10" s="22" t="s">
        <v>218</v>
      </c>
      <c r="EJ10" s="22" t="s">
        <v>218</v>
      </c>
      <c r="EK10" s="22" t="s">
        <v>218</v>
      </c>
      <c r="EL10" s="22" t="s">
        <v>218</v>
      </c>
      <c r="EM10" s="22" t="s">
        <v>218</v>
      </c>
      <c r="EN10" s="22" t="s">
        <v>218</v>
      </c>
      <c r="EO10" s="22" t="s">
        <v>218</v>
      </c>
      <c r="EP10" s="22" t="s">
        <v>218</v>
      </c>
      <c r="EQ10" s="22" t="s">
        <v>218</v>
      </c>
      <c r="ER10" s="22" t="s">
        <v>218</v>
      </c>
      <c r="ES10" s="22" t="s">
        <v>218</v>
      </c>
      <c r="ET10" s="22" t="s">
        <v>218</v>
      </c>
      <c r="EU10" s="22" t="s">
        <v>218</v>
      </c>
      <c r="EV10" s="22" t="s">
        <v>218</v>
      </c>
      <c r="EW10" s="22" t="s">
        <v>218</v>
      </c>
      <c r="EX10" s="22" t="s">
        <v>218</v>
      </c>
      <c r="EY10" s="22" t="s">
        <v>218</v>
      </c>
      <c r="EZ10" s="22" t="s">
        <v>218</v>
      </c>
      <c r="FA10" s="22" t="s">
        <v>218</v>
      </c>
      <c r="FB10" s="22" t="s">
        <v>218</v>
      </c>
      <c r="FC10" s="22" t="s">
        <v>218</v>
      </c>
      <c r="FD10" s="22" t="s">
        <v>218</v>
      </c>
      <c r="FE10" s="22" t="s">
        <v>218</v>
      </c>
      <c r="FF10" s="22" t="s">
        <v>218</v>
      </c>
      <c r="FG10" s="22" t="s">
        <v>218</v>
      </c>
      <c r="FH10" s="22" t="s">
        <v>218</v>
      </c>
      <c r="FI10" s="22" t="s">
        <v>218</v>
      </c>
      <c r="FJ10" s="22" t="s">
        <v>218</v>
      </c>
      <c r="FK10" s="22" t="s">
        <v>218</v>
      </c>
      <c r="FL10" s="22" t="s">
        <v>218</v>
      </c>
      <c r="FM10" s="22" t="s">
        <v>218</v>
      </c>
      <c r="FN10" s="22" t="s">
        <v>218</v>
      </c>
      <c r="FO10" s="22" t="s">
        <v>218</v>
      </c>
      <c r="FP10" s="22" t="s">
        <v>218</v>
      </c>
      <c r="FQ10" s="22" t="s">
        <v>218</v>
      </c>
      <c r="FR10" s="22" t="s">
        <v>218</v>
      </c>
      <c r="FS10" s="22" t="s">
        <v>218</v>
      </c>
      <c r="FT10" s="22" t="s">
        <v>218</v>
      </c>
      <c r="FU10" s="22" t="s">
        <v>218</v>
      </c>
      <c r="FV10" s="22" t="s">
        <v>218</v>
      </c>
      <c r="FW10" s="22" t="s">
        <v>218</v>
      </c>
      <c r="FX10" s="22" t="s">
        <v>218</v>
      </c>
      <c r="FY10" s="22" t="s">
        <v>218</v>
      </c>
      <c r="FZ10" s="22" t="s">
        <v>218</v>
      </c>
      <c r="GA10" s="22" t="s">
        <v>218</v>
      </c>
      <c r="GB10" s="22" t="s">
        <v>218</v>
      </c>
      <c r="GC10" s="22" t="s">
        <v>218</v>
      </c>
      <c r="GD10" s="22" t="s">
        <v>218</v>
      </c>
      <c r="GE10" s="22" t="s">
        <v>218</v>
      </c>
      <c r="GF10" s="22" t="s">
        <v>218</v>
      </c>
      <c r="GG10" s="22" t="s">
        <v>218</v>
      </c>
      <c r="GH10" s="22" t="s">
        <v>218</v>
      </c>
      <c r="GI10" s="22" t="s">
        <v>218</v>
      </c>
      <c r="GJ10" s="22" t="s">
        <v>218</v>
      </c>
      <c r="GK10" s="22" t="s">
        <v>218</v>
      </c>
      <c r="GL10" s="22" t="s">
        <v>218</v>
      </c>
      <c r="GM10" s="22" t="s">
        <v>218</v>
      </c>
      <c r="GN10" s="22" t="s">
        <v>218</v>
      </c>
      <c r="GO10" s="22" t="s">
        <v>218</v>
      </c>
      <c r="GP10" s="22" t="s">
        <v>218</v>
      </c>
      <c r="GQ10" s="22" t="s">
        <v>218</v>
      </c>
      <c r="GR10" s="22" t="s">
        <v>218</v>
      </c>
      <c r="GS10" s="22" t="s">
        <v>218</v>
      </c>
      <c r="GT10" s="22" t="s">
        <v>218</v>
      </c>
      <c r="GU10" s="22" t="s">
        <v>218</v>
      </c>
      <c r="GV10" s="22" t="s">
        <v>218</v>
      </c>
      <c r="GW10" s="22" t="s">
        <v>218</v>
      </c>
      <c r="GX10" s="22" t="s">
        <v>218</v>
      </c>
      <c r="GY10" s="22" t="s">
        <v>218</v>
      </c>
      <c r="GZ10" s="22" t="s">
        <v>218</v>
      </c>
      <c r="HA10" s="22" t="s">
        <v>218</v>
      </c>
      <c r="HB10" s="22" t="s">
        <v>218</v>
      </c>
      <c r="HC10" s="22" t="s">
        <v>218</v>
      </c>
      <c r="HD10" s="22" t="s">
        <v>218</v>
      </c>
      <c r="HE10" s="22" t="s">
        <v>218</v>
      </c>
      <c r="HF10" s="22" t="s">
        <v>218</v>
      </c>
      <c r="HG10" s="22" t="s">
        <v>218</v>
      </c>
      <c r="HH10" s="22" t="s">
        <v>218</v>
      </c>
      <c r="HI10" s="22" t="s">
        <v>218</v>
      </c>
      <c r="HJ10" s="22" t="s">
        <v>218</v>
      </c>
      <c r="HK10" s="22" t="s">
        <v>218</v>
      </c>
      <c r="HL10" s="22" t="s">
        <v>218</v>
      </c>
      <c r="HM10" s="860"/>
      <c r="HN10" s="860"/>
      <c r="HO10" s="860"/>
      <c r="HP10" s="860"/>
      <c r="HQ10" s="860"/>
      <c r="HR10" s="860"/>
      <c r="HS10" s="860"/>
      <c r="HT10" s="145"/>
      <c r="HU10" s="145" t="s">
        <v>1809</v>
      </c>
      <c r="HV10" s="22" t="s">
        <v>1926</v>
      </c>
      <c r="HW10" s="22">
        <v>0</v>
      </c>
      <c r="HX10" s="22">
        <v>0</v>
      </c>
      <c r="HY10" s="22">
        <v>0</v>
      </c>
      <c r="HZ10" s="19"/>
      <c r="IA10" s="19"/>
      <c r="IB10" s="621">
        <f>'background data'!$G$10</f>
        <v>0.47300000000000003</v>
      </c>
      <c r="IC10" s="621">
        <f>'background data'!$H$10</f>
        <v>0.13</v>
      </c>
      <c r="ID10" s="621">
        <f>'background data'!$J$10</f>
        <v>0.39100000000000001</v>
      </c>
      <c r="IE10" s="621">
        <f>'background data'!$L$10</f>
        <v>5.5E-2</v>
      </c>
      <c r="IF10" s="621">
        <f>'background data'!$M$10</f>
        <v>3.97</v>
      </c>
      <c r="IG10" s="621">
        <f>'background data'!$N$10</f>
        <v>4.5999999999999999E-3</v>
      </c>
      <c r="IH10" s="621">
        <f>'background data'!$O$10</f>
        <v>2.73</v>
      </c>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row>
    <row r="11" spans="1:383" s="16" customFormat="1" ht="15" customHeight="1" x14ac:dyDescent="0.2">
      <c r="A11" s="15">
        <v>50300</v>
      </c>
      <c r="B11" s="25">
        <v>503</v>
      </c>
      <c r="C11" s="26">
        <v>0</v>
      </c>
      <c r="D11" s="20" t="s">
        <v>229</v>
      </c>
      <c r="E11" s="14">
        <v>42678</v>
      </c>
      <c r="F11" s="18">
        <v>0.99579847077041805</v>
      </c>
      <c r="G11" s="18">
        <v>1.0059162100185499</v>
      </c>
      <c r="H11" s="21">
        <v>83.1</v>
      </c>
      <c r="I11" s="21">
        <v>76.000019100000003</v>
      </c>
      <c r="J11" s="21">
        <v>90</v>
      </c>
      <c r="K11" s="18">
        <v>1</v>
      </c>
      <c r="L11" s="18">
        <v>85</v>
      </c>
      <c r="M11" s="18">
        <v>9.5999999999999801</v>
      </c>
      <c r="N11" s="18">
        <v>2.7</v>
      </c>
      <c r="O11" s="18">
        <v>1.8</v>
      </c>
      <c r="P11" s="18">
        <v>4.5999999999999996</v>
      </c>
      <c r="Q11" s="19"/>
      <c r="R11" s="18">
        <v>74.030298214285693</v>
      </c>
      <c r="S11" s="18">
        <v>39</v>
      </c>
      <c r="T11" s="18">
        <v>47</v>
      </c>
      <c r="U11" s="18">
        <v>50</v>
      </c>
      <c r="V11" s="18">
        <v>52</v>
      </c>
      <c r="W11" s="18">
        <v>54</v>
      </c>
      <c r="X11" s="18"/>
      <c r="Y11" s="18">
        <v>0.6823529411764705</v>
      </c>
      <c r="Z11" s="18">
        <v>3.2941176470588234</v>
      </c>
      <c r="AA11" s="18">
        <v>0.2</v>
      </c>
      <c r="AB11" s="18">
        <v>1.4999999999999998</v>
      </c>
      <c r="AC11" s="18">
        <v>5.8999999999999995</v>
      </c>
      <c r="AD11" s="18">
        <v>1.1000000000000001</v>
      </c>
      <c r="AE11" s="18">
        <v>1.3</v>
      </c>
      <c r="AF11" s="18">
        <v>50</v>
      </c>
      <c r="AG11" s="18">
        <v>3.4</v>
      </c>
      <c r="AH11" s="18">
        <v>15</v>
      </c>
      <c r="AI11" s="18">
        <v>29</v>
      </c>
      <c r="AJ11" s="18">
        <v>0</v>
      </c>
      <c r="AK11" s="18">
        <v>0.04</v>
      </c>
      <c r="AL11" s="18"/>
      <c r="AM11" s="18">
        <v>3.7643529411764698</v>
      </c>
      <c r="AN11" s="18">
        <v>1.69952941176471</v>
      </c>
      <c r="AO11" s="18">
        <v>2.3732941176470601</v>
      </c>
      <c r="AP11" s="18">
        <v>3.4342352941176499</v>
      </c>
      <c r="AQ11" s="18">
        <v>1.3221176470588201</v>
      </c>
      <c r="AR11" s="18">
        <v>3.6218823529411801</v>
      </c>
      <c r="AS11" s="18">
        <v>6.8776470588235297</v>
      </c>
      <c r="AT11" s="18">
        <v>2.2824705882352898</v>
      </c>
      <c r="AU11" s="18">
        <v>4.8375294117647103</v>
      </c>
      <c r="AV11" s="18">
        <v>3.21588235294118</v>
      </c>
      <c r="AW11" s="18">
        <v>5.1123529411764697</v>
      </c>
      <c r="AX11" s="18"/>
      <c r="AY11" s="18">
        <v>0.94</v>
      </c>
      <c r="AZ11" s="18">
        <v>1.08</v>
      </c>
      <c r="BA11" s="18">
        <v>1.03</v>
      </c>
      <c r="BB11" s="18">
        <v>0.95</v>
      </c>
      <c r="BC11" s="18">
        <v>0.96</v>
      </c>
      <c r="BD11" s="18">
        <v>1</v>
      </c>
      <c r="BE11" s="18">
        <v>1.01</v>
      </c>
      <c r="BF11" s="18">
        <v>1</v>
      </c>
      <c r="BG11" s="18">
        <v>1.04</v>
      </c>
      <c r="BH11" s="18">
        <v>0.97</v>
      </c>
      <c r="BI11" s="18">
        <v>0.96</v>
      </c>
      <c r="BJ11" s="19"/>
      <c r="BK11" s="18">
        <v>11.294117647058799</v>
      </c>
      <c r="BL11" s="18">
        <v>3.1764705882352939</v>
      </c>
      <c r="BM11" s="18">
        <v>2.1176470588235294</v>
      </c>
      <c r="BN11" s="18">
        <v>5.4117647058823524</v>
      </c>
      <c r="BO11" s="18"/>
      <c r="BP11" s="18">
        <v>120</v>
      </c>
      <c r="BQ11" s="18">
        <v>38.117647058823529</v>
      </c>
      <c r="BR11" s="18">
        <v>1.1715276126710801</v>
      </c>
      <c r="BS11" s="18">
        <v>1.1834308353159411</v>
      </c>
      <c r="BT11" s="19"/>
      <c r="BU11" s="18">
        <v>978.82352941176475</v>
      </c>
      <c r="BV11" s="18">
        <v>580.53344537815065</v>
      </c>
      <c r="BW11" s="18">
        <v>99.280405189915768</v>
      </c>
      <c r="BX11" s="18">
        <v>604</v>
      </c>
      <c r="BY11" s="18">
        <v>21.000000000000004</v>
      </c>
      <c r="BZ11" s="18">
        <v>56</v>
      </c>
      <c r="CA11" s="18">
        <v>165</v>
      </c>
      <c r="CB11" s="19"/>
      <c r="CC11" s="19">
        <v>0.57999999999999996</v>
      </c>
      <c r="CD11" s="19">
        <v>2.8</v>
      </c>
      <c r="CE11" s="19">
        <v>0.17</v>
      </c>
      <c r="CF11" s="19">
        <v>1.2749999999999997</v>
      </c>
      <c r="CG11" s="19">
        <v>5.0149999999999997</v>
      </c>
      <c r="CH11" s="19">
        <v>0.93500000000000005</v>
      </c>
      <c r="CI11" s="19">
        <v>1.105</v>
      </c>
      <c r="CJ11" s="19"/>
      <c r="CK11" s="19">
        <v>42.5</v>
      </c>
      <c r="CL11" s="19">
        <v>2.8899999999999997</v>
      </c>
      <c r="CM11" s="19">
        <v>12.75</v>
      </c>
      <c r="CN11" s="19">
        <v>24.65</v>
      </c>
      <c r="CO11" s="19">
        <v>0</v>
      </c>
      <c r="CP11" s="19">
        <v>3.4000000000000002E-2</v>
      </c>
      <c r="CQ11" s="19">
        <v>71.069086285714306</v>
      </c>
      <c r="CR11" s="19">
        <v>71.368944994191835</v>
      </c>
      <c r="CS11" s="19">
        <v>2.5253842411769507</v>
      </c>
      <c r="CT11" s="19">
        <v>1.3099711079258582</v>
      </c>
      <c r="CU11" s="19">
        <v>1.744608822575126</v>
      </c>
      <c r="CV11" s="19">
        <v>3.0545799305009842</v>
      </c>
      <c r="CW11" s="19">
        <v>2.3284286231284397</v>
      </c>
      <c r="CX11" s="19">
        <v>0.90583815963639602</v>
      </c>
      <c r="CY11" s="19">
        <v>2.5848992242249249</v>
      </c>
      <c r="CZ11" s="19">
        <v>4.9575891877694724</v>
      </c>
      <c r="DA11" s="19">
        <v>1.6289751786262516</v>
      </c>
      <c r="DB11" s="19">
        <v>3.590593453158601</v>
      </c>
      <c r="DC11" s="19">
        <v>2.2262870683220455</v>
      </c>
      <c r="DD11" s="19">
        <v>5.8168805214806474</v>
      </c>
      <c r="DE11" s="19">
        <v>3.5026870641572856</v>
      </c>
      <c r="DF11" s="23">
        <v>0</v>
      </c>
      <c r="DG11" s="23">
        <v>0</v>
      </c>
      <c r="DH11" s="23">
        <v>0</v>
      </c>
      <c r="DI11" s="19">
        <v>0</v>
      </c>
      <c r="DJ11" s="19">
        <v>0</v>
      </c>
      <c r="DK11" s="19">
        <v>0</v>
      </c>
      <c r="DL11" s="19">
        <v>0</v>
      </c>
      <c r="DM11" s="19">
        <v>0</v>
      </c>
      <c r="DN11" s="19">
        <v>0</v>
      </c>
      <c r="DO11" s="19">
        <v>0</v>
      </c>
      <c r="DP11" s="19">
        <v>0</v>
      </c>
      <c r="DQ11" s="19">
        <v>0</v>
      </c>
      <c r="DR11" s="19">
        <v>0</v>
      </c>
      <c r="DS11" s="19">
        <v>0</v>
      </c>
      <c r="DT11" s="19">
        <v>0</v>
      </c>
      <c r="DU11" s="19">
        <v>0</v>
      </c>
      <c r="DV11" s="19">
        <v>0</v>
      </c>
      <c r="DW11" s="17" t="s">
        <v>230</v>
      </c>
      <c r="DX11" s="22" t="s">
        <v>218</v>
      </c>
      <c r="DY11" s="22">
        <v>16</v>
      </c>
      <c r="DZ11" s="22">
        <v>8</v>
      </c>
      <c r="EA11" s="22">
        <v>8</v>
      </c>
      <c r="EB11" s="22" t="s">
        <v>218</v>
      </c>
      <c r="EC11" s="22">
        <v>8</v>
      </c>
      <c r="ED11" s="22">
        <v>8</v>
      </c>
      <c r="EE11" s="22" t="s">
        <v>218</v>
      </c>
      <c r="EF11" s="22">
        <v>8</v>
      </c>
      <c r="EG11" s="22">
        <v>8</v>
      </c>
      <c r="EH11" s="22" t="s">
        <v>218</v>
      </c>
      <c r="EI11" s="22" t="s">
        <v>218</v>
      </c>
      <c r="EJ11" s="22" t="s">
        <v>218</v>
      </c>
      <c r="EK11" s="22" t="s">
        <v>218</v>
      </c>
      <c r="EL11" s="22" t="s">
        <v>218</v>
      </c>
      <c r="EM11" s="22" t="s">
        <v>218</v>
      </c>
      <c r="EN11" s="22" t="s">
        <v>218</v>
      </c>
      <c r="EO11" s="22" t="s">
        <v>218</v>
      </c>
      <c r="EP11" s="22" t="s">
        <v>218</v>
      </c>
      <c r="EQ11" s="22" t="s">
        <v>218</v>
      </c>
      <c r="ER11" s="22" t="s">
        <v>218</v>
      </c>
      <c r="ES11" s="22">
        <v>8</v>
      </c>
      <c r="ET11" s="22">
        <v>16</v>
      </c>
      <c r="EU11" s="22" t="s">
        <v>218</v>
      </c>
      <c r="EV11" s="22" t="s">
        <v>218</v>
      </c>
      <c r="EW11" s="22" t="s">
        <v>218</v>
      </c>
      <c r="EX11" s="22" t="s">
        <v>218</v>
      </c>
      <c r="EY11" s="22" t="s">
        <v>218</v>
      </c>
      <c r="EZ11" s="22" t="s">
        <v>218</v>
      </c>
      <c r="FA11" s="22" t="s">
        <v>218</v>
      </c>
      <c r="FB11" s="22" t="s">
        <v>218</v>
      </c>
      <c r="FC11" s="22" t="s">
        <v>218</v>
      </c>
      <c r="FD11" s="22" t="s">
        <v>218</v>
      </c>
      <c r="FE11" s="22" t="s">
        <v>218</v>
      </c>
      <c r="FF11" s="22" t="s">
        <v>218</v>
      </c>
      <c r="FG11" s="22">
        <v>0.9</v>
      </c>
      <c r="FH11" s="22">
        <v>0.2</v>
      </c>
      <c r="FI11" s="22">
        <v>0.2</v>
      </c>
      <c r="FJ11" s="22" t="s">
        <v>218</v>
      </c>
      <c r="FK11" s="22">
        <v>1</v>
      </c>
      <c r="FL11" s="22">
        <v>0.9</v>
      </c>
      <c r="FM11" s="22" t="s">
        <v>218</v>
      </c>
      <c r="FN11" s="22">
        <v>1.5</v>
      </c>
      <c r="FO11" s="22">
        <v>1.3</v>
      </c>
      <c r="FP11" s="22" t="s">
        <v>218</v>
      </c>
      <c r="FQ11" s="22" t="s">
        <v>218</v>
      </c>
      <c r="FR11" s="22" t="s">
        <v>218</v>
      </c>
      <c r="FS11" s="22" t="s">
        <v>218</v>
      </c>
      <c r="FT11" s="22" t="s">
        <v>218</v>
      </c>
      <c r="FU11" s="22" t="s">
        <v>218</v>
      </c>
      <c r="FV11" s="22" t="s">
        <v>218</v>
      </c>
      <c r="FW11" s="22" t="s">
        <v>218</v>
      </c>
      <c r="FX11" s="22" t="s">
        <v>218</v>
      </c>
      <c r="FY11" s="22" t="s">
        <v>218</v>
      </c>
      <c r="FZ11" s="22" t="s">
        <v>218</v>
      </c>
      <c r="GA11" s="22">
        <v>0.1</v>
      </c>
      <c r="GB11" s="22">
        <v>0.3</v>
      </c>
      <c r="GC11" s="22" t="s">
        <v>218</v>
      </c>
      <c r="GD11" s="22" t="s">
        <v>218</v>
      </c>
      <c r="GE11" s="22" t="s">
        <v>218</v>
      </c>
      <c r="GF11" s="22" t="s">
        <v>218</v>
      </c>
      <c r="GG11" s="22" t="s">
        <v>218</v>
      </c>
      <c r="GH11" s="22" t="s">
        <v>218</v>
      </c>
      <c r="GI11" s="22" t="s">
        <v>218</v>
      </c>
      <c r="GJ11" s="22" t="s">
        <v>218</v>
      </c>
      <c r="GK11" s="22" t="s">
        <v>218</v>
      </c>
      <c r="GL11" s="22" t="s">
        <v>218</v>
      </c>
      <c r="GM11" s="22" t="s">
        <v>218</v>
      </c>
      <c r="GN11" s="22" t="s">
        <v>218</v>
      </c>
      <c r="GO11" s="22">
        <v>2016</v>
      </c>
      <c r="GP11" s="22">
        <v>2016</v>
      </c>
      <c r="GQ11" s="22">
        <v>2016</v>
      </c>
      <c r="GR11" s="22" t="s">
        <v>218</v>
      </c>
      <c r="GS11" s="22">
        <v>2016</v>
      </c>
      <c r="GT11" s="22">
        <v>2016</v>
      </c>
      <c r="GU11" s="22" t="s">
        <v>218</v>
      </c>
      <c r="GV11" s="22">
        <v>2016</v>
      </c>
      <c r="GW11" s="22">
        <v>2016</v>
      </c>
      <c r="GX11" s="22" t="s">
        <v>218</v>
      </c>
      <c r="GY11" s="22" t="s">
        <v>218</v>
      </c>
      <c r="GZ11" s="22" t="s">
        <v>218</v>
      </c>
      <c r="HA11" s="22" t="s">
        <v>218</v>
      </c>
      <c r="HB11" s="22" t="s">
        <v>218</v>
      </c>
      <c r="HC11" s="22" t="s">
        <v>218</v>
      </c>
      <c r="HD11" s="22" t="s">
        <v>218</v>
      </c>
      <c r="HE11" s="22" t="s">
        <v>218</v>
      </c>
      <c r="HF11" s="22" t="s">
        <v>218</v>
      </c>
      <c r="HG11" s="22" t="s">
        <v>218</v>
      </c>
      <c r="HH11" s="22" t="s">
        <v>218</v>
      </c>
      <c r="HI11" s="22">
        <v>2016</v>
      </c>
      <c r="HJ11" s="22">
        <v>2016</v>
      </c>
      <c r="HK11" s="22" t="s">
        <v>218</v>
      </c>
      <c r="HL11" s="22" t="s">
        <v>218</v>
      </c>
      <c r="HM11" s="620">
        <f>'background data'!$G$10</f>
        <v>0.47300000000000003</v>
      </c>
      <c r="HN11" s="620">
        <f>'background data'!$H$10</f>
        <v>0.13</v>
      </c>
      <c r="HO11" s="620">
        <f>'background data'!$J$10</f>
        <v>0.39100000000000001</v>
      </c>
      <c r="HP11" s="620">
        <f>'background data'!$L$10</f>
        <v>5.5E-2</v>
      </c>
      <c r="HQ11" s="620">
        <f>'background data'!$M$10</f>
        <v>3.97</v>
      </c>
      <c r="HR11" s="620">
        <f>'background data'!$N$10</f>
        <v>4.5999999999999999E-3</v>
      </c>
      <c r="HS11" s="620">
        <f>'background data'!$O$10</f>
        <v>2.73</v>
      </c>
      <c r="HT11" s="145"/>
      <c r="HU11" s="145" t="s">
        <v>1809</v>
      </c>
      <c r="HV11" s="22" t="s">
        <v>1927</v>
      </c>
      <c r="HW11" s="22" t="s">
        <v>231</v>
      </c>
      <c r="HX11" s="22" t="s">
        <v>232</v>
      </c>
      <c r="HY11" s="22" t="s">
        <v>233</v>
      </c>
      <c r="HZ11" s="19"/>
      <c r="IA11" s="19"/>
      <c r="IB11" s="620">
        <f>'background data'!$G$10</f>
        <v>0.47300000000000003</v>
      </c>
      <c r="IC11" s="620">
        <f>'background data'!$H$10</f>
        <v>0.13</v>
      </c>
      <c r="ID11" s="620">
        <f>'background data'!$J$10</f>
        <v>0.39100000000000001</v>
      </c>
      <c r="IE11" s="620">
        <f>'background data'!$L$10</f>
        <v>5.5E-2</v>
      </c>
      <c r="IF11" s="620">
        <f>'background data'!$M$10</f>
        <v>3.97</v>
      </c>
      <c r="IG11" s="620">
        <f>'background data'!$N$10</f>
        <v>4.5999999999999999E-3</v>
      </c>
      <c r="IH11" s="620">
        <f>'background data'!$O$10</f>
        <v>2.73</v>
      </c>
      <c r="II11" s="145"/>
      <c r="IJ11" s="145">
        <v>1</v>
      </c>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row>
    <row r="12" spans="1:383" s="16" customFormat="1" ht="15" customHeight="1" x14ac:dyDescent="0.2">
      <c r="A12" s="15">
        <v>50301</v>
      </c>
      <c r="B12" s="25">
        <v>503</v>
      </c>
      <c r="C12" s="26">
        <v>1</v>
      </c>
      <c r="D12" s="20" t="s">
        <v>234</v>
      </c>
      <c r="E12" s="14">
        <v>42678</v>
      </c>
      <c r="F12" s="18">
        <v>1.0018379597367399</v>
      </c>
      <c r="G12" s="18">
        <v>1.01016110797773</v>
      </c>
      <c r="H12" s="21">
        <v>83.1</v>
      </c>
      <c r="I12" s="21">
        <v>76.500031800000002</v>
      </c>
      <c r="J12" s="21">
        <v>90</v>
      </c>
      <c r="K12" s="18">
        <v>1</v>
      </c>
      <c r="L12" s="18">
        <v>85</v>
      </c>
      <c r="M12" s="18">
        <v>9.5999999999999801</v>
      </c>
      <c r="N12" s="18">
        <v>2.7</v>
      </c>
      <c r="O12" s="18">
        <v>1.8</v>
      </c>
      <c r="P12" s="18">
        <v>4.5999999999999996</v>
      </c>
      <c r="Q12" s="19"/>
      <c r="R12" s="18">
        <v>74.4388696428571</v>
      </c>
      <c r="S12" s="18">
        <v>39</v>
      </c>
      <c r="T12" s="18">
        <v>47</v>
      </c>
      <c r="U12" s="18">
        <v>50</v>
      </c>
      <c r="V12" s="18">
        <v>52</v>
      </c>
      <c r="W12" s="18">
        <v>54</v>
      </c>
      <c r="X12" s="18"/>
      <c r="Y12" s="18">
        <v>0.6823529411764705</v>
      </c>
      <c r="Z12" s="18">
        <v>3.2941176470588234</v>
      </c>
      <c r="AA12" s="18">
        <v>0.2</v>
      </c>
      <c r="AB12" s="18">
        <v>1.4999999999999998</v>
      </c>
      <c r="AC12" s="18">
        <v>5.8999999999999995</v>
      </c>
      <c r="AD12" s="18">
        <v>1.1000000000000001</v>
      </c>
      <c r="AE12" s="18">
        <v>1.3</v>
      </c>
      <c r="AF12" s="18">
        <v>50</v>
      </c>
      <c r="AG12" s="18">
        <v>3.4</v>
      </c>
      <c r="AH12" s="18">
        <v>15</v>
      </c>
      <c r="AI12" s="18">
        <v>29</v>
      </c>
      <c r="AJ12" s="18">
        <v>0</v>
      </c>
      <c r="AK12" s="18">
        <v>0.04</v>
      </c>
      <c r="AL12" s="18"/>
      <c r="AM12" s="18">
        <v>3.7643529411764698</v>
      </c>
      <c r="AN12" s="18">
        <v>1.69952941176471</v>
      </c>
      <c r="AO12" s="18">
        <v>2.3732941176470601</v>
      </c>
      <c r="AP12" s="18">
        <v>3.4342352941176499</v>
      </c>
      <c r="AQ12" s="18">
        <v>1.3221176470588201</v>
      </c>
      <c r="AR12" s="18">
        <v>3.6218823529411801</v>
      </c>
      <c r="AS12" s="18">
        <v>6.8776470588235297</v>
      </c>
      <c r="AT12" s="18">
        <v>2.2824705882352898</v>
      </c>
      <c r="AU12" s="18">
        <v>4.8375294117647103</v>
      </c>
      <c r="AV12" s="18">
        <v>3.21588235294118</v>
      </c>
      <c r="AW12" s="18">
        <v>5.1123529411764697</v>
      </c>
      <c r="AX12" s="18"/>
      <c r="AY12" s="18">
        <v>0.94</v>
      </c>
      <c r="AZ12" s="18">
        <v>1.08</v>
      </c>
      <c r="BA12" s="18">
        <v>1.03</v>
      </c>
      <c r="BB12" s="18">
        <v>0.95</v>
      </c>
      <c r="BC12" s="18">
        <v>0.96</v>
      </c>
      <c r="BD12" s="18">
        <v>1</v>
      </c>
      <c r="BE12" s="18">
        <v>1.01</v>
      </c>
      <c r="BF12" s="18">
        <v>1</v>
      </c>
      <c r="BG12" s="18">
        <v>1.04</v>
      </c>
      <c r="BH12" s="18">
        <v>0.97</v>
      </c>
      <c r="BI12" s="18">
        <v>0.96</v>
      </c>
      <c r="BJ12" s="19"/>
      <c r="BK12" s="18">
        <v>11.294117647058799</v>
      </c>
      <c r="BL12" s="18">
        <v>3.1764705882352939</v>
      </c>
      <c r="BM12" s="18">
        <v>2.1176470588235294</v>
      </c>
      <c r="BN12" s="18">
        <v>5.4117647058823524</v>
      </c>
      <c r="BO12" s="18"/>
      <c r="BP12" s="18">
        <v>120</v>
      </c>
      <c r="BQ12" s="18">
        <v>38.117647058823529</v>
      </c>
      <c r="BR12" s="18">
        <v>1.1786328938079293</v>
      </c>
      <c r="BS12" s="18">
        <v>1.1884248329149765</v>
      </c>
      <c r="BT12" s="19"/>
      <c r="BU12" s="18">
        <v>978.82352941176475</v>
      </c>
      <c r="BV12" s="18">
        <v>587.52504201680711</v>
      </c>
      <c r="BW12" s="18">
        <v>92.28863096470576</v>
      </c>
      <c r="BX12" s="18">
        <v>604</v>
      </c>
      <c r="BY12" s="18">
        <v>21.000000000000004</v>
      </c>
      <c r="BZ12" s="18">
        <v>56</v>
      </c>
      <c r="CA12" s="18">
        <v>165</v>
      </c>
      <c r="CB12" s="19"/>
      <c r="CC12" s="19">
        <v>0.57999999999999996</v>
      </c>
      <c r="CD12" s="19">
        <v>2.8</v>
      </c>
      <c r="CE12" s="19">
        <v>0.17</v>
      </c>
      <c r="CF12" s="19">
        <v>1.2749999999999997</v>
      </c>
      <c r="CG12" s="19">
        <v>5.0149999999999997</v>
      </c>
      <c r="CH12" s="19">
        <v>0.93500000000000005</v>
      </c>
      <c r="CI12" s="19">
        <v>1.105</v>
      </c>
      <c r="CJ12" s="19"/>
      <c r="CK12" s="19">
        <v>42.5</v>
      </c>
      <c r="CL12" s="19">
        <v>2.8899999999999997</v>
      </c>
      <c r="CM12" s="19">
        <v>12.75</v>
      </c>
      <c r="CN12" s="19">
        <v>24.65</v>
      </c>
      <c r="CO12" s="19">
        <v>0</v>
      </c>
      <c r="CP12" s="19">
        <v>3.4000000000000002E-2</v>
      </c>
      <c r="CQ12" s="19">
        <v>71.461314857142696</v>
      </c>
      <c r="CR12" s="19">
        <v>71.330212798006869</v>
      </c>
      <c r="CS12" s="19">
        <v>2.5240137056046592</v>
      </c>
      <c r="CT12" s="19">
        <v>1.3092601816546021</v>
      </c>
      <c r="CU12" s="19">
        <v>1.7436620167734376</v>
      </c>
      <c r="CV12" s="19">
        <v>3.0529221984280297</v>
      </c>
      <c r="CW12" s="19">
        <v>2.3271649761144602</v>
      </c>
      <c r="CX12" s="19">
        <v>0.90534655784357543</v>
      </c>
      <c r="CY12" s="19">
        <v>2.5834963896463967</v>
      </c>
      <c r="CZ12" s="19">
        <v>4.9548986853802353</v>
      </c>
      <c r="DA12" s="19">
        <v>1.628091127640154</v>
      </c>
      <c r="DB12" s="19">
        <v>3.58864482452105</v>
      </c>
      <c r="DC12" s="19">
        <v>2.2250788539158912</v>
      </c>
      <c r="DD12" s="19">
        <v>5.8137236784369506</v>
      </c>
      <c r="DE12" s="19">
        <v>3.5007861426492832</v>
      </c>
      <c r="DF12" s="23">
        <v>0</v>
      </c>
      <c r="DG12" s="23">
        <v>0</v>
      </c>
      <c r="DH12" s="23">
        <v>0</v>
      </c>
      <c r="DI12" s="19">
        <v>0</v>
      </c>
      <c r="DJ12" s="19">
        <v>0</v>
      </c>
      <c r="DK12" s="19">
        <v>0</v>
      </c>
      <c r="DL12" s="19">
        <v>0</v>
      </c>
      <c r="DM12" s="19">
        <v>0</v>
      </c>
      <c r="DN12" s="19">
        <v>0</v>
      </c>
      <c r="DO12" s="19">
        <v>0</v>
      </c>
      <c r="DP12" s="19">
        <v>0</v>
      </c>
      <c r="DQ12" s="19">
        <v>0</v>
      </c>
      <c r="DR12" s="19">
        <v>0</v>
      </c>
      <c r="DS12" s="19">
        <v>0</v>
      </c>
      <c r="DT12" s="19">
        <v>0</v>
      </c>
      <c r="DU12" s="19">
        <v>0</v>
      </c>
      <c r="DV12" s="19">
        <v>0</v>
      </c>
      <c r="DW12" s="17" t="s">
        <v>230</v>
      </c>
      <c r="DX12" s="22" t="s">
        <v>218</v>
      </c>
      <c r="DY12" s="22">
        <v>16</v>
      </c>
      <c r="DZ12" s="22">
        <v>8</v>
      </c>
      <c r="EA12" s="22">
        <v>8</v>
      </c>
      <c r="EB12" s="22" t="s">
        <v>218</v>
      </c>
      <c r="EC12" s="22">
        <v>8</v>
      </c>
      <c r="ED12" s="22">
        <v>8</v>
      </c>
      <c r="EE12" s="22" t="s">
        <v>218</v>
      </c>
      <c r="EF12" s="22">
        <v>8</v>
      </c>
      <c r="EG12" s="22">
        <v>8</v>
      </c>
      <c r="EH12" s="22" t="s">
        <v>218</v>
      </c>
      <c r="EI12" s="22" t="s">
        <v>218</v>
      </c>
      <c r="EJ12" s="22" t="s">
        <v>218</v>
      </c>
      <c r="EK12" s="22" t="s">
        <v>218</v>
      </c>
      <c r="EL12" s="22" t="s">
        <v>218</v>
      </c>
      <c r="EM12" s="22" t="s">
        <v>218</v>
      </c>
      <c r="EN12" s="22" t="s">
        <v>218</v>
      </c>
      <c r="EO12" s="22" t="s">
        <v>218</v>
      </c>
      <c r="EP12" s="22" t="s">
        <v>218</v>
      </c>
      <c r="EQ12" s="22" t="s">
        <v>218</v>
      </c>
      <c r="ER12" s="22" t="s">
        <v>218</v>
      </c>
      <c r="ES12" s="22">
        <v>8</v>
      </c>
      <c r="ET12" s="22">
        <v>16</v>
      </c>
      <c r="EU12" s="22" t="s">
        <v>218</v>
      </c>
      <c r="EV12" s="22" t="s">
        <v>218</v>
      </c>
      <c r="EW12" s="22" t="s">
        <v>218</v>
      </c>
      <c r="EX12" s="22" t="s">
        <v>218</v>
      </c>
      <c r="EY12" s="22" t="s">
        <v>218</v>
      </c>
      <c r="EZ12" s="22" t="s">
        <v>218</v>
      </c>
      <c r="FA12" s="22" t="s">
        <v>218</v>
      </c>
      <c r="FB12" s="22" t="s">
        <v>218</v>
      </c>
      <c r="FC12" s="22" t="s">
        <v>218</v>
      </c>
      <c r="FD12" s="22" t="s">
        <v>218</v>
      </c>
      <c r="FE12" s="22" t="s">
        <v>218</v>
      </c>
      <c r="FF12" s="22" t="s">
        <v>218</v>
      </c>
      <c r="FG12" s="22">
        <v>0.9</v>
      </c>
      <c r="FH12" s="22">
        <v>0.2</v>
      </c>
      <c r="FI12" s="22">
        <v>0.2</v>
      </c>
      <c r="FJ12" s="22" t="s">
        <v>218</v>
      </c>
      <c r="FK12" s="22">
        <v>1</v>
      </c>
      <c r="FL12" s="22">
        <v>0.9</v>
      </c>
      <c r="FM12" s="22" t="s">
        <v>218</v>
      </c>
      <c r="FN12" s="22">
        <v>1.5</v>
      </c>
      <c r="FO12" s="22">
        <v>1.3</v>
      </c>
      <c r="FP12" s="22" t="s">
        <v>218</v>
      </c>
      <c r="FQ12" s="22" t="s">
        <v>218</v>
      </c>
      <c r="FR12" s="22" t="s">
        <v>218</v>
      </c>
      <c r="FS12" s="22" t="s">
        <v>218</v>
      </c>
      <c r="FT12" s="22" t="s">
        <v>218</v>
      </c>
      <c r="FU12" s="22" t="s">
        <v>218</v>
      </c>
      <c r="FV12" s="22" t="s">
        <v>218</v>
      </c>
      <c r="FW12" s="22" t="s">
        <v>218</v>
      </c>
      <c r="FX12" s="22" t="s">
        <v>218</v>
      </c>
      <c r="FY12" s="22" t="s">
        <v>218</v>
      </c>
      <c r="FZ12" s="22" t="s">
        <v>218</v>
      </c>
      <c r="GA12" s="22">
        <v>0.1</v>
      </c>
      <c r="GB12" s="22">
        <v>0.3</v>
      </c>
      <c r="GC12" s="22" t="s">
        <v>218</v>
      </c>
      <c r="GD12" s="22" t="s">
        <v>218</v>
      </c>
      <c r="GE12" s="22" t="s">
        <v>218</v>
      </c>
      <c r="GF12" s="22" t="s">
        <v>218</v>
      </c>
      <c r="GG12" s="22" t="s">
        <v>218</v>
      </c>
      <c r="GH12" s="22" t="s">
        <v>218</v>
      </c>
      <c r="GI12" s="22" t="s">
        <v>218</v>
      </c>
      <c r="GJ12" s="22" t="s">
        <v>218</v>
      </c>
      <c r="GK12" s="22" t="s">
        <v>218</v>
      </c>
      <c r="GL12" s="22" t="s">
        <v>218</v>
      </c>
      <c r="GM12" s="22" t="s">
        <v>218</v>
      </c>
      <c r="GN12" s="22" t="s">
        <v>218</v>
      </c>
      <c r="GO12" s="22">
        <v>2016</v>
      </c>
      <c r="GP12" s="22">
        <v>2016</v>
      </c>
      <c r="GQ12" s="22">
        <v>2016</v>
      </c>
      <c r="GR12" s="22" t="s">
        <v>218</v>
      </c>
      <c r="GS12" s="22">
        <v>2016</v>
      </c>
      <c r="GT12" s="22">
        <v>2016</v>
      </c>
      <c r="GU12" s="22" t="s">
        <v>218</v>
      </c>
      <c r="GV12" s="22">
        <v>2016</v>
      </c>
      <c r="GW12" s="22">
        <v>2016</v>
      </c>
      <c r="GX12" s="22" t="s">
        <v>218</v>
      </c>
      <c r="GY12" s="22" t="s">
        <v>218</v>
      </c>
      <c r="GZ12" s="22" t="s">
        <v>218</v>
      </c>
      <c r="HA12" s="22" t="s">
        <v>218</v>
      </c>
      <c r="HB12" s="22" t="s">
        <v>218</v>
      </c>
      <c r="HC12" s="22" t="s">
        <v>218</v>
      </c>
      <c r="HD12" s="22" t="s">
        <v>218</v>
      </c>
      <c r="HE12" s="22" t="s">
        <v>218</v>
      </c>
      <c r="HF12" s="22" t="s">
        <v>218</v>
      </c>
      <c r="HG12" s="22" t="s">
        <v>218</v>
      </c>
      <c r="HH12" s="22" t="s">
        <v>218</v>
      </c>
      <c r="HI12" s="22">
        <v>2016</v>
      </c>
      <c r="HJ12" s="22">
        <v>2016</v>
      </c>
      <c r="HK12" s="22" t="s">
        <v>218</v>
      </c>
      <c r="HL12" s="22" t="s">
        <v>218</v>
      </c>
      <c r="HM12" s="620">
        <f>'background data'!$G$10</f>
        <v>0.47300000000000003</v>
      </c>
      <c r="HN12" s="620">
        <f>'background data'!$H$10</f>
        <v>0.13</v>
      </c>
      <c r="HO12" s="620">
        <f>'background data'!$J$10</f>
        <v>0.39100000000000001</v>
      </c>
      <c r="HP12" s="620">
        <f>'background data'!$L$10</f>
        <v>5.5E-2</v>
      </c>
      <c r="HQ12" s="620">
        <f>'background data'!$M$10</f>
        <v>3.97</v>
      </c>
      <c r="HR12" s="620">
        <f>'background data'!$N$10</f>
        <v>4.5999999999999999E-3</v>
      </c>
      <c r="HS12" s="620">
        <f>'background data'!$O$10</f>
        <v>2.73</v>
      </c>
      <c r="HT12" s="145"/>
      <c r="HU12" s="145" t="s">
        <v>1809</v>
      </c>
      <c r="HV12" s="22" t="s">
        <v>1927</v>
      </c>
      <c r="HW12" s="22" t="s">
        <v>231</v>
      </c>
      <c r="HX12" s="22" t="s">
        <v>232</v>
      </c>
      <c r="HY12" s="22" t="s">
        <v>233</v>
      </c>
      <c r="HZ12" s="19"/>
      <c r="IA12" s="19"/>
      <c r="IB12" s="620">
        <f>'background data'!$G$10</f>
        <v>0.47300000000000003</v>
      </c>
      <c r="IC12" s="620">
        <f>'background data'!$H$10</f>
        <v>0.13</v>
      </c>
      <c r="ID12" s="620">
        <f>'background data'!$J$10</f>
        <v>0.39100000000000001</v>
      </c>
      <c r="IE12" s="620">
        <f>'background data'!$L$10</f>
        <v>5.5E-2</v>
      </c>
      <c r="IF12" s="620">
        <f>'background data'!$M$10</f>
        <v>3.97</v>
      </c>
      <c r="IG12" s="620">
        <f>'background data'!$N$10</f>
        <v>4.5999999999999999E-3</v>
      </c>
      <c r="IH12" s="620">
        <f>'background data'!$O$10</f>
        <v>2.73</v>
      </c>
      <c r="II12" s="145"/>
      <c r="IJ12" s="145">
        <v>1</v>
      </c>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row>
    <row r="13" spans="1:383" s="16" customFormat="1" ht="15" customHeight="1" x14ac:dyDescent="0.2">
      <c r="A13" s="15">
        <v>50310</v>
      </c>
      <c r="B13" s="25">
        <v>503</v>
      </c>
      <c r="C13" s="26">
        <v>10</v>
      </c>
      <c r="D13" s="20" t="s">
        <v>235</v>
      </c>
      <c r="E13" s="14">
        <v>42678</v>
      </c>
      <c r="F13" s="18">
        <v>0.99579847077041805</v>
      </c>
      <c r="G13" s="18">
        <v>1.0059162100185499</v>
      </c>
      <c r="H13" s="21">
        <v>83.1</v>
      </c>
      <c r="I13" s="21">
        <v>76.000019100000003</v>
      </c>
      <c r="J13" s="21">
        <v>90</v>
      </c>
      <c r="K13" s="18">
        <v>1</v>
      </c>
      <c r="L13" s="18">
        <v>85</v>
      </c>
      <c r="M13" s="18">
        <v>9.5999999999999801</v>
      </c>
      <c r="N13" s="18">
        <v>2.7</v>
      </c>
      <c r="O13" s="18">
        <v>1.8</v>
      </c>
      <c r="P13" s="18">
        <v>4.5999999999999996</v>
      </c>
      <c r="Q13" s="19"/>
      <c r="R13" s="18">
        <v>74.030298214285693</v>
      </c>
      <c r="S13" s="18">
        <v>30</v>
      </c>
      <c r="T13" s="18">
        <v>42</v>
      </c>
      <c r="U13" s="18">
        <v>46</v>
      </c>
      <c r="V13" s="18">
        <v>50</v>
      </c>
      <c r="W13" s="18">
        <v>53</v>
      </c>
      <c r="X13" s="18"/>
      <c r="Y13" s="18">
        <v>0.6823529411764705</v>
      </c>
      <c r="Z13" s="18">
        <v>3.2941176470588234</v>
      </c>
      <c r="AA13" s="18">
        <v>0.2</v>
      </c>
      <c r="AB13" s="18">
        <v>1.4999999999999998</v>
      </c>
      <c r="AC13" s="18">
        <v>5.8999999999999995</v>
      </c>
      <c r="AD13" s="18">
        <v>1.1000000000000001</v>
      </c>
      <c r="AE13" s="18">
        <v>1.3</v>
      </c>
      <c r="AF13" s="18">
        <v>50</v>
      </c>
      <c r="AG13" s="18">
        <v>3.4</v>
      </c>
      <c r="AH13" s="18">
        <v>15</v>
      </c>
      <c r="AI13" s="18">
        <v>29</v>
      </c>
      <c r="AJ13" s="18">
        <v>0</v>
      </c>
      <c r="AK13" s="18">
        <v>0.04</v>
      </c>
      <c r="AL13" s="18"/>
      <c r="AM13" s="18">
        <v>3.7643529411764698</v>
      </c>
      <c r="AN13" s="18">
        <v>1.69952941176471</v>
      </c>
      <c r="AO13" s="18">
        <v>2.3732941176470601</v>
      </c>
      <c r="AP13" s="18">
        <v>3.4342352941176499</v>
      </c>
      <c r="AQ13" s="18">
        <v>1.3221176470588201</v>
      </c>
      <c r="AR13" s="18">
        <v>3.6218823529411801</v>
      </c>
      <c r="AS13" s="18">
        <v>6.8776470588235297</v>
      </c>
      <c r="AT13" s="18">
        <v>2.2824705882352898</v>
      </c>
      <c r="AU13" s="18">
        <v>4.8375294117647103</v>
      </c>
      <c r="AV13" s="18">
        <v>3.21588235294118</v>
      </c>
      <c r="AW13" s="18">
        <v>5.1123529411764697</v>
      </c>
      <c r="AX13" s="18"/>
      <c r="AY13" s="18">
        <v>0.94</v>
      </c>
      <c r="AZ13" s="18">
        <v>1.08</v>
      </c>
      <c r="BA13" s="18">
        <v>1.03</v>
      </c>
      <c r="BB13" s="18">
        <v>0.95</v>
      </c>
      <c r="BC13" s="18">
        <v>0.96</v>
      </c>
      <c r="BD13" s="18">
        <v>1</v>
      </c>
      <c r="BE13" s="18">
        <v>1.01</v>
      </c>
      <c r="BF13" s="18">
        <v>1</v>
      </c>
      <c r="BG13" s="18">
        <v>1.04</v>
      </c>
      <c r="BH13" s="18">
        <v>0.97</v>
      </c>
      <c r="BI13" s="18">
        <v>0.96</v>
      </c>
      <c r="BJ13" s="19"/>
      <c r="BK13" s="18">
        <v>11.294117647058799</v>
      </c>
      <c r="BL13" s="18">
        <v>3.1764705882352939</v>
      </c>
      <c r="BM13" s="18">
        <v>2.1176470588235294</v>
      </c>
      <c r="BN13" s="18">
        <v>5.4117647058823524</v>
      </c>
      <c r="BO13" s="18"/>
      <c r="BP13" s="18">
        <v>120</v>
      </c>
      <c r="BQ13" s="18">
        <v>38.117647058823529</v>
      </c>
      <c r="BR13" s="18">
        <v>1.1715276126710801</v>
      </c>
      <c r="BS13" s="18">
        <v>1.1834308353159411</v>
      </c>
      <c r="BT13" s="19"/>
      <c r="BU13" s="18">
        <v>978.82352941176475</v>
      </c>
      <c r="BV13" s="18">
        <v>580.53344537815065</v>
      </c>
      <c r="BW13" s="18">
        <v>99.280405189915768</v>
      </c>
      <c r="BX13" s="18">
        <v>604</v>
      </c>
      <c r="BY13" s="18">
        <v>21.000000000000004</v>
      </c>
      <c r="BZ13" s="18">
        <v>56</v>
      </c>
      <c r="CA13" s="18">
        <v>165</v>
      </c>
      <c r="CB13" s="19"/>
      <c r="CC13" s="19">
        <v>0.57999999999999996</v>
      </c>
      <c r="CD13" s="19">
        <v>2.8</v>
      </c>
      <c r="CE13" s="19">
        <v>0.17</v>
      </c>
      <c r="CF13" s="19">
        <v>1.2749999999999997</v>
      </c>
      <c r="CG13" s="19">
        <v>5.0149999999999997</v>
      </c>
      <c r="CH13" s="19">
        <v>0.93500000000000005</v>
      </c>
      <c r="CI13" s="19">
        <v>1.105</v>
      </c>
      <c r="CJ13" s="19"/>
      <c r="CK13" s="19">
        <v>42.5</v>
      </c>
      <c r="CL13" s="19">
        <v>2.8899999999999997</v>
      </c>
      <c r="CM13" s="19">
        <v>12.75</v>
      </c>
      <c r="CN13" s="19">
        <v>24.65</v>
      </c>
      <c r="CO13" s="19">
        <v>0</v>
      </c>
      <c r="CP13" s="19">
        <v>3.4000000000000002E-2</v>
      </c>
      <c r="CQ13" s="19">
        <v>71.069086285714306</v>
      </c>
      <c r="CR13" s="19">
        <v>71.368944994191835</v>
      </c>
      <c r="CS13" s="19">
        <v>2.5253842411769507</v>
      </c>
      <c r="CT13" s="19">
        <v>1.3099711079258582</v>
      </c>
      <c r="CU13" s="19">
        <v>1.744608822575126</v>
      </c>
      <c r="CV13" s="19">
        <v>3.0545799305009842</v>
      </c>
      <c r="CW13" s="19">
        <v>2.3284286231284397</v>
      </c>
      <c r="CX13" s="19">
        <v>0.90583815963639602</v>
      </c>
      <c r="CY13" s="19">
        <v>2.5848992242249249</v>
      </c>
      <c r="CZ13" s="19">
        <v>4.9575891877694724</v>
      </c>
      <c r="DA13" s="19">
        <v>1.6289751786262516</v>
      </c>
      <c r="DB13" s="19">
        <v>3.590593453158601</v>
      </c>
      <c r="DC13" s="19">
        <v>2.2262870683220455</v>
      </c>
      <c r="DD13" s="19">
        <v>5.8168805214806474</v>
      </c>
      <c r="DE13" s="19">
        <v>3.5026870641572856</v>
      </c>
      <c r="DF13" s="23">
        <v>0</v>
      </c>
      <c r="DG13" s="23">
        <v>0</v>
      </c>
      <c r="DH13" s="23">
        <v>0</v>
      </c>
      <c r="DI13" s="19">
        <v>0</v>
      </c>
      <c r="DJ13" s="19">
        <v>0</v>
      </c>
      <c r="DK13" s="19">
        <v>0</v>
      </c>
      <c r="DL13" s="19">
        <v>0</v>
      </c>
      <c r="DM13" s="19">
        <v>0</v>
      </c>
      <c r="DN13" s="19">
        <v>0</v>
      </c>
      <c r="DO13" s="19">
        <v>0</v>
      </c>
      <c r="DP13" s="19">
        <v>0</v>
      </c>
      <c r="DQ13" s="19">
        <v>0</v>
      </c>
      <c r="DR13" s="19">
        <v>0</v>
      </c>
      <c r="DS13" s="19">
        <v>0</v>
      </c>
      <c r="DT13" s="19">
        <v>0</v>
      </c>
      <c r="DU13" s="19">
        <v>0</v>
      </c>
      <c r="DV13" s="19">
        <v>0</v>
      </c>
      <c r="DW13" s="17" t="s">
        <v>230</v>
      </c>
      <c r="DX13" s="22" t="s">
        <v>218</v>
      </c>
      <c r="DY13" s="22">
        <v>16</v>
      </c>
      <c r="DZ13" s="22">
        <v>8</v>
      </c>
      <c r="EA13" s="22">
        <v>8</v>
      </c>
      <c r="EB13" s="22" t="s">
        <v>218</v>
      </c>
      <c r="EC13" s="22">
        <v>8</v>
      </c>
      <c r="ED13" s="22">
        <v>8</v>
      </c>
      <c r="EE13" s="22" t="s">
        <v>218</v>
      </c>
      <c r="EF13" s="22">
        <v>8</v>
      </c>
      <c r="EG13" s="22">
        <v>8</v>
      </c>
      <c r="EH13" s="22" t="s">
        <v>218</v>
      </c>
      <c r="EI13" s="22" t="s">
        <v>218</v>
      </c>
      <c r="EJ13" s="22" t="s">
        <v>218</v>
      </c>
      <c r="EK13" s="22" t="s">
        <v>218</v>
      </c>
      <c r="EL13" s="22" t="s">
        <v>218</v>
      </c>
      <c r="EM13" s="22" t="s">
        <v>218</v>
      </c>
      <c r="EN13" s="22" t="s">
        <v>218</v>
      </c>
      <c r="EO13" s="22" t="s">
        <v>218</v>
      </c>
      <c r="EP13" s="22" t="s">
        <v>218</v>
      </c>
      <c r="EQ13" s="22" t="s">
        <v>218</v>
      </c>
      <c r="ER13" s="22" t="s">
        <v>218</v>
      </c>
      <c r="ES13" s="22">
        <v>8</v>
      </c>
      <c r="ET13" s="22">
        <v>16</v>
      </c>
      <c r="EU13" s="22" t="s">
        <v>218</v>
      </c>
      <c r="EV13" s="22" t="s">
        <v>218</v>
      </c>
      <c r="EW13" s="22" t="s">
        <v>218</v>
      </c>
      <c r="EX13" s="22" t="s">
        <v>218</v>
      </c>
      <c r="EY13" s="22" t="s">
        <v>218</v>
      </c>
      <c r="EZ13" s="22" t="s">
        <v>218</v>
      </c>
      <c r="FA13" s="22" t="s">
        <v>218</v>
      </c>
      <c r="FB13" s="22" t="s">
        <v>218</v>
      </c>
      <c r="FC13" s="22" t="s">
        <v>218</v>
      </c>
      <c r="FD13" s="22" t="s">
        <v>218</v>
      </c>
      <c r="FE13" s="22" t="s">
        <v>218</v>
      </c>
      <c r="FF13" s="22" t="s">
        <v>218</v>
      </c>
      <c r="FG13" s="22">
        <v>0.9</v>
      </c>
      <c r="FH13" s="22">
        <v>0.2</v>
      </c>
      <c r="FI13" s="22">
        <v>0.2</v>
      </c>
      <c r="FJ13" s="22" t="s">
        <v>218</v>
      </c>
      <c r="FK13" s="22">
        <v>1</v>
      </c>
      <c r="FL13" s="22">
        <v>0.9</v>
      </c>
      <c r="FM13" s="22" t="s">
        <v>218</v>
      </c>
      <c r="FN13" s="22">
        <v>1.5</v>
      </c>
      <c r="FO13" s="22">
        <v>1.3</v>
      </c>
      <c r="FP13" s="22" t="s">
        <v>218</v>
      </c>
      <c r="FQ13" s="22" t="s">
        <v>218</v>
      </c>
      <c r="FR13" s="22" t="s">
        <v>218</v>
      </c>
      <c r="FS13" s="22" t="s">
        <v>218</v>
      </c>
      <c r="FT13" s="22" t="s">
        <v>218</v>
      </c>
      <c r="FU13" s="22" t="s">
        <v>218</v>
      </c>
      <c r="FV13" s="22" t="s">
        <v>218</v>
      </c>
      <c r="FW13" s="22" t="s">
        <v>218</v>
      </c>
      <c r="FX13" s="22" t="s">
        <v>218</v>
      </c>
      <c r="FY13" s="22" t="s">
        <v>218</v>
      </c>
      <c r="FZ13" s="22" t="s">
        <v>218</v>
      </c>
      <c r="GA13" s="22">
        <v>0.1</v>
      </c>
      <c r="GB13" s="22">
        <v>0.3</v>
      </c>
      <c r="GC13" s="22" t="s">
        <v>218</v>
      </c>
      <c r="GD13" s="22" t="s">
        <v>218</v>
      </c>
      <c r="GE13" s="22" t="s">
        <v>218</v>
      </c>
      <c r="GF13" s="22" t="s">
        <v>218</v>
      </c>
      <c r="GG13" s="22" t="s">
        <v>218</v>
      </c>
      <c r="GH13" s="22" t="s">
        <v>218</v>
      </c>
      <c r="GI13" s="22" t="s">
        <v>218</v>
      </c>
      <c r="GJ13" s="22" t="s">
        <v>218</v>
      </c>
      <c r="GK13" s="22" t="s">
        <v>218</v>
      </c>
      <c r="GL13" s="22" t="s">
        <v>218</v>
      </c>
      <c r="GM13" s="22" t="s">
        <v>218</v>
      </c>
      <c r="GN13" s="22" t="s">
        <v>218</v>
      </c>
      <c r="GO13" s="22">
        <v>2016</v>
      </c>
      <c r="GP13" s="22">
        <v>2016</v>
      </c>
      <c r="GQ13" s="22">
        <v>2016</v>
      </c>
      <c r="GR13" s="22" t="s">
        <v>218</v>
      </c>
      <c r="GS13" s="22">
        <v>2016</v>
      </c>
      <c r="GT13" s="22">
        <v>2016</v>
      </c>
      <c r="GU13" s="22" t="s">
        <v>218</v>
      </c>
      <c r="GV13" s="22">
        <v>2016</v>
      </c>
      <c r="GW13" s="22">
        <v>2016</v>
      </c>
      <c r="GX13" s="22" t="s">
        <v>218</v>
      </c>
      <c r="GY13" s="22" t="s">
        <v>218</v>
      </c>
      <c r="GZ13" s="22" t="s">
        <v>218</v>
      </c>
      <c r="HA13" s="22" t="s">
        <v>218</v>
      </c>
      <c r="HB13" s="22" t="s">
        <v>218</v>
      </c>
      <c r="HC13" s="22" t="s">
        <v>218</v>
      </c>
      <c r="HD13" s="22" t="s">
        <v>218</v>
      </c>
      <c r="HE13" s="22" t="s">
        <v>218</v>
      </c>
      <c r="HF13" s="22" t="s">
        <v>218</v>
      </c>
      <c r="HG13" s="22" t="s">
        <v>218</v>
      </c>
      <c r="HH13" s="22" t="s">
        <v>218</v>
      </c>
      <c r="HI13" s="22">
        <v>2016</v>
      </c>
      <c r="HJ13" s="22">
        <v>2016</v>
      </c>
      <c r="HK13" s="22" t="s">
        <v>218</v>
      </c>
      <c r="HL13" s="22" t="s">
        <v>218</v>
      </c>
      <c r="HM13" s="620">
        <f>'background data'!$G$10</f>
        <v>0.47300000000000003</v>
      </c>
      <c r="HN13" s="620">
        <f>'background data'!$H$10</f>
        <v>0.13</v>
      </c>
      <c r="HO13" s="620">
        <f>'background data'!$J$10</f>
        <v>0.39100000000000001</v>
      </c>
      <c r="HP13" s="620">
        <f>'background data'!$L$10</f>
        <v>5.5E-2</v>
      </c>
      <c r="HQ13" s="620">
        <f>'background data'!$M$10</f>
        <v>3.97</v>
      </c>
      <c r="HR13" s="620">
        <f>'background data'!$N$10</f>
        <v>4.5999999999999999E-3</v>
      </c>
      <c r="HS13" s="620">
        <f>'background data'!$O$10</f>
        <v>2.73</v>
      </c>
      <c r="HT13" s="145"/>
      <c r="HU13" s="145" t="s">
        <v>1809</v>
      </c>
      <c r="HV13" s="22" t="s">
        <v>1927</v>
      </c>
      <c r="HW13" s="22" t="s">
        <v>231</v>
      </c>
      <c r="HX13" s="22" t="s">
        <v>232</v>
      </c>
      <c r="HY13" s="22" t="s">
        <v>233</v>
      </c>
      <c r="HZ13" s="19"/>
      <c r="IA13" s="19"/>
      <c r="IB13" s="620">
        <f>'background data'!$G$10</f>
        <v>0.47300000000000003</v>
      </c>
      <c r="IC13" s="620">
        <f>'background data'!$H$10</f>
        <v>0.13</v>
      </c>
      <c r="ID13" s="620">
        <f>'background data'!$J$10</f>
        <v>0.39100000000000001</v>
      </c>
      <c r="IE13" s="620">
        <f>'background data'!$L$10</f>
        <v>5.5E-2</v>
      </c>
      <c r="IF13" s="620">
        <f>'background data'!$M$10</f>
        <v>3.97</v>
      </c>
      <c r="IG13" s="620">
        <f>'background data'!$N$10</f>
        <v>4.5999999999999999E-3</v>
      </c>
      <c r="IH13" s="620">
        <f>'background data'!$O$10</f>
        <v>2.73</v>
      </c>
      <c r="II13" s="145"/>
      <c r="IJ13" s="145">
        <v>1</v>
      </c>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row>
    <row r="14" spans="1:383" s="16" customFormat="1" ht="15" customHeight="1" x14ac:dyDescent="0.2">
      <c r="A14" s="15">
        <v>50311</v>
      </c>
      <c r="B14" s="25">
        <v>503</v>
      </c>
      <c r="C14" s="26">
        <v>11</v>
      </c>
      <c r="D14" s="20" t="s">
        <v>236</v>
      </c>
      <c r="E14" s="14">
        <v>42678</v>
      </c>
      <c r="F14" s="18">
        <v>1.0018379597367399</v>
      </c>
      <c r="G14" s="18">
        <v>1.01016110797773</v>
      </c>
      <c r="H14" s="21">
        <v>83.1</v>
      </c>
      <c r="I14" s="21">
        <v>76.500031800000002</v>
      </c>
      <c r="J14" s="21">
        <v>90</v>
      </c>
      <c r="K14" s="18">
        <v>1</v>
      </c>
      <c r="L14" s="18">
        <v>85</v>
      </c>
      <c r="M14" s="18">
        <v>9.5999999999999801</v>
      </c>
      <c r="N14" s="18">
        <v>2.7</v>
      </c>
      <c r="O14" s="18">
        <v>1.8</v>
      </c>
      <c r="P14" s="18">
        <v>4.5999999999999996</v>
      </c>
      <c r="Q14" s="19"/>
      <c r="R14" s="18">
        <v>74.4388696428571</v>
      </c>
      <c r="S14" s="18">
        <v>30</v>
      </c>
      <c r="T14" s="18">
        <v>42</v>
      </c>
      <c r="U14" s="18">
        <v>46</v>
      </c>
      <c r="V14" s="18">
        <v>50</v>
      </c>
      <c r="W14" s="18">
        <v>53</v>
      </c>
      <c r="X14" s="18"/>
      <c r="Y14" s="18">
        <v>0.6823529411764705</v>
      </c>
      <c r="Z14" s="18">
        <v>3.2941176470588234</v>
      </c>
      <c r="AA14" s="18">
        <v>0.2</v>
      </c>
      <c r="AB14" s="18">
        <v>1.4999999999999998</v>
      </c>
      <c r="AC14" s="18">
        <v>5.8999999999999995</v>
      </c>
      <c r="AD14" s="18">
        <v>1.1000000000000001</v>
      </c>
      <c r="AE14" s="18">
        <v>1.3</v>
      </c>
      <c r="AF14" s="18">
        <v>50</v>
      </c>
      <c r="AG14" s="18">
        <v>3.4</v>
      </c>
      <c r="AH14" s="18">
        <v>15</v>
      </c>
      <c r="AI14" s="18">
        <v>29</v>
      </c>
      <c r="AJ14" s="18">
        <v>0</v>
      </c>
      <c r="AK14" s="18">
        <v>0.04</v>
      </c>
      <c r="AL14" s="18"/>
      <c r="AM14" s="18">
        <v>3.7643529411764698</v>
      </c>
      <c r="AN14" s="18">
        <v>1.69952941176471</v>
      </c>
      <c r="AO14" s="18">
        <v>2.3732941176470601</v>
      </c>
      <c r="AP14" s="18">
        <v>3.4342352941176499</v>
      </c>
      <c r="AQ14" s="18">
        <v>1.3221176470588201</v>
      </c>
      <c r="AR14" s="18">
        <v>3.6218823529411801</v>
      </c>
      <c r="AS14" s="18">
        <v>6.8776470588235297</v>
      </c>
      <c r="AT14" s="18">
        <v>2.2824705882352898</v>
      </c>
      <c r="AU14" s="18">
        <v>4.8375294117647103</v>
      </c>
      <c r="AV14" s="18">
        <v>3.21588235294118</v>
      </c>
      <c r="AW14" s="18">
        <v>5.1123529411764697</v>
      </c>
      <c r="AX14" s="18"/>
      <c r="AY14" s="18">
        <v>0.94</v>
      </c>
      <c r="AZ14" s="18">
        <v>1.08</v>
      </c>
      <c r="BA14" s="18">
        <v>1.03</v>
      </c>
      <c r="BB14" s="18">
        <v>0.95</v>
      </c>
      <c r="BC14" s="18">
        <v>0.96</v>
      </c>
      <c r="BD14" s="18">
        <v>1</v>
      </c>
      <c r="BE14" s="18">
        <v>1.01</v>
      </c>
      <c r="BF14" s="18">
        <v>1</v>
      </c>
      <c r="BG14" s="18">
        <v>1.04</v>
      </c>
      <c r="BH14" s="18">
        <v>0.97</v>
      </c>
      <c r="BI14" s="18">
        <v>0.96</v>
      </c>
      <c r="BJ14" s="19"/>
      <c r="BK14" s="18">
        <v>11.294117647058799</v>
      </c>
      <c r="BL14" s="18">
        <v>3.1764705882352939</v>
      </c>
      <c r="BM14" s="18">
        <v>2.1176470588235294</v>
      </c>
      <c r="BN14" s="18">
        <v>5.4117647058823524</v>
      </c>
      <c r="BO14" s="18"/>
      <c r="BP14" s="18">
        <v>120</v>
      </c>
      <c r="BQ14" s="18">
        <v>38.117647058823529</v>
      </c>
      <c r="BR14" s="18">
        <v>1.1786328938079293</v>
      </c>
      <c r="BS14" s="18">
        <v>1.1884248329149765</v>
      </c>
      <c r="BT14" s="19"/>
      <c r="BU14" s="18">
        <v>978.82352941176475</v>
      </c>
      <c r="BV14" s="18">
        <v>587.52504201680711</v>
      </c>
      <c r="BW14" s="18">
        <v>92.28863096470576</v>
      </c>
      <c r="BX14" s="18">
        <v>604</v>
      </c>
      <c r="BY14" s="18">
        <v>21.000000000000004</v>
      </c>
      <c r="BZ14" s="18">
        <v>56</v>
      </c>
      <c r="CA14" s="18">
        <v>165</v>
      </c>
      <c r="CB14" s="19"/>
      <c r="CC14" s="19">
        <v>0.57999999999999996</v>
      </c>
      <c r="CD14" s="19">
        <v>2.8</v>
      </c>
      <c r="CE14" s="19">
        <v>0.17</v>
      </c>
      <c r="CF14" s="19">
        <v>1.2749999999999997</v>
      </c>
      <c r="CG14" s="19">
        <v>5.0149999999999997</v>
      </c>
      <c r="CH14" s="19">
        <v>0.93500000000000005</v>
      </c>
      <c r="CI14" s="19">
        <v>1.105</v>
      </c>
      <c r="CJ14" s="19"/>
      <c r="CK14" s="19">
        <v>42.5</v>
      </c>
      <c r="CL14" s="19">
        <v>2.8899999999999997</v>
      </c>
      <c r="CM14" s="19">
        <v>12.75</v>
      </c>
      <c r="CN14" s="19">
        <v>24.65</v>
      </c>
      <c r="CO14" s="19">
        <v>0</v>
      </c>
      <c r="CP14" s="19">
        <v>3.4000000000000002E-2</v>
      </c>
      <c r="CQ14" s="19">
        <v>71.461314857142696</v>
      </c>
      <c r="CR14" s="19">
        <v>71.330212798006869</v>
      </c>
      <c r="CS14" s="19">
        <v>2.5240137056046592</v>
      </c>
      <c r="CT14" s="19">
        <v>1.3092601816546021</v>
      </c>
      <c r="CU14" s="19">
        <v>1.7436620167734376</v>
      </c>
      <c r="CV14" s="19">
        <v>3.0529221984280297</v>
      </c>
      <c r="CW14" s="19">
        <v>2.3271649761144602</v>
      </c>
      <c r="CX14" s="19">
        <v>0.90534655784357543</v>
      </c>
      <c r="CY14" s="19">
        <v>2.5834963896463967</v>
      </c>
      <c r="CZ14" s="19">
        <v>4.9548986853802353</v>
      </c>
      <c r="DA14" s="19">
        <v>1.628091127640154</v>
      </c>
      <c r="DB14" s="19">
        <v>3.58864482452105</v>
      </c>
      <c r="DC14" s="19">
        <v>2.2250788539158912</v>
      </c>
      <c r="DD14" s="19">
        <v>5.8137236784369506</v>
      </c>
      <c r="DE14" s="19">
        <v>3.5007861426492832</v>
      </c>
      <c r="DF14" s="23">
        <v>0</v>
      </c>
      <c r="DG14" s="23">
        <v>0</v>
      </c>
      <c r="DH14" s="23">
        <v>0</v>
      </c>
      <c r="DI14" s="19">
        <v>0</v>
      </c>
      <c r="DJ14" s="19">
        <v>0</v>
      </c>
      <c r="DK14" s="19">
        <v>0</v>
      </c>
      <c r="DL14" s="19">
        <v>0</v>
      </c>
      <c r="DM14" s="19">
        <v>0</v>
      </c>
      <c r="DN14" s="19">
        <v>0</v>
      </c>
      <c r="DO14" s="19">
        <v>0</v>
      </c>
      <c r="DP14" s="19">
        <v>0</v>
      </c>
      <c r="DQ14" s="19">
        <v>0</v>
      </c>
      <c r="DR14" s="19">
        <v>0</v>
      </c>
      <c r="DS14" s="19">
        <v>0</v>
      </c>
      <c r="DT14" s="19">
        <v>0</v>
      </c>
      <c r="DU14" s="19">
        <v>0</v>
      </c>
      <c r="DV14" s="19">
        <v>0</v>
      </c>
      <c r="DW14" s="17" t="s">
        <v>230</v>
      </c>
      <c r="DX14" s="22" t="s">
        <v>218</v>
      </c>
      <c r="DY14" s="22">
        <v>16</v>
      </c>
      <c r="DZ14" s="22">
        <v>8</v>
      </c>
      <c r="EA14" s="22">
        <v>8</v>
      </c>
      <c r="EB14" s="22" t="s">
        <v>218</v>
      </c>
      <c r="EC14" s="22">
        <v>8</v>
      </c>
      <c r="ED14" s="22">
        <v>8</v>
      </c>
      <c r="EE14" s="22" t="s">
        <v>218</v>
      </c>
      <c r="EF14" s="22">
        <v>8</v>
      </c>
      <c r="EG14" s="22">
        <v>8</v>
      </c>
      <c r="EH14" s="22" t="s">
        <v>218</v>
      </c>
      <c r="EI14" s="22" t="s">
        <v>218</v>
      </c>
      <c r="EJ14" s="22" t="s">
        <v>218</v>
      </c>
      <c r="EK14" s="22" t="s">
        <v>218</v>
      </c>
      <c r="EL14" s="22" t="s">
        <v>218</v>
      </c>
      <c r="EM14" s="22" t="s">
        <v>218</v>
      </c>
      <c r="EN14" s="22" t="s">
        <v>218</v>
      </c>
      <c r="EO14" s="22" t="s">
        <v>218</v>
      </c>
      <c r="EP14" s="22" t="s">
        <v>218</v>
      </c>
      <c r="EQ14" s="22" t="s">
        <v>218</v>
      </c>
      <c r="ER14" s="22" t="s">
        <v>218</v>
      </c>
      <c r="ES14" s="22">
        <v>8</v>
      </c>
      <c r="ET14" s="22">
        <v>16</v>
      </c>
      <c r="EU14" s="22" t="s">
        <v>218</v>
      </c>
      <c r="EV14" s="22" t="s">
        <v>218</v>
      </c>
      <c r="EW14" s="22" t="s">
        <v>218</v>
      </c>
      <c r="EX14" s="22" t="s">
        <v>218</v>
      </c>
      <c r="EY14" s="22" t="s">
        <v>218</v>
      </c>
      <c r="EZ14" s="22" t="s">
        <v>218</v>
      </c>
      <c r="FA14" s="22" t="s">
        <v>218</v>
      </c>
      <c r="FB14" s="22" t="s">
        <v>218</v>
      </c>
      <c r="FC14" s="22" t="s">
        <v>218</v>
      </c>
      <c r="FD14" s="22" t="s">
        <v>218</v>
      </c>
      <c r="FE14" s="22" t="s">
        <v>218</v>
      </c>
      <c r="FF14" s="22" t="s">
        <v>218</v>
      </c>
      <c r="FG14" s="22">
        <v>0.9</v>
      </c>
      <c r="FH14" s="22">
        <v>0.2</v>
      </c>
      <c r="FI14" s="22">
        <v>0.2</v>
      </c>
      <c r="FJ14" s="22" t="s">
        <v>218</v>
      </c>
      <c r="FK14" s="22">
        <v>1</v>
      </c>
      <c r="FL14" s="22">
        <v>0.9</v>
      </c>
      <c r="FM14" s="22" t="s">
        <v>218</v>
      </c>
      <c r="FN14" s="22">
        <v>1.5</v>
      </c>
      <c r="FO14" s="22">
        <v>1.3</v>
      </c>
      <c r="FP14" s="22" t="s">
        <v>218</v>
      </c>
      <c r="FQ14" s="22" t="s">
        <v>218</v>
      </c>
      <c r="FR14" s="22" t="s">
        <v>218</v>
      </c>
      <c r="FS14" s="22" t="s">
        <v>218</v>
      </c>
      <c r="FT14" s="22" t="s">
        <v>218</v>
      </c>
      <c r="FU14" s="22" t="s">
        <v>218</v>
      </c>
      <c r="FV14" s="22" t="s">
        <v>218</v>
      </c>
      <c r="FW14" s="22" t="s">
        <v>218</v>
      </c>
      <c r="FX14" s="22" t="s">
        <v>218</v>
      </c>
      <c r="FY14" s="22" t="s">
        <v>218</v>
      </c>
      <c r="FZ14" s="22" t="s">
        <v>218</v>
      </c>
      <c r="GA14" s="22">
        <v>0.1</v>
      </c>
      <c r="GB14" s="22">
        <v>0.3</v>
      </c>
      <c r="GC14" s="22" t="s">
        <v>218</v>
      </c>
      <c r="GD14" s="22" t="s">
        <v>218</v>
      </c>
      <c r="GE14" s="22" t="s">
        <v>218</v>
      </c>
      <c r="GF14" s="22" t="s">
        <v>218</v>
      </c>
      <c r="GG14" s="22" t="s">
        <v>218</v>
      </c>
      <c r="GH14" s="22" t="s">
        <v>218</v>
      </c>
      <c r="GI14" s="22" t="s">
        <v>218</v>
      </c>
      <c r="GJ14" s="22" t="s">
        <v>218</v>
      </c>
      <c r="GK14" s="22" t="s">
        <v>218</v>
      </c>
      <c r="GL14" s="22" t="s">
        <v>218</v>
      </c>
      <c r="GM14" s="22" t="s">
        <v>218</v>
      </c>
      <c r="GN14" s="22" t="s">
        <v>218</v>
      </c>
      <c r="GO14" s="22">
        <v>2016</v>
      </c>
      <c r="GP14" s="22">
        <v>2016</v>
      </c>
      <c r="GQ14" s="22">
        <v>2016</v>
      </c>
      <c r="GR14" s="22" t="s">
        <v>218</v>
      </c>
      <c r="GS14" s="22">
        <v>2016</v>
      </c>
      <c r="GT14" s="22">
        <v>2016</v>
      </c>
      <c r="GU14" s="22" t="s">
        <v>218</v>
      </c>
      <c r="GV14" s="22">
        <v>2016</v>
      </c>
      <c r="GW14" s="22">
        <v>2016</v>
      </c>
      <c r="GX14" s="22" t="s">
        <v>218</v>
      </c>
      <c r="GY14" s="22" t="s">
        <v>218</v>
      </c>
      <c r="GZ14" s="22" t="s">
        <v>218</v>
      </c>
      <c r="HA14" s="22" t="s">
        <v>218</v>
      </c>
      <c r="HB14" s="22" t="s">
        <v>218</v>
      </c>
      <c r="HC14" s="22" t="s">
        <v>218</v>
      </c>
      <c r="HD14" s="22" t="s">
        <v>218</v>
      </c>
      <c r="HE14" s="22" t="s">
        <v>218</v>
      </c>
      <c r="HF14" s="22" t="s">
        <v>218</v>
      </c>
      <c r="HG14" s="22" t="s">
        <v>218</v>
      </c>
      <c r="HH14" s="22" t="s">
        <v>218</v>
      </c>
      <c r="HI14" s="22">
        <v>2016</v>
      </c>
      <c r="HJ14" s="22">
        <v>2016</v>
      </c>
      <c r="HK14" s="22" t="s">
        <v>218</v>
      </c>
      <c r="HL14" s="22" t="s">
        <v>218</v>
      </c>
      <c r="HM14" s="620">
        <f>'background data'!$G$10</f>
        <v>0.47300000000000003</v>
      </c>
      <c r="HN14" s="620">
        <f>'background data'!$H$10</f>
        <v>0.13</v>
      </c>
      <c r="HO14" s="620">
        <f>'background data'!$J$10</f>
        <v>0.39100000000000001</v>
      </c>
      <c r="HP14" s="620">
        <f>'background data'!$L$10</f>
        <v>5.5E-2</v>
      </c>
      <c r="HQ14" s="620">
        <f>'background data'!$M$10</f>
        <v>3.97</v>
      </c>
      <c r="HR14" s="620">
        <f>'background data'!$N$10</f>
        <v>4.5999999999999999E-3</v>
      </c>
      <c r="HS14" s="620">
        <f>'background data'!$O$10</f>
        <v>2.73</v>
      </c>
      <c r="HT14" s="145"/>
      <c r="HU14" s="145" t="s">
        <v>1809</v>
      </c>
      <c r="HV14" s="22" t="s">
        <v>1927</v>
      </c>
      <c r="HW14" s="22" t="s">
        <v>231</v>
      </c>
      <c r="HX14" s="22" t="s">
        <v>232</v>
      </c>
      <c r="HY14" s="22" t="s">
        <v>233</v>
      </c>
      <c r="HZ14" s="19"/>
      <c r="IA14" s="19"/>
      <c r="IB14" s="620">
        <f>'background data'!$G$10</f>
        <v>0.47300000000000003</v>
      </c>
      <c r="IC14" s="620">
        <f>'background data'!$H$10</f>
        <v>0.13</v>
      </c>
      <c r="ID14" s="620">
        <f>'background data'!$J$10</f>
        <v>0.39100000000000001</v>
      </c>
      <c r="IE14" s="620">
        <f>'background data'!$L$10</f>
        <v>5.5E-2</v>
      </c>
      <c r="IF14" s="620">
        <f>'background data'!$M$10</f>
        <v>3.97</v>
      </c>
      <c r="IG14" s="620">
        <f>'background data'!$N$10</f>
        <v>4.5999999999999999E-3</v>
      </c>
      <c r="IH14" s="620">
        <f>'background data'!$O$10</f>
        <v>2.73</v>
      </c>
      <c r="II14" s="145"/>
      <c r="IJ14" s="145">
        <v>1</v>
      </c>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row>
    <row r="15" spans="1:383" s="16" customFormat="1" ht="15" customHeight="1" x14ac:dyDescent="0.2">
      <c r="A15" s="15">
        <v>50500</v>
      </c>
      <c r="B15" s="25">
        <v>505</v>
      </c>
      <c r="C15" s="26">
        <v>0</v>
      </c>
      <c r="D15" s="20" t="s">
        <v>237</v>
      </c>
      <c r="E15" s="14">
        <v>42678</v>
      </c>
      <c r="F15" s="18">
        <v>1.01015123886953</v>
      </c>
      <c r="G15" s="18">
        <v>1.01742872356215</v>
      </c>
      <c r="H15" s="21">
        <v>83.5</v>
      </c>
      <c r="I15" s="21">
        <v>76.899992999999995</v>
      </c>
      <c r="J15" s="21">
        <v>90</v>
      </c>
      <c r="K15" s="18">
        <v>1</v>
      </c>
      <c r="L15" s="18">
        <v>85</v>
      </c>
      <c r="M15" s="18">
        <v>8.8000000000000096</v>
      </c>
      <c r="N15" s="18">
        <v>2.7</v>
      </c>
      <c r="O15" s="18">
        <v>1.8</v>
      </c>
      <c r="P15" s="18">
        <v>4.5999999999999996</v>
      </c>
      <c r="Q15" s="19"/>
      <c r="R15" s="18">
        <v>73.273821428571395</v>
      </c>
      <c r="S15" s="18">
        <v>39</v>
      </c>
      <c r="T15" s="18">
        <v>47</v>
      </c>
      <c r="U15" s="18">
        <v>50</v>
      </c>
      <c r="V15" s="18">
        <v>52</v>
      </c>
      <c r="W15" s="18">
        <v>54</v>
      </c>
      <c r="X15" s="18"/>
      <c r="Y15" s="18">
        <v>0.6470588235294118</v>
      </c>
      <c r="Z15" s="18">
        <v>3.2941176470588234</v>
      </c>
      <c r="AA15" s="18">
        <v>0.2</v>
      </c>
      <c r="AB15" s="18">
        <v>1.4999999999999998</v>
      </c>
      <c r="AC15" s="18">
        <v>5.8999999999999995</v>
      </c>
      <c r="AD15" s="18">
        <v>1.1000000000000001</v>
      </c>
      <c r="AE15" s="18">
        <v>1.3</v>
      </c>
      <c r="AF15" s="18">
        <v>50</v>
      </c>
      <c r="AG15" s="18">
        <v>3.4</v>
      </c>
      <c r="AH15" s="18">
        <v>15</v>
      </c>
      <c r="AI15" s="18">
        <v>29</v>
      </c>
      <c r="AJ15" s="18">
        <v>0</v>
      </c>
      <c r="AK15" s="18">
        <v>0.04</v>
      </c>
      <c r="AL15" s="18"/>
      <c r="AM15" s="18">
        <v>3.8848235294117601</v>
      </c>
      <c r="AN15" s="18">
        <v>1.73623529411765</v>
      </c>
      <c r="AO15" s="18">
        <v>2.4363529411764699</v>
      </c>
      <c r="AP15" s="18">
        <v>3.5038823529411798</v>
      </c>
      <c r="AQ15" s="18">
        <v>1.3569411764705901</v>
      </c>
      <c r="AR15" s="18">
        <v>3.6350588235294099</v>
      </c>
      <c r="AS15" s="18">
        <v>6.9011764705882301</v>
      </c>
      <c r="AT15" s="18">
        <v>2.3097647058823498</v>
      </c>
      <c r="AU15" s="18">
        <v>4.7302352941176498</v>
      </c>
      <c r="AV15" s="18">
        <v>3.1970588235294102</v>
      </c>
      <c r="AW15" s="18">
        <v>5.1688235294117701</v>
      </c>
      <c r="AX15" s="18"/>
      <c r="AY15" s="18">
        <v>0.93979435610052697</v>
      </c>
      <c r="AZ15" s="18">
        <v>1.0798403419017799</v>
      </c>
      <c r="BA15" s="18">
        <v>1.0298127927627001</v>
      </c>
      <c r="BB15" s="18">
        <v>0.94986810513779896</v>
      </c>
      <c r="BC15" s="18">
        <v>0.95982702731759895</v>
      </c>
      <c r="BD15" s="18">
        <v>0.99997504265898396</v>
      </c>
      <c r="BE15" s="18">
        <v>1.0099762951134501</v>
      </c>
      <c r="BF15" s="18">
        <v>0.99991805051374005</v>
      </c>
      <c r="BG15" s="18">
        <v>1.04015875310616</v>
      </c>
      <c r="BH15" s="18">
        <v>0.97003899612635003</v>
      </c>
      <c r="BI15" s="18">
        <v>0.95992732173874296</v>
      </c>
      <c r="BJ15" s="19"/>
      <c r="BK15" s="18">
        <v>10.352941176470599</v>
      </c>
      <c r="BL15" s="18">
        <v>3.1764705882352939</v>
      </c>
      <c r="BM15" s="18">
        <v>2.1176470588235294</v>
      </c>
      <c r="BN15" s="18">
        <v>5.4117647058823524</v>
      </c>
      <c r="BO15" s="18"/>
      <c r="BP15" s="18">
        <v>120</v>
      </c>
      <c r="BQ15" s="18">
        <v>38.117647058823529</v>
      </c>
      <c r="BR15" s="18">
        <v>1.188413222199447</v>
      </c>
      <c r="BS15" s="18">
        <v>1.1969749688966471</v>
      </c>
      <c r="BT15" s="19"/>
      <c r="BU15" s="18">
        <v>978.82352941176475</v>
      </c>
      <c r="BV15" s="18">
        <v>600.00504201680712</v>
      </c>
      <c r="BW15" s="18">
        <v>92.289173512605046</v>
      </c>
      <c r="BX15" s="18">
        <v>604</v>
      </c>
      <c r="BY15" s="18">
        <v>21.000000000000004</v>
      </c>
      <c r="BZ15" s="18">
        <v>56</v>
      </c>
      <c r="CA15" s="18">
        <v>165</v>
      </c>
      <c r="CB15" s="19"/>
      <c r="CC15" s="19">
        <v>0.55000000000000004</v>
      </c>
      <c r="CD15" s="19">
        <v>2.8</v>
      </c>
      <c r="CE15" s="19">
        <v>0.17</v>
      </c>
      <c r="CF15" s="19">
        <v>1.2749999999999997</v>
      </c>
      <c r="CG15" s="19">
        <v>5.0149999999999997</v>
      </c>
      <c r="CH15" s="19">
        <v>0.93500000000000005</v>
      </c>
      <c r="CI15" s="19">
        <v>1.105</v>
      </c>
      <c r="CJ15" s="19"/>
      <c r="CK15" s="19">
        <v>42.5</v>
      </c>
      <c r="CL15" s="19">
        <v>2.8899999999999997</v>
      </c>
      <c r="CM15" s="19">
        <v>12.75</v>
      </c>
      <c r="CN15" s="19">
        <v>24.65</v>
      </c>
      <c r="CO15" s="19">
        <v>0</v>
      </c>
      <c r="CP15" s="19">
        <v>3.4000000000000002E-2</v>
      </c>
      <c r="CQ15" s="19">
        <v>64.480962857142799</v>
      </c>
      <c r="CR15" s="19">
        <v>63.832979039162559</v>
      </c>
      <c r="CS15" s="19">
        <v>2.3305007184318072</v>
      </c>
      <c r="CT15" s="19">
        <v>1.1967770206865762</v>
      </c>
      <c r="CU15" s="19">
        <v>1.6015614180584359</v>
      </c>
      <c r="CV15" s="19">
        <v>2.7983384387450214</v>
      </c>
      <c r="CW15" s="19">
        <v>2.1245058631805871</v>
      </c>
      <c r="CX15" s="19">
        <v>0.83137911289809852</v>
      </c>
      <c r="CY15" s="19">
        <v>2.3203084267108154</v>
      </c>
      <c r="CZ15" s="19">
        <v>4.4491743698303621</v>
      </c>
      <c r="DA15" s="19">
        <v>1.4742707949240146</v>
      </c>
      <c r="DB15" s="19">
        <v>3.1407074550319569</v>
      </c>
      <c r="DC15" s="19">
        <v>1.9796341344648323</v>
      </c>
      <c r="DD15" s="19">
        <v>5.1203415894967899</v>
      </c>
      <c r="DE15" s="19">
        <v>3.167197682821091</v>
      </c>
      <c r="DF15" s="23">
        <v>0</v>
      </c>
      <c r="DG15" s="23">
        <v>0</v>
      </c>
      <c r="DH15" s="23">
        <v>0</v>
      </c>
      <c r="DI15" s="19">
        <v>0</v>
      </c>
      <c r="DJ15" s="19">
        <v>0</v>
      </c>
      <c r="DK15" s="19">
        <v>0</v>
      </c>
      <c r="DL15" s="19">
        <v>0</v>
      </c>
      <c r="DM15" s="19">
        <v>0</v>
      </c>
      <c r="DN15" s="19">
        <v>0</v>
      </c>
      <c r="DO15" s="19">
        <v>0</v>
      </c>
      <c r="DP15" s="19">
        <v>0</v>
      </c>
      <c r="DQ15" s="19">
        <v>0</v>
      </c>
      <c r="DR15" s="19">
        <v>0</v>
      </c>
      <c r="DS15" s="19">
        <v>0</v>
      </c>
      <c r="DT15" s="19">
        <v>0</v>
      </c>
      <c r="DU15" s="19">
        <v>0</v>
      </c>
      <c r="DV15" s="19">
        <v>0</v>
      </c>
      <c r="DW15" s="17" t="s">
        <v>230</v>
      </c>
      <c r="DX15" s="22" t="s">
        <v>218</v>
      </c>
      <c r="DY15" s="22">
        <v>78</v>
      </c>
      <c r="DZ15" s="22">
        <v>35</v>
      </c>
      <c r="EA15" s="22">
        <v>35</v>
      </c>
      <c r="EB15" s="22" t="s">
        <v>218</v>
      </c>
      <c r="EC15" s="22">
        <v>35</v>
      </c>
      <c r="ED15" s="22">
        <v>35</v>
      </c>
      <c r="EE15" s="22" t="s">
        <v>218</v>
      </c>
      <c r="EF15" s="22">
        <v>35</v>
      </c>
      <c r="EG15" s="22">
        <v>35</v>
      </c>
      <c r="EH15" s="22" t="s">
        <v>218</v>
      </c>
      <c r="EI15" s="22" t="s">
        <v>218</v>
      </c>
      <c r="EJ15" s="22" t="s">
        <v>218</v>
      </c>
      <c r="EK15" s="22" t="s">
        <v>218</v>
      </c>
      <c r="EL15" s="22" t="s">
        <v>218</v>
      </c>
      <c r="EM15" s="22" t="s">
        <v>218</v>
      </c>
      <c r="EN15" s="22" t="s">
        <v>218</v>
      </c>
      <c r="EO15" s="22" t="s">
        <v>218</v>
      </c>
      <c r="EP15" s="22" t="s">
        <v>218</v>
      </c>
      <c r="EQ15" s="22" t="s">
        <v>218</v>
      </c>
      <c r="ER15" s="22" t="s">
        <v>218</v>
      </c>
      <c r="ES15" s="22">
        <v>29</v>
      </c>
      <c r="ET15" s="22">
        <v>78</v>
      </c>
      <c r="EU15" s="22" t="s">
        <v>218</v>
      </c>
      <c r="EV15" s="22" t="s">
        <v>218</v>
      </c>
      <c r="EW15" s="22" t="s">
        <v>218</v>
      </c>
      <c r="EX15" s="22" t="s">
        <v>218</v>
      </c>
      <c r="EY15" s="22" t="s">
        <v>218</v>
      </c>
      <c r="EZ15" s="22" t="s">
        <v>218</v>
      </c>
      <c r="FA15" s="22" t="s">
        <v>218</v>
      </c>
      <c r="FB15" s="22" t="s">
        <v>218</v>
      </c>
      <c r="FC15" s="22" t="s">
        <v>218</v>
      </c>
      <c r="FD15" s="22" t="s">
        <v>218</v>
      </c>
      <c r="FE15" s="22" t="s">
        <v>218</v>
      </c>
      <c r="FF15" s="22" t="s">
        <v>218</v>
      </c>
      <c r="FG15" s="22">
        <v>0.77</v>
      </c>
      <c r="FH15" s="22">
        <v>0.25</v>
      </c>
      <c r="FI15" s="22">
        <v>0.23</v>
      </c>
      <c r="FJ15" s="22" t="s">
        <v>218</v>
      </c>
      <c r="FK15" s="22">
        <v>1.48</v>
      </c>
      <c r="FL15" s="22">
        <v>1.82</v>
      </c>
      <c r="FM15" s="22" t="s">
        <v>218</v>
      </c>
      <c r="FN15" s="22">
        <v>2.4900000000000002</v>
      </c>
      <c r="FO15" s="22">
        <v>2.06</v>
      </c>
      <c r="FP15" s="22" t="s">
        <v>218</v>
      </c>
      <c r="FQ15" s="22" t="s">
        <v>218</v>
      </c>
      <c r="FR15" s="22" t="s">
        <v>218</v>
      </c>
      <c r="FS15" s="22" t="s">
        <v>218</v>
      </c>
      <c r="FT15" s="22" t="s">
        <v>218</v>
      </c>
      <c r="FU15" s="22" t="s">
        <v>218</v>
      </c>
      <c r="FV15" s="22" t="s">
        <v>218</v>
      </c>
      <c r="FW15" s="22" t="s">
        <v>218</v>
      </c>
      <c r="FX15" s="22" t="s">
        <v>218</v>
      </c>
      <c r="FY15" s="22" t="s">
        <v>218</v>
      </c>
      <c r="FZ15" s="22" t="s">
        <v>218</v>
      </c>
      <c r="GA15" s="22">
        <v>0.1</v>
      </c>
      <c r="GB15" s="22">
        <v>0.26</v>
      </c>
      <c r="GC15" s="22" t="s">
        <v>218</v>
      </c>
      <c r="GD15" s="22" t="s">
        <v>218</v>
      </c>
      <c r="GE15" s="22" t="s">
        <v>218</v>
      </c>
      <c r="GF15" s="22" t="s">
        <v>218</v>
      </c>
      <c r="GG15" s="22" t="s">
        <v>218</v>
      </c>
      <c r="GH15" s="22" t="s">
        <v>218</v>
      </c>
      <c r="GI15" s="22" t="s">
        <v>218</v>
      </c>
      <c r="GJ15" s="22" t="s">
        <v>218</v>
      </c>
      <c r="GK15" s="22" t="s">
        <v>218</v>
      </c>
      <c r="GL15" s="22" t="s">
        <v>218</v>
      </c>
      <c r="GM15" s="22" t="s">
        <v>218</v>
      </c>
      <c r="GN15" s="22" t="s">
        <v>218</v>
      </c>
      <c r="GO15" s="22" t="s">
        <v>238</v>
      </c>
      <c r="GP15" s="22" t="s">
        <v>238</v>
      </c>
      <c r="GQ15" s="22" t="s">
        <v>238</v>
      </c>
      <c r="GR15" s="22" t="s">
        <v>218</v>
      </c>
      <c r="GS15" s="22" t="s">
        <v>238</v>
      </c>
      <c r="GT15" s="22" t="s">
        <v>238</v>
      </c>
      <c r="GU15" s="22" t="s">
        <v>218</v>
      </c>
      <c r="GV15" s="22" t="s">
        <v>238</v>
      </c>
      <c r="GW15" s="22" t="s">
        <v>238</v>
      </c>
      <c r="GX15" s="22" t="s">
        <v>218</v>
      </c>
      <c r="GY15" s="22" t="s">
        <v>218</v>
      </c>
      <c r="GZ15" s="22" t="s">
        <v>218</v>
      </c>
      <c r="HA15" s="22" t="s">
        <v>218</v>
      </c>
      <c r="HB15" s="22" t="s">
        <v>218</v>
      </c>
      <c r="HC15" s="22" t="s">
        <v>218</v>
      </c>
      <c r="HD15" s="22" t="s">
        <v>218</v>
      </c>
      <c r="HE15" s="22" t="s">
        <v>218</v>
      </c>
      <c r="HF15" s="22" t="s">
        <v>218</v>
      </c>
      <c r="HG15" s="22" t="s">
        <v>218</v>
      </c>
      <c r="HH15" s="22" t="s">
        <v>218</v>
      </c>
      <c r="HI15" s="22" t="s">
        <v>238</v>
      </c>
      <c r="HJ15" s="22" t="s">
        <v>238</v>
      </c>
      <c r="HK15" s="22" t="s">
        <v>218</v>
      </c>
      <c r="HL15" s="22" t="s">
        <v>218</v>
      </c>
      <c r="HM15" s="620">
        <f>'background data'!$G$10</f>
        <v>0.47300000000000003</v>
      </c>
      <c r="HN15" s="620">
        <f>'background data'!$H$10</f>
        <v>0.13</v>
      </c>
      <c r="HO15" s="620">
        <f>'background data'!$J$10</f>
        <v>0.39100000000000001</v>
      </c>
      <c r="HP15" s="620">
        <f>'background data'!$L$10</f>
        <v>5.5E-2</v>
      </c>
      <c r="HQ15" s="620">
        <f>'background data'!$M$10</f>
        <v>3.97</v>
      </c>
      <c r="HR15" s="620">
        <f>'background data'!$N$10</f>
        <v>4.5999999999999999E-3</v>
      </c>
      <c r="HS15" s="620">
        <f>'background data'!$O$10</f>
        <v>2.73</v>
      </c>
      <c r="HT15" s="145"/>
      <c r="HU15" s="145" t="s">
        <v>1809</v>
      </c>
      <c r="HV15" s="22" t="s">
        <v>1927</v>
      </c>
      <c r="HW15" s="22" t="s">
        <v>231</v>
      </c>
      <c r="HX15" s="22" t="s">
        <v>232</v>
      </c>
      <c r="HY15" s="22" t="s">
        <v>233</v>
      </c>
      <c r="HZ15" s="19"/>
      <c r="IA15" s="19"/>
      <c r="IB15" s="620">
        <f>'background data'!$G$10</f>
        <v>0.47300000000000003</v>
      </c>
      <c r="IC15" s="620">
        <f>'background data'!$H$10</f>
        <v>0.13</v>
      </c>
      <c r="ID15" s="620">
        <f>'background data'!$J$10</f>
        <v>0.39100000000000001</v>
      </c>
      <c r="IE15" s="620">
        <f>'background data'!$L$10</f>
        <v>5.5E-2</v>
      </c>
      <c r="IF15" s="620">
        <f>'background data'!$M$10</f>
        <v>3.97</v>
      </c>
      <c r="IG15" s="620">
        <f>'background data'!$N$10</f>
        <v>4.5999999999999999E-3</v>
      </c>
      <c r="IH15" s="620">
        <f>'background data'!$O$10</f>
        <v>2.73</v>
      </c>
      <c r="II15" s="145"/>
      <c r="IJ15" s="145">
        <v>1</v>
      </c>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row>
    <row r="16" spans="1:383" s="16" customFormat="1" ht="15" customHeight="1" x14ac:dyDescent="0.2">
      <c r="A16" s="15">
        <v>50501</v>
      </c>
      <c r="B16" s="25">
        <v>505</v>
      </c>
      <c r="C16" s="26">
        <v>1</v>
      </c>
      <c r="D16" s="20" t="s">
        <v>239</v>
      </c>
      <c r="E16" s="14">
        <v>42678</v>
      </c>
      <c r="F16" s="18">
        <v>1.01619072783585</v>
      </c>
      <c r="G16" s="18">
        <v>1.02167362152134</v>
      </c>
      <c r="H16" s="21">
        <v>83.5</v>
      </c>
      <c r="I16" s="21">
        <v>77.399991</v>
      </c>
      <c r="J16" s="21">
        <v>90</v>
      </c>
      <c r="K16" s="18">
        <v>1</v>
      </c>
      <c r="L16" s="18">
        <v>85</v>
      </c>
      <c r="M16" s="18">
        <v>8.8000000000000096</v>
      </c>
      <c r="N16" s="18">
        <v>2.7</v>
      </c>
      <c r="O16" s="18">
        <v>1.8</v>
      </c>
      <c r="P16" s="18">
        <v>4.5999999999999996</v>
      </c>
      <c r="Q16" s="19"/>
      <c r="R16" s="18">
        <v>73.719535714285698</v>
      </c>
      <c r="S16" s="18">
        <v>39</v>
      </c>
      <c r="T16" s="18">
        <v>47</v>
      </c>
      <c r="U16" s="18">
        <v>50</v>
      </c>
      <c r="V16" s="18">
        <v>52</v>
      </c>
      <c r="W16" s="18">
        <v>54</v>
      </c>
      <c r="X16" s="18"/>
      <c r="Y16" s="18">
        <v>0.6470588235294118</v>
      </c>
      <c r="Z16" s="18">
        <v>3.2941176470588234</v>
      </c>
      <c r="AA16" s="18">
        <v>0.2</v>
      </c>
      <c r="AB16" s="18">
        <v>1.4999999999999998</v>
      </c>
      <c r="AC16" s="18">
        <v>5.8999999999999995</v>
      </c>
      <c r="AD16" s="18">
        <v>1.1000000000000001</v>
      </c>
      <c r="AE16" s="18">
        <v>1.3</v>
      </c>
      <c r="AF16" s="18">
        <v>50</v>
      </c>
      <c r="AG16" s="18">
        <v>3.4</v>
      </c>
      <c r="AH16" s="18">
        <v>15</v>
      </c>
      <c r="AI16" s="18">
        <v>29</v>
      </c>
      <c r="AJ16" s="18">
        <v>0</v>
      </c>
      <c r="AK16" s="18">
        <v>0.04</v>
      </c>
      <c r="AL16" s="18"/>
      <c r="AM16" s="18">
        <v>3.8848235294117601</v>
      </c>
      <c r="AN16" s="18">
        <v>1.73623529411765</v>
      </c>
      <c r="AO16" s="18">
        <v>2.4363529411764699</v>
      </c>
      <c r="AP16" s="18">
        <v>3.5038823529411798</v>
      </c>
      <c r="AQ16" s="18">
        <v>1.3569411764705901</v>
      </c>
      <c r="AR16" s="18">
        <v>3.6350588235294099</v>
      </c>
      <c r="AS16" s="18">
        <v>6.9011764705882301</v>
      </c>
      <c r="AT16" s="18">
        <v>2.3097647058823498</v>
      </c>
      <c r="AU16" s="18">
        <v>4.7302352941176498</v>
      </c>
      <c r="AV16" s="18">
        <v>3.1970588235294102</v>
      </c>
      <c r="AW16" s="18">
        <v>5.1688235294117701</v>
      </c>
      <c r="AX16" s="18"/>
      <c r="AY16" s="18">
        <v>0.93979435610052697</v>
      </c>
      <c r="AZ16" s="18">
        <v>1.0798403419017799</v>
      </c>
      <c r="BA16" s="18">
        <v>1.0298127927627001</v>
      </c>
      <c r="BB16" s="18">
        <v>0.94986810513779896</v>
      </c>
      <c r="BC16" s="18">
        <v>0.95982702731759895</v>
      </c>
      <c r="BD16" s="18">
        <v>0.99997504265898396</v>
      </c>
      <c r="BE16" s="18">
        <v>1.0099762951134501</v>
      </c>
      <c r="BF16" s="18">
        <v>0.99991805051374005</v>
      </c>
      <c r="BG16" s="18">
        <v>1.04015875310616</v>
      </c>
      <c r="BH16" s="18">
        <v>0.97003899612635003</v>
      </c>
      <c r="BI16" s="18">
        <v>0.95992732173874296</v>
      </c>
      <c r="BJ16" s="19"/>
      <c r="BK16" s="18">
        <v>10.352941176470599</v>
      </c>
      <c r="BL16" s="18">
        <v>3.1764705882352939</v>
      </c>
      <c r="BM16" s="18">
        <v>2.1176470588235294</v>
      </c>
      <c r="BN16" s="18">
        <v>5.4117647058823524</v>
      </c>
      <c r="BO16" s="18"/>
      <c r="BP16" s="18">
        <v>120</v>
      </c>
      <c r="BQ16" s="18">
        <v>38.117647058823529</v>
      </c>
      <c r="BR16" s="18">
        <v>1.1955185033362941</v>
      </c>
      <c r="BS16" s="18">
        <v>1.2019689664956941</v>
      </c>
      <c r="BT16" s="19"/>
      <c r="BU16" s="18">
        <v>978.82352941176475</v>
      </c>
      <c r="BV16" s="18">
        <v>606.99663865546245</v>
      </c>
      <c r="BW16" s="18">
        <v>85.297604840336362</v>
      </c>
      <c r="BX16" s="18">
        <v>604</v>
      </c>
      <c r="BY16" s="18">
        <v>21.000000000000004</v>
      </c>
      <c r="BZ16" s="18">
        <v>56</v>
      </c>
      <c r="CA16" s="18">
        <v>165</v>
      </c>
      <c r="CB16" s="19"/>
      <c r="CC16" s="19">
        <v>0.55000000000000004</v>
      </c>
      <c r="CD16" s="19">
        <v>2.8</v>
      </c>
      <c r="CE16" s="19">
        <v>0.17</v>
      </c>
      <c r="CF16" s="19">
        <v>1.2749999999999997</v>
      </c>
      <c r="CG16" s="19">
        <v>5.0149999999999997</v>
      </c>
      <c r="CH16" s="19">
        <v>0.93500000000000005</v>
      </c>
      <c r="CI16" s="19">
        <v>1.105</v>
      </c>
      <c r="CJ16" s="19"/>
      <c r="CK16" s="19">
        <v>42.5</v>
      </c>
      <c r="CL16" s="19">
        <v>2.8899999999999997</v>
      </c>
      <c r="CM16" s="19">
        <v>12.75</v>
      </c>
      <c r="CN16" s="19">
        <v>24.65</v>
      </c>
      <c r="CO16" s="19">
        <v>0</v>
      </c>
      <c r="CP16" s="19">
        <v>3.4000000000000002E-2</v>
      </c>
      <c r="CQ16" s="19">
        <v>64.873191428571502</v>
      </c>
      <c r="CR16" s="19">
        <v>63.839582129163823</v>
      </c>
      <c r="CS16" s="19">
        <v>2.3307417929707497</v>
      </c>
      <c r="CT16" s="19">
        <v>1.1969008191759858</v>
      </c>
      <c r="CU16" s="19">
        <v>1.601727088756328</v>
      </c>
      <c r="CV16" s="19">
        <v>2.798627907932314</v>
      </c>
      <c r="CW16" s="19">
        <v>2.1247256289448289</v>
      </c>
      <c r="CX16" s="19">
        <v>0.83146511344499896</v>
      </c>
      <c r="CY16" s="19">
        <v>2.3205484469261051</v>
      </c>
      <c r="CZ16" s="19">
        <v>4.4496346068306751</v>
      </c>
      <c r="DA16" s="19">
        <v>1.4744232982677605</v>
      </c>
      <c r="DB16" s="19">
        <v>3.1410323399786626</v>
      </c>
      <c r="DC16" s="19">
        <v>1.9798389142284625</v>
      </c>
      <c r="DD16" s="19">
        <v>5.1208712542071151</v>
      </c>
      <c r="DE16" s="19">
        <v>3.1675253080027113</v>
      </c>
      <c r="DF16" s="23">
        <v>0</v>
      </c>
      <c r="DG16" s="23">
        <v>0</v>
      </c>
      <c r="DH16" s="23">
        <v>0</v>
      </c>
      <c r="DI16" s="19">
        <v>0</v>
      </c>
      <c r="DJ16" s="19">
        <v>0</v>
      </c>
      <c r="DK16" s="19">
        <v>0</v>
      </c>
      <c r="DL16" s="19">
        <v>0</v>
      </c>
      <c r="DM16" s="19">
        <v>0</v>
      </c>
      <c r="DN16" s="19">
        <v>0</v>
      </c>
      <c r="DO16" s="19">
        <v>0</v>
      </c>
      <c r="DP16" s="19">
        <v>0</v>
      </c>
      <c r="DQ16" s="19">
        <v>0</v>
      </c>
      <c r="DR16" s="19">
        <v>0</v>
      </c>
      <c r="DS16" s="19">
        <v>0</v>
      </c>
      <c r="DT16" s="19">
        <v>0</v>
      </c>
      <c r="DU16" s="19">
        <v>0</v>
      </c>
      <c r="DV16" s="19">
        <v>0</v>
      </c>
      <c r="DW16" s="17" t="s">
        <v>230</v>
      </c>
      <c r="DX16" s="22" t="s">
        <v>218</v>
      </c>
      <c r="DY16" s="22">
        <v>78</v>
      </c>
      <c r="DZ16" s="22">
        <v>35</v>
      </c>
      <c r="EA16" s="22">
        <v>35</v>
      </c>
      <c r="EB16" s="22" t="s">
        <v>218</v>
      </c>
      <c r="EC16" s="22">
        <v>35</v>
      </c>
      <c r="ED16" s="22">
        <v>35</v>
      </c>
      <c r="EE16" s="22" t="s">
        <v>218</v>
      </c>
      <c r="EF16" s="22">
        <v>35</v>
      </c>
      <c r="EG16" s="22">
        <v>35</v>
      </c>
      <c r="EH16" s="22" t="s">
        <v>218</v>
      </c>
      <c r="EI16" s="22" t="s">
        <v>218</v>
      </c>
      <c r="EJ16" s="22" t="s">
        <v>218</v>
      </c>
      <c r="EK16" s="22" t="s">
        <v>218</v>
      </c>
      <c r="EL16" s="22" t="s">
        <v>218</v>
      </c>
      <c r="EM16" s="22" t="s">
        <v>218</v>
      </c>
      <c r="EN16" s="22" t="s">
        <v>218</v>
      </c>
      <c r="EO16" s="22" t="s">
        <v>218</v>
      </c>
      <c r="EP16" s="22" t="s">
        <v>218</v>
      </c>
      <c r="EQ16" s="22" t="s">
        <v>218</v>
      </c>
      <c r="ER16" s="22" t="s">
        <v>218</v>
      </c>
      <c r="ES16" s="22">
        <v>29</v>
      </c>
      <c r="ET16" s="22">
        <v>78</v>
      </c>
      <c r="EU16" s="22" t="s">
        <v>218</v>
      </c>
      <c r="EV16" s="22" t="s">
        <v>218</v>
      </c>
      <c r="EW16" s="22" t="s">
        <v>218</v>
      </c>
      <c r="EX16" s="22" t="s">
        <v>218</v>
      </c>
      <c r="EY16" s="22" t="s">
        <v>218</v>
      </c>
      <c r="EZ16" s="22" t="s">
        <v>218</v>
      </c>
      <c r="FA16" s="22" t="s">
        <v>218</v>
      </c>
      <c r="FB16" s="22" t="s">
        <v>218</v>
      </c>
      <c r="FC16" s="22" t="s">
        <v>218</v>
      </c>
      <c r="FD16" s="22" t="s">
        <v>218</v>
      </c>
      <c r="FE16" s="22" t="s">
        <v>218</v>
      </c>
      <c r="FF16" s="22" t="s">
        <v>218</v>
      </c>
      <c r="FG16" s="22">
        <v>0.77</v>
      </c>
      <c r="FH16" s="22">
        <v>0.25</v>
      </c>
      <c r="FI16" s="22">
        <v>0.23</v>
      </c>
      <c r="FJ16" s="22" t="s">
        <v>218</v>
      </c>
      <c r="FK16" s="22">
        <v>1.48</v>
      </c>
      <c r="FL16" s="22">
        <v>1.82</v>
      </c>
      <c r="FM16" s="22" t="s">
        <v>218</v>
      </c>
      <c r="FN16" s="22">
        <v>2.4900000000000002</v>
      </c>
      <c r="FO16" s="22">
        <v>2.06</v>
      </c>
      <c r="FP16" s="22" t="s">
        <v>218</v>
      </c>
      <c r="FQ16" s="22" t="s">
        <v>218</v>
      </c>
      <c r="FR16" s="22" t="s">
        <v>218</v>
      </c>
      <c r="FS16" s="22" t="s">
        <v>218</v>
      </c>
      <c r="FT16" s="22" t="s">
        <v>218</v>
      </c>
      <c r="FU16" s="22" t="s">
        <v>218</v>
      </c>
      <c r="FV16" s="22" t="s">
        <v>218</v>
      </c>
      <c r="FW16" s="22" t="s">
        <v>218</v>
      </c>
      <c r="FX16" s="22" t="s">
        <v>218</v>
      </c>
      <c r="FY16" s="22" t="s">
        <v>218</v>
      </c>
      <c r="FZ16" s="22" t="s">
        <v>218</v>
      </c>
      <c r="GA16" s="22">
        <v>0.1</v>
      </c>
      <c r="GB16" s="22">
        <v>0.26</v>
      </c>
      <c r="GC16" s="22" t="s">
        <v>218</v>
      </c>
      <c r="GD16" s="22" t="s">
        <v>218</v>
      </c>
      <c r="GE16" s="22" t="s">
        <v>218</v>
      </c>
      <c r="GF16" s="22" t="s">
        <v>218</v>
      </c>
      <c r="GG16" s="22" t="s">
        <v>218</v>
      </c>
      <c r="GH16" s="22" t="s">
        <v>218</v>
      </c>
      <c r="GI16" s="22" t="s">
        <v>218</v>
      </c>
      <c r="GJ16" s="22" t="s">
        <v>218</v>
      </c>
      <c r="GK16" s="22" t="s">
        <v>218</v>
      </c>
      <c r="GL16" s="22" t="s">
        <v>218</v>
      </c>
      <c r="GM16" s="22" t="s">
        <v>218</v>
      </c>
      <c r="GN16" s="22" t="s">
        <v>218</v>
      </c>
      <c r="GO16" s="22" t="s">
        <v>238</v>
      </c>
      <c r="GP16" s="22" t="s">
        <v>238</v>
      </c>
      <c r="GQ16" s="22" t="s">
        <v>238</v>
      </c>
      <c r="GR16" s="22" t="s">
        <v>218</v>
      </c>
      <c r="GS16" s="22" t="s">
        <v>238</v>
      </c>
      <c r="GT16" s="22" t="s">
        <v>238</v>
      </c>
      <c r="GU16" s="22" t="s">
        <v>218</v>
      </c>
      <c r="GV16" s="22" t="s">
        <v>238</v>
      </c>
      <c r="GW16" s="22" t="s">
        <v>238</v>
      </c>
      <c r="GX16" s="22" t="s">
        <v>218</v>
      </c>
      <c r="GY16" s="22" t="s">
        <v>218</v>
      </c>
      <c r="GZ16" s="22" t="s">
        <v>218</v>
      </c>
      <c r="HA16" s="22" t="s">
        <v>218</v>
      </c>
      <c r="HB16" s="22" t="s">
        <v>218</v>
      </c>
      <c r="HC16" s="22" t="s">
        <v>218</v>
      </c>
      <c r="HD16" s="22" t="s">
        <v>218</v>
      </c>
      <c r="HE16" s="22" t="s">
        <v>218</v>
      </c>
      <c r="HF16" s="22" t="s">
        <v>218</v>
      </c>
      <c r="HG16" s="22" t="s">
        <v>218</v>
      </c>
      <c r="HH16" s="22" t="s">
        <v>218</v>
      </c>
      <c r="HI16" s="22" t="s">
        <v>238</v>
      </c>
      <c r="HJ16" s="22" t="s">
        <v>238</v>
      </c>
      <c r="HK16" s="22" t="s">
        <v>218</v>
      </c>
      <c r="HL16" s="22" t="s">
        <v>218</v>
      </c>
      <c r="HM16" s="620">
        <f>'background data'!$G$10</f>
        <v>0.47300000000000003</v>
      </c>
      <c r="HN16" s="620">
        <f>'background data'!$H$10</f>
        <v>0.13</v>
      </c>
      <c r="HO16" s="620">
        <f>'background data'!$J$10</f>
        <v>0.39100000000000001</v>
      </c>
      <c r="HP16" s="620">
        <f>'background data'!$L$10</f>
        <v>5.5E-2</v>
      </c>
      <c r="HQ16" s="620">
        <f>'background data'!$M$10</f>
        <v>3.97</v>
      </c>
      <c r="HR16" s="620">
        <f>'background data'!$N$10</f>
        <v>4.5999999999999999E-3</v>
      </c>
      <c r="HS16" s="620">
        <f>'background data'!$O$10</f>
        <v>2.73</v>
      </c>
      <c r="HT16" s="145"/>
      <c r="HU16" s="145" t="s">
        <v>1809</v>
      </c>
      <c r="HV16" s="22" t="s">
        <v>1927</v>
      </c>
      <c r="HW16" s="22" t="s">
        <v>231</v>
      </c>
      <c r="HX16" s="22" t="s">
        <v>232</v>
      </c>
      <c r="HY16" s="22" t="s">
        <v>233</v>
      </c>
      <c r="HZ16" s="19"/>
      <c r="IA16" s="19"/>
      <c r="IB16" s="620">
        <f>'background data'!$G$10</f>
        <v>0.47300000000000003</v>
      </c>
      <c r="IC16" s="620">
        <f>'background data'!$H$10</f>
        <v>0.13</v>
      </c>
      <c r="ID16" s="620">
        <f>'background data'!$J$10</f>
        <v>0.39100000000000001</v>
      </c>
      <c r="IE16" s="620">
        <f>'background data'!$L$10</f>
        <v>5.5E-2</v>
      </c>
      <c r="IF16" s="620">
        <f>'background data'!$M$10</f>
        <v>3.97</v>
      </c>
      <c r="IG16" s="620">
        <f>'background data'!$N$10</f>
        <v>4.5999999999999999E-3</v>
      </c>
      <c r="IH16" s="620">
        <f>'background data'!$O$10</f>
        <v>2.73</v>
      </c>
      <c r="II16" s="145"/>
      <c r="IJ16" s="145">
        <v>1</v>
      </c>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row>
    <row r="17" spans="1:383" s="16" customFormat="1" ht="15" customHeight="1" x14ac:dyDescent="0.2">
      <c r="A17" s="15">
        <v>50510</v>
      </c>
      <c r="B17" s="25">
        <v>505</v>
      </c>
      <c r="C17" s="26">
        <v>10</v>
      </c>
      <c r="D17" s="20" t="s">
        <v>240</v>
      </c>
      <c r="E17" s="14">
        <v>42678</v>
      </c>
      <c r="F17" s="18">
        <v>1.01015123886953</v>
      </c>
      <c r="G17" s="18">
        <v>1.01742872356215</v>
      </c>
      <c r="H17" s="21">
        <v>83.5</v>
      </c>
      <c r="I17" s="21">
        <v>76.899992999999995</v>
      </c>
      <c r="J17" s="21">
        <v>90</v>
      </c>
      <c r="K17" s="18">
        <v>1</v>
      </c>
      <c r="L17" s="18">
        <v>85</v>
      </c>
      <c r="M17" s="18">
        <v>8.8000000000000096</v>
      </c>
      <c r="N17" s="18">
        <v>2.7</v>
      </c>
      <c r="O17" s="18">
        <v>1.8</v>
      </c>
      <c r="P17" s="18">
        <v>4.5999999999999996</v>
      </c>
      <c r="Q17" s="19"/>
      <c r="R17" s="18">
        <v>73.273821428571395</v>
      </c>
      <c r="S17" s="18">
        <v>30</v>
      </c>
      <c r="T17" s="18">
        <v>42</v>
      </c>
      <c r="U17" s="18">
        <v>46</v>
      </c>
      <c r="V17" s="18">
        <v>50</v>
      </c>
      <c r="W17" s="18">
        <v>53</v>
      </c>
      <c r="X17" s="18"/>
      <c r="Y17" s="18">
        <v>0.6470588235294118</v>
      </c>
      <c r="Z17" s="18">
        <v>3.2941176470588234</v>
      </c>
      <c r="AA17" s="18">
        <v>0.2</v>
      </c>
      <c r="AB17" s="18">
        <v>1.4999999999999998</v>
      </c>
      <c r="AC17" s="18">
        <v>5.8999999999999995</v>
      </c>
      <c r="AD17" s="18">
        <v>1.1000000000000001</v>
      </c>
      <c r="AE17" s="18">
        <v>1.3</v>
      </c>
      <c r="AF17" s="18">
        <v>50</v>
      </c>
      <c r="AG17" s="18">
        <v>3.4</v>
      </c>
      <c r="AH17" s="18">
        <v>15</v>
      </c>
      <c r="AI17" s="18">
        <v>29</v>
      </c>
      <c r="AJ17" s="18">
        <v>0</v>
      </c>
      <c r="AK17" s="18">
        <v>0.04</v>
      </c>
      <c r="AL17" s="18"/>
      <c r="AM17" s="18">
        <v>3.8848235294117601</v>
      </c>
      <c r="AN17" s="18">
        <v>1.73623529411765</v>
      </c>
      <c r="AO17" s="18">
        <v>2.4363529411764699</v>
      </c>
      <c r="AP17" s="18">
        <v>3.5038823529411798</v>
      </c>
      <c r="AQ17" s="18">
        <v>1.3569411764705901</v>
      </c>
      <c r="AR17" s="18">
        <v>3.6350588235294099</v>
      </c>
      <c r="AS17" s="18">
        <v>6.9011764705882301</v>
      </c>
      <c r="AT17" s="18">
        <v>2.3097647058823498</v>
      </c>
      <c r="AU17" s="18">
        <v>4.7302352941176498</v>
      </c>
      <c r="AV17" s="18">
        <v>3.1970588235294102</v>
      </c>
      <c r="AW17" s="18">
        <v>5.1688235294117701</v>
      </c>
      <c r="AX17" s="18"/>
      <c r="AY17" s="18">
        <v>0.94</v>
      </c>
      <c r="AZ17" s="18">
        <v>1.08</v>
      </c>
      <c r="BA17" s="18">
        <v>1.03</v>
      </c>
      <c r="BB17" s="18">
        <v>0.95</v>
      </c>
      <c r="BC17" s="18">
        <v>0.96</v>
      </c>
      <c r="BD17" s="18">
        <v>1</v>
      </c>
      <c r="BE17" s="18">
        <v>1.01</v>
      </c>
      <c r="BF17" s="18">
        <v>1</v>
      </c>
      <c r="BG17" s="18">
        <v>1.04</v>
      </c>
      <c r="BH17" s="18">
        <v>0.97</v>
      </c>
      <c r="BI17" s="18">
        <v>0.96</v>
      </c>
      <c r="BJ17" s="19"/>
      <c r="BK17" s="18">
        <v>10.352941176470599</v>
      </c>
      <c r="BL17" s="18">
        <v>3.1764705882352939</v>
      </c>
      <c r="BM17" s="18">
        <v>2.1176470588235294</v>
      </c>
      <c r="BN17" s="18">
        <v>5.4117647058823524</v>
      </c>
      <c r="BO17" s="18"/>
      <c r="BP17" s="18">
        <v>120</v>
      </c>
      <c r="BQ17" s="18">
        <v>38.117647058823529</v>
      </c>
      <c r="BR17" s="18">
        <v>1.188413222199447</v>
      </c>
      <c r="BS17" s="18">
        <v>1.1969749688966471</v>
      </c>
      <c r="BT17" s="19"/>
      <c r="BU17" s="18">
        <v>978.82352941176475</v>
      </c>
      <c r="BV17" s="18">
        <v>600.00504201680712</v>
      </c>
      <c r="BW17" s="18">
        <v>92.289173512605046</v>
      </c>
      <c r="BX17" s="18">
        <v>604</v>
      </c>
      <c r="BY17" s="18">
        <v>21.000000000000004</v>
      </c>
      <c r="BZ17" s="18">
        <v>56</v>
      </c>
      <c r="CA17" s="18">
        <v>165</v>
      </c>
      <c r="CB17" s="19"/>
      <c r="CC17" s="19">
        <v>0.55000000000000004</v>
      </c>
      <c r="CD17" s="19">
        <v>2.8</v>
      </c>
      <c r="CE17" s="19">
        <v>0.17</v>
      </c>
      <c r="CF17" s="19">
        <v>1.2749999999999997</v>
      </c>
      <c r="CG17" s="19">
        <v>5.0149999999999997</v>
      </c>
      <c r="CH17" s="19">
        <v>0.93500000000000005</v>
      </c>
      <c r="CI17" s="19">
        <v>1.105</v>
      </c>
      <c r="CJ17" s="19"/>
      <c r="CK17" s="19">
        <v>42.5</v>
      </c>
      <c r="CL17" s="19">
        <v>2.8899999999999997</v>
      </c>
      <c r="CM17" s="19">
        <v>12.75</v>
      </c>
      <c r="CN17" s="19">
        <v>24.65</v>
      </c>
      <c r="CO17" s="19">
        <v>0</v>
      </c>
      <c r="CP17" s="19">
        <v>3.4000000000000002E-2</v>
      </c>
      <c r="CQ17" s="19">
        <v>64.480962857142799</v>
      </c>
      <c r="CR17" s="19">
        <v>63.832979039162559</v>
      </c>
      <c r="CS17" s="19">
        <v>2.3310106738835938</v>
      </c>
      <c r="CT17" s="19">
        <v>1.1969539682738306</v>
      </c>
      <c r="CU17" s="19">
        <v>1.6018525621290394</v>
      </c>
      <c r="CV17" s="19">
        <v>2.79880653040287</v>
      </c>
      <c r="CW17" s="19">
        <v>2.1248008635143725</v>
      </c>
      <c r="CX17" s="19">
        <v>0.83152893768022951</v>
      </c>
      <c r="CY17" s="19">
        <v>2.3203663368847667</v>
      </c>
      <c r="CZ17" s="19">
        <v>4.4492787952254815</v>
      </c>
      <c r="DA17" s="19">
        <v>1.4743916205598535</v>
      </c>
      <c r="DB17" s="19">
        <v>3.140228107949087</v>
      </c>
      <c r="DC17" s="19">
        <v>1.9795545520324334</v>
      </c>
      <c r="DD17" s="19">
        <v>5.1197826599815199</v>
      </c>
      <c r="DE17" s="19">
        <v>3.1674374784966886</v>
      </c>
      <c r="DF17" s="23">
        <v>0</v>
      </c>
      <c r="DG17" s="23">
        <v>0</v>
      </c>
      <c r="DH17" s="23">
        <v>0</v>
      </c>
      <c r="DI17" s="19">
        <v>0</v>
      </c>
      <c r="DJ17" s="19">
        <v>0</v>
      </c>
      <c r="DK17" s="19">
        <v>0</v>
      </c>
      <c r="DL17" s="19">
        <v>0</v>
      </c>
      <c r="DM17" s="19">
        <v>0</v>
      </c>
      <c r="DN17" s="19">
        <v>0</v>
      </c>
      <c r="DO17" s="19">
        <v>0</v>
      </c>
      <c r="DP17" s="19">
        <v>0</v>
      </c>
      <c r="DQ17" s="19">
        <v>0</v>
      </c>
      <c r="DR17" s="19">
        <v>0</v>
      </c>
      <c r="DS17" s="19">
        <v>0</v>
      </c>
      <c r="DT17" s="19">
        <v>0</v>
      </c>
      <c r="DU17" s="19">
        <v>0</v>
      </c>
      <c r="DV17" s="19">
        <v>0</v>
      </c>
      <c r="DW17" s="17" t="s">
        <v>230</v>
      </c>
      <c r="DX17" s="22" t="s">
        <v>218</v>
      </c>
      <c r="DY17" s="22">
        <v>78</v>
      </c>
      <c r="DZ17" s="22">
        <v>35</v>
      </c>
      <c r="EA17" s="22">
        <v>35</v>
      </c>
      <c r="EB17" s="22" t="s">
        <v>218</v>
      </c>
      <c r="EC17" s="22">
        <v>35</v>
      </c>
      <c r="ED17" s="22">
        <v>35</v>
      </c>
      <c r="EE17" s="22" t="s">
        <v>218</v>
      </c>
      <c r="EF17" s="22">
        <v>35</v>
      </c>
      <c r="EG17" s="22">
        <v>35</v>
      </c>
      <c r="EH17" s="22" t="s">
        <v>218</v>
      </c>
      <c r="EI17" s="22" t="s">
        <v>218</v>
      </c>
      <c r="EJ17" s="22" t="s">
        <v>218</v>
      </c>
      <c r="EK17" s="22" t="s">
        <v>218</v>
      </c>
      <c r="EL17" s="22" t="s">
        <v>218</v>
      </c>
      <c r="EM17" s="22" t="s">
        <v>218</v>
      </c>
      <c r="EN17" s="22" t="s">
        <v>218</v>
      </c>
      <c r="EO17" s="22" t="s">
        <v>218</v>
      </c>
      <c r="EP17" s="22" t="s">
        <v>218</v>
      </c>
      <c r="EQ17" s="22" t="s">
        <v>218</v>
      </c>
      <c r="ER17" s="22" t="s">
        <v>218</v>
      </c>
      <c r="ES17" s="22">
        <v>29</v>
      </c>
      <c r="ET17" s="22">
        <v>78</v>
      </c>
      <c r="EU17" s="22" t="s">
        <v>218</v>
      </c>
      <c r="EV17" s="22" t="s">
        <v>218</v>
      </c>
      <c r="EW17" s="22" t="s">
        <v>218</v>
      </c>
      <c r="EX17" s="22" t="s">
        <v>218</v>
      </c>
      <c r="EY17" s="22" t="s">
        <v>218</v>
      </c>
      <c r="EZ17" s="22" t="s">
        <v>218</v>
      </c>
      <c r="FA17" s="22" t="s">
        <v>218</v>
      </c>
      <c r="FB17" s="22" t="s">
        <v>218</v>
      </c>
      <c r="FC17" s="22" t="s">
        <v>218</v>
      </c>
      <c r="FD17" s="22" t="s">
        <v>218</v>
      </c>
      <c r="FE17" s="22" t="s">
        <v>218</v>
      </c>
      <c r="FF17" s="22" t="s">
        <v>218</v>
      </c>
      <c r="FG17" s="22">
        <v>0.77</v>
      </c>
      <c r="FH17" s="22">
        <v>0.25</v>
      </c>
      <c r="FI17" s="22">
        <v>0.23</v>
      </c>
      <c r="FJ17" s="22" t="s">
        <v>218</v>
      </c>
      <c r="FK17" s="22">
        <v>1.48</v>
      </c>
      <c r="FL17" s="22">
        <v>1.82</v>
      </c>
      <c r="FM17" s="22" t="s">
        <v>218</v>
      </c>
      <c r="FN17" s="22">
        <v>2.4900000000000002</v>
      </c>
      <c r="FO17" s="22">
        <v>2.06</v>
      </c>
      <c r="FP17" s="22" t="s">
        <v>218</v>
      </c>
      <c r="FQ17" s="22" t="s">
        <v>218</v>
      </c>
      <c r="FR17" s="22" t="s">
        <v>218</v>
      </c>
      <c r="FS17" s="22" t="s">
        <v>218</v>
      </c>
      <c r="FT17" s="22" t="s">
        <v>218</v>
      </c>
      <c r="FU17" s="22" t="s">
        <v>218</v>
      </c>
      <c r="FV17" s="22" t="s">
        <v>218</v>
      </c>
      <c r="FW17" s="22" t="s">
        <v>218</v>
      </c>
      <c r="FX17" s="22" t="s">
        <v>218</v>
      </c>
      <c r="FY17" s="22" t="s">
        <v>218</v>
      </c>
      <c r="FZ17" s="22" t="s">
        <v>218</v>
      </c>
      <c r="GA17" s="22">
        <v>0.1</v>
      </c>
      <c r="GB17" s="22">
        <v>0.26</v>
      </c>
      <c r="GC17" s="22" t="s">
        <v>218</v>
      </c>
      <c r="GD17" s="22" t="s">
        <v>218</v>
      </c>
      <c r="GE17" s="22" t="s">
        <v>218</v>
      </c>
      <c r="GF17" s="22" t="s">
        <v>218</v>
      </c>
      <c r="GG17" s="22" t="s">
        <v>218</v>
      </c>
      <c r="GH17" s="22" t="s">
        <v>218</v>
      </c>
      <c r="GI17" s="22" t="s">
        <v>218</v>
      </c>
      <c r="GJ17" s="22" t="s">
        <v>218</v>
      </c>
      <c r="GK17" s="22" t="s">
        <v>218</v>
      </c>
      <c r="GL17" s="22" t="s">
        <v>218</v>
      </c>
      <c r="GM17" s="22" t="s">
        <v>218</v>
      </c>
      <c r="GN17" s="22" t="s">
        <v>218</v>
      </c>
      <c r="GO17" s="22" t="s">
        <v>238</v>
      </c>
      <c r="GP17" s="22" t="s">
        <v>238</v>
      </c>
      <c r="GQ17" s="22" t="s">
        <v>238</v>
      </c>
      <c r="GR17" s="22" t="s">
        <v>218</v>
      </c>
      <c r="GS17" s="22" t="s">
        <v>238</v>
      </c>
      <c r="GT17" s="22" t="s">
        <v>238</v>
      </c>
      <c r="GU17" s="22" t="s">
        <v>218</v>
      </c>
      <c r="GV17" s="22" t="s">
        <v>238</v>
      </c>
      <c r="GW17" s="22" t="s">
        <v>238</v>
      </c>
      <c r="GX17" s="22" t="s">
        <v>218</v>
      </c>
      <c r="GY17" s="22" t="s">
        <v>218</v>
      </c>
      <c r="GZ17" s="22" t="s">
        <v>218</v>
      </c>
      <c r="HA17" s="22" t="s">
        <v>218</v>
      </c>
      <c r="HB17" s="22" t="s">
        <v>218</v>
      </c>
      <c r="HC17" s="22" t="s">
        <v>218</v>
      </c>
      <c r="HD17" s="22" t="s">
        <v>218</v>
      </c>
      <c r="HE17" s="22" t="s">
        <v>218</v>
      </c>
      <c r="HF17" s="22" t="s">
        <v>218</v>
      </c>
      <c r="HG17" s="22" t="s">
        <v>218</v>
      </c>
      <c r="HH17" s="22" t="s">
        <v>218</v>
      </c>
      <c r="HI17" s="22" t="s">
        <v>238</v>
      </c>
      <c r="HJ17" s="22" t="s">
        <v>238</v>
      </c>
      <c r="HK17" s="22" t="s">
        <v>218</v>
      </c>
      <c r="HL17" s="22" t="s">
        <v>218</v>
      </c>
      <c r="HM17" s="620">
        <f>'background data'!$G$10</f>
        <v>0.47300000000000003</v>
      </c>
      <c r="HN17" s="620">
        <f>'background data'!$H$10</f>
        <v>0.13</v>
      </c>
      <c r="HO17" s="620">
        <f>'background data'!$J$10</f>
        <v>0.39100000000000001</v>
      </c>
      <c r="HP17" s="620">
        <f>'background data'!$L$10</f>
        <v>5.5E-2</v>
      </c>
      <c r="HQ17" s="620">
        <f>'background data'!$M$10</f>
        <v>3.97</v>
      </c>
      <c r="HR17" s="620">
        <f>'background data'!$N$10</f>
        <v>4.5999999999999999E-3</v>
      </c>
      <c r="HS17" s="620">
        <f>'background data'!$O$10</f>
        <v>2.73</v>
      </c>
      <c r="HT17" s="145"/>
      <c r="HU17" s="145" t="s">
        <v>1809</v>
      </c>
      <c r="HV17" s="22" t="s">
        <v>1927</v>
      </c>
      <c r="HW17" s="22" t="s">
        <v>231</v>
      </c>
      <c r="HX17" s="22" t="s">
        <v>232</v>
      </c>
      <c r="HY17" s="22" t="s">
        <v>233</v>
      </c>
      <c r="HZ17" s="19"/>
      <c r="IA17" s="19"/>
      <c r="IB17" s="620">
        <f>'background data'!$G$10</f>
        <v>0.47300000000000003</v>
      </c>
      <c r="IC17" s="620">
        <f>'background data'!$H$10</f>
        <v>0.13</v>
      </c>
      <c r="ID17" s="620">
        <f>'background data'!$J$10</f>
        <v>0.39100000000000001</v>
      </c>
      <c r="IE17" s="620">
        <f>'background data'!$L$10</f>
        <v>5.5E-2</v>
      </c>
      <c r="IF17" s="620">
        <f>'background data'!$M$10</f>
        <v>3.97</v>
      </c>
      <c r="IG17" s="620">
        <f>'background data'!$N$10</f>
        <v>4.5999999999999999E-3</v>
      </c>
      <c r="IH17" s="620">
        <f>'background data'!$O$10</f>
        <v>2.73</v>
      </c>
      <c r="II17" s="145"/>
      <c r="IJ17" s="145">
        <v>1</v>
      </c>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row>
    <row r="18" spans="1:383" s="16" customFormat="1" ht="15" customHeight="1" x14ac:dyDescent="0.2">
      <c r="A18" s="15">
        <v>50511</v>
      </c>
      <c r="B18" s="25">
        <v>505</v>
      </c>
      <c r="C18" s="26">
        <v>11</v>
      </c>
      <c r="D18" s="20" t="s">
        <v>241</v>
      </c>
      <c r="E18" s="14">
        <v>42678</v>
      </c>
      <c r="F18" s="18">
        <v>1.01619072783585</v>
      </c>
      <c r="G18" s="18">
        <v>1.02167362152134</v>
      </c>
      <c r="H18" s="21">
        <v>83.5</v>
      </c>
      <c r="I18" s="21">
        <v>77.399991</v>
      </c>
      <c r="J18" s="21">
        <v>90</v>
      </c>
      <c r="K18" s="18">
        <v>1</v>
      </c>
      <c r="L18" s="18">
        <v>85</v>
      </c>
      <c r="M18" s="18">
        <v>8.8000000000000096</v>
      </c>
      <c r="N18" s="18">
        <v>2.7</v>
      </c>
      <c r="O18" s="18">
        <v>1.8</v>
      </c>
      <c r="P18" s="18">
        <v>4.5999999999999996</v>
      </c>
      <c r="Q18" s="19"/>
      <c r="R18" s="18">
        <v>73.719535714285698</v>
      </c>
      <c r="S18" s="18">
        <v>30</v>
      </c>
      <c r="T18" s="18">
        <v>42</v>
      </c>
      <c r="U18" s="18">
        <v>46</v>
      </c>
      <c r="V18" s="18">
        <v>50</v>
      </c>
      <c r="W18" s="18">
        <v>53</v>
      </c>
      <c r="X18" s="18"/>
      <c r="Y18" s="18">
        <v>0.6470588235294118</v>
      </c>
      <c r="Z18" s="18">
        <v>3.2941176470588234</v>
      </c>
      <c r="AA18" s="18">
        <v>0.2</v>
      </c>
      <c r="AB18" s="18">
        <v>1.4999999999999998</v>
      </c>
      <c r="AC18" s="18">
        <v>5.8999999999999995</v>
      </c>
      <c r="AD18" s="18">
        <v>1.1000000000000001</v>
      </c>
      <c r="AE18" s="18">
        <v>1.3</v>
      </c>
      <c r="AF18" s="18">
        <v>50</v>
      </c>
      <c r="AG18" s="18">
        <v>3.4</v>
      </c>
      <c r="AH18" s="18">
        <v>15</v>
      </c>
      <c r="AI18" s="18">
        <v>29</v>
      </c>
      <c r="AJ18" s="18">
        <v>0</v>
      </c>
      <c r="AK18" s="18">
        <v>0.04</v>
      </c>
      <c r="AL18" s="18"/>
      <c r="AM18" s="18">
        <v>3.8848235294117601</v>
      </c>
      <c r="AN18" s="18">
        <v>1.73623529411765</v>
      </c>
      <c r="AO18" s="18">
        <v>2.4363529411764699</v>
      </c>
      <c r="AP18" s="18">
        <v>3.5038823529411798</v>
      </c>
      <c r="AQ18" s="18">
        <v>1.3569411764705901</v>
      </c>
      <c r="AR18" s="18">
        <v>3.6350588235294099</v>
      </c>
      <c r="AS18" s="18">
        <v>6.9011764705882301</v>
      </c>
      <c r="AT18" s="18">
        <v>2.3097647058823498</v>
      </c>
      <c r="AU18" s="18">
        <v>4.7302352941176498</v>
      </c>
      <c r="AV18" s="18">
        <v>3.1970588235294102</v>
      </c>
      <c r="AW18" s="18">
        <v>5.1688235294117701</v>
      </c>
      <c r="AX18" s="18"/>
      <c r="AY18" s="18">
        <v>0.94</v>
      </c>
      <c r="AZ18" s="18">
        <v>1.08</v>
      </c>
      <c r="BA18" s="18">
        <v>1.03</v>
      </c>
      <c r="BB18" s="18">
        <v>0.95</v>
      </c>
      <c r="BC18" s="18">
        <v>0.96</v>
      </c>
      <c r="BD18" s="18">
        <v>1</v>
      </c>
      <c r="BE18" s="18">
        <v>1.01</v>
      </c>
      <c r="BF18" s="18">
        <v>1</v>
      </c>
      <c r="BG18" s="18">
        <v>1.04</v>
      </c>
      <c r="BH18" s="18">
        <v>0.97</v>
      </c>
      <c r="BI18" s="18">
        <v>0.96</v>
      </c>
      <c r="BJ18" s="19"/>
      <c r="BK18" s="18">
        <v>10.352941176470599</v>
      </c>
      <c r="BL18" s="18">
        <v>3.1764705882352939</v>
      </c>
      <c r="BM18" s="18">
        <v>2.1176470588235294</v>
      </c>
      <c r="BN18" s="18">
        <v>5.4117647058823524</v>
      </c>
      <c r="BO18" s="18"/>
      <c r="BP18" s="18">
        <v>120</v>
      </c>
      <c r="BQ18" s="18">
        <v>38.117647058823529</v>
      </c>
      <c r="BR18" s="18">
        <v>1.1955185033362941</v>
      </c>
      <c r="BS18" s="18">
        <v>1.2019689664956941</v>
      </c>
      <c r="BT18" s="19"/>
      <c r="BU18" s="18">
        <v>978.82352941176475</v>
      </c>
      <c r="BV18" s="18">
        <v>606.99663865546245</v>
      </c>
      <c r="BW18" s="18">
        <v>85.297604840336362</v>
      </c>
      <c r="BX18" s="18">
        <v>604</v>
      </c>
      <c r="BY18" s="18">
        <v>21.000000000000004</v>
      </c>
      <c r="BZ18" s="18">
        <v>56</v>
      </c>
      <c r="CA18" s="18">
        <v>165</v>
      </c>
      <c r="CB18" s="19"/>
      <c r="CC18" s="19">
        <v>0.55000000000000004</v>
      </c>
      <c r="CD18" s="19">
        <v>2.8</v>
      </c>
      <c r="CE18" s="19">
        <v>0.17</v>
      </c>
      <c r="CF18" s="19">
        <v>1.2749999999999997</v>
      </c>
      <c r="CG18" s="19">
        <v>5.0149999999999997</v>
      </c>
      <c r="CH18" s="19">
        <v>0.93500000000000005</v>
      </c>
      <c r="CI18" s="19">
        <v>1.105</v>
      </c>
      <c r="CJ18" s="19"/>
      <c r="CK18" s="19">
        <v>42.5</v>
      </c>
      <c r="CL18" s="19">
        <v>2.8899999999999997</v>
      </c>
      <c r="CM18" s="19">
        <v>12.75</v>
      </c>
      <c r="CN18" s="19">
        <v>24.65</v>
      </c>
      <c r="CO18" s="19">
        <v>0</v>
      </c>
      <c r="CP18" s="19">
        <v>3.4000000000000002E-2</v>
      </c>
      <c r="CQ18" s="19">
        <v>64.873191428571502</v>
      </c>
      <c r="CR18" s="19">
        <v>63.839582129163823</v>
      </c>
      <c r="CS18" s="19">
        <v>2.3312518011739867</v>
      </c>
      <c r="CT18" s="19">
        <v>1.1970777850672638</v>
      </c>
      <c r="CU18" s="19">
        <v>1.6020182629438156</v>
      </c>
      <c r="CV18" s="19">
        <v>2.7990960480110796</v>
      </c>
      <c r="CW18" s="19">
        <v>2.1250206597944103</v>
      </c>
      <c r="CX18" s="19">
        <v>0.83161495372548866</v>
      </c>
      <c r="CY18" s="19">
        <v>2.3206063630904805</v>
      </c>
      <c r="CZ18" s="19">
        <v>4.4497390430279005</v>
      </c>
      <c r="DA18" s="19">
        <v>1.4745441364022034</v>
      </c>
      <c r="DB18" s="19">
        <v>3.140552943310571</v>
      </c>
      <c r="DC18" s="19">
        <v>1.9797593235637923</v>
      </c>
      <c r="DD18" s="19">
        <v>5.1203122668743628</v>
      </c>
      <c r="DE18" s="19">
        <v>3.1677651284835564</v>
      </c>
      <c r="DF18" s="23">
        <v>0</v>
      </c>
      <c r="DG18" s="23">
        <v>0</v>
      </c>
      <c r="DH18" s="23">
        <v>0</v>
      </c>
      <c r="DI18" s="19">
        <v>0</v>
      </c>
      <c r="DJ18" s="19">
        <v>0</v>
      </c>
      <c r="DK18" s="19">
        <v>0</v>
      </c>
      <c r="DL18" s="19">
        <v>0</v>
      </c>
      <c r="DM18" s="19">
        <v>0</v>
      </c>
      <c r="DN18" s="19">
        <v>0</v>
      </c>
      <c r="DO18" s="19">
        <v>0</v>
      </c>
      <c r="DP18" s="19">
        <v>0</v>
      </c>
      <c r="DQ18" s="19">
        <v>0</v>
      </c>
      <c r="DR18" s="19">
        <v>0</v>
      </c>
      <c r="DS18" s="19">
        <v>0</v>
      </c>
      <c r="DT18" s="19">
        <v>0</v>
      </c>
      <c r="DU18" s="19">
        <v>0</v>
      </c>
      <c r="DV18" s="19">
        <v>0</v>
      </c>
      <c r="DW18" s="17" t="s">
        <v>230</v>
      </c>
      <c r="DX18" s="22" t="s">
        <v>218</v>
      </c>
      <c r="DY18" s="22">
        <v>78</v>
      </c>
      <c r="DZ18" s="22">
        <v>35</v>
      </c>
      <c r="EA18" s="22">
        <v>35</v>
      </c>
      <c r="EB18" s="22" t="s">
        <v>218</v>
      </c>
      <c r="EC18" s="22">
        <v>35</v>
      </c>
      <c r="ED18" s="22">
        <v>35</v>
      </c>
      <c r="EE18" s="22" t="s">
        <v>218</v>
      </c>
      <c r="EF18" s="22">
        <v>35</v>
      </c>
      <c r="EG18" s="22">
        <v>35</v>
      </c>
      <c r="EH18" s="22" t="s">
        <v>218</v>
      </c>
      <c r="EI18" s="22" t="s">
        <v>218</v>
      </c>
      <c r="EJ18" s="22" t="s">
        <v>218</v>
      </c>
      <c r="EK18" s="22" t="s">
        <v>218</v>
      </c>
      <c r="EL18" s="22" t="s">
        <v>218</v>
      </c>
      <c r="EM18" s="22" t="s">
        <v>218</v>
      </c>
      <c r="EN18" s="22" t="s">
        <v>218</v>
      </c>
      <c r="EO18" s="22" t="s">
        <v>218</v>
      </c>
      <c r="EP18" s="22" t="s">
        <v>218</v>
      </c>
      <c r="EQ18" s="22" t="s">
        <v>218</v>
      </c>
      <c r="ER18" s="22" t="s">
        <v>218</v>
      </c>
      <c r="ES18" s="22">
        <v>29</v>
      </c>
      <c r="ET18" s="22">
        <v>78</v>
      </c>
      <c r="EU18" s="22" t="s">
        <v>218</v>
      </c>
      <c r="EV18" s="22" t="s">
        <v>218</v>
      </c>
      <c r="EW18" s="22" t="s">
        <v>218</v>
      </c>
      <c r="EX18" s="22" t="s">
        <v>218</v>
      </c>
      <c r="EY18" s="22" t="s">
        <v>218</v>
      </c>
      <c r="EZ18" s="22" t="s">
        <v>218</v>
      </c>
      <c r="FA18" s="22" t="s">
        <v>218</v>
      </c>
      <c r="FB18" s="22" t="s">
        <v>218</v>
      </c>
      <c r="FC18" s="22" t="s">
        <v>218</v>
      </c>
      <c r="FD18" s="22" t="s">
        <v>218</v>
      </c>
      <c r="FE18" s="22" t="s">
        <v>218</v>
      </c>
      <c r="FF18" s="22" t="s">
        <v>218</v>
      </c>
      <c r="FG18" s="22">
        <v>0.77</v>
      </c>
      <c r="FH18" s="22">
        <v>0.25</v>
      </c>
      <c r="FI18" s="22">
        <v>0.23</v>
      </c>
      <c r="FJ18" s="22" t="s">
        <v>218</v>
      </c>
      <c r="FK18" s="22">
        <v>1.48</v>
      </c>
      <c r="FL18" s="22">
        <v>1.82</v>
      </c>
      <c r="FM18" s="22" t="s">
        <v>218</v>
      </c>
      <c r="FN18" s="22">
        <v>2.4900000000000002</v>
      </c>
      <c r="FO18" s="22">
        <v>2.06</v>
      </c>
      <c r="FP18" s="22" t="s">
        <v>218</v>
      </c>
      <c r="FQ18" s="22" t="s">
        <v>218</v>
      </c>
      <c r="FR18" s="22" t="s">
        <v>218</v>
      </c>
      <c r="FS18" s="22" t="s">
        <v>218</v>
      </c>
      <c r="FT18" s="22" t="s">
        <v>218</v>
      </c>
      <c r="FU18" s="22" t="s">
        <v>218</v>
      </c>
      <c r="FV18" s="22" t="s">
        <v>218</v>
      </c>
      <c r="FW18" s="22" t="s">
        <v>218</v>
      </c>
      <c r="FX18" s="22" t="s">
        <v>218</v>
      </c>
      <c r="FY18" s="22" t="s">
        <v>218</v>
      </c>
      <c r="FZ18" s="22" t="s">
        <v>218</v>
      </c>
      <c r="GA18" s="22">
        <v>0.1</v>
      </c>
      <c r="GB18" s="22">
        <v>0.26</v>
      </c>
      <c r="GC18" s="22" t="s">
        <v>218</v>
      </c>
      <c r="GD18" s="22" t="s">
        <v>218</v>
      </c>
      <c r="GE18" s="22" t="s">
        <v>218</v>
      </c>
      <c r="GF18" s="22" t="s">
        <v>218</v>
      </c>
      <c r="GG18" s="22" t="s">
        <v>218</v>
      </c>
      <c r="GH18" s="22" t="s">
        <v>218</v>
      </c>
      <c r="GI18" s="22" t="s">
        <v>218</v>
      </c>
      <c r="GJ18" s="22" t="s">
        <v>218</v>
      </c>
      <c r="GK18" s="22" t="s">
        <v>218</v>
      </c>
      <c r="GL18" s="22" t="s">
        <v>218</v>
      </c>
      <c r="GM18" s="22" t="s">
        <v>218</v>
      </c>
      <c r="GN18" s="22" t="s">
        <v>218</v>
      </c>
      <c r="GO18" s="22" t="s">
        <v>238</v>
      </c>
      <c r="GP18" s="22" t="s">
        <v>238</v>
      </c>
      <c r="GQ18" s="22" t="s">
        <v>238</v>
      </c>
      <c r="GR18" s="22" t="s">
        <v>218</v>
      </c>
      <c r="GS18" s="22" t="s">
        <v>238</v>
      </c>
      <c r="GT18" s="22" t="s">
        <v>238</v>
      </c>
      <c r="GU18" s="22" t="s">
        <v>218</v>
      </c>
      <c r="GV18" s="22" t="s">
        <v>238</v>
      </c>
      <c r="GW18" s="22" t="s">
        <v>238</v>
      </c>
      <c r="GX18" s="22" t="s">
        <v>218</v>
      </c>
      <c r="GY18" s="22" t="s">
        <v>218</v>
      </c>
      <c r="GZ18" s="22" t="s">
        <v>218</v>
      </c>
      <c r="HA18" s="22" t="s">
        <v>218</v>
      </c>
      <c r="HB18" s="22" t="s">
        <v>218</v>
      </c>
      <c r="HC18" s="22" t="s">
        <v>218</v>
      </c>
      <c r="HD18" s="22" t="s">
        <v>218</v>
      </c>
      <c r="HE18" s="22" t="s">
        <v>218</v>
      </c>
      <c r="HF18" s="22" t="s">
        <v>218</v>
      </c>
      <c r="HG18" s="22" t="s">
        <v>218</v>
      </c>
      <c r="HH18" s="22" t="s">
        <v>218</v>
      </c>
      <c r="HI18" s="22" t="s">
        <v>238</v>
      </c>
      <c r="HJ18" s="22" t="s">
        <v>238</v>
      </c>
      <c r="HK18" s="22" t="s">
        <v>218</v>
      </c>
      <c r="HL18" s="22" t="s">
        <v>218</v>
      </c>
      <c r="HM18" s="620">
        <f>'background data'!$G$10</f>
        <v>0.47300000000000003</v>
      </c>
      <c r="HN18" s="620">
        <f>'background data'!$H$10</f>
        <v>0.13</v>
      </c>
      <c r="HO18" s="620">
        <f>'background data'!$J$10</f>
        <v>0.39100000000000001</v>
      </c>
      <c r="HP18" s="620">
        <f>'background data'!$L$10</f>
        <v>5.5E-2</v>
      </c>
      <c r="HQ18" s="620">
        <f>'background data'!$M$10</f>
        <v>3.97</v>
      </c>
      <c r="HR18" s="620">
        <f>'background data'!$N$10</f>
        <v>4.5999999999999999E-3</v>
      </c>
      <c r="HS18" s="620">
        <f>'background data'!$O$10</f>
        <v>2.73</v>
      </c>
      <c r="HT18" s="145"/>
      <c r="HU18" s="145" t="s">
        <v>1809</v>
      </c>
      <c r="HV18" s="22" t="s">
        <v>1927</v>
      </c>
      <c r="HW18" s="22" t="s">
        <v>231</v>
      </c>
      <c r="HX18" s="22" t="s">
        <v>232</v>
      </c>
      <c r="HY18" s="22" t="s">
        <v>233</v>
      </c>
      <c r="HZ18" s="19"/>
      <c r="IA18" s="19"/>
      <c r="IB18" s="620">
        <f>'background data'!$G$10</f>
        <v>0.47300000000000003</v>
      </c>
      <c r="IC18" s="620">
        <f>'background data'!$H$10</f>
        <v>0.13</v>
      </c>
      <c r="ID18" s="620">
        <f>'background data'!$J$10</f>
        <v>0.39100000000000001</v>
      </c>
      <c r="IE18" s="620">
        <f>'background data'!$L$10</f>
        <v>5.5E-2</v>
      </c>
      <c r="IF18" s="620">
        <f>'background data'!$M$10</f>
        <v>3.97</v>
      </c>
      <c r="IG18" s="620">
        <f>'background data'!$N$10</f>
        <v>4.5999999999999999E-3</v>
      </c>
      <c r="IH18" s="620">
        <f>'background data'!$O$10</f>
        <v>2.73</v>
      </c>
      <c r="II18" s="145"/>
      <c r="IJ18" s="145">
        <v>1</v>
      </c>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row>
    <row r="19" spans="1:383" s="16" customFormat="1" ht="15" customHeight="1" x14ac:dyDescent="0.2">
      <c r="A19" s="15">
        <v>50400</v>
      </c>
      <c r="B19" s="25">
        <v>504</v>
      </c>
      <c r="C19" s="26">
        <v>0</v>
      </c>
      <c r="D19" s="20" t="s">
        <v>242</v>
      </c>
      <c r="E19" s="14">
        <v>42303</v>
      </c>
      <c r="F19" s="18">
        <v>1.0060675958188201</v>
      </c>
      <c r="G19" s="18">
        <v>1.0136717387755101</v>
      </c>
      <c r="H19" s="21">
        <v>83.2</v>
      </c>
      <c r="I19" s="21">
        <v>76.7</v>
      </c>
      <c r="J19" s="21">
        <v>90</v>
      </c>
      <c r="K19" s="18">
        <v>1</v>
      </c>
      <c r="L19" s="18">
        <v>85</v>
      </c>
      <c r="M19" s="18">
        <v>8.4</v>
      </c>
      <c r="N19" s="18">
        <v>2.7</v>
      </c>
      <c r="O19" s="18">
        <v>1.9</v>
      </c>
      <c r="P19" s="18">
        <v>4.5999999999999996</v>
      </c>
      <c r="Q19" s="19"/>
      <c r="R19" s="18">
        <v>72.371534693877607</v>
      </c>
      <c r="S19" s="18">
        <v>39</v>
      </c>
      <c r="T19" s="18">
        <v>47</v>
      </c>
      <c r="U19" s="18">
        <v>50</v>
      </c>
      <c r="V19" s="18">
        <v>52</v>
      </c>
      <c r="W19" s="18">
        <v>54</v>
      </c>
      <c r="X19" s="18"/>
      <c r="Y19" s="18">
        <v>0.71764705882352942</v>
      </c>
      <c r="Z19" s="18">
        <v>3.4117647058823528</v>
      </c>
      <c r="AA19" s="18">
        <v>0.2</v>
      </c>
      <c r="AB19" s="18">
        <v>1.4999999999999998</v>
      </c>
      <c r="AC19" s="18">
        <v>5.8999999999999995</v>
      </c>
      <c r="AD19" s="18">
        <v>1.1000000000000001</v>
      </c>
      <c r="AE19" s="18">
        <v>1.3</v>
      </c>
      <c r="AF19" s="18">
        <v>50</v>
      </c>
      <c r="AG19" s="18">
        <v>3.4</v>
      </c>
      <c r="AH19" s="18">
        <v>15</v>
      </c>
      <c r="AI19" s="18">
        <v>29</v>
      </c>
      <c r="AJ19" s="18">
        <v>0</v>
      </c>
      <c r="AK19" s="18">
        <v>0.04</v>
      </c>
      <c r="AL19" s="18"/>
      <c r="AM19" s="18">
        <v>3.94505882352941</v>
      </c>
      <c r="AN19" s="18">
        <v>1.75458823529412</v>
      </c>
      <c r="AO19" s="18">
        <v>2.4678823529411802</v>
      </c>
      <c r="AP19" s="18">
        <v>3.5387058823529398</v>
      </c>
      <c r="AQ19" s="18">
        <v>1.3743529411764701</v>
      </c>
      <c r="AR19" s="18">
        <v>3.6416470588235299</v>
      </c>
      <c r="AS19" s="18">
        <v>6.9129411764705901</v>
      </c>
      <c r="AT19" s="18">
        <v>2.3234117647058801</v>
      </c>
      <c r="AU19" s="18">
        <v>4.6765882352941199</v>
      </c>
      <c r="AV19" s="18">
        <v>3.1876470588235302</v>
      </c>
      <c r="AW19" s="18">
        <v>5.1970588235294102</v>
      </c>
      <c r="AX19" s="18"/>
      <c r="AY19" s="18">
        <v>0.94</v>
      </c>
      <c r="AZ19" s="18">
        <v>1.08</v>
      </c>
      <c r="BA19" s="18">
        <v>1.03</v>
      </c>
      <c r="BB19" s="18">
        <v>0.95</v>
      </c>
      <c r="BC19" s="18">
        <v>0.96</v>
      </c>
      <c r="BD19" s="18">
        <v>1</v>
      </c>
      <c r="BE19" s="18">
        <v>1.01</v>
      </c>
      <c r="BF19" s="18">
        <v>1</v>
      </c>
      <c r="BG19" s="18">
        <v>1.04</v>
      </c>
      <c r="BH19" s="18">
        <v>0.97</v>
      </c>
      <c r="BI19" s="18">
        <v>0.96</v>
      </c>
      <c r="BJ19" s="19"/>
      <c r="BK19" s="18">
        <v>9.882352941176471</v>
      </c>
      <c r="BL19" s="18">
        <v>3.1764705882352939</v>
      </c>
      <c r="BM19" s="18">
        <v>2.2352941176470589</v>
      </c>
      <c r="BN19" s="18">
        <v>5.4117647058823524</v>
      </c>
      <c r="BO19" s="18"/>
      <c r="BP19" s="18">
        <v>120</v>
      </c>
      <c r="BQ19" s="18">
        <v>38.117647058823529</v>
      </c>
      <c r="BR19" s="18">
        <v>1.1836089362574356</v>
      </c>
      <c r="BS19" s="18">
        <v>1.1925549867947178</v>
      </c>
      <c r="BT19" s="19"/>
      <c r="BU19" s="18">
        <v>977.64705882352939</v>
      </c>
      <c r="BV19" s="18">
        <v>601.87966386554592</v>
      </c>
      <c r="BW19" s="18">
        <v>90.781512605041996</v>
      </c>
      <c r="BX19" s="18">
        <v>604</v>
      </c>
      <c r="BY19" s="18">
        <v>21.000000000000004</v>
      </c>
      <c r="BZ19" s="18">
        <v>56</v>
      </c>
      <c r="CA19" s="18">
        <v>165</v>
      </c>
      <c r="CB19" s="19"/>
      <c r="CC19" s="19">
        <v>0.61</v>
      </c>
      <c r="CD19" s="19">
        <v>2.9</v>
      </c>
      <c r="CE19" s="19">
        <v>0.17</v>
      </c>
      <c r="CF19" s="19">
        <v>1.2749999999999997</v>
      </c>
      <c r="CG19" s="19">
        <v>5.0149999999999997</v>
      </c>
      <c r="CH19" s="19">
        <v>0.93500000000000005</v>
      </c>
      <c r="CI19" s="19">
        <v>1.105</v>
      </c>
      <c r="CJ19" s="19"/>
      <c r="CK19" s="19">
        <v>42.5</v>
      </c>
      <c r="CL19" s="19">
        <v>2.8899999999999997</v>
      </c>
      <c r="CM19" s="19">
        <v>12.75</v>
      </c>
      <c r="CN19" s="19">
        <v>24.65</v>
      </c>
      <c r="CO19" s="19">
        <v>0</v>
      </c>
      <c r="CP19" s="19">
        <v>3.4000000000000002E-2</v>
      </c>
      <c r="CQ19" s="19">
        <v>60.792089142857201</v>
      </c>
      <c r="CR19" s="19">
        <v>60.425451923416361</v>
      </c>
      <c r="CS19" s="19">
        <v>2.2407904453965202</v>
      </c>
      <c r="CT19" s="19">
        <v>1.1450353002172902</v>
      </c>
      <c r="CU19" s="19">
        <v>1.5359659366440286</v>
      </c>
      <c r="CV19" s="19">
        <v>2.681001236861329</v>
      </c>
      <c r="CW19" s="19">
        <v>2.031365070569664</v>
      </c>
      <c r="CX19" s="19">
        <v>0.79724061669950064</v>
      </c>
      <c r="CY19" s="19">
        <v>2.2004816927499102</v>
      </c>
      <c r="CZ19" s="19">
        <v>4.2189477065531076</v>
      </c>
      <c r="DA19" s="19">
        <v>1.403932058865351</v>
      </c>
      <c r="DB19" s="19">
        <v>2.9388835588047471</v>
      </c>
      <c r="DC19" s="19">
        <v>1.8683656367870736</v>
      </c>
      <c r="DD19" s="19">
        <v>4.8072491955918206</v>
      </c>
      <c r="DE19" s="19">
        <v>3.0147324296096887</v>
      </c>
      <c r="DF19" s="23">
        <v>0</v>
      </c>
      <c r="DG19" s="23">
        <v>0</v>
      </c>
      <c r="DH19" s="23">
        <v>0</v>
      </c>
      <c r="DI19" s="19">
        <v>0</v>
      </c>
      <c r="DJ19" s="19">
        <v>0</v>
      </c>
      <c r="DK19" s="19">
        <v>0</v>
      </c>
      <c r="DL19" s="19">
        <v>0</v>
      </c>
      <c r="DM19" s="19">
        <v>0</v>
      </c>
      <c r="DN19" s="19">
        <v>0</v>
      </c>
      <c r="DO19" s="19">
        <v>0</v>
      </c>
      <c r="DP19" s="19">
        <v>0</v>
      </c>
      <c r="DQ19" s="19">
        <v>0</v>
      </c>
      <c r="DR19" s="19">
        <v>0</v>
      </c>
      <c r="DS19" s="19">
        <v>0</v>
      </c>
      <c r="DT19" s="19">
        <v>0</v>
      </c>
      <c r="DU19" s="19">
        <v>0</v>
      </c>
      <c r="DV19" s="19">
        <v>0</v>
      </c>
      <c r="DW19" s="17" t="s">
        <v>230</v>
      </c>
      <c r="DX19" s="22" t="s">
        <v>218</v>
      </c>
      <c r="DY19" s="22">
        <v>16</v>
      </c>
      <c r="DZ19" s="22">
        <v>8</v>
      </c>
      <c r="EA19" s="22">
        <v>8</v>
      </c>
      <c r="EB19" s="22" t="s">
        <v>218</v>
      </c>
      <c r="EC19" s="22">
        <v>8</v>
      </c>
      <c r="ED19" s="22">
        <v>8</v>
      </c>
      <c r="EE19" s="22" t="s">
        <v>218</v>
      </c>
      <c r="EF19" s="22">
        <v>8</v>
      </c>
      <c r="EG19" s="22">
        <v>8</v>
      </c>
      <c r="EH19" s="22" t="s">
        <v>218</v>
      </c>
      <c r="EI19" s="22" t="s">
        <v>218</v>
      </c>
      <c r="EJ19" s="22" t="s">
        <v>218</v>
      </c>
      <c r="EK19" s="22" t="s">
        <v>218</v>
      </c>
      <c r="EL19" s="22" t="s">
        <v>218</v>
      </c>
      <c r="EM19" s="22" t="s">
        <v>218</v>
      </c>
      <c r="EN19" s="22" t="s">
        <v>218</v>
      </c>
      <c r="EO19" s="22" t="s">
        <v>218</v>
      </c>
      <c r="EP19" s="22" t="s">
        <v>218</v>
      </c>
      <c r="EQ19" s="22" t="s">
        <v>218</v>
      </c>
      <c r="ER19" s="22" t="s">
        <v>218</v>
      </c>
      <c r="ES19" s="22">
        <v>8</v>
      </c>
      <c r="ET19" s="22">
        <v>16</v>
      </c>
      <c r="EU19" s="22" t="s">
        <v>218</v>
      </c>
      <c r="EV19" s="22" t="s">
        <v>218</v>
      </c>
      <c r="EW19" s="22" t="s">
        <v>218</v>
      </c>
      <c r="EX19" s="22" t="s">
        <v>218</v>
      </c>
      <c r="EY19" s="22" t="s">
        <v>218</v>
      </c>
      <c r="EZ19" s="22" t="s">
        <v>218</v>
      </c>
      <c r="FA19" s="22" t="s">
        <v>218</v>
      </c>
      <c r="FB19" s="22" t="s">
        <v>218</v>
      </c>
      <c r="FC19" s="22" t="s">
        <v>218</v>
      </c>
      <c r="FD19" s="22" t="s">
        <v>218</v>
      </c>
      <c r="FE19" s="22" t="s">
        <v>218</v>
      </c>
      <c r="FF19" s="22" t="s">
        <v>218</v>
      </c>
      <c r="FG19" s="22">
        <v>0.9</v>
      </c>
      <c r="FH19" s="22">
        <v>0.2</v>
      </c>
      <c r="FI19" s="22">
        <v>0.2</v>
      </c>
      <c r="FJ19" s="22" t="s">
        <v>218</v>
      </c>
      <c r="FK19" s="22">
        <v>1</v>
      </c>
      <c r="FL19" s="22">
        <v>0.9</v>
      </c>
      <c r="FM19" s="22" t="s">
        <v>218</v>
      </c>
      <c r="FN19" s="22">
        <v>1.5</v>
      </c>
      <c r="FO19" s="22">
        <v>1.3</v>
      </c>
      <c r="FP19" s="22" t="s">
        <v>218</v>
      </c>
      <c r="FQ19" s="22" t="s">
        <v>218</v>
      </c>
      <c r="FR19" s="22" t="s">
        <v>218</v>
      </c>
      <c r="FS19" s="22" t="s">
        <v>218</v>
      </c>
      <c r="FT19" s="22" t="s">
        <v>218</v>
      </c>
      <c r="FU19" s="22" t="s">
        <v>218</v>
      </c>
      <c r="FV19" s="22" t="s">
        <v>218</v>
      </c>
      <c r="FW19" s="22" t="s">
        <v>218</v>
      </c>
      <c r="FX19" s="22" t="s">
        <v>218</v>
      </c>
      <c r="FY19" s="22" t="s">
        <v>218</v>
      </c>
      <c r="FZ19" s="22" t="s">
        <v>218</v>
      </c>
      <c r="GA19" s="22">
        <v>0.1</v>
      </c>
      <c r="GB19" s="22">
        <v>0.3</v>
      </c>
      <c r="GC19" s="22" t="s">
        <v>218</v>
      </c>
      <c r="GD19" s="22" t="s">
        <v>218</v>
      </c>
      <c r="GE19" s="22" t="s">
        <v>218</v>
      </c>
      <c r="GF19" s="22" t="s">
        <v>218</v>
      </c>
      <c r="GG19" s="22" t="s">
        <v>218</v>
      </c>
      <c r="GH19" s="22" t="s">
        <v>218</v>
      </c>
      <c r="GI19" s="22" t="s">
        <v>218</v>
      </c>
      <c r="GJ19" s="22" t="s">
        <v>218</v>
      </c>
      <c r="GK19" s="22" t="s">
        <v>218</v>
      </c>
      <c r="GL19" s="22" t="s">
        <v>218</v>
      </c>
      <c r="GM19" s="22" t="s">
        <v>218</v>
      </c>
      <c r="GN19" s="22" t="s">
        <v>218</v>
      </c>
      <c r="GO19" s="22">
        <v>2015</v>
      </c>
      <c r="GP19" s="22">
        <v>2015</v>
      </c>
      <c r="GQ19" s="22">
        <v>2015</v>
      </c>
      <c r="GR19" s="22" t="s">
        <v>218</v>
      </c>
      <c r="GS19" s="22">
        <v>2015</v>
      </c>
      <c r="GT19" s="22">
        <v>2015</v>
      </c>
      <c r="GU19" s="22" t="s">
        <v>218</v>
      </c>
      <c r="GV19" s="22">
        <v>2015</v>
      </c>
      <c r="GW19" s="22">
        <v>2015</v>
      </c>
      <c r="GX19" s="22" t="s">
        <v>218</v>
      </c>
      <c r="GY19" s="22" t="s">
        <v>218</v>
      </c>
      <c r="GZ19" s="22" t="s">
        <v>218</v>
      </c>
      <c r="HA19" s="22" t="s">
        <v>218</v>
      </c>
      <c r="HB19" s="22" t="s">
        <v>218</v>
      </c>
      <c r="HC19" s="22" t="s">
        <v>218</v>
      </c>
      <c r="HD19" s="22" t="s">
        <v>218</v>
      </c>
      <c r="HE19" s="22" t="s">
        <v>218</v>
      </c>
      <c r="HF19" s="22" t="s">
        <v>218</v>
      </c>
      <c r="HG19" s="22" t="s">
        <v>218</v>
      </c>
      <c r="HH19" s="22" t="s">
        <v>218</v>
      </c>
      <c r="HI19" s="22">
        <v>2015</v>
      </c>
      <c r="HJ19" s="22">
        <v>2015</v>
      </c>
      <c r="HK19" s="22" t="s">
        <v>218</v>
      </c>
      <c r="HL19" s="22" t="s">
        <v>218</v>
      </c>
      <c r="HM19" s="620">
        <f>'background data'!$G$10</f>
        <v>0.47300000000000003</v>
      </c>
      <c r="HN19" s="620">
        <f>'background data'!$H$10</f>
        <v>0.13</v>
      </c>
      <c r="HO19" s="620">
        <f>'background data'!$J$10</f>
        <v>0.39100000000000001</v>
      </c>
      <c r="HP19" s="620">
        <f>'background data'!$L$10</f>
        <v>5.5E-2</v>
      </c>
      <c r="HQ19" s="620">
        <f>'background data'!$M$10</f>
        <v>3.97</v>
      </c>
      <c r="HR19" s="620">
        <f>'background data'!$N$10</f>
        <v>4.5999999999999999E-3</v>
      </c>
      <c r="HS19" s="620">
        <f>'background data'!$O$10</f>
        <v>2.73</v>
      </c>
      <c r="HT19" s="145"/>
      <c r="HU19" s="145" t="s">
        <v>1809</v>
      </c>
      <c r="HV19" s="22" t="s">
        <v>1927</v>
      </c>
      <c r="HW19" s="22" t="s">
        <v>231</v>
      </c>
      <c r="HX19" s="22" t="s">
        <v>232</v>
      </c>
      <c r="HY19" s="22" t="s">
        <v>233</v>
      </c>
      <c r="HZ19" s="19"/>
      <c r="IA19" s="19"/>
      <c r="IB19" s="620">
        <f>'background data'!$G$10</f>
        <v>0.47300000000000003</v>
      </c>
      <c r="IC19" s="620">
        <f>'background data'!$H$10</f>
        <v>0.13</v>
      </c>
      <c r="ID19" s="620">
        <f>'background data'!$J$10</f>
        <v>0.39100000000000001</v>
      </c>
      <c r="IE19" s="620">
        <f>'background data'!$L$10</f>
        <v>5.5E-2</v>
      </c>
      <c r="IF19" s="620">
        <f>'background data'!$M$10</f>
        <v>3.97</v>
      </c>
      <c r="IG19" s="620">
        <f>'background data'!$N$10</f>
        <v>4.5999999999999999E-3</v>
      </c>
      <c r="IH19" s="620">
        <f>'background data'!$O$10</f>
        <v>2.73</v>
      </c>
      <c r="II19" s="145"/>
      <c r="IJ19" s="145">
        <v>1</v>
      </c>
      <c r="IK19" s="145"/>
      <c r="IL19" s="145"/>
      <c r="IM19" s="145"/>
      <c r="IN19" s="145"/>
      <c r="IO19" s="145"/>
      <c r="IP19" s="145"/>
      <c r="IQ19" s="145"/>
      <c r="IR19" s="145"/>
      <c r="IS19" s="145"/>
      <c r="IT19" s="145"/>
      <c r="IU19" s="145"/>
      <c r="IV19" s="145"/>
      <c r="IW19" s="145"/>
      <c r="IX19" s="145"/>
      <c r="IY19" s="145"/>
      <c r="IZ19" s="145"/>
      <c r="JA19" s="145"/>
      <c r="JB19" s="145"/>
      <c r="JC19" s="145"/>
      <c r="JD19" s="145"/>
      <c r="JE19" s="145"/>
      <c r="JF19" s="145"/>
      <c r="JG19" s="145"/>
      <c r="JH19" s="145"/>
      <c r="JI19" s="145"/>
      <c r="JJ19" s="145"/>
      <c r="JK19" s="145"/>
      <c r="JL19" s="145"/>
      <c r="JM19" s="145"/>
      <c r="JN19" s="145"/>
      <c r="JO19" s="145"/>
      <c r="JP19" s="145"/>
      <c r="JQ19" s="145"/>
      <c r="JR19" s="145"/>
      <c r="JS19" s="145"/>
      <c r="JT19" s="145"/>
      <c r="JU19" s="145"/>
      <c r="JV19" s="145"/>
      <c r="JW19" s="145"/>
      <c r="JX19" s="145"/>
      <c r="JY19" s="145"/>
      <c r="JZ19" s="145"/>
      <c r="KA19" s="145"/>
      <c r="KB19" s="145"/>
      <c r="KC19" s="145"/>
      <c r="KD19" s="145"/>
      <c r="KE19" s="145"/>
      <c r="KF19" s="145"/>
      <c r="KG19" s="145"/>
      <c r="KH19" s="145"/>
      <c r="KI19" s="145"/>
      <c r="KJ19" s="145"/>
      <c r="KK19" s="145"/>
      <c r="KL19" s="145"/>
      <c r="KM19" s="145"/>
      <c r="KN19" s="145"/>
      <c r="KO19" s="145"/>
      <c r="KP19" s="145"/>
      <c r="KQ19" s="145"/>
      <c r="KR19" s="145"/>
      <c r="KS19" s="145"/>
      <c r="KT19" s="145"/>
      <c r="KU19" s="145"/>
      <c r="KV19" s="145"/>
      <c r="KW19" s="145"/>
      <c r="KX19" s="145"/>
      <c r="KY19" s="145"/>
      <c r="KZ19" s="145"/>
      <c r="LA19" s="145"/>
      <c r="LB19" s="145"/>
      <c r="LC19" s="145"/>
      <c r="LD19" s="145"/>
      <c r="LE19" s="145"/>
      <c r="LF19" s="145"/>
      <c r="LG19" s="145"/>
      <c r="LH19" s="145"/>
      <c r="LI19" s="145"/>
      <c r="LJ19" s="145"/>
      <c r="LK19" s="145"/>
      <c r="LL19" s="145"/>
      <c r="LM19" s="145"/>
      <c r="LN19" s="145"/>
      <c r="LO19" s="145"/>
      <c r="LP19" s="145"/>
      <c r="LQ19" s="145"/>
      <c r="LR19" s="145"/>
      <c r="LS19" s="145"/>
      <c r="LT19" s="145"/>
      <c r="LU19" s="145"/>
      <c r="LV19" s="145"/>
      <c r="LW19" s="145"/>
      <c r="LX19" s="145"/>
      <c r="LY19" s="145"/>
      <c r="LZ19" s="145"/>
      <c r="MA19" s="145"/>
      <c r="MB19" s="145"/>
      <c r="MC19" s="145"/>
      <c r="MD19" s="145"/>
      <c r="ME19" s="145"/>
      <c r="MF19" s="145"/>
      <c r="MG19" s="145"/>
      <c r="MH19" s="145"/>
      <c r="MI19" s="145"/>
      <c r="MJ19" s="145"/>
      <c r="MK19" s="145"/>
      <c r="ML19" s="145"/>
      <c r="MM19" s="145"/>
      <c r="MN19" s="145"/>
      <c r="MO19" s="145"/>
      <c r="MP19" s="145"/>
      <c r="MQ19" s="145"/>
      <c r="MR19" s="145"/>
      <c r="MS19" s="145"/>
      <c r="MT19" s="145"/>
      <c r="MU19" s="145"/>
      <c r="MV19" s="145"/>
      <c r="MW19" s="145"/>
      <c r="MX19" s="145"/>
      <c r="MY19" s="145"/>
      <c r="MZ19" s="145"/>
      <c r="NA19" s="145"/>
      <c r="NB19" s="145"/>
      <c r="NC19" s="145"/>
      <c r="ND19" s="145"/>
      <c r="NE19" s="145"/>
      <c r="NF19" s="145"/>
      <c r="NG19" s="145"/>
      <c r="NH19" s="145"/>
      <c r="NI19" s="145"/>
      <c r="NJ19" s="145"/>
      <c r="NK19" s="145"/>
      <c r="NL19" s="145"/>
      <c r="NM19" s="145"/>
      <c r="NN19" s="145"/>
      <c r="NO19" s="145"/>
      <c r="NP19" s="145"/>
      <c r="NQ19" s="145"/>
      <c r="NR19" s="145"/>
      <c r="NS19" s="145"/>
    </row>
    <row r="20" spans="1:383" s="16" customFormat="1" ht="15" customHeight="1" x14ac:dyDescent="0.2">
      <c r="A20" s="15">
        <v>50401</v>
      </c>
      <c r="B20" s="25">
        <v>504</v>
      </c>
      <c r="C20" s="26">
        <v>1</v>
      </c>
      <c r="D20" s="20" t="s">
        <v>243</v>
      </c>
      <c r="E20" s="14">
        <v>42303</v>
      </c>
      <c r="F20" s="18">
        <v>1.01209982578397</v>
      </c>
      <c r="G20" s="18">
        <v>1.0179115346938801</v>
      </c>
      <c r="H20" s="21">
        <v>83.2</v>
      </c>
      <c r="I20" s="21">
        <v>77.200031999999993</v>
      </c>
      <c r="J20" s="21">
        <v>90</v>
      </c>
      <c r="K20" s="18">
        <v>1</v>
      </c>
      <c r="L20" s="18">
        <v>85</v>
      </c>
      <c r="M20" s="18">
        <v>8.4</v>
      </c>
      <c r="N20" s="18">
        <v>2.7</v>
      </c>
      <c r="O20" s="18">
        <v>1.9</v>
      </c>
      <c r="P20" s="18">
        <v>4.5999999999999996</v>
      </c>
      <c r="Q20" s="19"/>
      <c r="R20" s="18">
        <v>72.837912244898007</v>
      </c>
      <c r="S20" s="18">
        <v>39</v>
      </c>
      <c r="T20" s="18">
        <v>47</v>
      </c>
      <c r="U20" s="18">
        <v>50</v>
      </c>
      <c r="V20" s="18">
        <v>52</v>
      </c>
      <c r="W20" s="18">
        <v>54</v>
      </c>
      <c r="X20" s="18"/>
      <c r="Y20" s="18">
        <v>0.71764705882352942</v>
      </c>
      <c r="Z20" s="18">
        <v>3.4117647058823528</v>
      </c>
      <c r="AA20" s="18">
        <v>0.2</v>
      </c>
      <c r="AB20" s="18">
        <v>1.4999999999999998</v>
      </c>
      <c r="AC20" s="18">
        <v>5.8999999999999995</v>
      </c>
      <c r="AD20" s="18">
        <v>1.1000000000000001</v>
      </c>
      <c r="AE20" s="18">
        <v>1.3</v>
      </c>
      <c r="AF20" s="18">
        <v>50</v>
      </c>
      <c r="AG20" s="18">
        <v>3.4</v>
      </c>
      <c r="AH20" s="18">
        <v>15</v>
      </c>
      <c r="AI20" s="18">
        <v>29</v>
      </c>
      <c r="AJ20" s="18">
        <v>0</v>
      </c>
      <c r="AK20" s="18">
        <v>0.04</v>
      </c>
      <c r="AL20" s="18"/>
      <c r="AM20" s="18">
        <v>3.94505882352941</v>
      </c>
      <c r="AN20" s="18">
        <v>1.75458823529412</v>
      </c>
      <c r="AO20" s="18">
        <v>2.4678823529411802</v>
      </c>
      <c r="AP20" s="18">
        <v>3.5387058823529398</v>
      </c>
      <c r="AQ20" s="18">
        <v>1.3743529411764701</v>
      </c>
      <c r="AR20" s="18">
        <v>3.6416470588235299</v>
      </c>
      <c r="AS20" s="18">
        <v>6.9129411764705901</v>
      </c>
      <c r="AT20" s="18">
        <v>2.3234117647058801</v>
      </c>
      <c r="AU20" s="18">
        <v>4.6765882352941199</v>
      </c>
      <c r="AV20" s="18">
        <v>3.1876470588235302</v>
      </c>
      <c r="AW20" s="18">
        <v>5.1970588235294102</v>
      </c>
      <c r="AX20" s="18"/>
      <c r="AY20" s="18">
        <v>0.94</v>
      </c>
      <c r="AZ20" s="18">
        <v>1.08</v>
      </c>
      <c r="BA20" s="18">
        <v>1.03</v>
      </c>
      <c r="BB20" s="18">
        <v>0.95</v>
      </c>
      <c r="BC20" s="18">
        <v>0.96</v>
      </c>
      <c r="BD20" s="18">
        <v>1</v>
      </c>
      <c r="BE20" s="18">
        <v>1.01</v>
      </c>
      <c r="BF20" s="18">
        <v>1</v>
      </c>
      <c r="BG20" s="18">
        <v>1.04</v>
      </c>
      <c r="BH20" s="18">
        <v>0.97</v>
      </c>
      <c r="BI20" s="18">
        <v>0.96</v>
      </c>
      <c r="BJ20" s="19"/>
      <c r="BK20" s="18">
        <v>9.882352941176471</v>
      </c>
      <c r="BL20" s="18">
        <v>3.1764705882352939</v>
      </c>
      <c r="BM20" s="18">
        <v>2.2352941176470589</v>
      </c>
      <c r="BN20" s="18">
        <v>5.4117647058823524</v>
      </c>
      <c r="BO20" s="18"/>
      <c r="BP20" s="18">
        <v>120</v>
      </c>
      <c r="BQ20" s="18">
        <v>38.117647058823529</v>
      </c>
      <c r="BR20" s="18">
        <v>1.1907056773929057</v>
      </c>
      <c r="BS20" s="18">
        <v>1.1975429819928001</v>
      </c>
      <c r="BT20" s="19"/>
      <c r="BU20" s="18">
        <v>977.64705882352939</v>
      </c>
      <c r="BV20" s="18">
        <v>608.86285714285646</v>
      </c>
      <c r="BW20" s="18">
        <v>83.797872403361296</v>
      </c>
      <c r="BX20" s="18">
        <v>604</v>
      </c>
      <c r="BY20" s="18">
        <v>21.000000000000004</v>
      </c>
      <c r="BZ20" s="18">
        <v>56</v>
      </c>
      <c r="CA20" s="18">
        <v>165</v>
      </c>
      <c r="CB20" s="19"/>
      <c r="CC20" s="19">
        <v>0.61</v>
      </c>
      <c r="CD20" s="19">
        <v>2.9</v>
      </c>
      <c r="CE20" s="19">
        <v>0.17</v>
      </c>
      <c r="CF20" s="19">
        <v>1.2749999999999997</v>
      </c>
      <c r="CG20" s="19">
        <v>5.0149999999999997</v>
      </c>
      <c r="CH20" s="19">
        <v>0.93500000000000005</v>
      </c>
      <c r="CI20" s="19">
        <v>1.105</v>
      </c>
      <c r="CJ20" s="19"/>
      <c r="CK20" s="19">
        <v>42.5</v>
      </c>
      <c r="CL20" s="19">
        <v>2.8899999999999997</v>
      </c>
      <c r="CM20" s="19">
        <v>12.75</v>
      </c>
      <c r="CN20" s="19">
        <v>24.65</v>
      </c>
      <c r="CO20" s="19">
        <v>0</v>
      </c>
      <c r="CP20" s="19">
        <v>3.4000000000000002E-2</v>
      </c>
      <c r="CQ20" s="19">
        <v>61.183846285714303</v>
      </c>
      <c r="CR20" s="19">
        <v>60.452382983389462</v>
      </c>
      <c r="CS20" s="19">
        <v>2.2417891447847991</v>
      </c>
      <c r="CT20" s="19">
        <v>1.1455456317640176</v>
      </c>
      <c r="CU20" s="19">
        <v>1.5366505023268751</v>
      </c>
      <c r="CV20" s="19">
        <v>2.6821961340908826</v>
      </c>
      <c r="CW20" s="19">
        <v>2.0322704310229387</v>
      </c>
      <c r="CX20" s="19">
        <v>0.79759593940173812</v>
      </c>
      <c r="CY20" s="19">
        <v>2.2014624269033343</v>
      </c>
      <c r="CZ20" s="19">
        <v>4.2208280521705923</v>
      </c>
      <c r="DA20" s="19">
        <v>1.4045577782811285</v>
      </c>
      <c r="DB20" s="19">
        <v>2.940193391778382</v>
      </c>
      <c r="DC20" s="19">
        <v>1.8691983499139866</v>
      </c>
      <c r="DD20" s="19">
        <v>4.8093917416923686</v>
      </c>
      <c r="DE20" s="19">
        <v>3.0160760677171514</v>
      </c>
      <c r="DF20" s="23">
        <v>0</v>
      </c>
      <c r="DG20" s="23">
        <v>0</v>
      </c>
      <c r="DH20" s="23">
        <v>0</v>
      </c>
      <c r="DI20" s="19">
        <v>0</v>
      </c>
      <c r="DJ20" s="19">
        <v>0</v>
      </c>
      <c r="DK20" s="19">
        <v>0</v>
      </c>
      <c r="DL20" s="19">
        <v>0</v>
      </c>
      <c r="DM20" s="19">
        <v>0</v>
      </c>
      <c r="DN20" s="19">
        <v>0</v>
      </c>
      <c r="DO20" s="19">
        <v>0</v>
      </c>
      <c r="DP20" s="19">
        <v>0</v>
      </c>
      <c r="DQ20" s="19">
        <v>0</v>
      </c>
      <c r="DR20" s="19">
        <v>0</v>
      </c>
      <c r="DS20" s="19">
        <v>0</v>
      </c>
      <c r="DT20" s="19">
        <v>0</v>
      </c>
      <c r="DU20" s="19">
        <v>0</v>
      </c>
      <c r="DV20" s="19">
        <v>0</v>
      </c>
      <c r="DW20" s="17" t="s">
        <v>230</v>
      </c>
      <c r="DX20" s="22" t="s">
        <v>218</v>
      </c>
      <c r="DY20" s="22">
        <v>16</v>
      </c>
      <c r="DZ20" s="22">
        <v>8</v>
      </c>
      <c r="EA20" s="22">
        <v>8</v>
      </c>
      <c r="EB20" s="22" t="s">
        <v>218</v>
      </c>
      <c r="EC20" s="22">
        <v>8</v>
      </c>
      <c r="ED20" s="22">
        <v>8</v>
      </c>
      <c r="EE20" s="22" t="s">
        <v>218</v>
      </c>
      <c r="EF20" s="22">
        <v>8</v>
      </c>
      <c r="EG20" s="22">
        <v>8</v>
      </c>
      <c r="EH20" s="22" t="s">
        <v>218</v>
      </c>
      <c r="EI20" s="22" t="s">
        <v>218</v>
      </c>
      <c r="EJ20" s="22" t="s">
        <v>218</v>
      </c>
      <c r="EK20" s="22" t="s">
        <v>218</v>
      </c>
      <c r="EL20" s="22" t="s">
        <v>218</v>
      </c>
      <c r="EM20" s="22" t="s">
        <v>218</v>
      </c>
      <c r="EN20" s="22" t="s">
        <v>218</v>
      </c>
      <c r="EO20" s="22" t="s">
        <v>218</v>
      </c>
      <c r="EP20" s="22" t="s">
        <v>218</v>
      </c>
      <c r="EQ20" s="22" t="s">
        <v>218</v>
      </c>
      <c r="ER20" s="22" t="s">
        <v>218</v>
      </c>
      <c r="ES20" s="22">
        <v>8</v>
      </c>
      <c r="ET20" s="22">
        <v>16</v>
      </c>
      <c r="EU20" s="22" t="s">
        <v>218</v>
      </c>
      <c r="EV20" s="22" t="s">
        <v>218</v>
      </c>
      <c r="EW20" s="22" t="s">
        <v>218</v>
      </c>
      <c r="EX20" s="22" t="s">
        <v>218</v>
      </c>
      <c r="EY20" s="22" t="s">
        <v>218</v>
      </c>
      <c r="EZ20" s="22" t="s">
        <v>218</v>
      </c>
      <c r="FA20" s="22" t="s">
        <v>218</v>
      </c>
      <c r="FB20" s="22" t="s">
        <v>218</v>
      </c>
      <c r="FC20" s="22" t="s">
        <v>218</v>
      </c>
      <c r="FD20" s="22" t="s">
        <v>218</v>
      </c>
      <c r="FE20" s="22" t="s">
        <v>218</v>
      </c>
      <c r="FF20" s="22" t="s">
        <v>218</v>
      </c>
      <c r="FG20" s="22">
        <v>0.9</v>
      </c>
      <c r="FH20" s="22">
        <v>0.2</v>
      </c>
      <c r="FI20" s="22">
        <v>0.2</v>
      </c>
      <c r="FJ20" s="22" t="s">
        <v>218</v>
      </c>
      <c r="FK20" s="22">
        <v>1</v>
      </c>
      <c r="FL20" s="22">
        <v>0.9</v>
      </c>
      <c r="FM20" s="22" t="s">
        <v>218</v>
      </c>
      <c r="FN20" s="22">
        <v>1.5</v>
      </c>
      <c r="FO20" s="22">
        <v>1.3</v>
      </c>
      <c r="FP20" s="22" t="s">
        <v>218</v>
      </c>
      <c r="FQ20" s="22" t="s">
        <v>218</v>
      </c>
      <c r="FR20" s="22" t="s">
        <v>218</v>
      </c>
      <c r="FS20" s="22" t="s">
        <v>218</v>
      </c>
      <c r="FT20" s="22" t="s">
        <v>218</v>
      </c>
      <c r="FU20" s="22" t="s">
        <v>218</v>
      </c>
      <c r="FV20" s="22" t="s">
        <v>218</v>
      </c>
      <c r="FW20" s="22" t="s">
        <v>218</v>
      </c>
      <c r="FX20" s="22" t="s">
        <v>218</v>
      </c>
      <c r="FY20" s="22" t="s">
        <v>218</v>
      </c>
      <c r="FZ20" s="22" t="s">
        <v>218</v>
      </c>
      <c r="GA20" s="22">
        <v>0.1</v>
      </c>
      <c r="GB20" s="22">
        <v>0.3</v>
      </c>
      <c r="GC20" s="22" t="s">
        <v>218</v>
      </c>
      <c r="GD20" s="22" t="s">
        <v>218</v>
      </c>
      <c r="GE20" s="22" t="s">
        <v>218</v>
      </c>
      <c r="GF20" s="22" t="s">
        <v>218</v>
      </c>
      <c r="GG20" s="22" t="s">
        <v>218</v>
      </c>
      <c r="GH20" s="22" t="s">
        <v>218</v>
      </c>
      <c r="GI20" s="22" t="s">
        <v>218</v>
      </c>
      <c r="GJ20" s="22" t="s">
        <v>218</v>
      </c>
      <c r="GK20" s="22" t="s">
        <v>218</v>
      </c>
      <c r="GL20" s="22" t="s">
        <v>218</v>
      </c>
      <c r="GM20" s="22" t="s">
        <v>218</v>
      </c>
      <c r="GN20" s="22" t="s">
        <v>218</v>
      </c>
      <c r="GO20" s="22">
        <v>2015</v>
      </c>
      <c r="GP20" s="22">
        <v>2015</v>
      </c>
      <c r="GQ20" s="22">
        <v>2015</v>
      </c>
      <c r="GR20" s="22" t="s">
        <v>218</v>
      </c>
      <c r="GS20" s="22">
        <v>2015</v>
      </c>
      <c r="GT20" s="22">
        <v>2015</v>
      </c>
      <c r="GU20" s="22" t="s">
        <v>218</v>
      </c>
      <c r="GV20" s="22">
        <v>2015</v>
      </c>
      <c r="GW20" s="22">
        <v>2015</v>
      </c>
      <c r="GX20" s="22" t="s">
        <v>218</v>
      </c>
      <c r="GY20" s="22" t="s">
        <v>218</v>
      </c>
      <c r="GZ20" s="22" t="s">
        <v>218</v>
      </c>
      <c r="HA20" s="22" t="s">
        <v>218</v>
      </c>
      <c r="HB20" s="22" t="s">
        <v>218</v>
      </c>
      <c r="HC20" s="22" t="s">
        <v>218</v>
      </c>
      <c r="HD20" s="22" t="s">
        <v>218</v>
      </c>
      <c r="HE20" s="22" t="s">
        <v>218</v>
      </c>
      <c r="HF20" s="22" t="s">
        <v>218</v>
      </c>
      <c r="HG20" s="22" t="s">
        <v>218</v>
      </c>
      <c r="HH20" s="22" t="s">
        <v>218</v>
      </c>
      <c r="HI20" s="22">
        <v>2015</v>
      </c>
      <c r="HJ20" s="22">
        <v>2015</v>
      </c>
      <c r="HK20" s="22" t="s">
        <v>218</v>
      </c>
      <c r="HL20" s="22" t="s">
        <v>218</v>
      </c>
      <c r="HM20" s="620">
        <f>'background data'!$G$10</f>
        <v>0.47300000000000003</v>
      </c>
      <c r="HN20" s="620">
        <f>'background data'!$H$10</f>
        <v>0.13</v>
      </c>
      <c r="HO20" s="620">
        <f>'background data'!$J$10</f>
        <v>0.39100000000000001</v>
      </c>
      <c r="HP20" s="620">
        <f>'background data'!$L$10</f>
        <v>5.5E-2</v>
      </c>
      <c r="HQ20" s="620">
        <f>'background data'!$M$10</f>
        <v>3.97</v>
      </c>
      <c r="HR20" s="620">
        <f>'background data'!$N$10</f>
        <v>4.5999999999999999E-3</v>
      </c>
      <c r="HS20" s="620">
        <f>'background data'!$O$10</f>
        <v>2.73</v>
      </c>
      <c r="HT20" s="145"/>
      <c r="HU20" s="145" t="s">
        <v>1809</v>
      </c>
      <c r="HV20" s="22" t="s">
        <v>1927</v>
      </c>
      <c r="HW20" s="22" t="s">
        <v>231</v>
      </c>
      <c r="HX20" s="22" t="s">
        <v>232</v>
      </c>
      <c r="HY20" s="22" t="s">
        <v>233</v>
      </c>
      <c r="HZ20" s="19"/>
      <c r="IA20" s="19"/>
      <c r="IB20" s="620">
        <f>'background data'!$G$10</f>
        <v>0.47300000000000003</v>
      </c>
      <c r="IC20" s="620">
        <f>'background data'!$H$10</f>
        <v>0.13</v>
      </c>
      <c r="ID20" s="620">
        <f>'background data'!$J$10</f>
        <v>0.39100000000000001</v>
      </c>
      <c r="IE20" s="620">
        <f>'background data'!$L$10</f>
        <v>5.5E-2</v>
      </c>
      <c r="IF20" s="620">
        <f>'background data'!$M$10</f>
        <v>3.97</v>
      </c>
      <c r="IG20" s="620">
        <f>'background data'!$N$10</f>
        <v>4.5999999999999999E-3</v>
      </c>
      <c r="IH20" s="620">
        <f>'background data'!$O$10</f>
        <v>2.73</v>
      </c>
      <c r="II20" s="145"/>
      <c r="IJ20" s="145">
        <v>1</v>
      </c>
      <c r="IK20" s="145"/>
      <c r="IL20" s="145"/>
      <c r="IM20" s="145"/>
      <c r="IN20" s="145"/>
      <c r="IO20" s="145"/>
      <c r="IP20" s="145"/>
      <c r="IQ20" s="145"/>
      <c r="IR20" s="145"/>
      <c r="IS20" s="145"/>
      <c r="IT20" s="145"/>
      <c r="IU20" s="145"/>
      <c r="IV20" s="145"/>
      <c r="IW20" s="145"/>
      <c r="IX20" s="145"/>
      <c r="IY20" s="145"/>
      <c r="IZ20" s="145"/>
      <c r="JA20" s="145"/>
      <c r="JB20" s="145"/>
      <c r="JC20" s="145"/>
      <c r="JD20" s="145"/>
      <c r="JE20" s="145"/>
      <c r="JF20" s="145"/>
      <c r="JG20" s="145"/>
      <c r="JH20" s="145"/>
      <c r="JI20" s="145"/>
      <c r="JJ20" s="145"/>
      <c r="JK20" s="145"/>
      <c r="JL20" s="145"/>
      <c r="JM20" s="145"/>
      <c r="JN20" s="145"/>
      <c r="JO20" s="145"/>
      <c r="JP20" s="145"/>
      <c r="JQ20" s="145"/>
      <c r="JR20" s="145"/>
      <c r="JS20" s="145"/>
      <c r="JT20" s="145"/>
      <c r="JU20" s="145"/>
      <c r="JV20" s="145"/>
      <c r="JW20" s="145"/>
      <c r="JX20" s="145"/>
      <c r="JY20" s="145"/>
      <c r="JZ20" s="145"/>
      <c r="KA20" s="145"/>
      <c r="KB20" s="145"/>
      <c r="KC20" s="145"/>
      <c r="KD20" s="145"/>
      <c r="KE20" s="145"/>
      <c r="KF20" s="145"/>
      <c r="KG20" s="145"/>
      <c r="KH20" s="145"/>
      <c r="KI20" s="145"/>
      <c r="KJ20" s="145"/>
      <c r="KK20" s="145"/>
      <c r="KL20" s="145"/>
      <c r="KM20" s="145"/>
      <c r="KN20" s="145"/>
      <c r="KO20" s="145"/>
      <c r="KP20" s="145"/>
      <c r="KQ20" s="145"/>
      <c r="KR20" s="145"/>
      <c r="KS20" s="145"/>
      <c r="KT20" s="145"/>
      <c r="KU20" s="145"/>
      <c r="KV20" s="145"/>
      <c r="KW20" s="145"/>
      <c r="KX20" s="145"/>
      <c r="KY20" s="145"/>
      <c r="KZ20" s="145"/>
      <c r="LA20" s="145"/>
      <c r="LB20" s="145"/>
      <c r="LC20" s="145"/>
      <c r="LD20" s="145"/>
      <c r="LE20" s="145"/>
      <c r="LF20" s="145"/>
      <c r="LG20" s="145"/>
      <c r="LH20" s="145"/>
      <c r="LI20" s="145"/>
      <c r="LJ20" s="145"/>
      <c r="LK20" s="145"/>
      <c r="LL20" s="145"/>
      <c r="LM20" s="145"/>
      <c r="LN20" s="145"/>
      <c r="LO20" s="145"/>
      <c r="LP20" s="145"/>
      <c r="LQ20" s="145"/>
      <c r="LR20" s="145"/>
      <c r="LS20" s="145"/>
      <c r="LT20" s="145"/>
      <c r="LU20" s="145"/>
      <c r="LV20" s="145"/>
      <c r="LW20" s="145"/>
      <c r="LX20" s="145"/>
      <c r="LY20" s="145"/>
      <c r="LZ20" s="145"/>
      <c r="MA20" s="145"/>
      <c r="MB20" s="145"/>
      <c r="MC20" s="145"/>
      <c r="MD20" s="145"/>
      <c r="ME20" s="145"/>
      <c r="MF20" s="145"/>
      <c r="MG20" s="145"/>
      <c r="MH20" s="145"/>
      <c r="MI20" s="145"/>
      <c r="MJ20" s="145"/>
      <c r="MK20" s="145"/>
      <c r="ML20" s="145"/>
      <c r="MM20" s="145"/>
      <c r="MN20" s="145"/>
      <c r="MO20" s="145"/>
      <c r="MP20" s="145"/>
      <c r="MQ20" s="145"/>
      <c r="MR20" s="145"/>
      <c r="MS20" s="145"/>
      <c r="MT20" s="145"/>
      <c r="MU20" s="145"/>
      <c r="MV20" s="145"/>
      <c r="MW20" s="145"/>
      <c r="MX20" s="145"/>
      <c r="MY20" s="145"/>
      <c r="MZ20" s="145"/>
      <c r="NA20" s="145"/>
      <c r="NB20" s="145"/>
      <c r="NC20" s="145"/>
      <c r="ND20" s="145"/>
      <c r="NE20" s="145"/>
      <c r="NF20" s="145"/>
      <c r="NG20" s="145"/>
      <c r="NH20" s="145"/>
      <c r="NI20" s="145"/>
      <c r="NJ20" s="145"/>
      <c r="NK20" s="145"/>
      <c r="NL20" s="145"/>
      <c r="NM20" s="145"/>
      <c r="NN20" s="145"/>
      <c r="NO20" s="145"/>
      <c r="NP20" s="145"/>
      <c r="NQ20" s="145"/>
      <c r="NR20" s="145"/>
      <c r="NS20" s="145"/>
    </row>
    <row r="21" spans="1:383" s="16" customFormat="1" ht="15" customHeight="1" x14ac:dyDescent="0.2">
      <c r="A21" s="15">
        <v>50410</v>
      </c>
      <c r="B21" s="25">
        <v>504</v>
      </c>
      <c r="C21" s="26">
        <v>10</v>
      </c>
      <c r="D21" s="20" t="s">
        <v>244</v>
      </c>
      <c r="E21" s="14">
        <v>42303</v>
      </c>
      <c r="F21" s="18">
        <v>1.0060675958188201</v>
      </c>
      <c r="G21" s="18">
        <v>1.0136717387755101</v>
      </c>
      <c r="H21" s="21">
        <v>83.2</v>
      </c>
      <c r="I21" s="21">
        <v>76.7</v>
      </c>
      <c r="J21" s="21">
        <v>90</v>
      </c>
      <c r="K21" s="18">
        <v>1</v>
      </c>
      <c r="L21" s="18">
        <v>85</v>
      </c>
      <c r="M21" s="18">
        <v>8.4</v>
      </c>
      <c r="N21" s="18">
        <v>2.7</v>
      </c>
      <c r="O21" s="18">
        <v>1.9</v>
      </c>
      <c r="P21" s="18">
        <v>4.5999999999999996</v>
      </c>
      <c r="Q21" s="19"/>
      <c r="R21" s="18">
        <v>72.371534693877607</v>
      </c>
      <c r="S21" s="18">
        <v>30</v>
      </c>
      <c r="T21" s="18">
        <v>42</v>
      </c>
      <c r="U21" s="18">
        <v>46</v>
      </c>
      <c r="V21" s="18">
        <v>50</v>
      </c>
      <c r="W21" s="18">
        <v>53</v>
      </c>
      <c r="X21" s="18"/>
      <c r="Y21" s="18">
        <v>0.71764705882352942</v>
      </c>
      <c r="Z21" s="18">
        <v>3.4117647058823528</v>
      </c>
      <c r="AA21" s="18">
        <v>0.2</v>
      </c>
      <c r="AB21" s="18">
        <v>1.4999999999999998</v>
      </c>
      <c r="AC21" s="18">
        <v>5.8999999999999995</v>
      </c>
      <c r="AD21" s="18">
        <v>1.1000000000000001</v>
      </c>
      <c r="AE21" s="18">
        <v>1.3</v>
      </c>
      <c r="AF21" s="18">
        <v>50</v>
      </c>
      <c r="AG21" s="18">
        <v>3.4</v>
      </c>
      <c r="AH21" s="18">
        <v>15</v>
      </c>
      <c r="AI21" s="18">
        <v>29</v>
      </c>
      <c r="AJ21" s="18">
        <v>0</v>
      </c>
      <c r="AK21" s="18">
        <v>0.04</v>
      </c>
      <c r="AL21" s="18"/>
      <c r="AM21" s="18">
        <v>3.94505882352941</v>
      </c>
      <c r="AN21" s="18">
        <v>1.75458823529412</v>
      </c>
      <c r="AO21" s="18">
        <v>2.4678823529411802</v>
      </c>
      <c r="AP21" s="18">
        <v>3.5387058823529398</v>
      </c>
      <c r="AQ21" s="18">
        <v>1.3743529411764701</v>
      </c>
      <c r="AR21" s="18">
        <v>3.6416470588235299</v>
      </c>
      <c r="AS21" s="18">
        <v>6.9129411764705901</v>
      </c>
      <c r="AT21" s="18">
        <v>2.3234117647058801</v>
      </c>
      <c r="AU21" s="18">
        <v>4.6765882352941199</v>
      </c>
      <c r="AV21" s="18">
        <v>3.1876470588235302</v>
      </c>
      <c r="AW21" s="18">
        <v>5.1970588235294102</v>
      </c>
      <c r="AX21" s="18"/>
      <c r="AY21" s="18">
        <v>0.94</v>
      </c>
      <c r="AZ21" s="18">
        <v>1.08</v>
      </c>
      <c r="BA21" s="18">
        <v>1.03</v>
      </c>
      <c r="BB21" s="18">
        <v>0.95</v>
      </c>
      <c r="BC21" s="18">
        <v>0.96</v>
      </c>
      <c r="BD21" s="18">
        <v>1</v>
      </c>
      <c r="BE21" s="18">
        <v>1.01</v>
      </c>
      <c r="BF21" s="18">
        <v>1</v>
      </c>
      <c r="BG21" s="18">
        <v>1.04</v>
      </c>
      <c r="BH21" s="18">
        <v>0.97</v>
      </c>
      <c r="BI21" s="18">
        <v>0.96</v>
      </c>
      <c r="BJ21" s="19"/>
      <c r="BK21" s="18">
        <v>9.882352941176471</v>
      </c>
      <c r="BL21" s="18">
        <v>3.1764705882352939</v>
      </c>
      <c r="BM21" s="18">
        <v>2.2352941176470589</v>
      </c>
      <c r="BN21" s="18">
        <v>5.4117647058823524</v>
      </c>
      <c r="BO21" s="18"/>
      <c r="BP21" s="18">
        <v>120</v>
      </c>
      <c r="BQ21" s="18">
        <v>38.117647058823529</v>
      </c>
      <c r="BR21" s="18">
        <v>1.1836089362574356</v>
      </c>
      <c r="BS21" s="18">
        <v>1.1925549867947178</v>
      </c>
      <c r="BT21" s="19"/>
      <c r="BU21" s="18">
        <v>977.64705882352939</v>
      </c>
      <c r="BV21" s="18">
        <v>601.87966386554592</v>
      </c>
      <c r="BW21" s="18">
        <v>90.781512605041996</v>
      </c>
      <c r="BX21" s="18">
        <v>604</v>
      </c>
      <c r="BY21" s="18">
        <v>21.000000000000004</v>
      </c>
      <c r="BZ21" s="18">
        <v>56</v>
      </c>
      <c r="CA21" s="18">
        <v>165</v>
      </c>
      <c r="CB21" s="19"/>
      <c r="CC21" s="19">
        <v>0.61</v>
      </c>
      <c r="CD21" s="19">
        <v>2.9</v>
      </c>
      <c r="CE21" s="19">
        <v>0.17</v>
      </c>
      <c r="CF21" s="19">
        <v>1.2749999999999997</v>
      </c>
      <c r="CG21" s="19">
        <v>5.0149999999999997</v>
      </c>
      <c r="CH21" s="19">
        <v>0.93500000000000005</v>
      </c>
      <c r="CI21" s="19">
        <v>1.105</v>
      </c>
      <c r="CJ21" s="19"/>
      <c r="CK21" s="19">
        <v>42.5</v>
      </c>
      <c r="CL21" s="19">
        <v>2.8899999999999997</v>
      </c>
      <c r="CM21" s="19">
        <v>12.75</v>
      </c>
      <c r="CN21" s="19">
        <v>24.65</v>
      </c>
      <c r="CO21" s="19">
        <v>0</v>
      </c>
      <c r="CP21" s="19">
        <v>3.4000000000000002E-2</v>
      </c>
      <c r="CQ21" s="19">
        <v>60.792089142857201</v>
      </c>
      <c r="CR21" s="19">
        <v>60.425451923416361</v>
      </c>
      <c r="CS21" s="19">
        <v>2.2407904453965202</v>
      </c>
      <c r="CT21" s="19">
        <v>1.1450353002172902</v>
      </c>
      <c r="CU21" s="19">
        <v>1.5359659366440286</v>
      </c>
      <c r="CV21" s="19">
        <v>2.681001236861329</v>
      </c>
      <c r="CW21" s="19">
        <v>2.031365070569664</v>
      </c>
      <c r="CX21" s="19">
        <v>0.79724061669950064</v>
      </c>
      <c r="CY21" s="19">
        <v>2.2004816927499102</v>
      </c>
      <c r="CZ21" s="19">
        <v>4.2189477065531076</v>
      </c>
      <c r="DA21" s="19">
        <v>1.403932058865351</v>
      </c>
      <c r="DB21" s="19">
        <v>2.9388835588047471</v>
      </c>
      <c r="DC21" s="19">
        <v>1.8683656367870736</v>
      </c>
      <c r="DD21" s="19">
        <v>4.8072491955918206</v>
      </c>
      <c r="DE21" s="19">
        <v>3.0147324296096887</v>
      </c>
      <c r="DF21" s="23">
        <v>0</v>
      </c>
      <c r="DG21" s="23">
        <v>0</v>
      </c>
      <c r="DH21" s="23">
        <v>0</v>
      </c>
      <c r="DI21" s="19">
        <v>0</v>
      </c>
      <c r="DJ21" s="19">
        <v>0</v>
      </c>
      <c r="DK21" s="19">
        <v>0</v>
      </c>
      <c r="DL21" s="19">
        <v>0</v>
      </c>
      <c r="DM21" s="19">
        <v>0</v>
      </c>
      <c r="DN21" s="19">
        <v>0</v>
      </c>
      <c r="DO21" s="19">
        <v>0</v>
      </c>
      <c r="DP21" s="19">
        <v>0</v>
      </c>
      <c r="DQ21" s="19">
        <v>0</v>
      </c>
      <c r="DR21" s="19">
        <v>0</v>
      </c>
      <c r="DS21" s="19">
        <v>0</v>
      </c>
      <c r="DT21" s="19">
        <v>0</v>
      </c>
      <c r="DU21" s="19">
        <v>0</v>
      </c>
      <c r="DV21" s="19">
        <v>0</v>
      </c>
      <c r="DW21" s="17" t="s">
        <v>230</v>
      </c>
      <c r="DX21" s="22" t="s">
        <v>218</v>
      </c>
      <c r="DY21" s="22">
        <v>16</v>
      </c>
      <c r="DZ21" s="22">
        <v>8</v>
      </c>
      <c r="EA21" s="22">
        <v>8</v>
      </c>
      <c r="EB21" s="22" t="s">
        <v>218</v>
      </c>
      <c r="EC21" s="22">
        <v>8</v>
      </c>
      <c r="ED21" s="22">
        <v>8</v>
      </c>
      <c r="EE21" s="22" t="s">
        <v>218</v>
      </c>
      <c r="EF21" s="22">
        <v>8</v>
      </c>
      <c r="EG21" s="22">
        <v>8</v>
      </c>
      <c r="EH21" s="22" t="s">
        <v>218</v>
      </c>
      <c r="EI21" s="22" t="s">
        <v>218</v>
      </c>
      <c r="EJ21" s="22" t="s">
        <v>218</v>
      </c>
      <c r="EK21" s="22" t="s">
        <v>218</v>
      </c>
      <c r="EL21" s="22" t="s">
        <v>218</v>
      </c>
      <c r="EM21" s="22" t="s">
        <v>218</v>
      </c>
      <c r="EN21" s="22" t="s">
        <v>218</v>
      </c>
      <c r="EO21" s="22" t="s">
        <v>218</v>
      </c>
      <c r="EP21" s="22" t="s">
        <v>218</v>
      </c>
      <c r="EQ21" s="22" t="s">
        <v>218</v>
      </c>
      <c r="ER21" s="22" t="s">
        <v>218</v>
      </c>
      <c r="ES21" s="22">
        <v>8</v>
      </c>
      <c r="ET21" s="22">
        <v>16</v>
      </c>
      <c r="EU21" s="22" t="s">
        <v>218</v>
      </c>
      <c r="EV21" s="22" t="s">
        <v>218</v>
      </c>
      <c r="EW21" s="22" t="s">
        <v>218</v>
      </c>
      <c r="EX21" s="22" t="s">
        <v>218</v>
      </c>
      <c r="EY21" s="22" t="s">
        <v>218</v>
      </c>
      <c r="EZ21" s="22" t="s">
        <v>218</v>
      </c>
      <c r="FA21" s="22" t="s">
        <v>218</v>
      </c>
      <c r="FB21" s="22" t="s">
        <v>218</v>
      </c>
      <c r="FC21" s="22" t="s">
        <v>218</v>
      </c>
      <c r="FD21" s="22" t="s">
        <v>218</v>
      </c>
      <c r="FE21" s="22" t="s">
        <v>218</v>
      </c>
      <c r="FF21" s="22" t="s">
        <v>218</v>
      </c>
      <c r="FG21" s="22">
        <v>0.9</v>
      </c>
      <c r="FH21" s="22">
        <v>0.2</v>
      </c>
      <c r="FI21" s="22">
        <v>0.2</v>
      </c>
      <c r="FJ21" s="22" t="s">
        <v>218</v>
      </c>
      <c r="FK21" s="22">
        <v>1</v>
      </c>
      <c r="FL21" s="22">
        <v>0.9</v>
      </c>
      <c r="FM21" s="22" t="s">
        <v>218</v>
      </c>
      <c r="FN21" s="22">
        <v>1.5</v>
      </c>
      <c r="FO21" s="22">
        <v>1.3</v>
      </c>
      <c r="FP21" s="22" t="s">
        <v>218</v>
      </c>
      <c r="FQ21" s="22" t="s">
        <v>218</v>
      </c>
      <c r="FR21" s="22" t="s">
        <v>218</v>
      </c>
      <c r="FS21" s="22" t="s">
        <v>218</v>
      </c>
      <c r="FT21" s="22" t="s">
        <v>218</v>
      </c>
      <c r="FU21" s="22" t="s">
        <v>218</v>
      </c>
      <c r="FV21" s="22" t="s">
        <v>218</v>
      </c>
      <c r="FW21" s="22" t="s">
        <v>218</v>
      </c>
      <c r="FX21" s="22" t="s">
        <v>218</v>
      </c>
      <c r="FY21" s="22" t="s">
        <v>218</v>
      </c>
      <c r="FZ21" s="22" t="s">
        <v>218</v>
      </c>
      <c r="GA21" s="22">
        <v>0.1</v>
      </c>
      <c r="GB21" s="22">
        <v>0.3</v>
      </c>
      <c r="GC21" s="22" t="s">
        <v>218</v>
      </c>
      <c r="GD21" s="22" t="s">
        <v>218</v>
      </c>
      <c r="GE21" s="22" t="s">
        <v>218</v>
      </c>
      <c r="GF21" s="22" t="s">
        <v>218</v>
      </c>
      <c r="GG21" s="22" t="s">
        <v>218</v>
      </c>
      <c r="GH21" s="22" t="s">
        <v>218</v>
      </c>
      <c r="GI21" s="22" t="s">
        <v>218</v>
      </c>
      <c r="GJ21" s="22" t="s">
        <v>218</v>
      </c>
      <c r="GK21" s="22" t="s">
        <v>218</v>
      </c>
      <c r="GL21" s="22" t="s">
        <v>218</v>
      </c>
      <c r="GM21" s="22" t="s">
        <v>218</v>
      </c>
      <c r="GN21" s="22" t="s">
        <v>218</v>
      </c>
      <c r="GO21" s="22">
        <v>2015</v>
      </c>
      <c r="GP21" s="22">
        <v>2015</v>
      </c>
      <c r="GQ21" s="22">
        <v>2015</v>
      </c>
      <c r="GR21" s="22" t="s">
        <v>218</v>
      </c>
      <c r="GS21" s="22">
        <v>2015</v>
      </c>
      <c r="GT21" s="22">
        <v>2015</v>
      </c>
      <c r="GU21" s="22" t="s">
        <v>218</v>
      </c>
      <c r="GV21" s="22">
        <v>2015</v>
      </c>
      <c r="GW21" s="22">
        <v>2015</v>
      </c>
      <c r="GX21" s="22" t="s">
        <v>218</v>
      </c>
      <c r="GY21" s="22" t="s">
        <v>218</v>
      </c>
      <c r="GZ21" s="22" t="s">
        <v>218</v>
      </c>
      <c r="HA21" s="22" t="s">
        <v>218</v>
      </c>
      <c r="HB21" s="22" t="s">
        <v>218</v>
      </c>
      <c r="HC21" s="22" t="s">
        <v>218</v>
      </c>
      <c r="HD21" s="22" t="s">
        <v>218</v>
      </c>
      <c r="HE21" s="22" t="s">
        <v>218</v>
      </c>
      <c r="HF21" s="22" t="s">
        <v>218</v>
      </c>
      <c r="HG21" s="22" t="s">
        <v>218</v>
      </c>
      <c r="HH21" s="22" t="s">
        <v>218</v>
      </c>
      <c r="HI21" s="22">
        <v>2015</v>
      </c>
      <c r="HJ21" s="22">
        <v>2015</v>
      </c>
      <c r="HK21" s="22" t="s">
        <v>218</v>
      </c>
      <c r="HL21" s="22" t="s">
        <v>218</v>
      </c>
      <c r="HM21" s="620">
        <f>'background data'!$G$10</f>
        <v>0.47300000000000003</v>
      </c>
      <c r="HN21" s="620">
        <f>'background data'!$H$10</f>
        <v>0.13</v>
      </c>
      <c r="HO21" s="620">
        <f>'background data'!$J$10</f>
        <v>0.39100000000000001</v>
      </c>
      <c r="HP21" s="620">
        <f>'background data'!$L$10</f>
        <v>5.5E-2</v>
      </c>
      <c r="HQ21" s="620">
        <f>'background data'!$M$10</f>
        <v>3.97</v>
      </c>
      <c r="HR21" s="620">
        <f>'background data'!$N$10</f>
        <v>4.5999999999999999E-3</v>
      </c>
      <c r="HS21" s="620">
        <f>'background data'!$O$10</f>
        <v>2.73</v>
      </c>
      <c r="HT21" s="145"/>
      <c r="HU21" s="145" t="s">
        <v>1809</v>
      </c>
      <c r="HV21" s="22" t="s">
        <v>1927</v>
      </c>
      <c r="HW21" s="22" t="s">
        <v>231</v>
      </c>
      <c r="HX21" s="22" t="s">
        <v>232</v>
      </c>
      <c r="HY21" s="22" t="s">
        <v>233</v>
      </c>
      <c r="HZ21" s="19"/>
      <c r="IA21" s="19"/>
      <c r="IB21" s="620">
        <f>'background data'!$G$10</f>
        <v>0.47300000000000003</v>
      </c>
      <c r="IC21" s="620">
        <f>'background data'!$H$10</f>
        <v>0.13</v>
      </c>
      <c r="ID21" s="620">
        <f>'background data'!$J$10</f>
        <v>0.39100000000000001</v>
      </c>
      <c r="IE21" s="620">
        <f>'background data'!$L$10</f>
        <v>5.5E-2</v>
      </c>
      <c r="IF21" s="620">
        <f>'background data'!$M$10</f>
        <v>3.97</v>
      </c>
      <c r="IG21" s="620">
        <f>'background data'!$N$10</f>
        <v>4.5999999999999999E-3</v>
      </c>
      <c r="IH21" s="620">
        <f>'background data'!$O$10</f>
        <v>2.73</v>
      </c>
      <c r="II21" s="145"/>
      <c r="IJ21" s="145">
        <v>1</v>
      </c>
      <c r="IK21" s="145"/>
      <c r="IL21" s="145"/>
      <c r="IM21" s="145"/>
      <c r="IN21" s="145"/>
      <c r="IO21" s="145"/>
      <c r="IP21" s="145"/>
      <c r="IQ21" s="145"/>
      <c r="IR21" s="145"/>
      <c r="IS21" s="145"/>
      <c r="IT21" s="145"/>
      <c r="IU21" s="145"/>
      <c r="IV21" s="145"/>
      <c r="IW21" s="145"/>
      <c r="IX21" s="145"/>
      <c r="IY21" s="145"/>
      <c r="IZ21" s="145"/>
      <c r="JA21" s="145"/>
      <c r="JB21" s="145"/>
      <c r="JC21" s="145"/>
      <c r="JD21" s="145"/>
      <c r="JE21" s="145"/>
      <c r="JF21" s="145"/>
      <c r="JG21" s="145"/>
      <c r="JH21" s="145"/>
      <c r="JI21" s="145"/>
      <c r="JJ21" s="145"/>
      <c r="JK21" s="145"/>
      <c r="JL21" s="145"/>
      <c r="JM21" s="145"/>
      <c r="JN21" s="145"/>
      <c r="JO21" s="145"/>
      <c r="JP21" s="145"/>
      <c r="JQ21" s="145"/>
      <c r="JR21" s="145"/>
      <c r="JS21" s="145"/>
      <c r="JT21" s="145"/>
      <c r="JU21" s="145"/>
      <c r="JV21" s="145"/>
      <c r="JW21" s="145"/>
      <c r="JX21" s="145"/>
      <c r="JY21" s="145"/>
      <c r="JZ21" s="145"/>
      <c r="KA21" s="145"/>
      <c r="KB21" s="145"/>
      <c r="KC21" s="145"/>
      <c r="KD21" s="145"/>
      <c r="KE21" s="145"/>
      <c r="KF21" s="145"/>
      <c r="KG21" s="145"/>
      <c r="KH21" s="145"/>
      <c r="KI21" s="145"/>
      <c r="KJ21" s="145"/>
      <c r="KK21" s="145"/>
      <c r="KL21" s="145"/>
      <c r="KM21" s="145"/>
      <c r="KN21" s="145"/>
      <c r="KO21" s="145"/>
      <c r="KP21" s="145"/>
      <c r="KQ21" s="145"/>
      <c r="KR21" s="145"/>
      <c r="KS21" s="145"/>
      <c r="KT21" s="145"/>
      <c r="KU21" s="145"/>
      <c r="KV21" s="145"/>
      <c r="KW21" s="145"/>
      <c r="KX21" s="145"/>
      <c r="KY21" s="145"/>
      <c r="KZ21" s="145"/>
      <c r="LA21" s="145"/>
      <c r="LB21" s="145"/>
      <c r="LC21" s="145"/>
      <c r="LD21" s="145"/>
      <c r="LE21" s="145"/>
      <c r="LF21" s="145"/>
      <c r="LG21" s="145"/>
      <c r="LH21" s="145"/>
      <c r="LI21" s="145"/>
      <c r="LJ21" s="145"/>
      <c r="LK21" s="145"/>
      <c r="LL21" s="145"/>
      <c r="LM21" s="145"/>
      <c r="LN21" s="145"/>
      <c r="LO21" s="145"/>
      <c r="LP21" s="145"/>
      <c r="LQ21" s="145"/>
      <c r="LR21" s="145"/>
      <c r="LS21" s="145"/>
      <c r="LT21" s="145"/>
      <c r="LU21" s="145"/>
      <c r="LV21" s="145"/>
      <c r="LW21" s="145"/>
      <c r="LX21" s="145"/>
      <c r="LY21" s="145"/>
      <c r="LZ21" s="145"/>
      <c r="MA21" s="145"/>
      <c r="MB21" s="145"/>
      <c r="MC21" s="145"/>
      <c r="MD21" s="145"/>
      <c r="ME21" s="145"/>
      <c r="MF21" s="145"/>
      <c r="MG21" s="145"/>
      <c r="MH21" s="145"/>
      <c r="MI21" s="145"/>
      <c r="MJ21" s="145"/>
      <c r="MK21" s="145"/>
      <c r="ML21" s="145"/>
      <c r="MM21" s="145"/>
      <c r="MN21" s="145"/>
      <c r="MO21" s="145"/>
      <c r="MP21" s="145"/>
      <c r="MQ21" s="145"/>
      <c r="MR21" s="145"/>
      <c r="MS21" s="145"/>
      <c r="MT21" s="145"/>
      <c r="MU21" s="145"/>
      <c r="MV21" s="145"/>
      <c r="MW21" s="145"/>
      <c r="MX21" s="145"/>
      <c r="MY21" s="145"/>
      <c r="MZ21" s="145"/>
      <c r="NA21" s="145"/>
      <c r="NB21" s="145"/>
      <c r="NC21" s="145"/>
      <c r="ND21" s="145"/>
      <c r="NE21" s="145"/>
      <c r="NF21" s="145"/>
      <c r="NG21" s="145"/>
      <c r="NH21" s="145"/>
      <c r="NI21" s="145"/>
      <c r="NJ21" s="145"/>
      <c r="NK21" s="145"/>
      <c r="NL21" s="145"/>
      <c r="NM21" s="145"/>
      <c r="NN21" s="145"/>
      <c r="NO21" s="145"/>
      <c r="NP21" s="145"/>
      <c r="NQ21" s="145"/>
      <c r="NR21" s="145"/>
      <c r="NS21" s="145"/>
    </row>
    <row r="22" spans="1:383" s="16" customFormat="1" ht="15" customHeight="1" x14ac:dyDescent="0.2">
      <c r="A22" s="15">
        <v>50411</v>
      </c>
      <c r="B22" s="25">
        <v>504</v>
      </c>
      <c r="C22" s="26">
        <v>11</v>
      </c>
      <c r="D22" s="20" t="s">
        <v>245</v>
      </c>
      <c r="E22" s="14">
        <v>42304</v>
      </c>
      <c r="F22" s="18">
        <v>1.01209982578397</v>
      </c>
      <c r="G22" s="18">
        <v>1.0179115346938801</v>
      </c>
      <c r="H22" s="21">
        <v>83.2</v>
      </c>
      <c r="I22" s="21">
        <v>77.200031999999993</v>
      </c>
      <c r="J22" s="21">
        <v>90</v>
      </c>
      <c r="K22" s="18">
        <v>1</v>
      </c>
      <c r="L22" s="18">
        <v>85</v>
      </c>
      <c r="M22" s="18">
        <v>8.4</v>
      </c>
      <c r="N22" s="18">
        <v>2.7</v>
      </c>
      <c r="O22" s="18">
        <v>1.9</v>
      </c>
      <c r="P22" s="18">
        <v>4.5999999999999996</v>
      </c>
      <c r="Q22" s="19"/>
      <c r="R22" s="18">
        <v>72.837912244898007</v>
      </c>
      <c r="S22" s="18">
        <v>30</v>
      </c>
      <c r="T22" s="18">
        <v>42</v>
      </c>
      <c r="U22" s="18">
        <v>46</v>
      </c>
      <c r="V22" s="18">
        <v>50</v>
      </c>
      <c r="W22" s="18">
        <v>53</v>
      </c>
      <c r="X22" s="18"/>
      <c r="Y22" s="18">
        <v>0.71764705882352942</v>
      </c>
      <c r="Z22" s="18">
        <v>3.4117647058823528</v>
      </c>
      <c r="AA22" s="18">
        <v>0.2</v>
      </c>
      <c r="AB22" s="18">
        <v>1.4999999999999998</v>
      </c>
      <c r="AC22" s="18">
        <v>5.8999999999999995</v>
      </c>
      <c r="AD22" s="18">
        <v>1.1000000000000001</v>
      </c>
      <c r="AE22" s="18">
        <v>1.3</v>
      </c>
      <c r="AF22" s="18">
        <v>50</v>
      </c>
      <c r="AG22" s="18">
        <v>3.4</v>
      </c>
      <c r="AH22" s="18">
        <v>15</v>
      </c>
      <c r="AI22" s="18">
        <v>29</v>
      </c>
      <c r="AJ22" s="18">
        <v>0</v>
      </c>
      <c r="AK22" s="18">
        <v>0.04</v>
      </c>
      <c r="AL22" s="18"/>
      <c r="AM22" s="18">
        <v>3.94505882352941</v>
      </c>
      <c r="AN22" s="18">
        <v>1.75458823529412</v>
      </c>
      <c r="AO22" s="18">
        <v>2.4678823529411802</v>
      </c>
      <c r="AP22" s="18">
        <v>3.5387058823529398</v>
      </c>
      <c r="AQ22" s="18">
        <v>1.3743529411764701</v>
      </c>
      <c r="AR22" s="18">
        <v>3.6416470588235299</v>
      </c>
      <c r="AS22" s="18">
        <v>6.9129411764705901</v>
      </c>
      <c r="AT22" s="18">
        <v>2.3234117647058801</v>
      </c>
      <c r="AU22" s="18">
        <v>4.6765882352941199</v>
      </c>
      <c r="AV22" s="18">
        <v>3.1876470588235302</v>
      </c>
      <c r="AW22" s="18">
        <v>5.1970588235294102</v>
      </c>
      <c r="AX22" s="18"/>
      <c r="AY22" s="18">
        <v>0.94</v>
      </c>
      <c r="AZ22" s="18">
        <v>1.08</v>
      </c>
      <c r="BA22" s="18">
        <v>1.03</v>
      </c>
      <c r="BB22" s="18">
        <v>0.95</v>
      </c>
      <c r="BC22" s="18">
        <v>0.96</v>
      </c>
      <c r="BD22" s="18">
        <v>1</v>
      </c>
      <c r="BE22" s="18">
        <v>1.01</v>
      </c>
      <c r="BF22" s="18">
        <v>1</v>
      </c>
      <c r="BG22" s="18">
        <v>1.04</v>
      </c>
      <c r="BH22" s="18">
        <v>0.97</v>
      </c>
      <c r="BI22" s="18">
        <v>0.96</v>
      </c>
      <c r="BJ22" s="19"/>
      <c r="BK22" s="18">
        <v>9.882352941176471</v>
      </c>
      <c r="BL22" s="18">
        <v>3.1764705882352939</v>
      </c>
      <c r="BM22" s="18">
        <v>2.2352941176470589</v>
      </c>
      <c r="BN22" s="18">
        <v>5.4117647058823524</v>
      </c>
      <c r="BO22" s="18"/>
      <c r="BP22" s="18">
        <v>120</v>
      </c>
      <c r="BQ22" s="18">
        <v>38.117647058823529</v>
      </c>
      <c r="BR22" s="18">
        <v>1.1907056773929057</v>
      </c>
      <c r="BS22" s="18">
        <v>1.1975429819928001</v>
      </c>
      <c r="BT22" s="19"/>
      <c r="BU22" s="18">
        <v>977.64705882352939</v>
      </c>
      <c r="BV22" s="18">
        <v>608.86285714285646</v>
      </c>
      <c r="BW22" s="18">
        <v>83.797872403361296</v>
      </c>
      <c r="BX22" s="18">
        <v>604</v>
      </c>
      <c r="BY22" s="18">
        <v>21.000000000000004</v>
      </c>
      <c r="BZ22" s="18">
        <v>56</v>
      </c>
      <c r="CA22" s="18">
        <v>165</v>
      </c>
      <c r="CB22" s="19"/>
      <c r="CC22" s="19">
        <v>0.61</v>
      </c>
      <c r="CD22" s="19">
        <v>2.9</v>
      </c>
      <c r="CE22" s="19">
        <v>0.17</v>
      </c>
      <c r="CF22" s="19">
        <v>1.2749999999999997</v>
      </c>
      <c r="CG22" s="19">
        <v>5.0149999999999997</v>
      </c>
      <c r="CH22" s="19">
        <v>0.93500000000000005</v>
      </c>
      <c r="CI22" s="19">
        <v>1.105</v>
      </c>
      <c r="CJ22" s="19"/>
      <c r="CK22" s="19">
        <v>42.5</v>
      </c>
      <c r="CL22" s="19">
        <v>2.8899999999999997</v>
      </c>
      <c r="CM22" s="19">
        <v>12.75</v>
      </c>
      <c r="CN22" s="19">
        <v>24.65</v>
      </c>
      <c r="CO22" s="19">
        <v>0</v>
      </c>
      <c r="CP22" s="19">
        <v>3.4000000000000002E-2</v>
      </c>
      <c r="CQ22" s="19">
        <v>61.183846285714303</v>
      </c>
      <c r="CR22" s="19">
        <v>60.452382983389462</v>
      </c>
      <c r="CS22" s="19">
        <v>2.2417891447847991</v>
      </c>
      <c r="CT22" s="19">
        <v>1.1455456317640176</v>
      </c>
      <c r="CU22" s="19">
        <v>1.5366505023268751</v>
      </c>
      <c r="CV22" s="19">
        <v>2.6821961340908826</v>
      </c>
      <c r="CW22" s="19">
        <v>2.0322704310229387</v>
      </c>
      <c r="CX22" s="19">
        <v>0.79759593940173812</v>
      </c>
      <c r="CY22" s="19">
        <v>2.2014624269033343</v>
      </c>
      <c r="CZ22" s="19">
        <v>4.2208280521705923</v>
      </c>
      <c r="DA22" s="19">
        <v>1.4045577782811285</v>
      </c>
      <c r="DB22" s="19">
        <v>2.940193391778382</v>
      </c>
      <c r="DC22" s="19">
        <v>1.8691983499139866</v>
      </c>
      <c r="DD22" s="19">
        <v>4.8093917416923686</v>
      </c>
      <c r="DE22" s="19">
        <v>3.0160760677171514</v>
      </c>
      <c r="DF22" s="23">
        <v>0</v>
      </c>
      <c r="DG22" s="23">
        <v>0</v>
      </c>
      <c r="DH22" s="23">
        <v>0</v>
      </c>
      <c r="DI22" s="19">
        <v>0</v>
      </c>
      <c r="DJ22" s="19">
        <v>0</v>
      </c>
      <c r="DK22" s="19">
        <v>0</v>
      </c>
      <c r="DL22" s="19">
        <v>0</v>
      </c>
      <c r="DM22" s="19">
        <v>0</v>
      </c>
      <c r="DN22" s="19">
        <v>0</v>
      </c>
      <c r="DO22" s="19">
        <v>0</v>
      </c>
      <c r="DP22" s="19">
        <v>0</v>
      </c>
      <c r="DQ22" s="19">
        <v>0</v>
      </c>
      <c r="DR22" s="19">
        <v>0</v>
      </c>
      <c r="DS22" s="19">
        <v>0</v>
      </c>
      <c r="DT22" s="19">
        <v>0</v>
      </c>
      <c r="DU22" s="19">
        <v>0</v>
      </c>
      <c r="DV22" s="19">
        <v>0</v>
      </c>
      <c r="DW22" s="17" t="s">
        <v>230</v>
      </c>
      <c r="DX22" s="22" t="s">
        <v>218</v>
      </c>
      <c r="DY22" s="22">
        <v>16</v>
      </c>
      <c r="DZ22" s="22">
        <v>8</v>
      </c>
      <c r="EA22" s="22">
        <v>8</v>
      </c>
      <c r="EB22" s="22" t="s">
        <v>218</v>
      </c>
      <c r="EC22" s="22">
        <v>8</v>
      </c>
      <c r="ED22" s="22">
        <v>8</v>
      </c>
      <c r="EE22" s="22" t="s">
        <v>218</v>
      </c>
      <c r="EF22" s="22">
        <v>8</v>
      </c>
      <c r="EG22" s="22">
        <v>8</v>
      </c>
      <c r="EH22" s="22" t="s">
        <v>218</v>
      </c>
      <c r="EI22" s="22" t="s">
        <v>218</v>
      </c>
      <c r="EJ22" s="22" t="s">
        <v>218</v>
      </c>
      <c r="EK22" s="22" t="s">
        <v>218</v>
      </c>
      <c r="EL22" s="22" t="s">
        <v>218</v>
      </c>
      <c r="EM22" s="22" t="s">
        <v>218</v>
      </c>
      <c r="EN22" s="22" t="s">
        <v>218</v>
      </c>
      <c r="EO22" s="22" t="s">
        <v>218</v>
      </c>
      <c r="EP22" s="22" t="s">
        <v>218</v>
      </c>
      <c r="EQ22" s="22" t="s">
        <v>218</v>
      </c>
      <c r="ER22" s="22" t="s">
        <v>218</v>
      </c>
      <c r="ES22" s="22">
        <v>8</v>
      </c>
      <c r="ET22" s="22">
        <v>16</v>
      </c>
      <c r="EU22" s="22" t="s">
        <v>218</v>
      </c>
      <c r="EV22" s="22" t="s">
        <v>218</v>
      </c>
      <c r="EW22" s="22" t="s">
        <v>218</v>
      </c>
      <c r="EX22" s="22" t="s">
        <v>218</v>
      </c>
      <c r="EY22" s="22" t="s">
        <v>218</v>
      </c>
      <c r="EZ22" s="22" t="s">
        <v>218</v>
      </c>
      <c r="FA22" s="22" t="s">
        <v>218</v>
      </c>
      <c r="FB22" s="22" t="s">
        <v>218</v>
      </c>
      <c r="FC22" s="22" t="s">
        <v>218</v>
      </c>
      <c r="FD22" s="22" t="s">
        <v>218</v>
      </c>
      <c r="FE22" s="22" t="s">
        <v>218</v>
      </c>
      <c r="FF22" s="22" t="s">
        <v>218</v>
      </c>
      <c r="FG22" s="22">
        <v>0.9</v>
      </c>
      <c r="FH22" s="22">
        <v>0.2</v>
      </c>
      <c r="FI22" s="22">
        <v>0.2</v>
      </c>
      <c r="FJ22" s="22" t="s">
        <v>218</v>
      </c>
      <c r="FK22" s="22">
        <v>1</v>
      </c>
      <c r="FL22" s="22">
        <v>0.9</v>
      </c>
      <c r="FM22" s="22" t="s">
        <v>218</v>
      </c>
      <c r="FN22" s="22">
        <v>1.5</v>
      </c>
      <c r="FO22" s="22">
        <v>1.3</v>
      </c>
      <c r="FP22" s="22" t="s">
        <v>218</v>
      </c>
      <c r="FQ22" s="22" t="s">
        <v>218</v>
      </c>
      <c r="FR22" s="22" t="s">
        <v>218</v>
      </c>
      <c r="FS22" s="22" t="s">
        <v>218</v>
      </c>
      <c r="FT22" s="22" t="s">
        <v>218</v>
      </c>
      <c r="FU22" s="22" t="s">
        <v>218</v>
      </c>
      <c r="FV22" s="22" t="s">
        <v>218</v>
      </c>
      <c r="FW22" s="22" t="s">
        <v>218</v>
      </c>
      <c r="FX22" s="22" t="s">
        <v>218</v>
      </c>
      <c r="FY22" s="22" t="s">
        <v>218</v>
      </c>
      <c r="FZ22" s="22" t="s">
        <v>218</v>
      </c>
      <c r="GA22" s="22">
        <v>0.1</v>
      </c>
      <c r="GB22" s="22">
        <v>0.3</v>
      </c>
      <c r="GC22" s="22" t="s">
        <v>218</v>
      </c>
      <c r="GD22" s="22" t="s">
        <v>218</v>
      </c>
      <c r="GE22" s="22" t="s">
        <v>218</v>
      </c>
      <c r="GF22" s="22" t="s">
        <v>218</v>
      </c>
      <c r="GG22" s="22" t="s">
        <v>218</v>
      </c>
      <c r="GH22" s="22" t="s">
        <v>218</v>
      </c>
      <c r="GI22" s="22" t="s">
        <v>218</v>
      </c>
      <c r="GJ22" s="22" t="s">
        <v>218</v>
      </c>
      <c r="GK22" s="22" t="s">
        <v>218</v>
      </c>
      <c r="GL22" s="22" t="s">
        <v>218</v>
      </c>
      <c r="GM22" s="22" t="s">
        <v>218</v>
      </c>
      <c r="GN22" s="22" t="s">
        <v>218</v>
      </c>
      <c r="GO22" s="22">
        <v>2015</v>
      </c>
      <c r="GP22" s="22">
        <v>2015</v>
      </c>
      <c r="GQ22" s="22">
        <v>2015</v>
      </c>
      <c r="GR22" s="22" t="s">
        <v>218</v>
      </c>
      <c r="GS22" s="22">
        <v>2015</v>
      </c>
      <c r="GT22" s="22">
        <v>2015</v>
      </c>
      <c r="GU22" s="22" t="s">
        <v>218</v>
      </c>
      <c r="GV22" s="22">
        <v>2015</v>
      </c>
      <c r="GW22" s="22">
        <v>2015</v>
      </c>
      <c r="GX22" s="22" t="s">
        <v>218</v>
      </c>
      <c r="GY22" s="22" t="s">
        <v>218</v>
      </c>
      <c r="GZ22" s="22" t="s">
        <v>218</v>
      </c>
      <c r="HA22" s="22" t="s">
        <v>218</v>
      </c>
      <c r="HB22" s="22" t="s">
        <v>218</v>
      </c>
      <c r="HC22" s="22" t="s">
        <v>218</v>
      </c>
      <c r="HD22" s="22" t="s">
        <v>218</v>
      </c>
      <c r="HE22" s="22" t="s">
        <v>218</v>
      </c>
      <c r="HF22" s="22" t="s">
        <v>218</v>
      </c>
      <c r="HG22" s="22" t="s">
        <v>218</v>
      </c>
      <c r="HH22" s="22" t="s">
        <v>218</v>
      </c>
      <c r="HI22" s="22">
        <v>2015</v>
      </c>
      <c r="HJ22" s="22">
        <v>2015</v>
      </c>
      <c r="HK22" s="22" t="s">
        <v>218</v>
      </c>
      <c r="HL22" s="22" t="s">
        <v>218</v>
      </c>
      <c r="HM22" s="620">
        <f>'background data'!$G$10</f>
        <v>0.47300000000000003</v>
      </c>
      <c r="HN22" s="620">
        <f>'background data'!$H$10</f>
        <v>0.13</v>
      </c>
      <c r="HO22" s="620">
        <f>'background data'!$J$10</f>
        <v>0.39100000000000001</v>
      </c>
      <c r="HP22" s="620">
        <f>'background data'!$L$10</f>
        <v>5.5E-2</v>
      </c>
      <c r="HQ22" s="620">
        <f>'background data'!$M$10</f>
        <v>3.97</v>
      </c>
      <c r="HR22" s="620">
        <f>'background data'!$N$10</f>
        <v>4.5999999999999999E-3</v>
      </c>
      <c r="HS22" s="620">
        <f>'background data'!$O$10</f>
        <v>2.73</v>
      </c>
      <c r="HT22" s="145"/>
      <c r="HU22" s="145" t="s">
        <v>1809</v>
      </c>
      <c r="HV22" s="22" t="s">
        <v>1927</v>
      </c>
      <c r="HW22" s="22" t="s">
        <v>231</v>
      </c>
      <c r="HX22" s="22" t="s">
        <v>232</v>
      </c>
      <c r="HY22" s="22" t="s">
        <v>233</v>
      </c>
      <c r="HZ22" s="19"/>
      <c r="IA22" s="19"/>
      <c r="IB22" s="620">
        <f>'background data'!$G$10</f>
        <v>0.47300000000000003</v>
      </c>
      <c r="IC22" s="620">
        <f>'background data'!$H$10</f>
        <v>0.13</v>
      </c>
      <c r="ID22" s="620">
        <f>'background data'!$J$10</f>
        <v>0.39100000000000001</v>
      </c>
      <c r="IE22" s="620">
        <f>'background data'!$L$10</f>
        <v>5.5E-2</v>
      </c>
      <c r="IF22" s="620">
        <f>'background data'!$M$10</f>
        <v>3.97</v>
      </c>
      <c r="IG22" s="620">
        <f>'background data'!$N$10</f>
        <v>4.5999999999999999E-3</v>
      </c>
      <c r="IH22" s="620">
        <f>'background data'!$O$10</f>
        <v>2.73</v>
      </c>
      <c r="II22" s="145"/>
      <c r="IJ22" s="145">
        <v>1</v>
      </c>
      <c r="IK22" s="145"/>
      <c r="IL22" s="145"/>
      <c r="IM22" s="145"/>
      <c r="IN22" s="145"/>
      <c r="IO22" s="145"/>
      <c r="IP22" s="145"/>
      <c r="IQ22" s="145"/>
      <c r="IR22" s="145"/>
      <c r="IS22" s="145"/>
      <c r="IT22" s="145"/>
      <c r="IU22" s="145"/>
      <c r="IV22" s="145"/>
      <c r="IW22" s="145"/>
      <c r="IX22" s="145"/>
      <c r="IY22" s="145"/>
      <c r="IZ22" s="145"/>
      <c r="JA22" s="145"/>
      <c r="JB22" s="145"/>
      <c r="JC22" s="145"/>
      <c r="JD22" s="145"/>
      <c r="JE22" s="145"/>
      <c r="JF22" s="145"/>
      <c r="JG22" s="145"/>
      <c r="JH22" s="145"/>
      <c r="JI22" s="145"/>
      <c r="JJ22" s="145"/>
      <c r="JK22" s="145"/>
      <c r="JL22" s="145"/>
      <c r="JM22" s="145"/>
      <c r="JN22" s="145"/>
      <c r="JO22" s="145"/>
      <c r="JP22" s="145"/>
      <c r="JQ22" s="145"/>
      <c r="JR22" s="145"/>
      <c r="JS22" s="145"/>
      <c r="JT22" s="145"/>
      <c r="JU22" s="145"/>
      <c r="JV22" s="145"/>
      <c r="JW22" s="145"/>
      <c r="JX22" s="145"/>
      <c r="JY22" s="145"/>
      <c r="JZ22" s="145"/>
      <c r="KA22" s="145"/>
      <c r="KB22" s="145"/>
      <c r="KC22" s="145"/>
      <c r="KD22" s="145"/>
      <c r="KE22" s="145"/>
      <c r="KF22" s="145"/>
      <c r="KG22" s="145"/>
      <c r="KH22" s="145"/>
      <c r="KI22" s="145"/>
      <c r="KJ22" s="145"/>
      <c r="KK22" s="145"/>
      <c r="KL22" s="145"/>
      <c r="KM22" s="145"/>
      <c r="KN22" s="145"/>
      <c r="KO22" s="145"/>
      <c r="KP22" s="145"/>
      <c r="KQ22" s="145"/>
      <c r="KR22" s="145"/>
      <c r="KS22" s="145"/>
      <c r="KT22" s="145"/>
      <c r="KU22" s="145"/>
      <c r="KV22" s="145"/>
      <c r="KW22" s="145"/>
      <c r="KX22" s="145"/>
      <c r="KY22" s="145"/>
      <c r="KZ22" s="145"/>
      <c r="LA22" s="145"/>
      <c r="LB22" s="145"/>
      <c r="LC22" s="145"/>
      <c r="LD22" s="145"/>
      <c r="LE22" s="145"/>
      <c r="LF22" s="145"/>
      <c r="LG22" s="145"/>
      <c r="LH22" s="145"/>
      <c r="LI22" s="145"/>
      <c r="LJ22" s="145"/>
      <c r="LK22" s="145"/>
      <c r="LL22" s="145"/>
      <c r="LM22" s="145"/>
      <c r="LN22" s="145"/>
      <c r="LO22" s="145"/>
      <c r="LP22" s="145"/>
      <c r="LQ22" s="145"/>
      <c r="LR22" s="145"/>
      <c r="LS22" s="145"/>
      <c r="LT22" s="145"/>
      <c r="LU22" s="145"/>
      <c r="LV22" s="145"/>
      <c r="LW22" s="145"/>
      <c r="LX22" s="145"/>
      <c r="LY22" s="145"/>
      <c r="LZ22" s="145"/>
      <c r="MA22" s="145"/>
      <c r="MB22" s="145"/>
      <c r="MC22" s="145"/>
      <c r="MD22" s="145"/>
      <c r="ME22" s="145"/>
      <c r="MF22" s="145"/>
      <c r="MG22" s="145"/>
      <c r="MH22" s="145"/>
      <c r="MI22" s="145"/>
      <c r="MJ22" s="145"/>
      <c r="MK22" s="145"/>
      <c r="ML22" s="145"/>
      <c r="MM22" s="145"/>
      <c r="MN22" s="145"/>
      <c r="MO22" s="145"/>
      <c r="MP22" s="145"/>
      <c r="MQ22" s="145"/>
      <c r="MR22" s="145"/>
      <c r="MS22" s="145"/>
      <c r="MT22" s="145"/>
      <c r="MU22" s="145"/>
      <c r="MV22" s="145"/>
      <c r="MW22" s="145"/>
      <c r="MX22" s="145"/>
      <c r="MY22" s="145"/>
      <c r="MZ22" s="145"/>
      <c r="NA22" s="145"/>
      <c r="NB22" s="145"/>
      <c r="NC22" s="145"/>
      <c r="ND22" s="145"/>
      <c r="NE22" s="145"/>
      <c r="NF22" s="145"/>
      <c r="NG22" s="145"/>
      <c r="NH22" s="145"/>
      <c r="NI22" s="145"/>
      <c r="NJ22" s="145"/>
      <c r="NK22" s="145"/>
      <c r="NL22" s="145"/>
      <c r="NM22" s="145"/>
      <c r="NN22" s="145"/>
      <c r="NO22" s="145"/>
      <c r="NP22" s="145"/>
      <c r="NQ22" s="145"/>
      <c r="NR22" s="145"/>
      <c r="NS22" s="145"/>
    </row>
    <row r="23" spans="1:383" s="16" customFormat="1" ht="15" customHeight="1" x14ac:dyDescent="0.2">
      <c r="A23" s="15">
        <v>50000</v>
      </c>
      <c r="B23" s="25">
        <v>500</v>
      </c>
      <c r="C23" s="26">
        <v>0</v>
      </c>
      <c r="D23" s="20" t="s">
        <v>246</v>
      </c>
      <c r="E23" s="14">
        <v>42683</v>
      </c>
      <c r="F23" s="18">
        <v>1.0581645567169899</v>
      </c>
      <c r="G23" s="18">
        <v>1.0547823888682799</v>
      </c>
      <c r="H23" s="21">
        <v>85.6</v>
      </c>
      <c r="I23" s="21">
        <v>80.599999999999994</v>
      </c>
      <c r="J23" s="21">
        <v>90</v>
      </c>
      <c r="K23" s="18">
        <v>1</v>
      </c>
      <c r="L23" s="18">
        <v>85</v>
      </c>
      <c r="M23" s="18">
        <v>9.7000000000000401</v>
      </c>
      <c r="N23" s="18">
        <v>2.6</v>
      </c>
      <c r="O23" s="18">
        <v>1.9</v>
      </c>
      <c r="P23" s="18">
        <v>4.8</v>
      </c>
      <c r="Q23" s="19"/>
      <c r="R23" s="18">
        <v>77.307509867452097</v>
      </c>
      <c r="S23" s="18">
        <v>43</v>
      </c>
      <c r="T23" s="18">
        <v>49</v>
      </c>
      <c r="U23" s="18">
        <v>51</v>
      </c>
      <c r="V23" s="18">
        <v>53</v>
      </c>
      <c r="W23" s="18">
        <v>54</v>
      </c>
      <c r="X23" s="18"/>
      <c r="Y23" s="18">
        <v>0.55294117647058827</v>
      </c>
      <c r="Z23" s="18">
        <v>3.6470588235294117</v>
      </c>
      <c r="AA23" s="18">
        <v>0.2</v>
      </c>
      <c r="AB23" s="18">
        <v>1.4999999999999998</v>
      </c>
      <c r="AC23" s="18">
        <v>5.7</v>
      </c>
      <c r="AD23" s="18">
        <v>1.2</v>
      </c>
      <c r="AE23" s="18">
        <v>1.1000000000000001</v>
      </c>
      <c r="AF23" s="18">
        <v>34</v>
      </c>
      <c r="AG23" s="18">
        <v>2.9</v>
      </c>
      <c r="AH23" s="18">
        <v>14</v>
      </c>
      <c r="AI23" s="18">
        <v>28</v>
      </c>
      <c r="AJ23" s="18">
        <v>0</v>
      </c>
      <c r="AK23" s="18">
        <v>0.04</v>
      </c>
      <c r="AL23" s="18"/>
      <c r="AM23" s="18">
        <v>3.74929411764706</v>
      </c>
      <c r="AN23" s="18">
        <v>1.6949411764705899</v>
      </c>
      <c r="AO23" s="18">
        <v>2.3654117647058799</v>
      </c>
      <c r="AP23" s="18">
        <v>3.4255294117647099</v>
      </c>
      <c r="AQ23" s="18">
        <v>1.3177647058823501</v>
      </c>
      <c r="AR23" s="18">
        <v>3.6202352941176499</v>
      </c>
      <c r="AS23" s="18">
        <v>6.8747058823529397</v>
      </c>
      <c r="AT23" s="18">
        <v>2.27905882352941</v>
      </c>
      <c r="AU23" s="18">
        <v>4.8509411764705899</v>
      </c>
      <c r="AV23" s="18">
        <v>3.2182352941176502</v>
      </c>
      <c r="AW23" s="18">
        <v>5.1052941176470599</v>
      </c>
      <c r="AX23" s="18"/>
      <c r="AY23" s="18">
        <v>0.94</v>
      </c>
      <c r="AZ23" s="18">
        <v>1.08</v>
      </c>
      <c r="BA23" s="18">
        <v>1.03</v>
      </c>
      <c r="BB23" s="18">
        <v>0.95</v>
      </c>
      <c r="BC23" s="18">
        <v>0.96</v>
      </c>
      <c r="BD23" s="18">
        <v>1</v>
      </c>
      <c r="BE23" s="18">
        <v>1.01</v>
      </c>
      <c r="BF23" s="18">
        <v>1</v>
      </c>
      <c r="BG23" s="18">
        <v>1.04</v>
      </c>
      <c r="BH23" s="18">
        <v>0.97</v>
      </c>
      <c r="BI23" s="18">
        <v>0.96</v>
      </c>
      <c r="BJ23" s="19"/>
      <c r="BK23" s="18">
        <v>11.411764705882399</v>
      </c>
      <c r="BL23" s="18">
        <v>3.0588235294117645</v>
      </c>
      <c r="BM23" s="18">
        <v>2.2352941176470589</v>
      </c>
      <c r="BN23" s="18">
        <v>5.6470588235294121</v>
      </c>
      <c r="BO23" s="18"/>
      <c r="BP23" s="18">
        <v>120</v>
      </c>
      <c r="BQ23" s="18">
        <v>36.70588235294106</v>
      </c>
      <c r="BR23" s="18">
        <v>1.2448994784905763</v>
      </c>
      <c r="BS23" s="18">
        <v>1.240920457492094</v>
      </c>
      <c r="BT23" s="19"/>
      <c r="BU23" s="18">
        <v>977.64705882352939</v>
      </c>
      <c r="BV23" s="18">
        <v>633.51630252100824</v>
      </c>
      <c r="BW23" s="18">
        <v>69.831932773109173</v>
      </c>
      <c r="BX23" s="18">
        <v>604</v>
      </c>
      <c r="BY23" s="18">
        <v>21.000000000000004</v>
      </c>
      <c r="BZ23" s="18">
        <v>56</v>
      </c>
      <c r="CA23" s="18">
        <v>165</v>
      </c>
      <c r="CB23" s="19"/>
      <c r="CC23" s="19">
        <v>0.47000000000000003</v>
      </c>
      <c r="CD23" s="19">
        <v>3.0999999999999996</v>
      </c>
      <c r="CE23" s="19">
        <v>0.17</v>
      </c>
      <c r="CF23" s="19">
        <v>1.2749999999999997</v>
      </c>
      <c r="CG23" s="19">
        <v>4.8449999999999998</v>
      </c>
      <c r="CH23" s="19">
        <v>1.02</v>
      </c>
      <c r="CI23" s="19">
        <v>0.93500000000000005</v>
      </c>
      <c r="CJ23" s="19"/>
      <c r="CK23" s="19">
        <v>28.9</v>
      </c>
      <c r="CL23" s="19">
        <v>2.4649999999999999</v>
      </c>
      <c r="CM23" s="19">
        <v>11.9</v>
      </c>
      <c r="CN23" s="19">
        <v>23.8</v>
      </c>
      <c r="CO23" s="19">
        <v>0</v>
      </c>
      <c r="CP23" s="19">
        <v>3.4000000000000002E-2</v>
      </c>
      <c r="CQ23" s="19">
        <v>74.988284571428593</v>
      </c>
      <c r="CR23" s="19">
        <v>70.866373377769904</v>
      </c>
      <c r="CS23" s="19">
        <v>2.497569442335978</v>
      </c>
      <c r="CT23" s="19">
        <v>1.2972348100633184</v>
      </c>
      <c r="CU23" s="19">
        <v>1.7265699790911222</v>
      </c>
      <c r="CV23" s="19">
        <v>3.0238047891544313</v>
      </c>
      <c r="CW23" s="19">
        <v>2.3061710399511797</v>
      </c>
      <c r="CX23" s="19">
        <v>0.89649797444262158</v>
      </c>
      <c r="CY23" s="19">
        <v>2.565529460683222</v>
      </c>
      <c r="CZ23" s="19">
        <v>4.9205732866038829</v>
      </c>
      <c r="DA23" s="19">
        <v>1.6150863353813747</v>
      </c>
      <c r="DB23" s="19">
        <v>3.5751935299117905</v>
      </c>
      <c r="DC23" s="19">
        <v>2.2122272405134553</v>
      </c>
      <c r="DD23" s="19">
        <v>5.7874207704252454</v>
      </c>
      <c r="DE23" s="19">
        <v>3.4732193197872965</v>
      </c>
      <c r="DF23" s="23">
        <v>0</v>
      </c>
      <c r="DG23" s="23">
        <v>0</v>
      </c>
      <c r="DH23" s="23">
        <v>0</v>
      </c>
      <c r="DI23" s="19">
        <v>0</v>
      </c>
      <c r="DJ23" s="19">
        <v>0</v>
      </c>
      <c r="DK23" s="19">
        <v>0</v>
      </c>
      <c r="DL23" s="19">
        <v>0</v>
      </c>
      <c r="DM23" s="19">
        <v>0</v>
      </c>
      <c r="DN23" s="19">
        <v>0</v>
      </c>
      <c r="DO23" s="19">
        <v>0</v>
      </c>
      <c r="DP23" s="19">
        <v>0</v>
      </c>
      <c r="DQ23" s="19">
        <v>0</v>
      </c>
      <c r="DR23" s="19">
        <v>0</v>
      </c>
      <c r="DS23" s="19">
        <v>0</v>
      </c>
      <c r="DT23" s="19">
        <v>0</v>
      </c>
      <c r="DU23" s="19">
        <v>0</v>
      </c>
      <c r="DV23" s="19">
        <v>0</v>
      </c>
      <c r="DW23" s="17" t="s">
        <v>230</v>
      </c>
      <c r="DX23" s="22" t="s">
        <v>218</v>
      </c>
      <c r="DY23" s="22">
        <v>32</v>
      </c>
      <c r="DZ23" s="22">
        <v>16</v>
      </c>
      <c r="EA23" s="22">
        <v>16</v>
      </c>
      <c r="EB23" s="22" t="s">
        <v>218</v>
      </c>
      <c r="EC23" s="22">
        <v>16</v>
      </c>
      <c r="ED23" s="22">
        <v>16</v>
      </c>
      <c r="EE23" s="22" t="s">
        <v>218</v>
      </c>
      <c r="EF23" s="22">
        <v>16</v>
      </c>
      <c r="EG23" s="22">
        <v>16</v>
      </c>
      <c r="EH23" s="22" t="s">
        <v>218</v>
      </c>
      <c r="EI23" s="22" t="s">
        <v>218</v>
      </c>
      <c r="EJ23" s="22" t="s">
        <v>218</v>
      </c>
      <c r="EK23" s="22" t="s">
        <v>218</v>
      </c>
      <c r="EL23" s="22" t="s">
        <v>218</v>
      </c>
      <c r="EM23" s="22" t="s">
        <v>218</v>
      </c>
      <c r="EN23" s="22" t="s">
        <v>218</v>
      </c>
      <c r="EO23" s="22" t="s">
        <v>218</v>
      </c>
      <c r="EP23" s="22" t="s">
        <v>218</v>
      </c>
      <c r="EQ23" s="22" t="s">
        <v>218</v>
      </c>
      <c r="ER23" s="22" t="s">
        <v>218</v>
      </c>
      <c r="ES23" s="22">
        <v>16</v>
      </c>
      <c r="ET23" s="22">
        <v>32</v>
      </c>
      <c r="EU23" s="22" t="s">
        <v>218</v>
      </c>
      <c r="EV23" s="22" t="s">
        <v>218</v>
      </c>
      <c r="EW23" s="22" t="s">
        <v>218</v>
      </c>
      <c r="EX23" s="22" t="s">
        <v>218</v>
      </c>
      <c r="EY23" s="22" t="s">
        <v>218</v>
      </c>
      <c r="EZ23" s="22" t="s">
        <v>218</v>
      </c>
      <c r="FA23" s="22" t="s">
        <v>218</v>
      </c>
      <c r="FB23" s="22" t="s">
        <v>218</v>
      </c>
      <c r="FC23" s="22" t="s">
        <v>218</v>
      </c>
      <c r="FD23" s="22" t="s">
        <v>218</v>
      </c>
      <c r="FE23" s="22" t="s">
        <v>218</v>
      </c>
      <c r="FF23" s="22" t="s">
        <v>218</v>
      </c>
      <c r="FG23" s="22">
        <v>0.7</v>
      </c>
      <c r="FH23" s="22">
        <v>0.1</v>
      </c>
      <c r="FI23" s="22">
        <v>0.2</v>
      </c>
      <c r="FJ23" s="22" t="s">
        <v>218</v>
      </c>
      <c r="FK23" s="22">
        <v>1.3</v>
      </c>
      <c r="FL23" s="22">
        <v>1</v>
      </c>
      <c r="FM23" s="22" t="s">
        <v>218</v>
      </c>
      <c r="FN23" s="22">
        <v>2</v>
      </c>
      <c r="FO23" s="22">
        <v>1.7</v>
      </c>
      <c r="FP23" s="22" t="s">
        <v>218</v>
      </c>
      <c r="FQ23" s="22" t="s">
        <v>218</v>
      </c>
      <c r="FR23" s="22" t="s">
        <v>218</v>
      </c>
      <c r="FS23" s="22" t="s">
        <v>218</v>
      </c>
      <c r="FT23" s="22" t="s">
        <v>218</v>
      </c>
      <c r="FU23" s="22" t="s">
        <v>218</v>
      </c>
      <c r="FV23" s="22" t="s">
        <v>218</v>
      </c>
      <c r="FW23" s="22" t="s">
        <v>218</v>
      </c>
      <c r="FX23" s="22" t="s">
        <v>218</v>
      </c>
      <c r="FY23" s="22" t="s">
        <v>218</v>
      </c>
      <c r="FZ23" s="22" t="s">
        <v>218</v>
      </c>
      <c r="GA23" s="22">
        <v>0.1</v>
      </c>
      <c r="GB23" s="22">
        <v>0.3</v>
      </c>
      <c r="GC23" s="22" t="s">
        <v>218</v>
      </c>
      <c r="GD23" s="22" t="s">
        <v>218</v>
      </c>
      <c r="GE23" s="22" t="s">
        <v>218</v>
      </c>
      <c r="GF23" s="22" t="s">
        <v>218</v>
      </c>
      <c r="GG23" s="22" t="s">
        <v>218</v>
      </c>
      <c r="GH23" s="22" t="s">
        <v>218</v>
      </c>
      <c r="GI23" s="22" t="s">
        <v>218</v>
      </c>
      <c r="GJ23" s="22" t="s">
        <v>218</v>
      </c>
      <c r="GK23" s="22" t="s">
        <v>218</v>
      </c>
      <c r="GL23" s="22" t="s">
        <v>218</v>
      </c>
      <c r="GM23" s="22" t="s">
        <v>218</v>
      </c>
      <c r="GN23" s="22" t="s">
        <v>218</v>
      </c>
      <c r="GO23" s="22">
        <v>2016</v>
      </c>
      <c r="GP23" s="22">
        <v>2016</v>
      </c>
      <c r="GQ23" s="22">
        <v>2016</v>
      </c>
      <c r="GR23" s="22" t="s">
        <v>218</v>
      </c>
      <c r="GS23" s="22">
        <v>2016</v>
      </c>
      <c r="GT23" s="22">
        <v>2016</v>
      </c>
      <c r="GU23" s="22" t="s">
        <v>218</v>
      </c>
      <c r="GV23" s="22">
        <v>2016</v>
      </c>
      <c r="GW23" s="22">
        <v>2016</v>
      </c>
      <c r="GX23" s="22" t="s">
        <v>218</v>
      </c>
      <c r="GY23" s="22" t="s">
        <v>218</v>
      </c>
      <c r="GZ23" s="22" t="s">
        <v>218</v>
      </c>
      <c r="HA23" s="22" t="s">
        <v>218</v>
      </c>
      <c r="HB23" s="22" t="s">
        <v>218</v>
      </c>
      <c r="HC23" s="22" t="s">
        <v>218</v>
      </c>
      <c r="HD23" s="22" t="s">
        <v>218</v>
      </c>
      <c r="HE23" s="22" t="s">
        <v>218</v>
      </c>
      <c r="HF23" s="22" t="s">
        <v>218</v>
      </c>
      <c r="HG23" s="22" t="s">
        <v>218</v>
      </c>
      <c r="HH23" s="22" t="s">
        <v>218</v>
      </c>
      <c r="HI23" s="22">
        <v>2016</v>
      </c>
      <c r="HJ23" s="22">
        <v>2016</v>
      </c>
      <c r="HK23" s="22" t="s">
        <v>218</v>
      </c>
      <c r="HL23" s="22" t="s">
        <v>218</v>
      </c>
      <c r="HM23" s="620">
        <f>'background data'!$G$10</f>
        <v>0.47300000000000003</v>
      </c>
      <c r="HN23" s="620">
        <f>'background data'!$H$10</f>
        <v>0.13</v>
      </c>
      <c r="HO23" s="620">
        <f>'background data'!$J$10</f>
        <v>0.39100000000000001</v>
      </c>
      <c r="HP23" s="620">
        <f>'background data'!$L$10</f>
        <v>5.5E-2</v>
      </c>
      <c r="HQ23" s="620">
        <f>'background data'!$M$10</f>
        <v>3.97</v>
      </c>
      <c r="HR23" s="620">
        <f>'background data'!$N$10</f>
        <v>4.5999999999999999E-3</v>
      </c>
      <c r="HS23" s="620">
        <f>'background data'!$O$10</f>
        <v>2.73</v>
      </c>
      <c r="HT23" s="145"/>
      <c r="HU23" s="145" t="s">
        <v>1809</v>
      </c>
      <c r="HV23" s="22" t="s">
        <v>1927</v>
      </c>
      <c r="HW23" s="22" t="s">
        <v>231</v>
      </c>
      <c r="HX23" s="22" t="s">
        <v>232</v>
      </c>
      <c r="HY23" s="22" t="s">
        <v>233</v>
      </c>
      <c r="HZ23" s="19"/>
      <c r="IA23" s="19"/>
      <c r="IB23" s="620">
        <f>'background data'!$G$10</f>
        <v>0.47300000000000003</v>
      </c>
      <c r="IC23" s="620">
        <f>'background data'!$H$10</f>
        <v>0.13</v>
      </c>
      <c r="ID23" s="620">
        <f>'background data'!$J$10</f>
        <v>0.39100000000000001</v>
      </c>
      <c r="IE23" s="620">
        <f>'background data'!$L$10</f>
        <v>5.5E-2</v>
      </c>
      <c r="IF23" s="620">
        <f>'background data'!$M$10</f>
        <v>3.97</v>
      </c>
      <c r="IG23" s="620">
        <f>'background data'!$N$10</f>
        <v>4.5999999999999999E-3</v>
      </c>
      <c r="IH23" s="620">
        <f>'background data'!$O$10</f>
        <v>2.73</v>
      </c>
      <c r="II23" s="145"/>
      <c r="IJ23" s="145">
        <v>1</v>
      </c>
      <c r="IK23" s="145"/>
      <c r="IL23" s="145"/>
      <c r="IM23" s="145"/>
      <c r="IN23" s="145"/>
      <c r="IO23" s="145"/>
      <c r="IP23" s="145"/>
      <c r="IQ23" s="145"/>
      <c r="IR23" s="145"/>
      <c r="IS23" s="145"/>
      <c r="IT23" s="145"/>
      <c r="IU23" s="145"/>
      <c r="IV23" s="145"/>
      <c r="IW23" s="145"/>
      <c r="IX23" s="145"/>
      <c r="IY23" s="145"/>
      <c r="IZ23" s="145"/>
      <c r="JA23" s="145"/>
      <c r="JB23" s="145"/>
      <c r="JC23" s="145"/>
      <c r="JD23" s="145"/>
      <c r="JE23" s="145"/>
      <c r="JF23" s="145"/>
      <c r="JG23" s="145"/>
      <c r="JH23" s="145"/>
      <c r="JI23" s="145"/>
      <c r="JJ23" s="145"/>
      <c r="JK23" s="145"/>
      <c r="JL23" s="145"/>
      <c r="JM23" s="145"/>
      <c r="JN23" s="145"/>
      <c r="JO23" s="145"/>
      <c r="JP23" s="145"/>
      <c r="JQ23" s="145"/>
      <c r="JR23" s="145"/>
      <c r="JS23" s="145"/>
      <c r="JT23" s="145"/>
      <c r="JU23" s="145"/>
      <c r="JV23" s="145"/>
      <c r="JW23" s="145"/>
      <c r="JX23" s="145"/>
      <c r="JY23" s="145"/>
      <c r="JZ23" s="145"/>
      <c r="KA23" s="145"/>
      <c r="KB23" s="145"/>
      <c r="KC23" s="145"/>
      <c r="KD23" s="145"/>
      <c r="KE23" s="145"/>
      <c r="KF23" s="145"/>
      <c r="KG23" s="145"/>
      <c r="KH23" s="145"/>
      <c r="KI23" s="145"/>
      <c r="KJ23" s="145"/>
      <c r="KK23" s="145"/>
      <c r="KL23" s="145"/>
      <c r="KM23" s="145"/>
      <c r="KN23" s="145"/>
      <c r="KO23" s="145"/>
      <c r="KP23" s="145"/>
      <c r="KQ23" s="145"/>
      <c r="KR23" s="145"/>
      <c r="KS23" s="145"/>
      <c r="KT23" s="145"/>
      <c r="KU23" s="145"/>
      <c r="KV23" s="145"/>
      <c r="KW23" s="145"/>
      <c r="KX23" s="145"/>
      <c r="KY23" s="145"/>
      <c r="KZ23" s="145"/>
      <c r="LA23" s="145"/>
      <c r="LB23" s="145"/>
      <c r="LC23" s="145"/>
      <c r="LD23" s="145"/>
      <c r="LE23" s="145"/>
      <c r="LF23" s="145"/>
      <c r="LG23" s="145"/>
      <c r="LH23" s="145"/>
      <c r="LI23" s="145"/>
      <c r="LJ23" s="145"/>
      <c r="LK23" s="145"/>
      <c r="LL23" s="145"/>
      <c r="LM23" s="145"/>
      <c r="LN23" s="145"/>
      <c r="LO23" s="145"/>
      <c r="LP23" s="145"/>
      <c r="LQ23" s="145"/>
      <c r="LR23" s="145"/>
      <c r="LS23" s="145"/>
      <c r="LT23" s="145"/>
      <c r="LU23" s="145"/>
      <c r="LV23" s="145"/>
      <c r="LW23" s="145"/>
      <c r="LX23" s="145"/>
      <c r="LY23" s="145"/>
      <c r="LZ23" s="145"/>
      <c r="MA23" s="145"/>
      <c r="MB23" s="145"/>
      <c r="MC23" s="145"/>
      <c r="MD23" s="145"/>
      <c r="ME23" s="145"/>
      <c r="MF23" s="145"/>
      <c r="MG23" s="145"/>
      <c r="MH23" s="145"/>
      <c r="MI23" s="145"/>
      <c r="MJ23" s="145"/>
      <c r="MK23" s="145"/>
      <c r="ML23" s="145"/>
      <c r="MM23" s="145"/>
      <c r="MN23" s="145"/>
      <c r="MO23" s="145"/>
      <c r="MP23" s="145"/>
      <c r="MQ23" s="145"/>
      <c r="MR23" s="145"/>
      <c r="MS23" s="145"/>
      <c r="MT23" s="145"/>
      <c r="MU23" s="145"/>
      <c r="MV23" s="145"/>
      <c r="MW23" s="145"/>
      <c r="MX23" s="145"/>
      <c r="MY23" s="145"/>
      <c r="MZ23" s="145"/>
      <c r="NA23" s="145"/>
      <c r="NB23" s="145"/>
      <c r="NC23" s="145"/>
      <c r="ND23" s="145"/>
      <c r="NE23" s="145"/>
      <c r="NF23" s="145"/>
      <c r="NG23" s="145"/>
      <c r="NH23" s="145"/>
      <c r="NI23" s="145"/>
      <c r="NJ23" s="145"/>
      <c r="NK23" s="145"/>
      <c r="NL23" s="145"/>
      <c r="NM23" s="145"/>
      <c r="NN23" s="145"/>
      <c r="NO23" s="145"/>
      <c r="NP23" s="145"/>
      <c r="NQ23" s="145"/>
      <c r="NR23" s="145"/>
      <c r="NS23" s="145"/>
    </row>
    <row r="24" spans="1:383" s="16" customFormat="1" ht="15" customHeight="1" x14ac:dyDescent="0.2">
      <c r="A24" s="15">
        <v>50001</v>
      </c>
      <c r="B24" s="25">
        <v>500</v>
      </c>
      <c r="C24" s="26">
        <v>1</v>
      </c>
      <c r="D24" s="20" t="s">
        <v>247</v>
      </c>
      <c r="E24" s="14">
        <v>42683</v>
      </c>
      <c r="F24" s="18">
        <v>1.06419678668215</v>
      </c>
      <c r="G24" s="18">
        <v>1.0590221847866399</v>
      </c>
      <c r="H24" s="21">
        <v>85.6</v>
      </c>
      <c r="I24" s="21">
        <v>81.099999999999994</v>
      </c>
      <c r="J24" s="21">
        <v>90</v>
      </c>
      <c r="K24" s="18">
        <v>1</v>
      </c>
      <c r="L24" s="18">
        <v>85</v>
      </c>
      <c r="M24" s="18">
        <v>9.7000000000000401</v>
      </c>
      <c r="N24" s="18">
        <v>2.6</v>
      </c>
      <c r="O24" s="18">
        <v>1.9</v>
      </c>
      <c r="P24" s="18">
        <v>4.8</v>
      </c>
      <c r="Q24" s="19"/>
      <c r="R24" s="18">
        <v>77.711383210603799</v>
      </c>
      <c r="S24" s="18">
        <v>43</v>
      </c>
      <c r="T24" s="18">
        <v>49</v>
      </c>
      <c r="U24" s="18">
        <v>51</v>
      </c>
      <c r="V24" s="18">
        <v>53</v>
      </c>
      <c r="W24" s="18">
        <v>54</v>
      </c>
      <c r="X24" s="18"/>
      <c r="Y24" s="18">
        <v>0.55294117647058827</v>
      </c>
      <c r="Z24" s="18">
        <v>3.6470588235294117</v>
      </c>
      <c r="AA24" s="18">
        <v>0.2</v>
      </c>
      <c r="AB24" s="18">
        <v>1.4999999999999998</v>
      </c>
      <c r="AC24" s="18">
        <v>5.7</v>
      </c>
      <c r="AD24" s="18">
        <v>1.2</v>
      </c>
      <c r="AE24" s="18">
        <v>1.1000000000000001</v>
      </c>
      <c r="AF24" s="18">
        <v>34</v>
      </c>
      <c r="AG24" s="18">
        <v>2.9</v>
      </c>
      <c r="AH24" s="18">
        <v>14</v>
      </c>
      <c r="AI24" s="18">
        <v>28</v>
      </c>
      <c r="AJ24" s="18">
        <v>0</v>
      </c>
      <c r="AK24" s="18">
        <v>0.04</v>
      </c>
      <c r="AL24" s="18"/>
      <c r="AM24" s="18">
        <v>3.74929411764706</v>
      </c>
      <c r="AN24" s="18">
        <v>1.6949411764705899</v>
      </c>
      <c r="AO24" s="18">
        <v>2.3654117647058799</v>
      </c>
      <c r="AP24" s="18">
        <v>3.4255294117647099</v>
      </c>
      <c r="AQ24" s="18">
        <v>1.3177647058823501</v>
      </c>
      <c r="AR24" s="18">
        <v>3.6202352941176499</v>
      </c>
      <c r="AS24" s="18">
        <v>6.8747058823529397</v>
      </c>
      <c r="AT24" s="18">
        <v>2.27905882352941</v>
      </c>
      <c r="AU24" s="18">
        <v>4.8509411764705899</v>
      </c>
      <c r="AV24" s="18">
        <v>3.2182352941176502</v>
      </c>
      <c r="AW24" s="18">
        <v>5.1052941176470599</v>
      </c>
      <c r="AX24" s="18"/>
      <c r="AY24" s="18">
        <v>0.94</v>
      </c>
      <c r="AZ24" s="18">
        <v>1.08</v>
      </c>
      <c r="BA24" s="18">
        <v>1.03</v>
      </c>
      <c r="BB24" s="18">
        <v>0.95</v>
      </c>
      <c r="BC24" s="18">
        <v>0.96</v>
      </c>
      <c r="BD24" s="18">
        <v>1</v>
      </c>
      <c r="BE24" s="18">
        <v>1.01</v>
      </c>
      <c r="BF24" s="18">
        <v>1</v>
      </c>
      <c r="BG24" s="18">
        <v>1.04</v>
      </c>
      <c r="BH24" s="18">
        <v>0.97</v>
      </c>
      <c r="BI24" s="18">
        <v>0.96</v>
      </c>
      <c r="BJ24" s="19"/>
      <c r="BK24" s="18">
        <v>11.411764705882399</v>
      </c>
      <c r="BL24" s="18">
        <v>3.0588235294117645</v>
      </c>
      <c r="BM24" s="18">
        <v>2.2352941176470589</v>
      </c>
      <c r="BN24" s="18">
        <v>5.6470588235294121</v>
      </c>
      <c r="BO24" s="18"/>
      <c r="BP24" s="18">
        <v>120</v>
      </c>
      <c r="BQ24" s="18">
        <v>36.70588235294106</v>
      </c>
      <c r="BR24" s="18">
        <v>1.2519962196260588</v>
      </c>
      <c r="BS24" s="18">
        <v>1.2459084526901647</v>
      </c>
      <c r="BT24" s="19"/>
      <c r="BU24" s="18">
        <v>977.64705882352939</v>
      </c>
      <c r="BV24" s="18">
        <v>640.49949579831878</v>
      </c>
      <c r="BW24" s="18">
        <v>62.848739495798227</v>
      </c>
      <c r="BX24" s="18">
        <v>604</v>
      </c>
      <c r="BY24" s="18">
        <v>21.000000000000004</v>
      </c>
      <c r="BZ24" s="18">
        <v>56</v>
      </c>
      <c r="CA24" s="18">
        <v>165</v>
      </c>
      <c r="CB24" s="19"/>
      <c r="CC24" s="19">
        <v>0.47000000000000003</v>
      </c>
      <c r="CD24" s="19">
        <v>3.0999999999999996</v>
      </c>
      <c r="CE24" s="19">
        <v>0.17</v>
      </c>
      <c r="CF24" s="19">
        <v>1.2749999999999997</v>
      </c>
      <c r="CG24" s="19">
        <v>4.8449999999999998</v>
      </c>
      <c r="CH24" s="19">
        <v>1.02</v>
      </c>
      <c r="CI24" s="19">
        <v>0.93500000000000005</v>
      </c>
      <c r="CJ24" s="19"/>
      <c r="CK24" s="19">
        <v>28.9</v>
      </c>
      <c r="CL24" s="19">
        <v>2.4649999999999999</v>
      </c>
      <c r="CM24" s="19">
        <v>11.9</v>
      </c>
      <c r="CN24" s="19">
        <v>23.8</v>
      </c>
      <c r="CO24" s="19">
        <v>0</v>
      </c>
      <c r="CP24" s="19">
        <v>3.4000000000000002E-2</v>
      </c>
      <c r="CQ24" s="19">
        <v>75.380041714285696</v>
      </c>
      <c r="CR24" s="19">
        <v>70.832803347676247</v>
      </c>
      <c r="CS24" s="19">
        <v>2.496386321522202</v>
      </c>
      <c r="CT24" s="19">
        <v>1.296620298419263</v>
      </c>
      <c r="CU24" s="19">
        <v>1.7257520875666301</v>
      </c>
      <c r="CV24" s="19">
        <v>3.0223723859858929</v>
      </c>
      <c r="CW24" s="19">
        <v>2.3050785862595067</v>
      </c>
      <c r="CX24" s="19">
        <v>0.89607329539462599</v>
      </c>
      <c r="CY24" s="19">
        <v>2.5643141466055348</v>
      </c>
      <c r="CZ24" s="19">
        <v>4.9182423673619899</v>
      </c>
      <c r="DA24" s="19">
        <v>1.614321254648462</v>
      </c>
      <c r="DB24" s="19">
        <v>3.5734999290025078</v>
      </c>
      <c r="DC24" s="19">
        <v>2.2111792888334412</v>
      </c>
      <c r="DD24" s="19">
        <v>5.784679217835949</v>
      </c>
      <c r="DE24" s="19">
        <v>3.4715740249665026</v>
      </c>
      <c r="DF24" s="23">
        <v>0</v>
      </c>
      <c r="DG24" s="23">
        <v>0</v>
      </c>
      <c r="DH24" s="23">
        <v>0</v>
      </c>
      <c r="DI24" s="19">
        <v>0</v>
      </c>
      <c r="DJ24" s="19">
        <v>0</v>
      </c>
      <c r="DK24" s="19">
        <v>0</v>
      </c>
      <c r="DL24" s="19">
        <v>0</v>
      </c>
      <c r="DM24" s="19">
        <v>0</v>
      </c>
      <c r="DN24" s="19">
        <v>0</v>
      </c>
      <c r="DO24" s="19">
        <v>0</v>
      </c>
      <c r="DP24" s="19">
        <v>0</v>
      </c>
      <c r="DQ24" s="19">
        <v>0</v>
      </c>
      <c r="DR24" s="19">
        <v>0</v>
      </c>
      <c r="DS24" s="19">
        <v>0</v>
      </c>
      <c r="DT24" s="19">
        <v>0</v>
      </c>
      <c r="DU24" s="19">
        <v>0</v>
      </c>
      <c r="DV24" s="19">
        <v>0</v>
      </c>
      <c r="DW24" s="17" t="s">
        <v>230</v>
      </c>
      <c r="DX24" s="22" t="s">
        <v>218</v>
      </c>
      <c r="DY24" s="22">
        <v>32</v>
      </c>
      <c r="DZ24" s="22">
        <v>16</v>
      </c>
      <c r="EA24" s="22">
        <v>16</v>
      </c>
      <c r="EB24" s="22" t="s">
        <v>218</v>
      </c>
      <c r="EC24" s="22">
        <v>16</v>
      </c>
      <c r="ED24" s="22">
        <v>16</v>
      </c>
      <c r="EE24" s="22" t="s">
        <v>218</v>
      </c>
      <c r="EF24" s="22">
        <v>16</v>
      </c>
      <c r="EG24" s="22">
        <v>16</v>
      </c>
      <c r="EH24" s="22" t="s">
        <v>218</v>
      </c>
      <c r="EI24" s="22" t="s">
        <v>218</v>
      </c>
      <c r="EJ24" s="22" t="s">
        <v>218</v>
      </c>
      <c r="EK24" s="22" t="s">
        <v>218</v>
      </c>
      <c r="EL24" s="22" t="s">
        <v>218</v>
      </c>
      <c r="EM24" s="22" t="s">
        <v>218</v>
      </c>
      <c r="EN24" s="22" t="s">
        <v>218</v>
      </c>
      <c r="EO24" s="22" t="s">
        <v>218</v>
      </c>
      <c r="EP24" s="22" t="s">
        <v>218</v>
      </c>
      <c r="EQ24" s="22" t="s">
        <v>218</v>
      </c>
      <c r="ER24" s="22" t="s">
        <v>218</v>
      </c>
      <c r="ES24" s="22">
        <v>16</v>
      </c>
      <c r="ET24" s="22">
        <v>32</v>
      </c>
      <c r="EU24" s="22" t="s">
        <v>218</v>
      </c>
      <c r="EV24" s="22" t="s">
        <v>218</v>
      </c>
      <c r="EW24" s="22" t="s">
        <v>218</v>
      </c>
      <c r="EX24" s="22" t="s">
        <v>218</v>
      </c>
      <c r="EY24" s="22" t="s">
        <v>218</v>
      </c>
      <c r="EZ24" s="22" t="s">
        <v>218</v>
      </c>
      <c r="FA24" s="22" t="s">
        <v>218</v>
      </c>
      <c r="FB24" s="22" t="s">
        <v>218</v>
      </c>
      <c r="FC24" s="22" t="s">
        <v>218</v>
      </c>
      <c r="FD24" s="22" t="s">
        <v>218</v>
      </c>
      <c r="FE24" s="22" t="s">
        <v>218</v>
      </c>
      <c r="FF24" s="22" t="s">
        <v>218</v>
      </c>
      <c r="FG24" s="22">
        <v>0.7</v>
      </c>
      <c r="FH24" s="22">
        <v>0.1</v>
      </c>
      <c r="FI24" s="22">
        <v>0.2</v>
      </c>
      <c r="FJ24" s="22" t="s">
        <v>218</v>
      </c>
      <c r="FK24" s="22">
        <v>1.3</v>
      </c>
      <c r="FL24" s="22">
        <v>1</v>
      </c>
      <c r="FM24" s="22" t="s">
        <v>218</v>
      </c>
      <c r="FN24" s="22">
        <v>2</v>
      </c>
      <c r="FO24" s="22">
        <v>1.7</v>
      </c>
      <c r="FP24" s="22" t="s">
        <v>218</v>
      </c>
      <c r="FQ24" s="22" t="s">
        <v>218</v>
      </c>
      <c r="FR24" s="22" t="s">
        <v>218</v>
      </c>
      <c r="FS24" s="22" t="s">
        <v>218</v>
      </c>
      <c r="FT24" s="22" t="s">
        <v>218</v>
      </c>
      <c r="FU24" s="22" t="s">
        <v>218</v>
      </c>
      <c r="FV24" s="22" t="s">
        <v>218</v>
      </c>
      <c r="FW24" s="22" t="s">
        <v>218</v>
      </c>
      <c r="FX24" s="22" t="s">
        <v>218</v>
      </c>
      <c r="FY24" s="22" t="s">
        <v>218</v>
      </c>
      <c r="FZ24" s="22" t="s">
        <v>218</v>
      </c>
      <c r="GA24" s="22">
        <v>0.1</v>
      </c>
      <c r="GB24" s="22">
        <v>0.3</v>
      </c>
      <c r="GC24" s="22" t="s">
        <v>218</v>
      </c>
      <c r="GD24" s="22" t="s">
        <v>218</v>
      </c>
      <c r="GE24" s="22" t="s">
        <v>218</v>
      </c>
      <c r="GF24" s="22" t="s">
        <v>218</v>
      </c>
      <c r="GG24" s="22" t="s">
        <v>218</v>
      </c>
      <c r="GH24" s="22" t="s">
        <v>218</v>
      </c>
      <c r="GI24" s="22" t="s">
        <v>218</v>
      </c>
      <c r="GJ24" s="22" t="s">
        <v>218</v>
      </c>
      <c r="GK24" s="22" t="s">
        <v>218</v>
      </c>
      <c r="GL24" s="22" t="s">
        <v>218</v>
      </c>
      <c r="GM24" s="22" t="s">
        <v>218</v>
      </c>
      <c r="GN24" s="22" t="s">
        <v>218</v>
      </c>
      <c r="GO24" s="22">
        <v>2016</v>
      </c>
      <c r="GP24" s="22">
        <v>2016</v>
      </c>
      <c r="GQ24" s="22">
        <v>2016</v>
      </c>
      <c r="GR24" s="22" t="s">
        <v>218</v>
      </c>
      <c r="GS24" s="22">
        <v>2016</v>
      </c>
      <c r="GT24" s="22">
        <v>2016</v>
      </c>
      <c r="GU24" s="22" t="s">
        <v>218</v>
      </c>
      <c r="GV24" s="22">
        <v>2016</v>
      </c>
      <c r="GW24" s="22">
        <v>2016</v>
      </c>
      <c r="GX24" s="22" t="s">
        <v>218</v>
      </c>
      <c r="GY24" s="22" t="s">
        <v>218</v>
      </c>
      <c r="GZ24" s="22" t="s">
        <v>218</v>
      </c>
      <c r="HA24" s="22" t="s">
        <v>218</v>
      </c>
      <c r="HB24" s="22" t="s">
        <v>218</v>
      </c>
      <c r="HC24" s="22" t="s">
        <v>218</v>
      </c>
      <c r="HD24" s="22" t="s">
        <v>218</v>
      </c>
      <c r="HE24" s="22" t="s">
        <v>218</v>
      </c>
      <c r="HF24" s="22" t="s">
        <v>218</v>
      </c>
      <c r="HG24" s="22" t="s">
        <v>218</v>
      </c>
      <c r="HH24" s="22" t="s">
        <v>218</v>
      </c>
      <c r="HI24" s="22">
        <v>2016</v>
      </c>
      <c r="HJ24" s="22">
        <v>2016</v>
      </c>
      <c r="HK24" s="22" t="s">
        <v>218</v>
      </c>
      <c r="HL24" s="22" t="s">
        <v>218</v>
      </c>
      <c r="HM24" s="620">
        <f>'background data'!$G$10</f>
        <v>0.47300000000000003</v>
      </c>
      <c r="HN24" s="620">
        <f>'background data'!$H$10</f>
        <v>0.13</v>
      </c>
      <c r="HO24" s="620">
        <f>'background data'!$J$10</f>
        <v>0.39100000000000001</v>
      </c>
      <c r="HP24" s="620">
        <f>'background data'!$L$10</f>
        <v>5.5E-2</v>
      </c>
      <c r="HQ24" s="620">
        <f>'background data'!$M$10</f>
        <v>3.97</v>
      </c>
      <c r="HR24" s="620">
        <f>'background data'!$N$10</f>
        <v>4.5999999999999999E-3</v>
      </c>
      <c r="HS24" s="620">
        <f>'background data'!$O$10</f>
        <v>2.73</v>
      </c>
      <c r="HT24" s="145"/>
      <c r="HU24" s="145" t="s">
        <v>1809</v>
      </c>
      <c r="HV24" s="22" t="s">
        <v>1927</v>
      </c>
      <c r="HW24" s="22" t="s">
        <v>231</v>
      </c>
      <c r="HX24" s="22" t="s">
        <v>232</v>
      </c>
      <c r="HY24" s="22" t="s">
        <v>233</v>
      </c>
      <c r="HZ24" s="19"/>
      <c r="IA24" s="19"/>
      <c r="IB24" s="620">
        <f>'background data'!$G$10</f>
        <v>0.47300000000000003</v>
      </c>
      <c r="IC24" s="620">
        <f>'background data'!$H$10</f>
        <v>0.13</v>
      </c>
      <c r="ID24" s="620">
        <f>'background data'!$J$10</f>
        <v>0.39100000000000001</v>
      </c>
      <c r="IE24" s="620">
        <f>'background data'!$L$10</f>
        <v>5.5E-2</v>
      </c>
      <c r="IF24" s="620">
        <f>'background data'!$M$10</f>
        <v>3.97</v>
      </c>
      <c r="IG24" s="620">
        <f>'background data'!$N$10</f>
        <v>4.5999999999999999E-3</v>
      </c>
      <c r="IH24" s="620">
        <f>'background data'!$O$10</f>
        <v>2.73</v>
      </c>
      <c r="II24" s="145"/>
      <c r="IJ24" s="145">
        <v>1</v>
      </c>
      <c r="IK24" s="145"/>
      <c r="IL24" s="145"/>
      <c r="IM24" s="145"/>
      <c r="IN24" s="145"/>
      <c r="IO24" s="145"/>
      <c r="IP24" s="145"/>
      <c r="IQ24" s="145"/>
      <c r="IR24" s="145"/>
      <c r="IS24" s="145"/>
      <c r="IT24" s="145"/>
      <c r="IU24" s="145"/>
      <c r="IV24" s="145"/>
      <c r="IW24" s="145"/>
      <c r="IX24" s="145"/>
      <c r="IY24" s="145"/>
      <c r="IZ24" s="145"/>
      <c r="JA24" s="145"/>
      <c r="JB24" s="145"/>
      <c r="JC24" s="145"/>
      <c r="JD24" s="145"/>
      <c r="JE24" s="145"/>
      <c r="JF24" s="145"/>
      <c r="JG24" s="145"/>
      <c r="JH24" s="145"/>
      <c r="JI24" s="145"/>
      <c r="JJ24" s="145"/>
      <c r="JK24" s="145"/>
      <c r="JL24" s="145"/>
      <c r="JM24" s="145"/>
      <c r="JN24" s="145"/>
      <c r="JO24" s="145"/>
      <c r="JP24" s="145"/>
      <c r="JQ24" s="145"/>
      <c r="JR24" s="145"/>
      <c r="JS24" s="145"/>
      <c r="JT24" s="145"/>
      <c r="JU24" s="145"/>
      <c r="JV24" s="145"/>
      <c r="JW24" s="145"/>
      <c r="JX24" s="145"/>
      <c r="JY24" s="145"/>
      <c r="JZ24" s="145"/>
      <c r="KA24" s="145"/>
      <c r="KB24" s="145"/>
      <c r="KC24" s="145"/>
      <c r="KD24" s="145"/>
      <c r="KE24" s="145"/>
      <c r="KF24" s="145"/>
      <c r="KG24" s="145"/>
      <c r="KH24" s="145"/>
      <c r="KI24" s="145"/>
      <c r="KJ24" s="145"/>
      <c r="KK24" s="145"/>
      <c r="KL24" s="145"/>
      <c r="KM24" s="145"/>
      <c r="KN24" s="145"/>
      <c r="KO24" s="145"/>
      <c r="KP24" s="145"/>
      <c r="KQ24" s="145"/>
      <c r="KR24" s="145"/>
      <c r="KS24" s="145"/>
      <c r="KT24" s="145"/>
      <c r="KU24" s="145"/>
      <c r="KV24" s="145"/>
      <c r="KW24" s="145"/>
      <c r="KX24" s="145"/>
      <c r="KY24" s="145"/>
      <c r="KZ24" s="145"/>
      <c r="LA24" s="145"/>
      <c r="LB24" s="145"/>
      <c r="LC24" s="145"/>
      <c r="LD24" s="145"/>
      <c r="LE24" s="145"/>
      <c r="LF24" s="145"/>
      <c r="LG24" s="145"/>
      <c r="LH24" s="145"/>
      <c r="LI24" s="145"/>
      <c r="LJ24" s="145"/>
      <c r="LK24" s="145"/>
      <c r="LL24" s="145"/>
      <c r="LM24" s="145"/>
      <c r="LN24" s="145"/>
      <c r="LO24" s="145"/>
      <c r="LP24" s="145"/>
      <c r="LQ24" s="145"/>
      <c r="LR24" s="145"/>
      <c r="LS24" s="145"/>
      <c r="LT24" s="145"/>
      <c r="LU24" s="145"/>
      <c r="LV24" s="145"/>
      <c r="LW24" s="145"/>
      <c r="LX24" s="145"/>
      <c r="LY24" s="145"/>
      <c r="LZ24" s="145"/>
      <c r="MA24" s="145"/>
      <c r="MB24" s="145"/>
      <c r="MC24" s="145"/>
      <c r="MD24" s="145"/>
      <c r="ME24" s="145"/>
      <c r="MF24" s="145"/>
      <c r="MG24" s="145"/>
      <c r="MH24" s="145"/>
      <c r="MI24" s="145"/>
      <c r="MJ24" s="145"/>
      <c r="MK24" s="145"/>
      <c r="ML24" s="145"/>
      <c r="MM24" s="145"/>
      <c r="MN24" s="145"/>
      <c r="MO24" s="145"/>
      <c r="MP24" s="145"/>
      <c r="MQ24" s="145"/>
      <c r="MR24" s="145"/>
      <c r="MS24" s="145"/>
      <c r="MT24" s="145"/>
      <c r="MU24" s="145"/>
      <c r="MV24" s="145"/>
      <c r="MW24" s="145"/>
      <c r="MX24" s="145"/>
      <c r="MY24" s="145"/>
      <c r="MZ24" s="145"/>
      <c r="NA24" s="145"/>
      <c r="NB24" s="145"/>
      <c r="NC24" s="145"/>
      <c r="ND24" s="145"/>
      <c r="NE24" s="145"/>
      <c r="NF24" s="145"/>
      <c r="NG24" s="145"/>
      <c r="NH24" s="145"/>
      <c r="NI24" s="145"/>
      <c r="NJ24" s="145"/>
      <c r="NK24" s="145"/>
      <c r="NL24" s="145"/>
      <c r="NM24" s="145"/>
      <c r="NN24" s="145"/>
      <c r="NO24" s="145"/>
      <c r="NP24" s="145"/>
      <c r="NQ24" s="145"/>
      <c r="NR24" s="145"/>
      <c r="NS24" s="145"/>
    </row>
    <row r="25" spans="1:383" s="16" customFormat="1" ht="15" customHeight="1" x14ac:dyDescent="0.2">
      <c r="A25" s="15">
        <v>50010</v>
      </c>
      <c r="B25" s="25">
        <v>500</v>
      </c>
      <c r="C25" s="26">
        <v>10</v>
      </c>
      <c r="D25" s="20" t="s">
        <v>248</v>
      </c>
      <c r="E25" s="14">
        <v>42683</v>
      </c>
      <c r="F25" s="18">
        <v>1.0581645567169899</v>
      </c>
      <c r="G25" s="18">
        <v>1.0547823888682799</v>
      </c>
      <c r="H25" s="21">
        <v>85.6</v>
      </c>
      <c r="I25" s="21">
        <v>80.599999999999994</v>
      </c>
      <c r="J25" s="21">
        <v>90</v>
      </c>
      <c r="K25" s="18">
        <v>1</v>
      </c>
      <c r="L25" s="18">
        <v>85</v>
      </c>
      <c r="M25" s="18">
        <v>9.7000000000000401</v>
      </c>
      <c r="N25" s="18">
        <v>2.6</v>
      </c>
      <c r="O25" s="18">
        <v>1.9</v>
      </c>
      <c r="P25" s="18">
        <v>4.8</v>
      </c>
      <c r="Q25" s="19"/>
      <c r="R25" s="18">
        <v>77.307509867452097</v>
      </c>
      <c r="S25" s="18">
        <v>30</v>
      </c>
      <c r="T25" s="18">
        <v>42</v>
      </c>
      <c r="U25" s="18">
        <v>46</v>
      </c>
      <c r="V25" s="18">
        <v>50</v>
      </c>
      <c r="W25" s="18">
        <v>53</v>
      </c>
      <c r="X25" s="18"/>
      <c r="Y25" s="18">
        <v>0.55294117647058827</v>
      </c>
      <c r="Z25" s="18">
        <v>3.6470588235294117</v>
      </c>
      <c r="AA25" s="18">
        <v>0.2</v>
      </c>
      <c r="AB25" s="18">
        <v>1.4999999999999998</v>
      </c>
      <c r="AC25" s="18">
        <v>5.7</v>
      </c>
      <c r="AD25" s="18">
        <v>1.2</v>
      </c>
      <c r="AE25" s="18">
        <v>1.1000000000000001</v>
      </c>
      <c r="AF25" s="18">
        <v>34</v>
      </c>
      <c r="AG25" s="18">
        <v>2.9</v>
      </c>
      <c r="AH25" s="18">
        <v>14</v>
      </c>
      <c r="AI25" s="18">
        <v>28</v>
      </c>
      <c r="AJ25" s="18">
        <v>0</v>
      </c>
      <c r="AK25" s="18">
        <v>0.04</v>
      </c>
      <c r="AL25" s="18"/>
      <c r="AM25" s="18">
        <v>3.74929411764706</v>
      </c>
      <c r="AN25" s="18">
        <v>1.6949411764705899</v>
      </c>
      <c r="AO25" s="18">
        <v>2.3654117647058799</v>
      </c>
      <c r="AP25" s="18">
        <v>3.4255294117647099</v>
      </c>
      <c r="AQ25" s="18">
        <v>1.3177647058823501</v>
      </c>
      <c r="AR25" s="18">
        <v>3.6202352941176499</v>
      </c>
      <c r="AS25" s="18">
        <v>6.8747058823529397</v>
      </c>
      <c r="AT25" s="18">
        <v>2.27905882352941</v>
      </c>
      <c r="AU25" s="18">
        <v>4.8509411764705899</v>
      </c>
      <c r="AV25" s="18">
        <v>3.2182352941176502</v>
      </c>
      <c r="AW25" s="18">
        <v>5.1052941176470599</v>
      </c>
      <c r="AX25" s="18"/>
      <c r="AY25" s="18">
        <v>0.94</v>
      </c>
      <c r="AZ25" s="18">
        <v>1.08</v>
      </c>
      <c r="BA25" s="18">
        <v>1.03</v>
      </c>
      <c r="BB25" s="18">
        <v>0.95</v>
      </c>
      <c r="BC25" s="18">
        <v>0.96</v>
      </c>
      <c r="BD25" s="18">
        <v>1</v>
      </c>
      <c r="BE25" s="18">
        <v>1.01</v>
      </c>
      <c r="BF25" s="18">
        <v>1</v>
      </c>
      <c r="BG25" s="18">
        <v>1.04</v>
      </c>
      <c r="BH25" s="18">
        <v>0.97</v>
      </c>
      <c r="BI25" s="18">
        <v>0.96</v>
      </c>
      <c r="BJ25" s="19"/>
      <c r="BK25" s="18">
        <v>11.411764705882399</v>
      </c>
      <c r="BL25" s="18">
        <v>3.0588235294117645</v>
      </c>
      <c r="BM25" s="18">
        <v>2.2352941176470589</v>
      </c>
      <c r="BN25" s="18">
        <v>5.6470588235294121</v>
      </c>
      <c r="BO25" s="18"/>
      <c r="BP25" s="18">
        <v>120</v>
      </c>
      <c r="BQ25" s="18">
        <v>36.70588235294106</v>
      </c>
      <c r="BR25" s="18">
        <v>1.2448994784905763</v>
      </c>
      <c r="BS25" s="18">
        <v>1.240920457492094</v>
      </c>
      <c r="BT25" s="19"/>
      <c r="BU25" s="18">
        <v>977.64705882352939</v>
      </c>
      <c r="BV25" s="18">
        <v>633.51630252100824</v>
      </c>
      <c r="BW25" s="18">
        <v>69.831932773109173</v>
      </c>
      <c r="BX25" s="18">
        <v>604</v>
      </c>
      <c r="BY25" s="18">
        <v>21.000000000000004</v>
      </c>
      <c r="BZ25" s="18">
        <v>56</v>
      </c>
      <c r="CA25" s="18">
        <v>165</v>
      </c>
      <c r="CB25" s="19"/>
      <c r="CC25" s="19">
        <v>0.47000000000000003</v>
      </c>
      <c r="CD25" s="19">
        <v>3.0999999999999996</v>
      </c>
      <c r="CE25" s="19">
        <v>0.17</v>
      </c>
      <c r="CF25" s="19">
        <v>1.2749999999999997</v>
      </c>
      <c r="CG25" s="19">
        <v>4.8449999999999998</v>
      </c>
      <c r="CH25" s="19">
        <v>1.02</v>
      </c>
      <c r="CI25" s="19">
        <v>0.93500000000000005</v>
      </c>
      <c r="CJ25" s="19"/>
      <c r="CK25" s="19">
        <v>28.9</v>
      </c>
      <c r="CL25" s="19">
        <v>2.4649999999999999</v>
      </c>
      <c r="CM25" s="19">
        <v>11.9</v>
      </c>
      <c r="CN25" s="19">
        <v>23.8</v>
      </c>
      <c r="CO25" s="19">
        <v>0</v>
      </c>
      <c r="CP25" s="19">
        <v>3.4000000000000002E-2</v>
      </c>
      <c r="CQ25" s="19">
        <v>74.988284571428593</v>
      </c>
      <c r="CR25" s="19">
        <v>70.866373377769904</v>
      </c>
      <c r="CS25" s="19">
        <v>2.497569442335978</v>
      </c>
      <c r="CT25" s="19">
        <v>1.2972348100633184</v>
      </c>
      <c r="CU25" s="19">
        <v>1.7265699790911222</v>
      </c>
      <c r="CV25" s="19">
        <v>3.0238047891544313</v>
      </c>
      <c r="CW25" s="19">
        <v>2.3061710399511797</v>
      </c>
      <c r="CX25" s="19">
        <v>0.89649797444262158</v>
      </c>
      <c r="CY25" s="19">
        <v>2.565529460683222</v>
      </c>
      <c r="CZ25" s="19">
        <v>4.9205732866038829</v>
      </c>
      <c r="DA25" s="19">
        <v>1.6150863353813747</v>
      </c>
      <c r="DB25" s="19">
        <v>3.5751935299117905</v>
      </c>
      <c r="DC25" s="19">
        <v>2.2122272405134553</v>
      </c>
      <c r="DD25" s="19">
        <v>5.7874207704252454</v>
      </c>
      <c r="DE25" s="19">
        <v>3.4732193197872965</v>
      </c>
      <c r="DF25" s="23">
        <v>0</v>
      </c>
      <c r="DG25" s="23">
        <v>0</v>
      </c>
      <c r="DH25" s="23">
        <v>0</v>
      </c>
      <c r="DI25" s="19">
        <v>0</v>
      </c>
      <c r="DJ25" s="19">
        <v>0</v>
      </c>
      <c r="DK25" s="19">
        <v>0</v>
      </c>
      <c r="DL25" s="19">
        <v>0</v>
      </c>
      <c r="DM25" s="19">
        <v>0</v>
      </c>
      <c r="DN25" s="19">
        <v>0</v>
      </c>
      <c r="DO25" s="19">
        <v>0</v>
      </c>
      <c r="DP25" s="19">
        <v>0</v>
      </c>
      <c r="DQ25" s="19">
        <v>0</v>
      </c>
      <c r="DR25" s="19">
        <v>0</v>
      </c>
      <c r="DS25" s="19">
        <v>0</v>
      </c>
      <c r="DT25" s="19">
        <v>0</v>
      </c>
      <c r="DU25" s="19">
        <v>0</v>
      </c>
      <c r="DV25" s="19">
        <v>0</v>
      </c>
      <c r="DW25" s="17" t="s">
        <v>230</v>
      </c>
      <c r="DX25" s="22" t="s">
        <v>218</v>
      </c>
      <c r="DY25" s="22">
        <v>32</v>
      </c>
      <c r="DZ25" s="22">
        <v>16</v>
      </c>
      <c r="EA25" s="22">
        <v>16</v>
      </c>
      <c r="EB25" s="22" t="s">
        <v>218</v>
      </c>
      <c r="EC25" s="22">
        <v>16</v>
      </c>
      <c r="ED25" s="22">
        <v>16</v>
      </c>
      <c r="EE25" s="22" t="s">
        <v>218</v>
      </c>
      <c r="EF25" s="22">
        <v>16</v>
      </c>
      <c r="EG25" s="22">
        <v>16</v>
      </c>
      <c r="EH25" s="22" t="s">
        <v>218</v>
      </c>
      <c r="EI25" s="22" t="s">
        <v>218</v>
      </c>
      <c r="EJ25" s="22" t="s">
        <v>218</v>
      </c>
      <c r="EK25" s="22" t="s">
        <v>218</v>
      </c>
      <c r="EL25" s="22" t="s">
        <v>218</v>
      </c>
      <c r="EM25" s="22" t="s">
        <v>218</v>
      </c>
      <c r="EN25" s="22" t="s">
        <v>218</v>
      </c>
      <c r="EO25" s="22" t="s">
        <v>218</v>
      </c>
      <c r="EP25" s="22" t="s">
        <v>218</v>
      </c>
      <c r="EQ25" s="22" t="s">
        <v>218</v>
      </c>
      <c r="ER25" s="22" t="s">
        <v>218</v>
      </c>
      <c r="ES25" s="22">
        <v>16</v>
      </c>
      <c r="ET25" s="22">
        <v>32</v>
      </c>
      <c r="EU25" s="22" t="s">
        <v>218</v>
      </c>
      <c r="EV25" s="22" t="s">
        <v>218</v>
      </c>
      <c r="EW25" s="22" t="s">
        <v>218</v>
      </c>
      <c r="EX25" s="22" t="s">
        <v>218</v>
      </c>
      <c r="EY25" s="22" t="s">
        <v>218</v>
      </c>
      <c r="EZ25" s="22" t="s">
        <v>218</v>
      </c>
      <c r="FA25" s="22" t="s">
        <v>218</v>
      </c>
      <c r="FB25" s="22" t="s">
        <v>218</v>
      </c>
      <c r="FC25" s="22" t="s">
        <v>218</v>
      </c>
      <c r="FD25" s="22" t="s">
        <v>218</v>
      </c>
      <c r="FE25" s="22" t="s">
        <v>218</v>
      </c>
      <c r="FF25" s="22" t="s">
        <v>218</v>
      </c>
      <c r="FG25" s="22">
        <v>0.7</v>
      </c>
      <c r="FH25" s="22">
        <v>0.1</v>
      </c>
      <c r="FI25" s="22">
        <v>0.2</v>
      </c>
      <c r="FJ25" s="22" t="s">
        <v>218</v>
      </c>
      <c r="FK25" s="22">
        <v>1.3</v>
      </c>
      <c r="FL25" s="22">
        <v>1</v>
      </c>
      <c r="FM25" s="22" t="s">
        <v>218</v>
      </c>
      <c r="FN25" s="22">
        <v>2</v>
      </c>
      <c r="FO25" s="22">
        <v>1.7</v>
      </c>
      <c r="FP25" s="22" t="s">
        <v>218</v>
      </c>
      <c r="FQ25" s="22" t="s">
        <v>218</v>
      </c>
      <c r="FR25" s="22" t="s">
        <v>218</v>
      </c>
      <c r="FS25" s="22" t="s">
        <v>218</v>
      </c>
      <c r="FT25" s="22" t="s">
        <v>218</v>
      </c>
      <c r="FU25" s="22" t="s">
        <v>218</v>
      </c>
      <c r="FV25" s="22" t="s">
        <v>218</v>
      </c>
      <c r="FW25" s="22" t="s">
        <v>218</v>
      </c>
      <c r="FX25" s="22" t="s">
        <v>218</v>
      </c>
      <c r="FY25" s="22" t="s">
        <v>218</v>
      </c>
      <c r="FZ25" s="22" t="s">
        <v>218</v>
      </c>
      <c r="GA25" s="22">
        <v>0.1</v>
      </c>
      <c r="GB25" s="22">
        <v>0.3</v>
      </c>
      <c r="GC25" s="22" t="s">
        <v>218</v>
      </c>
      <c r="GD25" s="22" t="s">
        <v>218</v>
      </c>
      <c r="GE25" s="22" t="s">
        <v>218</v>
      </c>
      <c r="GF25" s="22" t="s">
        <v>218</v>
      </c>
      <c r="GG25" s="22" t="s">
        <v>218</v>
      </c>
      <c r="GH25" s="22" t="s">
        <v>218</v>
      </c>
      <c r="GI25" s="22" t="s">
        <v>218</v>
      </c>
      <c r="GJ25" s="22" t="s">
        <v>218</v>
      </c>
      <c r="GK25" s="22" t="s">
        <v>218</v>
      </c>
      <c r="GL25" s="22" t="s">
        <v>218</v>
      </c>
      <c r="GM25" s="22" t="s">
        <v>218</v>
      </c>
      <c r="GN25" s="22" t="s">
        <v>218</v>
      </c>
      <c r="GO25" s="22">
        <v>2016</v>
      </c>
      <c r="GP25" s="22">
        <v>2016</v>
      </c>
      <c r="GQ25" s="22">
        <v>2016</v>
      </c>
      <c r="GR25" s="22" t="s">
        <v>218</v>
      </c>
      <c r="GS25" s="22">
        <v>2016</v>
      </c>
      <c r="GT25" s="22">
        <v>2016</v>
      </c>
      <c r="GU25" s="22" t="s">
        <v>218</v>
      </c>
      <c r="GV25" s="22">
        <v>2016</v>
      </c>
      <c r="GW25" s="22">
        <v>2016</v>
      </c>
      <c r="GX25" s="22" t="s">
        <v>218</v>
      </c>
      <c r="GY25" s="22" t="s">
        <v>218</v>
      </c>
      <c r="GZ25" s="22" t="s">
        <v>218</v>
      </c>
      <c r="HA25" s="22" t="s">
        <v>218</v>
      </c>
      <c r="HB25" s="22" t="s">
        <v>218</v>
      </c>
      <c r="HC25" s="22" t="s">
        <v>218</v>
      </c>
      <c r="HD25" s="22" t="s">
        <v>218</v>
      </c>
      <c r="HE25" s="22" t="s">
        <v>218</v>
      </c>
      <c r="HF25" s="22" t="s">
        <v>218</v>
      </c>
      <c r="HG25" s="22" t="s">
        <v>218</v>
      </c>
      <c r="HH25" s="22" t="s">
        <v>218</v>
      </c>
      <c r="HI25" s="22">
        <v>2016</v>
      </c>
      <c r="HJ25" s="22">
        <v>2016</v>
      </c>
      <c r="HK25" s="22" t="s">
        <v>218</v>
      </c>
      <c r="HL25" s="22" t="s">
        <v>218</v>
      </c>
      <c r="HM25" s="620">
        <f>'background data'!$G$10</f>
        <v>0.47300000000000003</v>
      </c>
      <c r="HN25" s="620">
        <f>'background data'!$H$10</f>
        <v>0.13</v>
      </c>
      <c r="HO25" s="620">
        <f>'background data'!$J$10</f>
        <v>0.39100000000000001</v>
      </c>
      <c r="HP25" s="620">
        <f>'background data'!$L$10</f>
        <v>5.5E-2</v>
      </c>
      <c r="HQ25" s="620">
        <f>'background data'!$M$10</f>
        <v>3.97</v>
      </c>
      <c r="HR25" s="620">
        <f>'background data'!$N$10</f>
        <v>4.5999999999999999E-3</v>
      </c>
      <c r="HS25" s="620">
        <f>'background data'!$O$10</f>
        <v>2.73</v>
      </c>
      <c r="HT25" s="145"/>
      <c r="HU25" s="145" t="s">
        <v>1809</v>
      </c>
      <c r="HV25" s="22" t="s">
        <v>1927</v>
      </c>
      <c r="HW25" s="22" t="s">
        <v>231</v>
      </c>
      <c r="HX25" s="22" t="s">
        <v>232</v>
      </c>
      <c r="HY25" s="22" t="s">
        <v>233</v>
      </c>
      <c r="HZ25" s="19"/>
      <c r="IA25" s="19"/>
      <c r="IB25" s="620">
        <f>'background data'!$G$10</f>
        <v>0.47300000000000003</v>
      </c>
      <c r="IC25" s="620">
        <f>'background data'!$H$10</f>
        <v>0.13</v>
      </c>
      <c r="ID25" s="620">
        <f>'background data'!$J$10</f>
        <v>0.39100000000000001</v>
      </c>
      <c r="IE25" s="620">
        <f>'background data'!$L$10</f>
        <v>5.5E-2</v>
      </c>
      <c r="IF25" s="620">
        <f>'background data'!$M$10</f>
        <v>3.97</v>
      </c>
      <c r="IG25" s="620">
        <f>'background data'!$N$10</f>
        <v>4.5999999999999999E-3</v>
      </c>
      <c r="IH25" s="620">
        <f>'background data'!$O$10</f>
        <v>2.73</v>
      </c>
      <c r="II25" s="145"/>
      <c r="IJ25" s="145">
        <v>1</v>
      </c>
      <c r="IK25" s="145"/>
      <c r="IL25" s="145"/>
      <c r="IM25" s="145"/>
      <c r="IN25" s="145"/>
      <c r="IO25" s="145"/>
      <c r="IP25" s="145"/>
      <c r="IQ25" s="145"/>
      <c r="IR25" s="145"/>
      <c r="IS25" s="145"/>
      <c r="IT25" s="145"/>
      <c r="IU25" s="145"/>
      <c r="IV25" s="145"/>
      <c r="IW25" s="145"/>
      <c r="IX25" s="145"/>
      <c r="IY25" s="145"/>
      <c r="IZ25" s="145"/>
      <c r="JA25" s="145"/>
      <c r="JB25" s="145"/>
      <c r="JC25" s="145"/>
      <c r="JD25" s="145"/>
      <c r="JE25" s="145"/>
      <c r="JF25" s="145"/>
      <c r="JG25" s="145"/>
      <c r="JH25" s="145"/>
      <c r="JI25" s="145"/>
      <c r="JJ25" s="145"/>
      <c r="JK25" s="145"/>
      <c r="JL25" s="145"/>
      <c r="JM25" s="145"/>
      <c r="JN25" s="145"/>
      <c r="JO25" s="145"/>
      <c r="JP25" s="145"/>
      <c r="JQ25" s="145"/>
      <c r="JR25" s="145"/>
      <c r="JS25" s="145"/>
      <c r="JT25" s="145"/>
      <c r="JU25" s="145"/>
      <c r="JV25" s="145"/>
      <c r="JW25" s="145"/>
      <c r="JX25" s="145"/>
      <c r="JY25" s="145"/>
      <c r="JZ25" s="145"/>
      <c r="KA25" s="145"/>
      <c r="KB25" s="145"/>
      <c r="KC25" s="145"/>
      <c r="KD25" s="145"/>
      <c r="KE25" s="145"/>
      <c r="KF25" s="145"/>
      <c r="KG25" s="145"/>
      <c r="KH25" s="145"/>
      <c r="KI25" s="145"/>
      <c r="KJ25" s="145"/>
      <c r="KK25" s="145"/>
      <c r="KL25" s="145"/>
      <c r="KM25" s="145"/>
      <c r="KN25" s="145"/>
      <c r="KO25" s="145"/>
      <c r="KP25" s="145"/>
      <c r="KQ25" s="145"/>
      <c r="KR25" s="145"/>
      <c r="KS25" s="145"/>
      <c r="KT25" s="145"/>
      <c r="KU25" s="145"/>
      <c r="KV25" s="145"/>
      <c r="KW25" s="145"/>
      <c r="KX25" s="145"/>
      <c r="KY25" s="145"/>
      <c r="KZ25" s="145"/>
      <c r="LA25" s="145"/>
      <c r="LB25" s="145"/>
      <c r="LC25" s="145"/>
      <c r="LD25" s="145"/>
      <c r="LE25" s="145"/>
      <c r="LF25" s="145"/>
      <c r="LG25" s="145"/>
      <c r="LH25" s="145"/>
      <c r="LI25" s="145"/>
      <c r="LJ25" s="145"/>
      <c r="LK25" s="145"/>
      <c r="LL25" s="145"/>
      <c r="LM25" s="145"/>
      <c r="LN25" s="145"/>
      <c r="LO25" s="145"/>
      <c r="LP25" s="145"/>
      <c r="LQ25" s="145"/>
      <c r="LR25" s="145"/>
      <c r="LS25" s="145"/>
      <c r="LT25" s="145"/>
      <c r="LU25" s="145"/>
      <c r="LV25" s="145"/>
      <c r="LW25" s="145"/>
      <c r="LX25" s="145"/>
      <c r="LY25" s="145"/>
      <c r="LZ25" s="145"/>
      <c r="MA25" s="145"/>
      <c r="MB25" s="145"/>
      <c r="MC25" s="145"/>
      <c r="MD25" s="145"/>
      <c r="ME25" s="145"/>
      <c r="MF25" s="145"/>
      <c r="MG25" s="145"/>
      <c r="MH25" s="145"/>
      <c r="MI25" s="145"/>
      <c r="MJ25" s="145"/>
      <c r="MK25" s="145"/>
      <c r="ML25" s="145"/>
      <c r="MM25" s="145"/>
      <c r="MN25" s="145"/>
      <c r="MO25" s="145"/>
      <c r="MP25" s="145"/>
      <c r="MQ25" s="145"/>
      <c r="MR25" s="145"/>
      <c r="MS25" s="145"/>
      <c r="MT25" s="145"/>
      <c r="MU25" s="145"/>
      <c r="MV25" s="145"/>
      <c r="MW25" s="145"/>
      <c r="MX25" s="145"/>
      <c r="MY25" s="145"/>
      <c r="MZ25" s="145"/>
      <c r="NA25" s="145"/>
      <c r="NB25" s="145"/>
      <c r="NC25" s="145"/>
      <c r="ND25" s="145"/>
      <c r="NE25" s="145"/>
      <c r="NF25" s="145"/>
      <c r="NG25" s="145"/>
      <c r="NH25" s="145"/>
      <c r="NI25" s="145"/>
      <c r="NJ25" s="145"/>
      <c r="NK25" s="145"/>
      <c r="NL25" s="145"/>
      <c r="NM25" s="145"/>
      <c r="NN25" s="145"/>
      <c r="NO25" s="145"/>
      <c r="NP25" s="145"/>
      <c r="NQ25" s="145"/>
      <c r="NR25" s="145"/>
      <c r="NS25" s="145"/>
    </row>
    <row r="26" spans="1:383" s="16" customFormat="1" ht="15" customHeight="1" x14ac:dyDescent="0.2">
      <c r="A26" s="15">
        <v>50011</v>
      </c>
      <c r="B26" s="25">
        <v>500</v>
      </c>
      <c r="C26" s="26">
        <v>11</v>
      </c>
      <c r="D26" s="20" t="s">
        <v>249</v>
      </c>
      <c r="E26" s="14">
        <v>42683</v>
      </c>
      <c r="F26" s="18">
        <v>1.06419678668215</v>
      </c>
      <c r="G26" s="18">
        <v>1.0590221847866399</v>
      </c>
      <c r="H26" s="21">
        <v>85.6</v>
      </c>
      <c r="I26" s="21">
        <v>81.099999999999994</v>
      </c>
      <c r="J26" s="21">
        <v>90</v>
      </c>
      <c r="K26" s="18">
        <v>1</v>
      </c>
      <c r="L26" s="18">
        <v>85</v>
      </c>
      <c r="M26" s="18">
        <v>9.7000000000000401</v>
      </c>
      <c r="N26" s="18">
        <v>2.6</v>
      </c>
      <c r="O26" s="18">
        <v>1.9</v>
      </c>
      <c r="P26" s="18">
        <v>4.8</v>
      </c>
      <c r="Q26" s="19"/>
      <c r="R26" s="18">
        <v>77.711383210603799</v>
      </c>
      <c r="S26" s="18">
        <v>30</v>
      </c>
      <c r="T26" s="18">
        <v>42</v>
      </c>
      <c r="U26" s="18">
        <v>46</v>
      </c>
      <c r="V26" s="18">
        <v>50</v>
      </c>
      <c r="W26" s="18">
        <v>53</v>
      </c>
      <c r="X26" s="18"/>
      <c r="Y26" s="18">
        <v>0.55294117647058827</v>
      </c>
      <c r="Z26" s="18">
        <v>3.6470588235294117</v>
      </c>
      <c r="AA26" s="18">
        <v>0.2</v>
      </c>
      <c r="AB26" s="18">
        <v>1.4999999999999998</v>
      </c>
      <c r="AC26" s="18">
        <v>5.7</v>
      </c>
      <c r="AD26" s="18">
        <v>1.2</v>
      </c>
      <c r="AE26" s="18">
        <v>1.1000000000000001</v>
      </c>
      <c r="AF26" s="18">
        <v>34</v>
      </c>
      <c r="AG26" s="18">
        <v>2.9</v>
      </c>
      <c r="AH26" s="18">
        <v>14</v>
      </c>
      <c r="AI26" s="18">
        <v>28</v>
      </c>
      <c r="AJ26" s="18">
        <v>0</v>
      </c>
      <c r="AK26" s="18">
        <v>0.04</v>
      </c>
      <c r="AL26" s="18"/>
      <c r="AM26" s="18">
        <v>3.74929411764706</v>
      </c>
      <c r="AN26" s="18">
        <v>1.6949411764705899</v>
      </c>
      <c r="AO26" s="18">
        <v>2.3654117647058799</v>
      </c>
      <c r="AP26" s="18">
        <v>3.4255294117647099</v>
      </c>
      <c r="AQ26" s="18">
        <v>1.3177647058823501</v>
      </c>
      <c r="AR26" s="18">
        <v>3.6202352941176499</v>
      </c>
      <c r="AS26" s="18">
        <v>6.8747058823529397</v>
      </c>
      <c r="AT26" s="18">
        <v>2.27905882352941</v>
      </c>
      <c r="AU26" s="18">
        <v>4.8509411764705899</v>
      </c>
      <c r="AV26" s="18">
        <v>3.2182352941176502</v>
      </c>
      <c r="AW26" s="18">
        <v>5.1052941176470599</v>
      </c>
      <c r="AX26" s="18"/>
      <c r="AY26" s="18">
        <v>0.94</v>
      </c>
      <c r="AZ26" s="18">
        <v>1.08</v>
      </c>
      <c r="BA26" s="18">
        <v>1.03</v>
      </c>
      <c r="BB26" s="18">
        <v>0.95</v>
      </c>
      <c r="BC26" s="18">
        <v>0.96</v>
      </c>
      <c r="BD26" s="18">
        <v>1</v>
      </c>
      <c r="BE26" s="18">
        <v>1.01</v>
      </c>
      <c r="BF26" s="18">
        <v>1</v>
      </c>
      <c r="BG26" s="18">
        <v>1.04</v>
      </c>
      <c r="BH26" s="18">
        <v>0.97</v>
      </c>
      <c r="BI26" s="18">
        <v>0.96</v>
      </c>
      <c r="BJ26" s="19"/>
      <c r="BK26" s="18">
        <v>11.411764705882399</v>
      </c>
      <c r="BL26" s="18">
        <v>3.0588235294117645</v>
      </c>
      <c r="BM26" s="18">
        <v>2.2352941176470589</v>
      </c>
      <c r="BN26" s="18">
        <v>5.6470588235294121</v>
      </c>
      <c r="BO26" s="18"/>
      <c r="BP26" s="18">
        <v>120</v>
      </c>
      <c r="BQ26" s="18">
        <v>36.70588235294106</v>
      </c>
      <c r="BR26" s="18">
        <v>1.2519962196260588</v>
      </c>
      <c r="BS26" s="18">
        <v>1.2459084526901647</v>
      </c>
      <c r="BT26" s="19"/>
      <c r="BU26" s="18">
        <v>977.64705882352939</v>
      </c>
      <c r="BV26" s="18">
        <v>640.49949579831878</v>
      </c>
      <c r="BW26" s="18">
        <v>62.848739495798227</v>
      </c>
      <c r="BX26" s="18">
        <v>604</v>
      </c>
      <c r="BY26" s="18">
        <v>21.000000000000004</v>
      </c>
      <c r="BZ26" s="18">
        <v>56</v>
      </c>
      <c r="CA26" s="18">
        <v>165</v>
      </c>
      <c r="CB26" s="19"/>
      <c r="CC26" s="19">
        <v>0.47000000000000003</v>
      </c>
      <c r="CD26" s="19">
        <v>3.0999999999999996</v>
      </c>
      <c r="CE26" s="19">
        <v>0.17</v>
      </c>
      <c r="CF26" s="19">
        <v>1.2749999999999997</v>
      </c>
      <c r="CG26" s="19">
        <v>4.8449999999999998</v>
      </c>
      <c r="CH26" s="19">
        <v>1.02</v>
      </c>
      <c r="CI26" s="19">
        <v>0.93500000000000005</v>
      </c>
      <c r="CJ26" s="19"/>
      <c r="CK26" s="19">
        <v>28.9</v>
      </c>
      <c r="CL26" s="19">
        <v>2.4649999999999999</v>
      </c>
      <c r="CM26" s="19">
        <v>11.9</v>
      </c>
      <c r="CN26" s="19">
        <v>23.8</v>
      </c>
      <c r="CO26" s="19">
        <v>0</v>
      </c>
      <c r="CP26" s="19">
        <v>3.4000000000000002E-2</v>
      </c>
      <c r="CQ26" s="19">
        <v>75.380041714285696</v>
      </c>
      <c r="CR26" s="19">
        <v>70.832803347676247</v>
      </c>
      <c r="CS26" s="19">
        <v>2.496386321522202</v>
      </c>
      <c r="CT26" s="19">
        <v>1.296620298419263</v>
      </c>
      <c r="CU26" s="19">
        <v>1.7257520875666301</v>
      </c>
      <c r="CV26" s="19">
        <v>3.0223723859858929</v>
      </c>
      <c r="CW26" s="19">
        <v>2.3050785862595067</v>
      </c>
      <c r="CX26" s="19">
        <v>0.89607329539462599</v>
      </c>
      <c r="CY26" s="19">
        <v>2.5643141466055348</v>
      </c>
      <c r="CZ26" s="19">
        <v>4.9182423673619899</v>
      </c>
      <c r="DA26" s="19">
        <v>1.614321254648462</v>
      </c>
      <c r="DB26" s="19">
        <v>3.5734999290025078</v>
      </c>
      <c r="DC26" s="19">
        <v>2.2111792888334412</v>
      </c>
      <c r="DD26" s="19">
        <v>5.784679217835949</v>
      </c>
      <c r="DE26" s="19">
        <v>3.4715740249665026</v>
      </c>
      <c r="DF26" s="23">
        <v>0</v>
      </c>
      <c r="DG26" s="23">
        <v>0</v>
      </c>
      <c r="DH26" s="23">
        <v>0</v>
      </c>
      <c r="DI26" s="19">
        <v>0</v>
      </c>
      <c r="DJ26" s="19">
        <v>0</v>
      </c>
      <c r="DK26" s="19">
        <v>0</v>
      </c>
      <c r="DL26" s="19">
        <v>0</v>
      </c>
      <c r="DM26" s="19">
        <v>0</v>
      </c>
      <c r="DN26" s="19">
        <v>0</v>
      </c>
      <c r="DO26" s="19">
        <v>0</v>
      </c>
      <c r="DP26" s="19">
        <v>0</v>
      </c>
      <c r="DQ26" s="19">
        <v>0</v>
      </c>
      <c r="DR26" s="19">
        <v>0</v>
      </c>
      <c r="DS26" s="19">
        <v>0</v>
      </c>
      <c r="DT26" s="19">
        <v>0</v>
      </c>
      <c r="DU26" s="19">
        <v>0</v>
      </c>
      <c r="DV26" s="19">
        <v>0</v>
      </c>
      <c r="DW26" s="17" t="s">
        <v>230</v>
      </c>
      <c r="DX26" s="22" t="s">
        <v>218</v>
      </c>
      <c r="DY26" s="22">
        <v>32</v>
      </c>
      <c r="DZ26" s="22">
        <v>16</v>
      </c>
      <c r="EA26" s="22">
        <v>16</v>
      </c>
      <c r="EB26" s="22" t="s">
        <v>218</v>
      </c>
      <c r="EC26" s="22">
        <v>16</v>
      </c>
      <c r="ED26" s="22">
        <v>16</v>
      </c>
      <c r="EE26" s="22" t="s">
        <v>218</v>
      </c>
      <c r="EF26" s="22">
        <v>16</v>
      </c>
      <c r="EG26" s="22">
        <v>16</v>
      </c>
      <c r="EH26" s="22" t="s">
        <v>218</v>
      </c>
      <c r="EI26" s="22" t="s">
        <v>218</v>
      </c>
      <c r="EJ26" s="22" t="s">
        <v>218</v>
      </c>
      <c r="EK26" s="22" t="s">
        <v>218</v>
      </c>
      <c r="EL26" s="22" t="s">
        <v>218</v>
      </c>
      <c r="EM26" s="22" t="s">
        <v>218</v>
      </c>
      <c r="EN26" s="22" t="s">
        <v>218</v>
      </c>
      <c r="EO26" s="22" t="s">
        <v>218</v>
      </c>
      <c r="EP26" s="22" t="s">
        <v>218</v>
      </c>
      <c r="EQ26" s="22" t="s">
        <v>218</v>
      </c>
      <c r="ER26" s="22" t="s">
        <v>218</v>
      </c>
      <c r="ES26" s="22">
        <v>16</v>
      </c>
      <c r="ET26" s="22">
        <v>32</v>
      </c>
      <c r="EU26" s="22" t="s">
        <v>218</v>
      </c>
      <c r="EV26" s="22" t="s">
        <v>218</v>
      </c>
      <c r="EW26" s="22" t="s">
        <v>218</v>
      </c>
      <c r="EX26" s="22" t="s">
        <v>218</v>
      </c>
      <c r="EY26" s="22" t="s">
        <v>218</v>
      </c>
      <c r="EZ26" s="22" t="s">
        <v>218</v>
      </c>
      <c r="FA26" s="22" t="s">
        <v>218</v>
      </c>
      <c r="FB26" s="22" t="s">
        <v>218</v>
      </c>
      <c r="FC26" s="22" t="s">
        <v>218</v>
      </c>
      <c r="FD26" s="22" t="s">
        <v>218</v>
      </c>
      <c r="FE26" s="22" t="s">
        <v>218</v>
      </c>
      <c r="FF26" s="22" t="s">
        <v>218</v>
      </c>
      <c r="FG26" s="22">
        <v>0.7</v>
      </c>
      <c r="FH26" s="22">
        <v>0.1</v>
      </c>
      <c r="FI26" s="22">
        <v>0.2</v>
      </c>
      <c r="FJ26" s="22" t="s">
        <v>218</v>
      </c>
      <c r="FK26" s="22">
        <v>1.3</v>
      </c>
      <c r="FL26" s="22">
        <v>1</v>
      </c>
      <c r="FM26" s="22" t="s">
        <v>218</v>
      </c>
      <c r="FN26" s="22">
        <v>2</v>
      </c>
      <c r="FO26" s="22">
        <v>1.7</v>
      </c>
      <c r="FP26" s="22" t="s">
        <v>218</v>
      </c>
      <c r="FQ26" s="22" t="s">
        <v>218</v>
      </c>
      <c r="FR26" s="22" t="s">
        <v>218</v>
      </c>
      <c r="FS26" s="22" t="s">
        <v>218</v>
      </c>
      <c r="FT26" s="22" t="s">
        <v>218</v>
      </c>
      <c r="FU26" s="22" t="s">
        <v>218</v>
      </c>
      <c r="FV26" s="22" t="s">
        <v>218</v>
      </c>
      <c r="FW26" s="22" t="s">
        <v>218</v>
      </c>
      <c r="FX26" s="22" t="s">
        <v>218</v>
      </c>
      <c r="FY26" s="22" t="s">
        <v>218</v>
      </c>
      <c r="FZ26" s="22" t="s">
        <v>218</v>
      </c>
      <c r="GA26" s="22">
        <v>0.1</v>
      </c>
      <c r="GB26" s="22">
        <v>0.3</v>
      </c>
      <c r="GC26" s="22" t="s">
        <v>218</v>
      </c>
      <c r="GD26" s="22" t="s">
        <v>218</v>
      </c>
      <c r="GE26" s="22" t="s">
        <v>218</v>
      </c>
      <c r="GF26" s="22" t="s">
        <v>218</v>
      </c>
      <c r="GG26" s="22" t="s">
        <v>218</v>
      </c>
      <c r="GH26" s="22" t="s">
        <v>218</v>
      </c>
      <c r="GI26" s="22" t="s">
        <v>218</v>
      </c>
      <c r="GJ26" s="22" t="s">
        <v>218</v>
      </c>
      <c r="GK26" s="22" t="s">
        <v>218</v>
      </c>
      <c r="GL26" s="22" t="s">
        <v>218</v>
      </c>
      <c r="GM26" s="22" t="s">
        <v>218</v>
      </c>
      <c r="GN26" s="22" t="s">
        <v>218</v>
      </c>
      <c r="GO26" s="22">
        <v>2016</v>
      </c>
      <c r="GP26" s="22">
        <v>2016</v>
      </c>
      <c r="GQ26" s="22">
        <v>2016</v>
      </c>
      <c r="GR26" s="22" t="s">
        <v>218</v>
      </c>
      <c r="GS26" s="22">
        <v>2016</v>
      </c>
      <c r="GT26" s="22">
        <v>2016</v>
      </c>
      <c r="GU26" s="22" t="s">
        <v>218</v>
      </c>
      <c r="GV26" s="22">
        <v>2016</v>
      </c>
      <c r="GW26" s="22">
        <v>2016</v>
      </c>
      <c r="GX26" s="22" t="s">
        <v>218</v>
      </c>
      <c r="GY26" s="22" t="s">
        <v>218</v>
      </c>
      <c r="GZ26" s="22" t="s">
        <v>218</v>
      </c>
      <c r="HA26" s="22" t="s">
        <v>218</v>
      </c>
      <c r="HB26" s="22" t="s">
        <v>218</v>
      </c>
      <c r="HC26" s="22" t="s">
        <v>218</v>
      </c>
      <c r="HD26" s="22" t="s">
        <v>218</v>
      </c>
      <c r="HE26" s="22" t="s">
        <v>218</v>
      </c>
      <c r="HF26" s="22" t="s">
        <v>218</v>
      </c>
      <c r="HG26" s="22" t="s">
        <v>218</v>
      </c>
      <c r="HH26" s="22" t="s">
        <v>218</v>
      </c>
      <c r="HI26" s="22">
        <v>2016</v>
      </c>
      <c r="HJ26" s="22">
        <v>2016</v>
      </c>
      <c r="HK26" s="22" t="s">
        <v>218</v>
      </c>
      <c r="HL26" s="22" t="s">
        <v>218</v>
      </c>
      <c r="HM26" s="620">
        <f>'background data'!$G$10</f>
        <v>0.47300000000000003</v>
      </c>
      <c r="HN26" s="620">
        <f>'background data'!$H$10</f>
        <v>0.13</v>
      </c>
      <c r="HO26" s="620">
        <f>'background data'!$J$10</f>
        <v>0.39100000000000001</v>
      </c>
      <c r="HP26" s="620">
        <f>'background data'!$L$10</f>
        <v>5.5E-2</v>
      </c>
      <c r="HQ26" s="620">
        <f>'background data'!$M$10</f>
        <v>3.97</v>
      </c>
      <c r="HR26" s="620">
        <f>'background data'!$N$10</f>
        <v>4.5999999999999999E-3</v>
      </c>
      <c r="HS26" s="620">
        <f>'background data'!$O$10</f>
        <v>2.73</v>
      </c>
      <c r="HT26" s="145"/>
      <c r="HU26" s="145" t="s">
        <v>1809</v>
      </c>
      <c r="HV26" s="22" t="s">
        <v>1927</v>
      </c>
      <c r="HW26" s="22" t="s">
        <v>231</v>
      </c>
      <c r="HX26" s="22" t="s">
        <v>232</v>
      </c>
      <c r="HY26" s="22" t="s">
        <v>233</v>
      </c>
      <c r="HZ26" s="19"/>
      <c r="IA26" s="19"/>
      <c r="IB26" s="620">
        <f>'background data'!$G$10</f>
        <v>0.47300000000000003</v>
      </c>
      <c r="IC26" s="620">
        <f>'background data'!$H$10</f>
        <v>0.13</v>
      </c>
      <c r="ID26" s="620">
        <f>'background data'!$J$10</f>
        <v>0.39100000000000001</v>
      </c>
      <c r="IE26" s="620">
        <f>'background data'!$L$10</f>
        <v>5.5E-2</v>
      </c>
      <c r="IF26" s="620">
        <f>'background data'!$M$10</f>
        <v>3.97</v>
      </c>
      <c r="IG26" s="620">
        <f>'background data'!$N$10</f>
        <v>4.5999999999999999E-3</v>
      </c>
      <c r="IH26" s="620">
        <f>'background data'!$O$10</f>
        <v>2.73</v>
      </c>
      <c r="II26" s="145"/>
      <c r="IJ26" s="145">
        <v>1</v>
      </c>
      <c r="IK26" s="145"/>
      <c r="IL26" s="145"/>
      <c r="IM26" s="145"/>
      <c r="IN26" s="145"/>
      <c r="IO26" s="145"/>
      <c r="IP26" s="145"/>
      <c r="IQ26" s="145"/>
      <c r="IR26" s="145"/>
      <c r="IS26" s="145"/>
      <c r="IT26" s="145"/>
      <c r="IU26" s="145"/>
      <c r="IV26" s="145"/>
      <c r="IW26" s="145"/>
      <c r="IX26" s="145"/>
      <c r="IY26" s="145"/>
      <c r="IZ26" s="145"/>
      <c r="JA26" s="145"/>
      <c r="JB26" s="145"/>
      <c r="JC26" s="145"/>
      <c r="JD26" s="145"/>
      <c r="JE26" s="145"/>
      <c r="JF26" s="145"/>
      <c r="JG26" s="145"/>
      <c r="JH26" s="145"/>
      <c r="JI26" s="145"/>
      <c r="JJ26" s="145"/>
      <c r="JK26" s="145"/>
      <c r="JL26" s="145"/>
      <c r="JM26" s="145"/>
      <c r="JN26" s="145"/>
      <c r="JO26" s="145"/>
      <c r="JP26" s="145"/>
      <c r="JQ26" s="145"/>
      <c r="JR26" s="145"/>
      <c r="JS26" s="145"/>
      <c r="JT26" s="145"/>
      <c r="JU26" s="145"/>
      <c r="JV26" s="145"/>
      <c r="JW26" s="145"/>
      <c r="JX26" s="145"/>
      <c r="JY26" s="145"/>
      <c r="JZ26" s="145"/>
      <c r="KA26" s="145"/>
      <c r="KB26" s="145"/>
      <c r="KC26" s="145"/>
      <c r="KD26" s="145"/>
      <c r="KE26" s="145"/>
      <c r="KF26" s="145"/>
      <c r="KG26" s="145"/>
      <c r="KH26" s="145"/>
      <c r="KI26" s="145"/>
      <c r="KJ26" s="145"/>
      <c r="KK26" s="145"/>
      <c r="KL26" s="145"/>
      <c r="KM26" s="145"/>
      <c r="KN26" s="145"/>
      <c r="KO26" s="145"/>
      <c r="KP26" s="145"/>
      <c r="KQ26" s="145"/>
      <c r="KR26" s="145"/>
      <c r="KS26" s="145"/>
      <c r="KT26" s="145"/>
      <c r="KU26" s="145"/>
      <c r="KV26" s="145"/>
      <c r="KW26" s="145"/>
      <c r="KX26" s="145"/>
      <c r="KY26" s="145"/>
      <c r="KZ26" s="145"/>
      <c r="LA26" s="145"/>
      <c r="LB26" s="145"/>
      <c r="LC26" s="145"/>
      <c r="LD26" s="145"/>
      <c r="LE26" s="145"/>
      <c r="LF26" s="145"/>
      <c r="LG26" s="145"/>
      <c r="LH26" s="145"/>
      <c r="LI26" s="145"/>
      <c r="LJ26" s="145"/>
      <c r="LK26" s="145"/>
      <c r="LL26" s="145"/>
      <c r="LM26" s="145"/>
      <c r="LN26" s="145"/>
      <c r="LO26" s="145"/>
      <c r="LP26" s="145"/>
      <c r="LQ26" s="145"/>
      <c r="LR26" s="145"/>
      <c r="LS26" s="145"/>
      <c r="LT26" s="145"/>
      <c r="LU26" s="145"/>
      <c r="LV26" s="145"/>
      <c r="LW26" s="145"/>
      <c r="LX26" s="145"/>
      <c r="LY26" s="145"/>
      <c r="LZ26" s="145"/>
      <c r="MA26" s="145"/>
      <c r="MB26" s="145"/>
      <c r="MC26" s="145"/>
      <c r="MD26" s="145"/>
      <c r="ME26" s="145"/>
      <c r="MF26" s="145"/>
      <c r="MG26" s="145"/>
      <c r="MH26" s="145"/>
      <c r="MI26" s="145"/>
      <c r="MJ26" s="145"/>
      <c r="MK26" s="145"/>
      <c r="ML26" s="145"/>
      <c r="MM26" s="145"/>
      <c r="MN26" s="145"/>
      <c r="MO26" s="145"/>
      <c r="MP26" s="145"/>
      <c r="MQ26" s="145"/>
      <c r="MR26" s="145"/>
      <c r="MS26" s="145"/>
      <c r="MT26" s="145"/>
      <c r="MU26" s="145"/>
      <c r="MV26" s="145"/>
      <c r="MW26" s="145"/>
      <c r="MX26" s="145"/>
      <c r="MY26" s="145"/>
      <c r="MZ26" s="145"/>
      <c r="NA26" s="145"/>
      <c r="NB26" s="145"/>
      <c r="NC26" s="145"/>
      <c r="ND26" s="145"/>
      <c r="NE26" s="145"/>
      <c r="NF26" s="145"/>
      <c r="NG26" s="145"/>
      <c r="NH26" s="145"/>
      <c r="NI26" s="145"/>
      <c r="NJ26" s="145"/>
      <c r="NK26" s="145"/>
      <c r="NL26" s="145"/>
      <c r="NM26" s="145"/>
      <c r="NN26" s="145"/>
      <c r="NO26" s="145"/>
      <c r="NP26" s="145"/>
      <c r="NQ26" s="145"/>
      <c r="NR26" s="145"/>
      <c r="NS26" s="145"/>
    </row>
    <row r="27" spans="1:383" s="16" customFormat="1" ht="15" customHeight="1" x14ac:dyDescent="0.2">
      <c r="A27" s="15">
        <v>50200</v>
      </c>
      <c r="B27" s="25">
        <v>502</v>
      </c>
      <c r="C27" s="26">
        <v>0</v>
      </c>
      <c r="D27" s="20" t="s">
        <v>250</v>
      </c>
      <c r="E27" s="14">
        <v>42683</v>
      </c>
      <c r="F27" s="18">
        <v>1.05652363530778</v>
      </c>
      <c r="G27" s="18">
        <v>1.0552031369202199</v>
      </c>
      <c r="H27" s="21">
        <v>85.9</v>
      </c>
      <c r="I27" s="21">
        <v>80.099999999999994</v>
      </c>
      <c r="J27" s="21">
        <v>90</v>
      </c>
      <c r="K27" s="18">
        <v>1</v>
      </c>
      <c r="L27" s="18">
        <v>85</v>
      </c>
      <c r="M27" s="18">
        <v>8.8999999999999808</v>
      </c>
      <c r="N27" s="18">
        <v>2.6</v>
      </c>
      <c r="O27" s="18">
        <v>1.8</v>
      </c>
      <c r="P27" s="18">
        <v>4.8</v>
      </c>
      <c r="Q27" s="19"/>
      <c r="R27" s="18">
        <v>75.652850080256798</v>
      </c>
      <c r="S27" s="18">
        <v>43</v>
      </c>
      <c r="T27" s="18">
        <v>49</v>
      </c>
      <c r="U27" s="18">
        <v>51</v>
      </c>
      <c r="V27" s="18">
        <v>53</v>
      </c>
      <c r="W27" s="18">
        <v>54</v>
      </c>
      <c r="X27" s="18"/>
      <c r="Y27" s="18">
        <v>0.52941176470588236</v>
      </c>
      <c r="Z27" s="18">
        <v>3.4117647058823528</v>
      </c>
      <c r="AA27" s="18">
        <v>0.2</v>
      </c>
      <c r="AB27" s="18">
        <v>1.4999999999999998</v>
      </c>
      <c r="AC27" s="18">
        <v>5.7</v>
      </c>
      <c r="AD27" s="18">
        <v>1.2</v>
      </c>
      <c r="AE27" s="18">
        <v>1.1000000000000001</v>
      </c>
      <c r="AF27" s="18">
        <v>34</v>
      </c>
      <c r="AG27" s="18">
        <v>2.9</v>
      </c>
      <c r="AH27" s="18">
        <v>14</v>
      </c>
      <c r="AI27" s="18">
        <v>28</v>
      </c>
      <c r="AJ27" s="18">
        <v>0</v>
      </c>
      <c r="AK27" s="18">
        <v>0.04</v>
      </c>
      <c r="AL27" s="18"/>
      <c r="AM27" s="18">
        <v>3.8697647058823499</v>
      </c>
      <c r="AN27" s="18">
        <v>1.73164705882353</v>
      </c>
      <c r="AO27" s="18">
        <v>2.4284705882352902</v>
      </c>
      <c r="AP27" s="18">
        <v>3.4951764705882402</v>
      </c>
      <c r="AQ27" s="18">
        <v>1.3525882352941201</v>
      </c>
      <c r="AR27" s="18">
        <v>3.6334117647058801</v>
      </c>
      <c r="AS27" s="18">
        <v>6.8982352941176499</v>
      </c>
      <c r="AT27" s="18">
        <v>2.3063529411764701</v>
      </c>
      <c r="AU27" s="18">
        <v>4.7436470588235302</v>
      </c>
      <c r="AV27" s="18">
        <v>3.19941176470588</v>
      </c>
      <c r="AW27" s="18">
        <v>5.1617647058823497</v>
      </c>
      <c r="AX27" s="18"/>
      <c r="AY27" s="18">
        <v>0.93979487733984202</v>
      </c>
      <c r="AZ27" s="18">
        <v>1.07984084344248</v>
      </c>
      <c r="BA27" s="18">
        <v>1.0298133265506999</v>
      </c>
      <c r="BB27" s="18">
        <v>0.94986852960372503</v>
      </c>
      <c r="BC27" s="18">
        <v>0.95982752284767003</v>
      </c>
      <c r="BD27" s="18">
        <v>0.99997514724094605</v>
      </c>
      <c r="BE27" s="18">
        <v>1.00997639474776</v>
      </c>
      <c r="BF27" s="18">
        <v>0.99991835406371998</v>
      </c>
      <c r="BG27" s="18">
        <v>1.0401578477529601</v>
      </c>
      <c r="BH27" s="18">
        <v>0.970038811056257</v>
      </c>
      <c r="BI27" s="18">
        <v>0.95992759482045098</v>
      </c>
      <c r="BJ27" s="19"/>
      <c r="BK27" s="18">
        <v>10.470588235294095</v>
      </c>
      <c r="BL27" s="18">
        <v>3.0588235294117645</v>
      </c>
      <c r="BM27" s="18">
        <v>2.1176470588235294</v>
      </c>
      <c r="BN27" s="18">
        <v>5.6470588235294121</v>
      </c>
      <c r="BO27" s="18"/>
      <c r="BP27" s="18">
        <v>120</v>
      </c>
      <c r="BQ27" s="18">
        <v>36.70588235294106</v>
      </c>
      <c r="BR27" s="18">
        <v>1.2429689827150354</v>
      </c>
      <c r="BS27" s="18">
        <v>1.2414154552002588</v>
      </c>
      <c r="BT27" s="19"/>
      <c r="BU27" s="18">
        <v>978.82352941176475</v>
      </c>
      <c r="BV27" s="18">
        <v>634.75394957983178</v>
      </c>
      <c r="BW27" s="18">
        <v>81.102521008403528</v>
      </c>
      <c r="BX27" s="18">
        <v>604</v>
      </c>
      <c r="BY27" s="18">
        <v>21.000000000000004</v>
      </c>
      <c r="BZ27" s="18">
        <v>55.999999999999879</v>
      </c>
      <c r="CA27" s="18">
        <v>165</v>
      </c>
      <c r="CB27" s="19"/>
      <c r="CC27" s="19">
        <v>0.45</v>
      </c>
      <c r="CD27" s="19">
        <v>2.9</v>
      </c>
      <c r="CE27" s="19">
        <v>0.17</v>
      </c>
      <c r="CF27" s="19">
        <v>1.2749999999999997</v>
      </c>
      <c r="CG27" s="19">
        <v>4.8449999999999998</v>
      </c>
      <c r="CH27" s="19">
        <v>1.02</v>
      </c>
      <c r="CI27" s="19">
        <v>0.93500000000000005</v>
      </c>
      <c r="CJ27" s="19"/>
      <c r="CK27" s="19">
        <v>28.9</v>
      </c>
      <c r="CL27" s="19">
        <v>2.4649999999999999</v>
      </c>
      <c r="CM27" s="19">
        <v>11.9</v>
      </c>
      <c r="CN27" s="19">
        <v>23.8</v>
      </c>
      <c r="CO27" s="19">
        <v>0</v>
      </c>
      <c r="CP27" s="19">
        <v>3.4000000000000002E-2</v>
      </c>
      <c r="CQ27" s="19">
        <v>67.331036571428399</v>
      </c>
      <c r="CR27" s="19">
        <v>63.728850279638024</v>
      </c>
      <c r="CS27" s="19">
        <v>2.317681297657836</v>
      </c>
      <c r="CT27" s="19">
        <v>1.191667823795062</v>
      </c>
      <c r="CU27" s="19">
        <v>1.5937765741970622</v>
      </c>
      <c r="CV27" s="19">
        <v>2.7854443979921144</v>
      </c>
      <c r="CW27" s="19">
        <v>2.1157711490881392</v>
      </c>
      <c r="CX27" s="19">
        <v>0.82736070071954226</v>
      </c>
      <c r="CY27" s="19">
        <v>2.3154739962246307</v>
      </c>
      <c r="CZ27" s="19">
        <v>4.4400239303423152</v>
      </c>
      <c r="DA27" s="19">
        <v>1.4696922086081095</v>
      </c>
      <c r="DB27" s="19">
        <v>3.1444717862685052</v>
      </c>
      <c r="DC27" s="19">
        <v>1.9778590170962473</v>
      </c>
      <c r="DD27" s="19">
        <v>5.1223308033647523</v>
      </c>
      <c r="DE27" s="19">
        <v>3.1577137899016985</v>
      </c>
      <c r="DF27" s="23">
        <v>0</v>
      </c>
      <c r="DG27" s="23">
        <v>0</v>
      </c>
      <c r="DH27" s="23">
        <v>0</v>
      </c>
      <c r="DI27" s="19">
        <v>0</v>
      </c>
      <c r="DJ27" s="19">
        <v>0</v>
      </c>
      <c r="DK27" s="19">
        <v>0</v>
      </c>
      <c r="DL27" s="19">
        <v>0</v>
      </c>
      <c r="DM27" s="19">
        <v>0</v>
      </c>
      <c r="DN27" s="19">
        <v>0</v>
      </c>
      <c r="DO27" s="19">
        <v>0</v>
      </c>
      <c r="DP27" s="19">
        <v>0</v>
      </c>
      <c r="DQ27" s="19">
        <v>0</v>
      </c>
      <c r="DR27" s="19">
        <v>0</v>
      </c>
      <c r="DS27" s="19">
        <v>0</v>
      </c>
      <c r="DT27" s="19">
        <v>0</v>
      </c>
      <c r="DU27" s="19">
        <v>0</v>
      </c>
      <c r="DV27" s="19">
        <v>0</v>
      </c>
      <c r="DW27" s="17" t="s">
        <v>230</v>
      </c>
      <c r="DX27" s="22" t="s">
        <v>218</v>
      </c>
      <c r="DY27" s="22">
        <v>115</v>
      </c>
      <c r="DZ27" s="22">
        <v>45</v>
      </c>
      <c r="EA27" s="22">
        <v>45</v>
      </c>
      <c r="EB27" s="22" t="s">
        <v>218</v>
      </c>
      <c r="EC27" s="22">
        <v>45</v>
      </c>
      <c r="ED27" s="22">
        <v>45</v>
      </c>
      <c r="EE27" s="22" t="s">
        <v>218</v>
      </c>
      <c r="EF27" s="22">
        <v>45</v>
      </c>
      <c r="EG27" s="22">
        <v>45</v>
      </c>
      <c r="EH27" s="22" t="s">
        <v>218</v>
      </c>
      <c r="EI27" s="22" t="s">
        <v>218</v>
      </c>
      <c r="EJ27" s="22" t="s">
        <v>218</v>
      </c>
      <c r="EK27" s="22" t="s">
        <v>218</v>
      </c>
      <c r="EL27" s="22" t="s">
        <v>218</v>
      </c>
      <c r="EM27" s="22" t="s">
        <v>218</v>
      </c>
      <c r="EN27" s="22" t="s">
        <v>218</v>
      </c>
      <c r="EO27" s="22" t="s">
        <v>218</v>
      </c>
      <c r="EP27" s="22" t="s">
        <v>218</v>
      </c>
      <c r="EQ27" s="22" t="s">
        <v>218</v>
      </c>
      <c r="ER27" s="22" t="s">
        <v>218</v>
      </c>
      <c r="ES27" s="22">
        <v>45</v>
      </c>
      <c r="ET27" s="22">
        <v>115</v>
      </c>
      <c r="EU27" s="22" t="s">
        <v>218</v>
      </c>
      <c r="EV27" s="22" t="s">
        <v>218</v>
      </c>
      <c r="EW27" s="22" t="s">
        <v>218</v>
      </c>
      <c r="EX27" s="22" t="s">
        <v>218</v>
      </c>
      <c r="EY27" s="22" t="s">
        <v>218</v>
      </c>
      <c r="EZ27" s="22" t="s">
        <v>218</v>
      </c>
      <c r="FA27" s="22" t="s">
        <v>218</v>
      </c>
      <c r="FB27" s="22" t="s">
        <v>218</v>
      </c>
      <c r="FC27" s="22" t="s">
        <v>218</v>
      </c>
      <c r="FD27" s="22" t="s">
        <v>218</v>
      </c>
      <c r="FE27" s="22" t="s">
        <v>218</v>
      </c>
      <c r="FF27" s="22" t="s">
        <v>218</v>
      </c>
      <c r="FG27" s="22">
        <v>0.66</v>
      </c>
      <c r="FH27" s="22">
        <v>0.16</v>
      </c>
      <c r="FI27" s="22">
        <v>0.19</v>
      </c>
      <c r="FJ27" s="22" t="s">
        <v>218</v>
      </c>
      <c r="FK27" s="22">
        <v>1.57</v>
      </c>
      <c r="FL27" s="22">
        <v>1.47</v>
      </c>
      <c r="FM27" s="22" t="s">
        <v>218</v>
      </c>
      <c r="FN27" s="22">
        <v>2.6</v>
      </c>
      <c r="FO27" s="22">
        <v>2.2200000000000002</v>
      </c>
      <c r="FP27" s="22" t="s">
        <v>218</v>
      </c>
      <c r="FQ27" s="22" t="s">
        <v>218</v>
      </c>
      <c r="FR27" s="22" t="s">
        <v>218</v>
      </c>
      <c r="FS27" s="22" t="s">
        <v>218</v>
      </c>
      <c r="FT27" s="22" t="s">
        <v>218</v>
      </c>
      <c r="FU27" s="22" t="s">
        <v>218</v>
      </c>
      <c r="FV27" s="22" t="s">
        <v>218</v>
      </c>
      <c r="FW27" s="22" t="s">
        <v>218</v>
      </c>
      <c r="FX27" s="22" t="s">
        <v>218</v>
      </c>
      <c r="FY27" s="22" t="s">
        <v>218</v>
      </c>
      <c r="FZ27" s="22" t="s">
        <v>218</v>
      </c>
      <c r="GA27" s="22">
        <v>0.11</v>
      </c>
      <c r="GB27" s="22">
        <v>0.26</v>
      </c>
      <c r="GC27" s="22" t="s">
        <v>218</v>
      </c>
      <c r="GD27" s="22" t="s">
        <v>218</v>
      </c>
      <c r="GE27" s="22" t="s">
        <v>218</v>
      </c>
      <c r="GF27" s="22" t="s">
        <v>218</v>
      </c>
      <c r="GG27" s="22" t="s">
        <v>218</v>
      </c>
      <c r="GH27" s="22" t="s">
        <v>218</v>
      </c>
      <c r="GI27" s="22" t="s">
        <v>218</v>
      </c>
      <c r="GJ27" s="22" t="s">
        <v>218</v>
      </c>
      <c r="GK27" s="22" t="s">
        <v>218</v>
      </c>
      <c r="GL27" s="22" t="s">
        <v>218</v>
      </c>
      <c r="GM27" s="22" t="s">
        <v>218</v>
      </c>
      <c r="GN27" s="22" t="s">
        <v>218</v>
      </c>
      <c r="GO27" s="22" t="s">
        <v>238</v>
      </c>
      <c r="GP27" s="22" t="s">
        <v>238</v>
      </c>
      <c r="GQ27" s="22" t="s">
        <v>238</v>
      </c>
      <c r="GR27" s="22" t="s">
        <v>218</v>
      </c>
      <c r="GS27" s="22" t="s">
        <v>238</v>
      </c>
      <c r="GT27" s="22" t="s">
        <v>238</v>
      </c>
      <c r="GU27" s="22" t="s">
        <v>218</v>
      </c>
      <c r="GV27" s="22" t="s">
        <v>238</v>
      </c>
      <c r="GW27" s="22" t="s">
        <v>238</v>
      </c>
      <c r="GX27" s="22" t="s">
        <v>218</v>
      </c>
      <c r="GY27" s="22" t="s">
        <v>218</v>
      </c>
      <c r="GZ27" s="22" t="s">
        <v>218</v>
      </c>
      <c r="HA27" s="22" t="s">
        <v>218</v>
      </c>
      <c r="HB27" s="22" t="s">
        <v>218</v>
      </c>
      <c r="HC27" s="22" t="s">
        <v>218</v>
      </c>
      <c r="HD27" s="22" t="s">
        <v>218</v>
      </c>
      <c r="HE27" s="22" t="s">
        <v>218</v>
      </c>
      <c r="HF27" s="22" t="s">
        <v>218</v>
      </c>
      <c r="HG27" s="22" t="s">
        <v>218</v>
      </c>
      <c r="HH27" s="22" t="s">
        <v>218</v>
      </c>
      <c r="HI27" s="22" t="s">
        <v>238</v>
      </c>
      <c r="HJ27" s="22" t="s">
        <v>238</v>
      </c>
      <c r="HK27" s="22" t="s">
        <v>218</v>
      </c>
      <c r="HL27" s="22" t="s">
        <v>218</v>
      </c>
      <c r="HM27" s="620">
        <f>'background data'!$G$10</f>
        <v>0.47300000000000003</v>
      </c>
      <c r="HN27" s="620">
        <f>'background data'!$H$10</f>
        <v>0.13</v>
      </c>
      <c r="HO27" s="620">
        <f>'background data'!$J$10</f>
        <v>0.39100000000000001</v>
      </c>
      <c r="HP27" s="620">
        <f>'background data'!$L$10</f>
        <v>5.5E-2</v>
      </c>
      <c r="HQ27" s="620">
        <f>'background data'!$M$10</f>
        <v>3.97</v>
      </c>
      <c r="HR27" s="620">
        <f>'background data'!$N$10</f>
        <v>4.5999999999999999E-3</v>
      </c>
      <c r="HS27" s="620">
        <f>'background data'!$O$10</f>
        <v>2.73</v>
      </c>
      <c r="HT27" s="145"/>
      <c r="HU27" s="145" t="s">
        <v>1809</v>
      </c>
      <c r="HV27" s="22" t="s">
        <v>1927</v>
      </c>
      <c r="HW27" s="22" t="s">
        <v>231</v>
      </c>
      <c r="HX27" s="22" t="s">
        <v>232</v>
      </c>
      <c r="HY27" s="22" t="s">
        <v>233</v>
      </c>
      <c r="HZ27" s="19"/>
      <c r="IA27" s="19"/>
      <c r="IB27" s="620">
        <f>'background data'!$G$10</f>
        <v>0.47300000000000003</v>
      </c>
      <c r="IC27" s="620">
        <f>'background data'!$H$10</f>
        <v>0.13</v>
      </c>
      <c r="ID27" s="620">
        <f>'background data'!$J$10</f>
        <v>0.39100000000000001</v>
      </c>
      <c r="IE27" s="620">
        <f>'background data'!$L$10</f>
        <v>5.5E-2</v>
      </c>
      <c r="IF27" s="620">
        <f>'background data'!$M$10</f>
        <v>3.97</v>
      </c>
      <c r="IG27" s="620">
        <f>'background data'!$N$10</f>
        <v>4.5999999999999999E-3</v>
      </c>
      <c r="IH27" s="620">
        <f>'background data'!$O$10</f>
        <v>2.73</v>
      </c>
      <c r="II27" s="145"/>
      <c r="IJ27" s="145">
        <v>1</v>
      </c>
      <c r="IK27" s="145"/>
      <c r="IL27" s="145"/>
      <c r="IM27" s="145"/>
      <c r="IN27" s="145"/>
      <c r="IO27" s="145"/>
      <c r="IP27" s="145"/>
      <c r="IQ27" s="145"/>
      <c r="IR27" s="145"/>
      <c r="IS27" s="145"/>
      <c r="IT27" s="145"/>
      <c r="IU27" s="145"/>
      <c r="IV27" s="145"/>
      <c r="IW27" s="145"/>
      <c r="IX27" s="145"/>
      <c r="IY27" s="145"/>
      <c r="IZ27" s="145"/>
      <c r="JA27" s="145"/>
      <c r="JB27" s="145"/>
      <c r="JC27" s="145"/>
      <c r="JD27" s="145"/>
      <c r="JE27" s="145"/>
      <c r="JF27" s="145"/>
      <c r="JG27" s="145"/>
      <c r="JH27" s="145"/>
      <c r="JI27" s="145"/>
      <c r="JJ27" s="145"/>
      <c r="JK27" s="145"/>
      <c r="JL27" s="145"/>
      <c r="JM27" s="145"/>
      <c r="JN27" s="145"/>
      <c r="JO27" s="145"/>
      <c r="JP27" s="145"/>
      <c r="JQ27" s="145"/>
      <c r="JR27" s="145"/>
      <c r="JS27" s="145"/>
      <c r="JT27" s="145"/>
      <c r="JU27" s="145"/>
      <c r="JV27" s="145"/>
      <c r="JW27" s="145"/>
      <c r="JX27" s="145"/>
      <c r="JY27" s="145"/>
      <c r="JZ27" s="145"/>
      <c r="KA27" s="145"/>
      <c r="KB27" s="145"/>
      <c r="KC27" s="145"/>
      <c r="KD27" s="145"/>
      <c r="KE27" s="145"/>
      <c r="KF27" s="145"/>
      <c r="KG27" s="145"/>
      <c r="KH27" s="145"/>
      <c r="KI27" s="145"/>
      <c r="KJ27" s="145"/>
      <c r="KK27" s="145"/>
      <c r="KL27" s="145"/>
      <c r="KM27" s="145"/>
      <c r="KN27" s="145"/>
      <c r="KO27" s="145"/>
      <c r="KP27" s="145"/>
      <c r="KQ27" s="145"/>
      <c r="KR27" s="145"/>
      <c r="KS27" s="145"/>
      <c r="KT27" s="145"/>
      <c r="KU27" s="145"/>
      <c r="KV27" s="145"/>
      <c r="KW27" s="145"/>
      <c r="KX27" s="145"/>
      <c r="KY27" s="145"/>
      <c r="KZ27" s="145"/>
      <c r="LA27" s="145"/>
      <c r="LB27" s="145"/>
      <c r="LC27" s="145"/>
      <c r="LD27" s="145"/>
      <c r="LE27" s="145"/>
      <c r="LF27" s="145"/>
      <c r="LG27" s="145"/>
      <c r="LH27" s="145"/>
      <c r="LI27" s="145"/>
      <c r="LJ27" s="145"/>
      <c r="LK27" s="145"/>
      <c r="LL27" s="145"/>
      <c r="LM27" s="145"/>
      <c r="LN27" s="145"/>
      <c r="LO27" s="145"/>
      <c r="LP27" s="145"/>
      <c r="LQ27" s="145"/>
      <c r="LR27" s="145"/>
      <c r="LS27" s="145"/>
      <c r="LT27" s="145"/>
      <c r="LU27" s="145"/>
      <c r="LV27" s="145"/>
      <c r="LW27" s="145"/>
      <c r="LX27" s="145"/>
      <c r="LY27" s="145"/>
      <c r="LZ27" s="145"/>
      <c r="MA27" s="145"/>
      <c r="MB27" s="145"/>
      <c r="MC27" s="145"/>
      <c r="MD27" s="145"/>
      <c r="ME27" s="145"/>
      <c r="MF27" s="145"/>
      <c r="MG27" s="145"/>
      <c r="MH27" s="145"/>
      <c r="MI27" s="145"/>
      <c r="MJ27" s="145"/>
      <c r="MK27" s="145"/>
      <c r="ML27" s="145"/>
      <c r="MM27" s="145"/>
      <c r="MN27" s="145"/>
      <c r="MO27" s="145"/>
      <c r="MP27" s="145"/>
      <c r="MQ27" s="145"/>
      <c r="MR27" s="145"/>
      <c r="MS27" s="145"/>
      <c r="MT27" s="145"/>
      <c r="MU27" s="145"/>
      <c r="MV27" s="145"/>
      <c r="MW27" s="145"/>
      <c r="MX27" s="145"/>
      <c r="MY27" s="145"/>
      <c r="MZ27" s="145"/>
      <c r="NA27" s="145"/>
      <c r="NB27" s="145"/>
      <c r="NC27" s="145"/>
      <c r="ND27" s="145"/>
      <c r="NE27" s="145"/>
      <c r="NF27" s="145"/>
      <c r="NG27" s="145"/>
      <c r="NH27" s="145"/>
      <c r="NI27" s="145"/>
      <c r="NJ27" s="145"/>
      <c r="NK27" s="145"/>
      <c r="NL27" s="145"/>
      <c r="NM27" s="145"/>
      <c r="NN27" s="145"/>
      <c r="NO27" s="145"/>
      <c r="NP27" s="145"/>
      <c r="NQ27" s="145"/>
      <c r="NR27" s="145"/>
      <c r="NS27" s="145"/>
    </row>
    <row r="28" spans="1:383" s="16" customFormat="1" ht="15" customHeight="1" x14ac:dyDescent="0.2">
      <c r="A28" s="15">
        <v>50201</v>
      </c>
      <c r="B28" s="25">
        <v>502</v>
      </c>
      <c r="C28" s="26">
        <v>1</v>
      </c>
      <c r="D28" s="20" t="s">
        <v>251</v>
      </c>
      <c r="E28" s="14">
        <v>42683</v>
      </c>
      <c r="F28" s="18">
        <v>1.0625631242741</v>
      </c>
      <c r="G28" s="18">
        <v>1.0594480348794</v>
      </c>
      <c r="H28" s="21">
        <v>85.9</v>
      </c>
      <c r="I28" s="21">
        <v>80.599999999999994</v>
      </c>
      <c r="J28" s="21">
        <v>90</v>
      </c>
      <c r="K28" s="18">
        <v>1</v>
      </c>
      <c r="L28" s="18">
        <v>85</v>
      </c>
      <c r="M28" s="18">
        <v>8.8999999999999808</v>
      </c>
      <c r="N28" s="18">
        <v>2.6</v>
      </c>
      <c r="O28" s="18">
        <v>1.8</v>
      </c>
      <c r="P28" s="18">
        <v>4.8</v>
      </c>
      <c r="Q28" s="19"/>
      <c r="R28" s="18">
        <v>76.093556340288899</v>
      </c>
      <c r="S28" s="18">
        <v>43</v>
      </c>
      <c r="T28" s="18">
        <v>49</v>
      </c>
      <c r="U28" s="18">
        <v>51</v>
      </c>
      <c r="V28" s="18">
        <v>53</v>
      </c>
      <c r="W28" s="18">
        <v>54</v>
      </c>
      <c r="X28" s="18"/>
      <c r="Y28" s="18">
        <v>0.52941176470588236</v>
      </c>
      <c r="Z28" s="18">
        <v>3.4117647058823528</v>
      </c>
      <c r="AA28" s="18">
        <v>0.2</v>
      </c>
      <c r="AB28" s="18">
        <v>1.4999999999999998</v>
      </c>
      <c r="AC28" s="18">
        <v>5.7</v>
      </c>
      <c r="AD28" s="18">
        <v>1.2</v>
      </c>
      <c r="AE28" s="18">
        <v>1.1000000000000001</v>
      </c>
      <c r="AF28" s="18">
        <v>34</v>
      </c>
      <c r="AG28" s="18">
        <v>2.9</v>
      </c>
      <c r="AH28" s="18">
        <v>14</v>
      </c>
      <c r="AI28" s="18">
        <v>28</v>
      </c>
      <c r="AJ28" s="18">
        <v>0</v>
      </c>
      <c r="AK28" s="18">
        <v>0.04</v>
      </c>
      <c r="AL28" s="18"/>
      <c r="AM28" s="18">
        <v>3.8697647058823499</v>
      </c>
      <c r="AN28" s="18">
        <v>1.73164705882353</v>
      </c>
      <c r="AO28" s="18">
        <v>2.4284705882352902</v>
      </c>
      <c r="AP28" s="18">
        <v>3.4951764705882402</v>
      </c>
      <c r="AQ28" s="18">
        <v>1.3525882352941201</v>
      </c>
      <c r="AR28" s="18">
        <v>3.6334117647058801</v>
      </c>
      <c r="AS28" s="18">
        <v>6.8982352941176499</v>
      </c>
      <c r="AT28" s="18">
        <v>2.3063529411764701</v>
      </c>
      <c r="AU28" s="18">
        <v>4.7436470588235302</v>
      </c>
      <c r="AV28" s="18">
        <v>3.19941176470588</v>
      </c>
      <c r="AW28" s="18">
        <v>5.1617647058823497</v>
      </c>
      <c r="AX28" s="18"/>
      <c r="AY28" s="18">
        <v>0.93979487733984202</v>
      </c>
      <c r="AZ28" s="18">
        <v>1.07984084344248</v>
      </c>
      <c r="BA28" s="18">
        <v>1.0298133265506999</v>
      </c>
      <c r="BB28" s="18">
        <v>0.94986852960372503</v>
      </c>
      <c r="BC28" s="18">
        <v>0.95982752284767003</v>
      </c>
      <c r="BD28" s="18">
        <v>0.99997514724094605</v>
      </c>
      <c r="BE28" s="18">
        <v>1.00997639474776</v>
      </c>
      <c r="BF28" s="18">
        <v>0.99991835406371998</v>
      </c>
      <c r="BG28" s="18">
        <v>1.0401578477529601</v>
      </c>
      <c r="BH28" s="18">
        <v>0.970038811056257</v>
      </c>
      <c r="BI28" s="18">
        <v>0.95992759482045098</v>
      </c>
      <c r="BJ28" s="19"/>
      <c r="BK28" s="18">
        <v>10.470588235294095</v>
      </c>
      <c r="BL28" s="18">
        <v>3.0588235294117645</v>
      </c>
      <c r="BM28" s="18">
        <v>2.1176470588235294</v>
      </c>
      <c r="BN28" s="18">
        <v>5.6470588235294121</v>
      </c>
      <c r="BO28" s="18"/>
      <c r="BP28" s="18">
        <v>120</v>
      </c>
      <c r="BQ28" s="18">
        <v>36.70588235294106</v>
      </c>
      <c r="BR28" s="18">
        <v>1.2500742638518825</v>
      </c>
      <c r="BS28" s="18">
        <v>1.2464094527992939</v>
      </c>
      <c r="BT28" s="19"/>
      <c r="BU28" s="18">
        <v>978.82352941176475</v>
      </c>
      <c r="BV28" s="18">
        <v>641.74554621848699</v>
      </c>
      <c r="BW28" s="18">
        <v>74.110924369748119</v>
      </c>
      <c r="BX28" s="18">
        <v>604</v>
      </c>
      <c r="BY28" s="18">
        <v>21.000000000000004</v>
      </c>
      <c r="BZ28" s="18">
        <v>55.999999999999879</v>
      </c>
      <c r="CA28" s="18">
        <v>165</v>
      </c>
      <c r="CB28" s="19"/>
      <c r="CC28" s="19">
        <v>0.45</v>
      </c>
      <c r="CD28" s="19">
        <v>2.9</v>
      </c>
      <c r="CE28" s="19">
        <v>0.17</v>
      </c>
      <c r="CF28" s="19">
        <v>1.2749999999999997</v>
      </c>
      <c r="CG28" s="19">
        <v>4.8449999999999998</v>
      </c>
      <c r="CH28" s="19">
        <v>1.02</v>
      </c>
      <c r="CI28" s="19">
        <v>0.93500000000000005</v>
      </c>
      <c r="CJ28" s="19"/>
      <c r="CK28" s="19">
        <v>28.9</v>
      </c>
      <c r="CL28" s="19">
        <v>2.4649999999999999</v>
      </c>
      <c r="CM28" s="19">
        <v>11.9</v>
      </c>
      <c r="CN28" s="19">
        <v>23.8</v>
      </c>
      <c r="CO28" s="19">
        <v>0</v>
      </c>
      <c r="CP28" s="19">
        <v>3.4000000000000002E-2</v>
      </c>
      <c r="CQ28" s="19">
        <v>67.723265142857002</v>
      </c>
      <c r="CR28" s="19">
        <v>63.73575705360826</v>
      </c>
      <c r="CS28" s="19">
        <v>2.3179324821808089</v>
      </c>
      <c r="CT28" s="19">
        <v>1.1917969737839578</v>
      </c>
      <c r="CU28" s="19">
        <v>1.5939493037302115</v>
      </c>
      <c r="CV28" s="19">
        <v>2.783487513125475</v>
      </c>
      <c r="CW28" s="19">
        <v>2.1160004510924137</v>
      </c>
      <c r="CX28" s="19">
        <v>0.82745036801036276</v>
      </c>
      <c r="CY28" s="19">
        <v>2.3157249415257888</v>
      </c>
      <c r="CZ28" s="19">
        <v>4.4405051290705879</v>
      </c>
      <c r="DA28" s="19">
        <v>1.4698514901869526</v>
      </c>
      <c r="DB28" s="19">
        <v>3.1448125762841426</v>
      </c>
      <c r="DC28" s="19">
        <v>1.9780733725273623</v>
      </c>
      <c r="DD28" s="19">
        <v>5.1212820691875303</v>
      </c>
      <c r="DE28" s="19">
        <v>3.1580560150526895</v>
      </c>
      <c r="DF28" s="23">
        <v>0</v>
      </c>
      <c r="DG28" s="23">
        <v>0</v>
      </c>
      <c r="DH28" s="23">
        <v>0</v>
      </c>
      <c r="DI28" s="19">
        <v>0</v>
      </c>
      <c r="DJ28" s="19">
        <v>0</v>
      </c>
      <c r="DK28" s="19">
        <v>0</v>
      </c>
      <c r="DL28" s="19">
        <v>0</v>
      </c>
      <c r="DM28" s="19">
        <v>0</v>
      </c>
      <c r="DN28" s="19">
        <v>0</v>
      </c>
      <c r="DO28" s="19">
        <v>0</v>
      </c>
      <c r="DP28" s="19">
        <v>0</v>
      </c>
      <c r="DQ28" s="19">
        <v>0</v>
      </c>
      <c r="DR28" s="19">
        <v>0</v>
      </c>
      <c r="DS28" s="19">
        <v>0</v>
      </c>
      <c r="DT28" s="19">
        <v>0</v>
      </c>
      <c r="DU28" s="19">
        <v>0</v>
      </c>
      <c r="DV28" s="19">
        <v>0</v>
      </c>
      <c r="DW28" s="17" t="s">
        <v>230</v>
      </c>
      <c r="DX28" s="22" t="s">
        <v>218</v>
      </c>
      <c r="DY28" s="22">
        <v>115</v>
      </c>
      <c r="DZ28" s="22">
        <v>45</v>
      </c>
      <c r="EA28" s="22">
        <v>45</v>
      </c>
      <c r="EB28" s="22" t="s">
        <v>218</v>
      </c>
      <c r="EC28" s="22">
        <v>45</v>
      </c>
      <c r="ED28" s="22">
        <v>45</v>
      </c>
      <c r="EE28" s="22" t="s">
        <v>218</v>
      </c>
      <c r="EF28" s="22">
        <v>45</v>
      </c>
      <c r="EG28" s="22">
        <v>45</v>
      </c>
      <c r="EH28" s="22" t="s">
        <v>218</v>
      </c>
      <c r="EI28" s="22" t="s">
        <v>218</v>
      </c>
      <c r="EJ28" s="22" t="s">
        <v>218</v>
      </c>
      <c r="EK28" s="22" t="s">
        <v>218</v>
      </c>
      <c r="EL28" s="22" t="s">
        <v>218</v>
      </c>
      <c r="EM28" s="22" t="s">
        <v>218</v>
      </c>
      <c r="EN28" s="22" t="s">
        <v>218</v>
      </c>
      <c r="EO28" s="22" t="s">
        <v>218</v>
      </c>
      <c r="EP28" s="22" t="s">
        <v>218</v>
      </c>
      <c r="EQ28" s="22" t="s">
        <v>218</v>
      </c>
      <c r="ER28" s="22" t="s">
        <v>218</v>
      </c>
      <c r="ES28" s="22">
        <v>45</v>
      </c>
      <c r="ET28" s="22">
        <v>115</v>
      </c>
      <c r="EU28" s="22" t="s">
        <v>218</v>
      </c>
      <c r="EV28" s="22" t="s">
        <v>218</v>
      </c>
      <c r="EW28" s="22" t="s">
        <v>218</v>
      </c>
      <c r="EX28" s="22" t="s">
        <v>218</v>
      </c>
      <c r="EY28" s="22" t="s">
        <v>218</v>
      </c>
      <c r="EZ28" s="22" t="s">
        <v>218</v>
      </c>
      <c r="FA28" s="22" t="s">
        <v>218</v>
      </c>
      <c r="FB28" s="22" t="s">
        <v>218</v>
      </c>
      <c r="FC28" s="22" t="s">
        <v>218</v>
      </c>
      <c r="FD28" s="22" t="s">
        <v>218</v>
      </c>
      <c r="FE28" s="22" t="s">
        <v>218</v>
      </c>
      <c r="FF28" s="22" t="s">
        <v>218</v>
      </c>
      <c r="FG28" s="22">
        <v>0.66</v>
      </c>
      <c r="FH28" s="22">
        <v>0.16</v>
      </c>
      <c r="FI28" s="22">
        <v>0.19</v>
      </c>
      <c r="FJ28" s="22" t="s">
        <v>218</v>
      </c>
      <c r="FK28" s="22">
        <v>1.57</v>
      </c>
      <c r="FL28" s="22">
        <v>1.47</v>
      </c>
      <c r="FM28" s="22" t="s">
        <v>218</v>
      </c>
      <c r="FN28" s="22">
        <v>2.6</v>
      </c>
      <c r="FO28" s="22">
        <v>2.2200000000000002</v>
      </c>
      <c r="FP28" s="22" t="s">
        <v>218</v>
      </c>
      <c r="FQ28" s="22" t="s">
        <v>218</v>
      </c>
      <c r="FR28" s="22" t="s">
        <v>218</v>
      </c>
      <c r="FS28" s="22" t="s">
        <v>218</v>
      </c>
      <c r="FT28" s="22" t="s">
        <v>218</v>
      </c>
      <c r="FU28" s="22" t="s">
        <v>218</v>
      </c>
      <c r="FV28" s="22" t="s">
        <v>218</v>
      </c>
      <c r="FW28" s="22" t="s">
        <v>218</v>
      </c>
      <c r="FX28" s="22" t="s">
        <v>218</v>
      </c>
      <c r="FY28" s="22" t="s">
        <v>218</v>
      </c>
      <c r="FZ28" s="22" t="s">
        <v>218</v>
      </c>
      <c r="GA28" s="22">
        <v>0.11</v>
      </c>
      <c r="GB28" s="22">
        <v>0.26</v>
      </c>
      <c r="GC28" s="22" t="s">
        <v>218</v>
      </c>
      <c r="GD28" s="22" t="s">
        <v>218</v>
      </c>
      <c r="GE28" s="22" t="s">
        <v>218</v>
      </c>
      <c r="GF28" s="22" t="s">
        <v>218</v>
      </c>
      <c r="GG28" s="22" t="s">
        <v>218</v>
      </c>
      <c r="GH28" s="22" t="s">
        <v>218</v>
      </c>
      <c r="GI28" s="22" t="s">
        <v>218</v>
      </c>
      <c r="GJ28" s="22" t="s">
        <v>218</v>
      </c>
      <c r="GK28" s="22" t="s">
        <v>218</v>
      </c>
      <c r="GL28" s="22" t="s">
        <v>218</v>
      </c>
      <c r="GM28" s="22" t="s">
        <v>218</v>
      </c>
      <c r="GN28" s="22" t="s">
        <v>218</v>
      </c>
      <c r="GO28" s="22" t="s">
        <v>238</v>
      </c>
      <c r="GP28" s="22" t="s">
        <v>238</v>
      </c>
      <c r="GQ28" s="22" t="s">
        <v>238</v>
      </c>
      <c r="GR28" s="22" t="s">
        <v>218</v>
      </c>
      <c r="GS28" s="22" t="s">
        <v>238</v>
      </c>
      <c r="GT28" s="22" t="s">
        <v>238</v>
      </c>
      <c r="GU28" s="22" t="s">
        <v>218</v>
      </c>
      <c r="GV28" s="22" t="s">
        <v>238</v>
      </c>
      <c r="GW28" s="22" t="s">
        <v>238</v>
      </c>
      <c r="GX28" s="22" t="s">
        <v>218</v>
      </c>
      <c r="GY28" s="22" t="s">
        <v>218</v>
      </c>
      <c r="GZ28" s="22" t="s">
        <v>218</v>
      </c>
      <c r="HA28" s="22" t="s">
        <v>218</v>
      </c>
      <c r="HB28" s="22" t="s">
        <v>218</v>
      </c>
      <c r="HC28" s="22" t="s">
        <v>218</v>
      </c>
      <c r="HD28" s="22" t="s">
        <v>218</v>
      </c>
      <c r="HE28" s="22" t="s">
        <v>218</v>
      </c>
      <c r="HF28" s="22" t="s">
        <v>218</v>
      </c>
      <c r="HG28" s="22" t="s">
        <v>218</v>
      </c>
      <c r="HH28" s="22" t="s">
        <v>218</v>
      </c>
      <c r="HI28" s="22" t="s">
        <v>238</v>
      </c>
      <c r="HJ28" s="22" t="s">
        <v>238</v>
      </c>
      <c r="HK28" s="22" t="s">
        <v>218</v>
      </c>
      <c r="HL28" s="22" t="s">
        <v>218</v>
      </c>
      <c r="HM28" s="620">
        <f>'background data'!$G$10</f>
        <v>0.47300000000000003</v>
      </c>
      <c r="HN28" s="620">
        <f>'background data'!$H$10</f>
        <v>0.13</v>
      </c>
      <c r="HO28" s="620">
        <f>'background data'!$J$10</f>
        <v>0.39100000000000001</v>
      </c>
      <c r="HP28" s="620">
        <f>'background data'!$L$10</f>
        <v>5.5E-2</v>
      </c>
      <c r="HQ28" s="620">
        <f>'background data'!$M$10</f>
        <v>3.97</v>
      </c>
      <c r="HR28" s="620">
        <f>'background data'!$N$10</f>
        <v>4.5999999999999999E-3</v>
      </c>
      <c r="HS28" s="620">
        <f>'background data'!$O$10</f>
        <v>2.73</v>
      </c>
      <c r="HT28" s="145"/>
      <c r="HU28" s="145" t="s">
        <v>1809</v>
      </c>
      <c r="HV28" s="22" t="s">
        <v>1927</v>
      </c>
      <c r="HW28" s="22" t="s">
        <v>231</v>
      </c>
      <c r="HX28" s="22" t="s">
        <v>232</v>
      </c>
      <c r="HY28" s="22" t="s">
        <v>233</v>
      </c>
      <c r="HZ28" s="19"/>
      <c r="IA28" s="19"/>
      <c r="IB28" s="620">
        <f>'background data'!$G$10</f>
        <v>0.47300000000000003</v>
      </c>
      <c r="IC28" s="620">
        <f>'background data'!$H$10</f>
        <v>0.13</v>
      </c>
      <c r="ID28" s="620">
        <f>'background data'!$J$10</f>
        <v>0.39100000000000001</v>
      </c>
      <c r="IE28" s="620">
        <f>'background data'!$L$10</f>
        <v>5.5E-2</v>
      </c>
      <c r="IF28" s="620">
        <f>'background data'!$M$10</f>
        <v>3.97</v>
      </c>
      <c r="IG28" s="620">
        <f>'background data'!$N$10</f>
        <v>4.5999999999999999E-3</v>
      </c>
      <c r="IH28" s="620">
        <f>'background data'!$O$10</f>
        <v>2.73</v>
      </c>
      <c r="II28" s="145"/>
      <c r="IJ28" s="145">
        <v>1</v>
      </c>
      <c r="IK28" s="145"/>
      <c r="IL28" s="145"/>
      <c r="IM28" s="145"/>
      <c r="IN28" s="145"/>
      <c r="IO28" s="145"/>
      <c r="IP28" s="145"/>
      <c r="IQ28" s="145"/>
      <c r="IR28" s="145"/>
      <c r="IS28" s="145"/>
      <c r="IT28" s="145"/>
      <c r="IU28" s="145"/>
      <c r="IV28" s="145"/>
      <c r="IW28" s="145"/>
      <c r="IX28" s="145"/>
      <c r="IY28" s="145"/>
      <c r="IZ28" s="145"/>
      <c r="JA28" s="145"/>
      <c r="JB28" s="145"/>
      <c r="JC28" s="145"/>
      <c r="JD28" s="145"/>
      <c r="JE28" s="145"/>
      <c r="JF28" s="145"/>
      <c r="JG28" s="145"/>
      <c r="JH28" s="145"/>
      <c r="JI28" s="145"/>
      <c r="JJ28" s="145"/>
      <c r="JK28" s="145"/>
      <c r="JL28" s="145"/>
      <c r="JM28" s="145"/>
      <c r="JN28" s="145"/>
      <c r="JO28" s="145"/>
      <c r="JP28" s="145"/>
      <c r="JQ28" s="145"/>
      <c r="JR28" s="145"/>
      <c r="JS28" s="145"/>
      <c r="JT28" s="145"/>
      <c r="JU28" s="145"/>
      <c r="JV28" s="145"/>
      <c r="JW28" s="145"/>
      <c r="JX28" s="145"/>
      <c r="JY28" s="145"/>
      <c r="JZ28" s="145"/>
      <c r="KA28" s="145"/>
      <c r="KB28" s="145"/>
      <c r="KC28" s="145"/>
      <c r="KD28" s="145"/>
      <c r="KE28" s="145"/>
      <c r="KF28" s="145"/>
      <c r="KG28" s="145"/>
      <c r="KH28" s="145"/>
      <c r="KI28" s="145"/>
      <c r="KJ28" s="145"/>
      <c r="KK28" s="145"/>
      <c r="KL28" s="145"/>
      <c r="KM28" s="145"/>
      <c r="KN28" s="145"/>
      <c r="KO28" s="145"/>
      <c r="KP28" s="145"/>
      <c r="KQ28" s="145"/>
      <c r="KR28" s="145"/>
      <c r="KS28" s="145"/>
      <c r="KT28" s="145"/>
      <c r="KU28" s="145"/>
      <c r="KV28" s="145"/>
      <c r="KW28" s="145"/>
      <c r="KX28" s="145"/>
      <c r="KY28" s="145"/>
      <c r="KZ28" s="145"/>
      <c r="LA28" s="145"/>
      <c r="LB28" s="145"/>
      <c r="LC28" s="145"/>
      <c r="LD28" s="145"/>
      <c r="LE28" s="145"/>
      <c r="LF28" s="145"/>
      <c r="LG28" s="145"/>
      <c r="LH28" s="145"/>
      <c r="LI28" s="145"/>
      <c r="LJ28" s="145"/>
      <c r="LK28" s="145"/>
      <c r="LL28" s="145"/>
      <c r="LM28" s="145"/>
      <c r="LN28" s="145"/>
      <c r="LO28" s="145"/>
      <c r="LP28" s="145"/>
      <c r="LQ28" s="145"/>
      <c r="LR28" s="145"/>
      <c r="LS28" s="145"/>
      <c r="LT28" s="145"/>
      <c r="LU28" s="145"/>
      <c r="LV28" s="145"/>
      <c r="LW28" s="145"/>
      <c r="LX28" s="145"/>
      <c r="LY28" s="145"/>
      <c r="LZ28" s="145"/>
      <c r="MA28" s="145"/>
      <c r="MB28" s="145"/>
      <c r="MC28" s="145"/>
      <c r="MD28" s="145"/>
      <c r="ME28" s="145"/>
      <c r="MF28" s="145"/>
      <c r="MG28" s="145"/>
      <c r="MH28" s="145"/>
      <c r="MI28" s="145"/>
      <c r="MJ28" s="145"/>
      <c r="MK28" s="145"/>
      <c r="ML28" s="145"/>
      <c r="MM28" s="145"/>
      <c r="MN28" s="145"/>
      <c r="MO28" s="145"/>
      <c r="MP28" s="145"/>
      <c r="MQ28" s="145"/>
      <c r="MR28" s="145"/>
      <c r="MS28" s="145"/>
      <c r="MT28" s="145"/>
      <c r="MU28" s="145"/>
      <c r="MV28" s="145"/>
      <c r="MW28" s="145"/>
      <c r="MX28" s="145"/>
      <c r="MY28" s="145"/>
      <c r="MZ28" s="145"/>
      <c r="NA28" s="145"/>
      <c r="NB28" s="145"/>
      <c r="NC28" s="145"/>
      <c r="ND28" s="145"/>
      <c r="NE28" s="145"/>
      <c r="NF28" s="145"/>
      <c r="NG28" s="145"/>
      <c r="NH28" s="145"/>
      <c r="NI28" s="145"/>
      <c r="NJ28" s="145"/>
      <c r="NK28" s="145"/>
      <c r="NL28" s="145"/>
      <c r="NM28" s="145"/>
      <c r="NN28" s="145"/>
      <c r="NO28" s="145"/>
      <c r="NP28" s="145"/>
      <c r="NQ28" s="145"/>
      <c r="NR28" s="145"/>
      <c r="NS28" s="145"/>
    </row>
    <row r="29" spans="1:383" s="16" customFormat="1" ht="15" customHeight="1" x14ac:dyDescent="0.2">
      <c r="A29" s="15">
        <v>50210</v>
      </c>
      <c r="B29" s="25">
        <v>502</v>
      </c>
      <c r="C29" s="26">
        <v>10</v>
      </c>
      <c r="D29" s="20" t="s">
        <v>252</v>
      </c>
      <c r="E29" s="14">
        <v>42683</v>
      </c>
      <c r="F29" s="18">
        <v>1.05652363530778</v>
      </c>
      <c r="G29" s="18">
        <v>1.0552031369202199</v>
      </c>
      <c r="H29" s="21">
        <v>85.9</v>
      </c>
      <c r="I29" s="21">
        <v>80.099999999999994</v>
      </c>
      <c r="J29" s="21">
        <v>90</v>
      </c>
      <c r="K29" s="18">
        <v>1</v>
      </c>
      <c r="L29" s="18">
        <v>85</v>
      </c>
      <c r="M29" s="18">
        <v>8.8999999999999808</v>
      </c>
      <c r="N29" s="18">
        <v>2.6</v>
      </c>
      <c r="O29" s="18">
        <v>1.8</v>
      </c>
      <c r="P29" s="18">
        <v>4.8</v>
      </c>
      <c r="Q29" s="19"/>
      <c r="R29" s="18">
        <v>75.652850080256798</v>
      </c>
      <c r="S29" s="18">
        <v>30</v>
      </c>
      <c r="T29" s="18">
        <v>42</v>
      </c>
      <c r="U29" s="18">
        <v>46</v>
      </c>
      <c r="V29" s="18">
        <v>50</v>
      </c>
      <c r="W29" s="18">
        <v>53</v>
      </c>
      <c r="X29" s="18"/>
      <c r="Y29" s="18">
        <v>0.52941176470588236</v>
      </c>
      <c r="Z29" s="18">
        <v>3.4117647058823528</v>
      </c>
      <c r="AA29" s="18">
        <v>0.2</v>
      </c>
      <c r="AB29" s="18">
        <v>1.4999999999999998</v>
      </c>
      <c r="AC29" s="18">
        <v>5.7</v>
      </c>
      <c r="AD29" s="18">
        <v>1.2</v>
      </c>
      <c r="AE29" s="18">
        <v>1.1000000000000001</v>
      </c>
      <c r="AF29" s="18">
        <v>34</v>
      </c>
      <c r="AG29" s="18">
        <v>2.9</v>
      </c>
      <c r="AH29" s="18">
        <v>14</v>
      </c>
      <c r="AI29" s="18">
        <v>28</v>
      </c>
      <c r="AJ29" s="18">
        <v>0</v>
      </c>
      <c r="AK29" s="18">
        <v>0.04</v>
      </c>
      <c r="AL29" s="18"/>
      <c r="AM29" s="18">
        <v>3.8697647058823499</v>
      </c>
      <c r="AN29" s="18">
        <v>1.73164705882353</v>
      </c>
      <c r="AO29" s="18">
        <v>2.4284705882352902</v>
      </c>
      <c r="AP29" s="18">
        <v>3.4951764705882402</v>
      </c>
      <c r="AQ29" s="18">
        <v>1.3525882352941201</v>
      </c>
      <c r="AR29" s="18">
        <v>3.6334117647058801</v>
      </c>
      <c r="AS29" s="18">
        <v>6.8982352941176499</v>
      </c>
      <c r="AT29" s="18">
        <v>2.3063529411764701</v>
      </c>
      <c r="AU29" s="18">
        <v>4.7436470588235302</v>
      </c>
      <c r="AV29" s="18">
        <v>3.19941176470588</v>
      </c>
      <c r="AW29" s="18">
        <v>5.1617647058823497</v>
      </c>
      <c r="AX29" s="18"/>
      <c r="AY29" s="18">
        <v>0.94</v>
      </c>
      <c r="AZ29" s="18">
        <v>1.08</v>
      </c>
      <c r="BA29" s="18">
        <v>1.03</v>
      </c>
      <c r="BB29" s="18">
        <v>0.95</v>
      </c>
      <c r="BC29" s="18">
        <v>0.96</v>
      </c>
      <c r="BD29" s="18">
        <v>1</v>
      </c>
      <c r="BE29" s="18">
        <v>1.01</v>
      </c>
      <c r="BF29" s="18">
        <v>1</v>
      </c>
      <c r="BG29" s="18">
        <v>1.04</v>
      </c>
      <c r="BH29" s="18">
        <v>0.97</v>
      </c>
      <c r="BI29" s="18">
        <v>0.96</v>
      </c>
      <c r="BJ29" s="19"/>
      <c r="BK29" s="18">
        <v>10.470588235294095</v>
      </c>
      <c r="BL29" s="18">
        <v>3.0588235294117645</v>
      </c>
      <c r="BM29" s="18">
        <v>2.1176470588235294</v>
      </c>
      <c r="BN29" s="18">
        <v>5.6470588235294121</v>
      </c>
      <c r="BO29" s="18"/>
      <c r="BP29" s="18">
        <v>120</v>
      </c>
      <c r="BQ29" s="18">
        <v>36.70588235294106</v>
      </c>
      <c r="BR29" s="18">
        <v>1.2429689827150354</v>
      </c>
      <c r="BS29" s="18">
        <v>1.2414154552002588</v>
      </c>
      <c r="BT29" s="19"/>
      <c r="BU29" s="18">
        <v>978.82352941176475</v>
      </c>
      <c r="BV29" s="18">
        <v>634.75394957983178</v>
      </c>
      <c r="BW29" s="18">
        <v>81.102521008403528</v>
      </c>
      <c r="BX29" s="18">
        <v>604</v>
      </c>
      <c r="BY29" s="18">
        <v>21.000000000000004</v>
      </c>
      <c r="BZ29" s="18">
        <v>56</v>
      </c>
      <c r="CA29" s="18">
        <v>165</v>
      </c>
      <c r="CB29" s="19"/>
      <c r="CC29" s="19">
        <v>0.45</v>
      </c>
      <c r="CD29" s="19">
        <v>2.9</v>
      </c>
      <c r="CE29" s="19">
        <v>0.17</v>
      </c>
      <c r="CF29" s="19">
        <v>1.2749999999999997</v>
      </c>
      <c r="CG29" s="19">
        <v>4.8449999999999998</v>
      </c>
      <c r="CH29" s="19">
        <v>1.02</v>
      </c>
      <c r="CI29" s="19">
        <v>0.93500000000000005</v>
      </c>
      <c r="CJ29" s="19"/>
      <c r="CK29" s="19">
        <v>28.9</v>
      </c>
      <c r="CL29" s="19">
        <v>2.4649999999999999</v>
      </c>
      <c r="CM29" s="19">
        <v>11.9</v>
      </c>
      <c r="CN29" s="19">
        <v>23.8</v>
      </c>
      <c r="CO29" s="19">
        <v>0</v>
      </c>
      <c r="CP29" s="19">
        <v>3.4000000000000002E-2</v>
      </c>
      <c r="CQ29" s="19">
        <v>67.331036571428399</v>
      </c>
      <c r="CR29" s="19">
        <v>63.728850279638024</v>
      </c>
      <c r="CS29" s="19">
        <v>2.3181871622508741</v>
      </c>
      <c r="CT29" s="19">
        <v>1.191843462408557</v>
      </c>
      <c r="CU29" s="19">
        <v>1.5940654768193601</v>
      </c>
      <c r="CV29" s="19">
        <v>2.7859089392279075</v>
      </c>
      <c r="CW29" s="19">
        <v>2.1160639909528083</v>
      </c>
      <c r="CX29" s="19">
        <v>0.82750937411576508</v>
      </c>
      <c r="CY29" s="19">
        <v>2.315531543572166</v>
      </c>
      <c r="CZ29" s="19">
        <v>4.4401277029506367</v>
      </c>
      <c r="DA29" s="19">
        <v>1.4698122128023867</v>
      </c>
      <c r="DB29" s="19">
        <v>3.1439946011885871</v>
      </c>
      <c r="DC29" s="19">
        <v>1.9777798833577809</v>
      </c>
      <c r="DD29" s="19">
        <v>5.121774484546358</v>
      </c>
      <c r="DE29" s="19">
        <v>3.1579519691510032</v>
      </c>
      <c r="DF29" s="23">
        <v>0</v>
      </c>
      <c r="DG29" s="23">
        <v>0</v>
      </c>
      <c r="DH29" s="23">
        <v>0</v>
      </c>
      <c r="DI29" s="19">
        <v>0</v>
      </c>
      <c r="DJ29" s="19">
        <v>0</v>
      </c>
      <c r="DK29" s="19">
        <v>0</v>
      </c>
      <c r="DL29" s="19">
        <v>0</v>
      </c>
      <c r="DM29" s="19">
        <v>0</v>
      </c>
      <c r="DN29" s="19">
        <v>0</v>
      </c>
      <c r="DO29" s="19">
        <v>0</v>
      </c>
      <c r="DP29" s="19">
        <v>0</v>
      </c>
      <c r="DQ29" s="19">
        <v>0</v>
      </c>
      <c r="DR29" s="19">
        <v>0</v>
      </c>
      <c r="DS29" s="19">
        <v>0</v>
      </c>
      <c r="DT29" s="19">
        <v>0</v>
      </c>
      <c r="DU29" s="19">
        <v>0</v>
      </c>
      <c r="DV29" s="19">
        <v>0</v>
      </c>
      <c r="DW29" s="17" t="s">
        <v>230</v>
      </c>
      <c r="DX29" s="22" t="s">
        <v>218</v>
      </c>
      <c r="DY29" s="22">
        <v>115</v>
      </c>
      <c r="DZ29" s="22">
        <v>45</v>
      </c>
      <c r="EA29" s="22">
        <v>45</v>
      </c>
      <c r="EB29" s="22" t="s">
        <v>218</v>
      </c>
      <c r="EC29" s="22">
        <v>45</v>
      </c>
      <c r="ED29" s="22">
        <v>45</v>
      </c>
      <c r="EE29" s="22" t="s">
        <v>218</v>
      </c>
      <c r="EF29" s="22">
        <v>45</v>
      </c>
      <c r="EG29" s="22">
        <v>45</v>
      </c>
      <c r="EH29" s="22" t="s">
        <v>218</v>
      </c>
      <c r="EI29" s="22" t="s">
        <v>218</v>
      </c>
      <c r="EJ29" s="22" t="s">
        <v>218</v>
      </c>
      <c r="EK29" s="22" t="s">
        <v>218</v>
      </c>
      <c r="EL29" s="22" t="s">
        <v>218</v>
      </c>
      <c r="EM29" s="22" t="s">
        <v>218</v>
      </c>
      <c r="EN29" s="22" t="s">
        <v>218</v>
      </c>
      <c r="EO29" s="22" t="s">
        <v>218</v>
      </c>
      <c r="EP29" s="22" t="s">
        <v>218</v>
      </c>
      <c r="EQ29" s="22" t="s">
        <v>218</v>
      </c>
      <c r="ER29" s="22" t="s">
        <v>218</v>
      </c>
      <c r="ES29" s="22">
        <v>45</v>
      </c>
      <c r="ET29" s="22">
        <v>115</v>
      </c>
      <c r="EU29" s="22" t="s">
        <v>218</v>
      </c>
      <c r="EV29" s="22" t="s">
        <v>218</v>
      </c>
      <c r="EW29" s="22" t="s">
        <v>218</v>
      </c>
      <c r="EX29" s="22" t="s">
        <v>218</v>
      </c>
      <c r="EY29" s="22" t="s">
        <v>218</v>
      </c>
      <c r="EZ29" s="22" t="s">
        <v>218</v>
      </c>
      <c r="FA29" s="22" t="s">
        <v>218</v>
      </c>
      <c r="FB29" s="22" t="s">
        <v>218</v>
      </c>
      <c r="FC29" s="22" t="s">
        <v>218</v>
      </c>
      <c r="FD29" s="22" t="s">
        <v>218</v>
      </c>
      <c r="FE29" s="22" t="s">
        <v>218</v>
      </c>
      <c r="FF29" s="22" t="s">
        <v>218</v>
      </c>
      <c r="FG29" s="22">
        <v>0.66</v>
      </c>
      <c r="FH29" s="22">
        <v>0.16</v>
      </c>
      <c r="FI29" s="22">
        <v>0.19</v>
      </c>
      <c r="FJ29" s="22" t="s">
        <v>218</v>
      </c>
      <c r="FK29" s="22">
        <v>1.57</v>
      </c>
      <c r="FL29" s="22">
        <v>1.47</v>
      </c>
      <c r="FM29" s="22" t="s">
        <v>218</v>
      </c>
      <c r="FN29" s="22">
        <v>2.6</v>
      </c>
      <c r="FO29" s="22">
        <v>2.2200000000000002</v>
      </c>
      <c r="FP29" s="22" t="s">
        <v>218</v>
      </c>
      <c r="FQ29" s="22" t="s">
        <v>218</v>
      </c>
      <c r="FR29" s="22" t="s">
        <v>218</v>
      </c>
      <c r="FS29" s="22" t="s">
        <v>218</v>
      </c>
      <c r="FT29" s="22" t="s">
        <v>218</v>
      </c>
      <c r="FU29" s="22" t="s">
        <v>218</v>
      </c>
      <c r="FV29" s="22" t="s">
        <v>218</v>
      </c>
      <c r="FW29" s="22" t="s">
        <v>218</v>
      </c>
      <c r="FX29" s="22" t="s">
        <v>218</v>
      </c>
      <c r="FY29" s="22" t="s">
        <v>218</v>
      </c>
      <c r="FZ29" s="22" t="s">
        <v>218</v>
      </c>
      <c r="GA29" s="22">
        <v>0.11</v>
      </c>
      <c r="GB29" s="22">
        <v>0.26</v>
      </c>
      <c r="GC29" s="22" t="s">
        <v>218</v>
      </c>
      <c r="GD29" s="22" t="s">
        <v>218</v>
      </c>
      <c r="GE29" s="22" t="s">
        <v>218</v>
      </c>
      <c r="GF29" s="22" t="s">
        <v>218</v>
      </c>
      <c r="GG29" s="22" t="s">
        <v>218</v>
      </c>
      <c r="GH29" s="22" t="s">
        <v>218</v>
      </c>
      <c r="GI29" s="22" t="s">
        <v>218</v>
      </c>
      <c r="GJ29" s="22" t="s">
        <v>218</v>
      </c>
      <c r="GK29" s="22" t="s">
        <v>218</v>
      </c>
      <c r="GL29" s="22" t="s">
        <v>218</v>
      </c>
      <c r="GM29" s="22" t="s">
        <v>218</v>
      </c>
      <c r="GN29" s="22" t="s">
        <v>218</v>
      </c>
      <c r="GO29" s="22" t="s">
        <v>238</v>
      </c>
      <c r="GP29" s="22" t="s">
        <v>238</v>
      </c>
      <c r="GQ29" s="22" t="s">
        <v>238</v>
      </c>
      <c r="GR29" s="22" t="s">
        <v>218</v>
      </c>
      <c r="GS29" s="22" t="s">
        <v>238</v>
      </c>
      <c r="GT29" s="22" t="s">
        <v>238</v>
      </c>
      <c r="GU29" s="22" t="s">
        <v>218</v>
      </c>
      <c r="GV29" s="22" t="s">
        <v>238</v>
      </c>
      <c r="GW29" s="22" t="s">
        <v>238</v>
      </c>
      <c r="GX29" s="22" t="s">
        <v>218</v>
      </c>
      <c r="GY29" s="22" t="s">
        <v>218</v>
      </c>
      <c r="GZ29" s="22" t="s">
        <v>218</v>
      </c>
      <c r="HA29" s="22" t="s">
        <v>218</v>
      </c>
      <c r="HB29" s="22" t="s">
        <v>218</v>
      </c>
      <c r="HC29" s="22" t="s">
        <v>218</v>
      </c>
      <c r="HD29" s="22" t="s">
        <v>218</v>
      </c>
      <c r="HE29" s="22" t="s">
        <v>218</v>
      </c>
      <c r="HF29" s="22" t="s">
        <v>218</v>
      </c>
      <c r="HG29" s="22" t="s">
        <v>218</v>
      </c>
      <c r="HH29" s="22" t="s">
        <v>218</v>
      </c>
      <c r="HI29" s="22" t="s">
        <v>238</v>
      </c>
      <c r="HJ29" s="22" t="s">
        <v>238</v>
      </c>
      <c r="HK29" s="22" t="s">
        <v>218</v>
      </c>
      <c r="HL29" s="22" t="s">
        <v>218</v>
      </c>
      <c r="HM29" s="620">
        <f>'background data'!$G$10</f>
        <v>0.47300000000000003</v>
      </c>
      <c r="HN29" s="620">
        <f>'background data'!$H$10</f>
        <v>0.13</v>
      </c>
      <c r="HO29" s="620">
        <f>'background data'!$J$10</f>
        <v>0.39100000000000001</v>
      </c>
      <c r="HP29" s="620">
        <f>'background data'!$L$10</f>
        <v>5.5E-2</v>
      </c>
      <c r="HQ29" s="620">
        <f>'background data'!$M$10</f>
        <v>3.97</v>
      </c>
      <c r="HR29" s="620">
        <f>'background data'!$N$10</f>
        <v>4.5999999999999999E-3</v>
      </c>
      <c r="HS29" s="620">
        <f>'background data'!$O$10</f>
        <v>2.73</v>
      </c>
      <c r="HT29" s="145"/>
      <c r="HU29" s="145" t="s">
        <v>1809</v>
      </c>
      <c r="HV29" s="22" t="s">
        <v>1927</v>
      </c>
      <c r="HW29" s="22" t="s">
        <v>231</v>
      </c>
      <c r="HX29" s="22" t="s">
        <v>232</v>
      </c>
      <c r="HY29" s="22" t="s">
        <v>233</v>
      </c>
      <c r="HZ29" s="19"/>
      <c r="IA29" s="19"/>
      <c r="IB29" s="620">
        <f>'background data'!$G$10</f>
        <v>0.47300000000000003</v>
      </c>
      <c r="IC29" s="620">
        <f>'background data'!$H$10</f>
        <v>0.13</v>
      </c>
      <c r="ID29" s="620">
        <f>'background data'!$J$10</f>
        <v>0.39100000000000001</v>
      </c>
      <c r="IE29" s="620">
        <f>'background data'!$L$10</f>
        <v>5.5E-2</v>
      </c>
      <c r="IF29" s="620">
        <f>'background data'!$M$10</f>
        <v>3.97</v>
      </c>
      <c r="IG29" s="620">
        <f>'background data'!$N$10</f>
        <v>4.5999999999999999E-3</v>
      </c>
      <c r="IH29" s="620">
        <f>'background data'!$O$10</f>
        <v>2.73</v>
      </c>
      <c r="II29" s="145"/>
      <c r="IJ29" s="145">
        <v>1</v>
      </c>
      <c r="IK29" s="145"/>
      <c r="IL29" s="145"/>
      <c r="IM29" s="145"/>
      <c r="IN29" s="145"/>
      <c r="IO29" s="145"/>
      <c r="IP29" s="145"/>
      <c r="IQ29" s="145"/>
      <c r="IR29" s="145"/>
      <c r="IS29" s="145"/>
      <c r="IT29" s="145"/>
      <c r="IU29" s="145"/>
      <c r="IV29" s="145"/>
      <c r="IW29" s="145"/>
      <c r="IX29" s="145"/>
      <c r="IY29" s="145"/>
      <c r="IZ29" s="145"/>
      <c r="JA29" s="145"/>
      <c r="JB29" s="145"/>
      <c r="JC29" s="145"/>
      <c r="JD29" s="145"/>
      <c r="JE29" s="145"/>
      <c r="JF29" s="145"/>
      <c r="JG29" s="145"/>
      <c r="JH29" s="145"/>
      <c r="JI29" s="145"/>
      <c r="JJ29" s="145"/>
      <c r="JK29" s="145"/>
      <c r="JL29" s="145"/>
      <c r="JM29" s="145"/>
      <c r="JN29" s="145"/>
      <c r="JO29" s="145"/>
      <c r="JP29" s="145"/>
      <c r="JQ29" s="145"/>
      <c r="JR29" s="145"/>
      <c r="JS29" s="145"/>
      <c r="JT29" s="145"/>
      <c r="JU29" s="145"/>
      <c r="JV29" s="145"/>
      <c r="JW29" s="145"/>
      <c r="JX29" s="145"/>
      <c r="JY29" s="145"/>
      <c r="JZ29" s="145"/>
      <c r="KA29" s="145"/>
      <c r="KB29" s="145"/>
      <c r="KC29" s="145"/>
      <c r="KD29" s="145"/>
      <c r="KE29" s="145"/>
      <c r="KF29" s="145"/>
      <c r="KG29" s="145"/>
      <c r="KH29" s="145"/>
      <c r="KI29" s="145"/>
      <c r="KJ29" s="145"/>
      <c r="KK29" s="145"/>
      <c r="KL29" s="145"/>
      <c r="KM29" s="145"/>
      <c r="KN29" s="145"/>
      <c r="KO29" s="145"/>
      <c r="KP29" s="145"/>
      <c r="KQ29" s="145"/>
      <c r="KR29" s="145"/>
      <c r="KS29" s="145"/>
      <c r="KT29" s="145"/>
      <c r="KU29" s="145"/>
      <c r="KV29" s="145"/>
      <c r="KW29" s="145"/>
      <c r="KX29" s="145"/>
      <c r="KY29" s="145"/>
      <c r="KZ29" s="145"/>
      <c r="LA29" s="145"/>
      <c r="LB29" s="145"/>
      <c r="LC29" s="145"/>
      <c r="LD29" s="145"/>
      <c r="LE29" s="145"/>
      <c r="LF29" s="145"/>
      <c r="LG29" s="145"/>
      <c r="LH29" s="145"/>
      <c r="LI29" s="145"/>
      <c r="LJ29" s="145"/>
      <c r="LK29" s="145"/>
      <c r="LL29" s="145"/>
      <c r="LM29" s="145"/>
      <c r="LN29" s="145"/>
      <c r="LO29" s="145"/>
      <c r="LP29" s="145"/>
      <c r="LQ29" s="145"/>
      <c r="LR29" s="145"/>
      <c r="LS29" s="145"/>
      <c r="LT29" s="145"/>
      <c r="LU29" s="145"/>
      <c r="LV29" s="145"/>
      <c r="LW29" s="145"/>
      <c r="LX29" s="145"/>
      <c r="LY29" s="145"/>
      <c r="LZ29" s="145"/>
      <c r="MA29" s="145"/>
      <c r="MB29" s="145"/>
      <c r="MC29" s="145"/>
      <c r="MD29" s="145"/>
      <c r="ME29" s="145"/>
      <c r="MF29" s="145"/>
      <c r="MG29" s="145"/>
      <c r="MH29" s="145"/>
      <c r="MI29" s="145"/>
      <c r="MJ29" s="145"/>
      <c r="MK29" s="145"/>
      <c r="ML29" s="145"/>
      <c r="MM29" s="145"/>
      <c r="MN29" s="145"/>
      <c r="MO29" s="145"/>
      <c r="MP29" s="145"/>
      <c r="MQ29" s="145"/>
      <c r="MR29" s="145"/>
      <c r="MS29" s="145"/>
      <c r="MT29" s="145"/>
      <c r="MU29" s="145"/>
      <c r="MV29" s="145"/>
      <c r="MW29" s="145"/>
      <c r="MX29" s="145"/>
      <c r="MY29" s="145"/>
      <c r="MZ29" s="145"/>
      <c r="NA29" s="145"/>
      <c r="NB29" s="145"/>
      <c r="NC29" s="145"/>
      <c r="ND29" s="145"/>
      <c r="NE29" s="145"/>
      <c r="NF29" s="145"/>
      <c r="NG29" s="145"/>
      <c r="NH29" s="145"/>
      <c r="NI29" s="145"/>
      <c r="NJ29" s="145"/>
      <c r="NK29" s="145"/>
      <c r="NL29" s="145"/>
      <c r="NM29" s="145"/>
      <c r="NN29" s="145"/>
      <c r="NO29" s="145"/>
      <c r="NP29" s="145"/>
      <c r="NQ29" s="145"/>
      <c r="NR29" s="145"/>
      <c r="NS29" s="145"/>
    </row>
    <row r="30" spans="1:383" s="16" customFormat="1" ht="15" customHeight="1" x14ac:dyDescent="0.2">
      <c r="A30" s="15">
        <v>50211</v>
      </c>
      <c r="B30" s="25">
        <v>502</v>
      </c>
      <c r="C30" s="26">
        <v>11</v>
      </c>
      <c r="D30" s="20" t="s">
        <v>253</v>
      </c>
      <c r="E30" s="14">
        <v>42683</v>
      </c>
      <c r="F30" s="18">
        <v>1.0625631242741</v>
      </c>
      <c r="G30" s="18">
        <v>1.0594480348794</v>
      </c>
      <c r="H30" s="21">
        <v>85.9</v>
      </c>
      <c r="I30" s="21">
        <v>80.599999999999994</v>
      </c>
      <c r="J30" s="21">
        <v>90</v>
      </c>
      <c r="K30" s="18">
        <v>1</v>
      </c>
      <c r="L30" s="18">
        <v>85</v>
      </c>
      <c r="M30" s="18">
        <v>8.8999999999999808</v>
      </c>
      <c r="N30" s="18">
        <v>2.6</v>
      </c>
      <c r="O30" s="18">
        <v>1.8</v>
      </c>
      <c r="P30" s="18">
        <v>4.8</v>
      </c>
      <c r="Q30" s="19"/>
      <c r="R30" s="18">
        <v>76.093556340288899</v>
      </c>
      <c r="S30" s="18">
        <v>30</v>
      </c>
      <c r="T30" s="18">
        <v>42</v>
      </c>
      <c r="U30" s="18">
        <v>46</v>
      </c>
      <c r="V30" s="18">
        <v>50</v>
      </c>
      <c r="W30" s="18">
        <v>53</v>
      </c>
      <c r="X30" s="18"/>
      <c r="Y30" s="18">
        <v>0.52941176470588236</v>
      </c>
      <c r="Z30" s="18">
        <v>3.4117647058823528</v>
      </c>
      <c r="AA30" s="18">
        <v>0.2</v>
      </c>
      <c r="AB30" s="18">
        <v>1.4999999999999998</v>
      </c>
      <c r="AC30" s="18">
        <v>5.7</v>
      </c>
      <c r="AD30" s="18">
        <v>1.2</v>
      </c>
      <c r="AE30" s="18">
        <v>1.1000000000000001</v>
      </c>
      <c r="AF30" s="18">
        <v>34</v>
      </c>
      <c r="AG30" s="18">
        <v>2.9</v>
      </c>
      <c r="AH30" s="18">
        <v>14</v>
      </c>
      <c r="AI30" s="18">
        <v>28</v>
      </c>
      <c r="AJ30" s="18">
        <v>0</v>
      </c>
      <c r="AK30" s="18">
        <v>0.04</v>
      </c>
      <c r="AL30" s="18"/>
      <c r="AM30" s="18">
        <v>3.8697647058823499</v>
      </c>
      <c r="AN30" s="18">
        <v>1.73164705882353</v>
      </c>
      <c r="AO30" s="18">
        <v>2.4284705882352902</v>
      </c>
      <c r="AP30" s="18">
        <v>3.4951764705882402</v>
      </c>
      <c r="AQ30" s="18">
        <v>1.3525882352941201</v>
      </c>
      <c r="AR30" s="18">
        <v>3.6334117647058801</v>
      </c>
      <c r="AS30" s="18">
        <v>6.8982352941176499</v>
      </c>
      <c r="AT30" s="18">
        <v>2.3063529411764701</v>
      </c>
      <c r="AU30" s="18">
        <v>4.7436470588235302</v>
      </c>
      <c r="AV30" s="18">
        <v>3.19941176470588</v>
      </c>
      <c r="AW30" s="18">
        <v>5.1617647058823497</v>
      </c>
      <c r="AX30" s="18"/>
      <c r="AY30" s="18">
        <v>0.94</v>
      </c>
      <c r="AZ30" s="18">
        <v>1.08</v>
      </c>
      <c r="BA30" s="18">
        <v>1.03</v>
      </c>
      <c r="BB30" s="18">
        <v>0.95</v>
      </c>
      <c r="BC30" s="18">
        <v>0.96</v>
      </c>
      <c r="BD30" s="18">
        <v>1</v>
      </c>
      <c r="BE30" s="18">
        <v>1.01</v>
      </c>
      <c r="BF30" s="18">
        <v>1</v>
      </c>
      <c r="BG30" s="18">
        <v>1.04</v>
      </c>
      <c r="BH30" s="18">
        <v>0.97</v>
      </c>
      <c r="BI30" s="18">
        <v>0.96</v>
      </c>
      <c r="BJ30" s="19"/>
      <c r="BK30" s="18">
        <v>10.470588235294095</v>
      </c>
      <c r="BL30" s="18">
        <v>3.0588235294117645</v>
      </c>
      <c r="BM30" s="18">
        <v>2.1176470588235294</v>
      </c>
      <c r="BN30" s="18">
        <v>5.6470588235294121</v>
      </c>
      <c r="BO30" s="18"/>
      <c r="BP30" s="18">
        <v>120</v>
      </c>
      <c r="BQ30" s="18">
        <v>36.70588235294106</v>
      </c>
      <c r="BR30" s="18">
        <v>1.2500742638518825</v>
      </c>
      <c r="BS30" s="18">
        <v>1.2464094527992939</v>
      </c>
      <c r="BT30" s="19"/>
      <c r="BU30" s="18">
        <v>978.82352941176475</v>
      </c>
      <c r="BV30" s="18">
        <v>641.74554621848699</v>
      </c>
      <c r="BW30" s="18">
        <v>74.110924369748119</v>
      </c>
      <c r="BX30" s="18">
        <v>604</v>
      </c>
      <c r="BY30" s="18">
        <v>21.000000000000004</v>
      </c>
      <c r="BZ30" s="18">
        <v>56</v>
      </c>
      <c r="CA30" s="18">
        <v>165</v>
      </c>
      <c r="CB30" s="19"/>
      <c r="CC30" s="19">
        <v>0.45</v>
      </c>
      <c r="CD30" s="19">
        <v>2.9</v>
      </c>
      <c r="CE30" s="19">
        <v>0.17</v>
      </c>
      <c r="CF30" s="19">
        <v>1.2749999999999997</v>
      </c>
      <c r="CG30" s="19">
        <v>4.8449999999999998</v>
      </c>
      <c r="CH30" s="19">
        <v>1.02</v>
      </c>
      <c r="CI30" s="19">
        <v>0.93500000000000005</v>
      </c>
      <c r="CJ30" s="19"/>
      <c r="CK30" s="19">
        <v>28.9</v>
      </c>
      <c r="CL30" s="19">
        <v>2.4649999999999999</v>
      </c>
      <c r="CM30" s="19">
        <v>11.9</v>
      </c>
      <c r="CN30" s="19">
        <v>23.8</v>
      </c>
      <c r="CO30" s="19">
        <v>0</v>
      </c>
      <c r="CP30" s="19">
        <v>3.4000000000000002E-2</v>
      </c>
      <c r="CQ30" s="19">
        <v>67.723265142857002</v>
      </c>
      <c r="CR30" s="19">
        <v>63.73575705360826</v>
      </c>
      <c r="CS30" s="19">
        <v>2.3184384015982058</v>
      </c>
      <c r="CT30" s="19">
        <v>1.1919726314327375</v>
      </c>
      <c r="CU30" s="19">
        <v>1.5942382376630539</v>
      </c>
      <c r="CV30" s="19">
        <v>2.7862108690957919</v>
      </c>
      <c r="CW30" s="19">
        <v>2.1162933246945466</v>
      </c>
      <c r="CX30" s="19">
        <v>0.8275990575194383</v>
      </c>
      <c r="CY30" s="19">
        <v>2.3157824951101578</v>
      </c>
      <c r="CZ30" s="19">
        <v>4.4406089129255335</v>
      </c>
      <c r="DA30" s="19">
        <v>1.4699715073869819</v>
      </c>
      <c r="DB30" s="19">
        <v>3.1443353394880922</v>
      </c>
      <c r="DC30" s="19">
        <v>1.9779942302125777</v>
      </c>
      <c r="DD30" s="19">
        <v>5.1223295697006694</v>
      </c>
      <c r="DE30" s="19">
        <v>3.1582942201152666</v>
      </c>
      <c r="DF30" s="23">
        <v>0</v>
      </c>
      <c r="DG30" s="23">
        <v>0</v>
      </c>
      <c r="DH30" s="23">
        <v>0</v>
      </c>
      <c r="DI30" s="19">
        <v>0</v>
      </c>
      <c r="DJ30" s="19">
        <v>0</v>
      </c>
      <c r="DK30" s="19">
        <v>0</v>
      </c>
      <c r="DL30" s="19">
        <v>0</v>
      </c>
      <c r="DM30" s="19">
        <v>0</v>
      </c>
      <c r="DN30" s="19">
        <v>0</v>
      </c>
      <c r="DO30" s="19">
        <v>0</v>
      </c>
      <c r="DP30" s="19">
        <v>0</v>
      </c>
      <c r="DQ30" s="19">
        <v>0</v>
      </c>
      <c r="DR30" s="19">
        <v>0</v>
      </c>
      <c r="DS30" s="19">
        <v>0</v>
      </c>
      <c r="DT30" s="19">
        <v>0</v>
      </c>
      <c r="DU30" s="19">
        <v>0</v>
      </c>
      <c r="DV30" s="19">
        <v>0</v>
      </c>
      <c r="DW30" s="17" t="s">
        <v>230</v>
      </c>
      <c r="DX30" s="22" t="s">
        <v>218</v>
      </c>
      <c r="DY30" s="22">
        <v>115</v>
      </c>
      <c r="DZ30" s="22">
        <v>45</v>
      </c>
      <c r="EA30" s="22">
        <v>45</v>
      </c>
      <c r="EB30" s="22" t="s">
        <v>218</v>
      </c>
      <c r="EC30" s="22">
        <v>45</v>
      </c>
      <c r="ED30" s="22">
        <v>45</v>
      </c>
      <c r="EE30" s="22" t="s">
        <v>218</v>
      </c>
      <c r="EF30" s="22">
        <v>45</v>
      </c>
      <c r="EG30" s="22">
        <v>45</v>
      </c>
      <c r="EH30" s="22" t="s">
        <v>218</v>
      </c>
      <c r="EI30" s="22" t="s">
        <v>218</v>
      </c>
      <c r="EJ30" s="22" t="s">
        <v>218</v>
      </c>
      <c r="EK30" s="22" t="s">
        <v>218</v>
      </c>
      <c r="EL30" s="22" t="s">
        <v>218</v>
      </c>
      <c r="EM30" s="22" t="s">
        <v>218</v>
      </c>
      <c r="EN30" s="22" t="s">
        <v>218</v>
      </c>
      <c r="EO30" s="22" t="s">
        <v>218</v>
      </c>
      <c r="EP30" s="22" t="s">
        <v>218</v>
      </c>
      <c r="EQ30" s="22" t="s">
        <v>218</v>
      </c>
      <c r="ER30" s="22" t="s">
        <v>218</v>
      </c>
      <c r="ES30" s="22">
        <v>45</v>
      </c>
      <c r="ET30" s="22">
        <v>115</v>
      </c>
      <c r="EU30" s="22" t="s">
        <v>218</v>
      </c>
      <c r="EV30" s="22" t="s">
        <v>218</v>
      </c>
      <c r="EW30" s="22" t="s">
        <v>218</v>
      </c>
      <c r="EX30" s="22" t="s">
        <v>218</v>
      </c>
      <c r="EY30" s="22" t="s">
        <v>218</v>
      </c>
      <c r="EZ30" s="22" t="s">
        <v>218</v>
      </c>
      <c r="FA30" s="22" t="s">
        <v>218</v>
      </c>
      <c r="FB30" s="22" t="s">
        <v>218</v>
      </c>
      <c r="FC30" s="22" t="s">
        <v>218</v>
      </c>
      <c r="FD30" s="22" t="s">
        <v>218</v>
      </c>
      <c r="FE30" s="22" t="s">
        <v>218</v>
      </c>
      <c r="FF30" s="22" t="s">
        <v>218</v>
      </c>
      <c r="FG30" s="22">
        <v>0.66</v>
      </c>
      <c r="FH30" s="22">
        <v>0.16</v>
      </c>
      <c r="FI30" s="22">
        <v>0.19</v>
      </c>
      <c r="FJ30" s="22" t="s">
        <v>218</v>
      </c>
      <c r="FK30" s="22">
        <v>1.57</v>
      </c>
      <c r="FL30" s="22">
        <v>1.47</v>
      </c>
      <c r="FM30" s="22" t="s">
        <v>218</v>
      </c>
      <c r="FN30" s="22">
        <v>2.6</v>
      </c>
      <c r="FO30" s="22">
        <v>2.2200000000000002</v>
      </c>
      <c r="FP30" s="22" t="s">
        <v>218</v>
      </c>
      <c r="FQ30" s="22" t="s">
        <v>218</v>
      </c>
      <c r="FR30" s="22" t="s">
        <v>218</v>
      </c>
      <c r="FS30" s="22" t="s">
        <v>218</v>
      </c>
      <c r="FT30" s="22" t="s">
        <v>218</v>
      </c>
      <c r="FU30" s="22" t="s">
        <v>218</v>
      </c>
      <c r="FV30" s="22" t="s">
        <v>218</v>
      </c>
      <c r="FW30" s="22" t="s">
        <v>218</v>
      </c>
      <c r="FX30" s="22" t="s">
        <v>218</v>
      </c>
      <c r="FY30" s="22" t="s">
        <v>218</v>
      </c>
      <c r="FZ30" s="22" t="s">
        <v>218</v>
      </c>
      <c r="GA30" s="22">
        <v>0.11</v>
      </c>
      <c r="GB30" s="22">
        <v>0.26</v>
      </c>
      <c r="GC30" s="22" t="s">
        <v>218</v>
      </c>
      <c r="GD30" s="22" t="s">
        <v>218</v>
      </c>
      <c r="GE30" s="22" t="s">
        <v>218</v>
      </c>
      <c r="GF30" s="22" t="s">
        <v>218</v>
      </c>
      <c r="GG30" s="22" t="s">
        <v>218</v>
      </c>
      <c r="GH30" s="22" t="s">
        <v>218</v>
      </c>
      <c r="GI30" s="22" t="s">
        <v>218</v>
      </c>
      <c r="GJ30" s="22" t="s">
        <v>218</v>
      </c>
      <c r="GK30" s="22" t="s">
        <v>218</v>
      </c>
      <c r="GL30" s="22" t="s">
        <v>218</v>
      </c>
      <c r="GM30" s="22" t="s">
        <v>218</v>
      </c>
      <c r="GN30" s="22" t="s">
        <v>218</v>
      </c>
      <c r="GO30" s="22" t="s">
        <v>238</v>
      </c>
      <c r="GP30" s="22" t="s">
        <v>238</v>
      </c>
      <c r="GQ30" s="22" t="s">
        <v>238</v>
      </c>
      <c r="GR30" s="22" t="s">
        <v>218</v>
      </c>
      <c r="GS30" s="22" t="s">
        <v>238</v>
      </c>
      <c r="GT30" s="22" t="s">
        <v>238</v>
      </c>
      <c r="GU30" s="22" t="s">
        <v>218</v>
      </c>
      <c r="GV30" s="22" t="s">
        <v>238</v>
      </c>
      <c r="GW30" s="22" t="s">
        <v>238</v>
      </c>
      <c r="GX30" s="22" t="s">
        <v>218</v>
      </c>
      <c r="GY30" s="22" t="s">
        <v>218</v>
      </c>
      <c r="GZ30" s="22" t="s">
        <v>218</v>
      </c>
      <c r="HA30" s="22" t="s">
        <v>218</v>
      </c>
      <c r="HB30" s="22" t="s">
        <v>218</v>
      </c>
      <c r="HC30" s="22" t="s">
        <v>218</v>
      </c>
      <c r="HD30" s="22" t="s">
        <v>218</v>
      </c>
      <c r="HE30" s="22" t="s">
        <v>218</v>
      </c>
      <c r="HF30" s="22" t="s">
        <v>218</v>
      </c>
      <c r="HG30" s="22" t="s">
        <v>218</v>
      </c>
      <c r="HH30" s="22" t="s">
        <v>218</v>
      </c>
      <c r="HI30" s="22" t="s">
        <v>238</v>
      </c>
      <c r="HJ30" s="22" t="s">
        <v>238</v>
      </c>
      <c r="HK30" s="22" t="s">
        <v>218</v>
      </c>
      <c r="HL30" s="22" t="s">
        <v>218</v>
      </c>
      <c r="HM30" s="620">
        <f>'background data'!$G$10</f>
        <v>0.47300000000000003</v>
      </c>
      <c r="HN30" s="620">
        <f>'background data'!$H$10</f>
        <v>0.13</v>
      </c>
      <c r="HO30" s="620">
        <f>'background data'!$J$10</f>
        <v>0.39100000000000001</v>
      </c>
      <c r="HP30" s="620">
        <f>'background data'!$L$10</f>
        <v>5.5E-2</v>
      </c>
      <c r="HQ30" s="620">
        <f>'background data'!$M$10</f>
        <v>3.97</v>
      </c>
      <c r="HR30" s="620">
        <f>'background data'!$N$10</f>
        <v>4.5999999999999999E-3</v>
      </c>
      <c r="HS30" s="620">
        <f>'background data'!$O$10</f>
        <v>2.73</v>
      </c>
      <c r="HT30" s="145"/>
      <c r="HU30" s="145" t="s">
        <v>1809</v>
      </c>
      <c r="HV30" s="22" t="s">
        <v>1927</v>
      </c>
      <c r="HW30" s="22" t="s">
        <v>231</v>
      </c>
      <c r="HX30" s="22" t="s">
        <v>232</v>
      </c>
      <c r="HY30" s="22" t="s">
        <v>233</v>
      </c>
      <c r="HZ30" s="19"/>
      <c r="IA30" s="19"/>
      <c r="IB30" s="620">
        <f>'background data'!$G$10</f>
        <v>0.47300000000000003</v>
      </c>
      <c r="IC30" s="620">
        <f>'background data'!$H$10</f>
        <v>0.13</v>
      </c>
      <c r="ID30" s="620">
        <f>'background data'!$J$10</f>
        <v>0.39100000000000001</v>
      </c>
      <c r="IE30" s="620">
        <f>'background data'!$L$10</f>
        <v>5.5E-2</v>
      </c>
      <c r="IF30" s="620">
        <f>'background data'!$M$10</f>
        <v>3.97</v>
      </c>
      <c r="IG30" s="620">
        <f>'background data'!$N$10</f>
        <v>4.5999999999999999E-3</v>
      </c>
      <c r="IH30" s="620">
        <f>'background data'!$O$10</f>
        <v>2.73</v>
      </c>
      <c r="II30" s="145"/>
      <c r="IJ30" s="145">
        <v>1</v>
      </c>
      <c r="IK30" s="145"/>
      <c r="IL30" s="145"/>
      <c r="IM30" s="145"/>
      <c r="IN30" s="145"/>
      <c r="IO30" s="145"/>
      <c r="IP30" s="145"/>
      <c r="IQ30" s="145"/>
      <c r="IR30" s="145"/>
      <c r="IS30" s="145"/>
      <c r="IT30" s="145"/>
      <c r="IU30" s="145"/>
      <c r="IV30" s="145"/>
      <c r="IW30" s="145"/>
      <c r="IX30" s="145"/>
      <c r="IY30" s="145"/>
      <c r="IZ30" s="145"/>
      <c r="JA30" s="145"/>
      <c r="JB30" s="145"/>
      <c r="JC30" s="145"/>
      <c r="JD30" s="145"/>
      <c r="JE30" s="145"/>
      <c r="JF30" s="145"/>
      <c r="JG30" s="145"/>
      <c r="JH30" s="145"/>
      <c r="JI30" s="145"/>
      <c r="JJ30" s="145"/>
      <c r="JK30" s="145"/>
      <c r="JL30" s="145"/>
      <c r="JM30" s="145"/>
      <c r="JN30" s="145"/>
      <c r="JO30" s="145"/>
      <c r="JP30" s="145"/>
      <c r="JQ30" s="145"/>
      <c r="JR30" s="145"/>
      <c r="JS30" s="145"/>
      <c r="JT30" s="145"/>
      <c r="JU30" s="145"/>
      <c r="JV30" s="145"/>
      <c r="JW30" s="145"/>
      <c r="JX30" s="145"/>
      <c r="JY30" s="145"/>
      <c r="JZ30" s="145"/>
      <c r="KA30" s="145"/>
      <c r="KB30" s="145"/>
      <c r="KC30" s="145"/>
      <c r="KD30" s="145"/>
      <c r="KE30" s="145"/>
      <c r="KF30" s="145"/>
      <c r="KG30" s="145"/>
      <c r="KH30" s="145"/>
      <c r="KI30" s="145"/>
      <c r="KJ30" s="145"/>
      <c r="KK30" s="145"/>
      <c r="KL30" s="145"/>
      <c r="KM30" s="145"/>
      <c r="KN30" s="145"/>
      <c r="KO30" s="145"/>
      <c r="KP30" s="145"/>
      <c r="KQ30" s="145"/>
      <c r="KR30" s="145"/>
      <c r="KS30" s="145"/>
      <c r="KT30" s="145"/>
      <c r="KU30" s="145"/>
      <c r="KV30" s="145"/>
      <c r="KW30" s="145"/>
      <c r="KX30" s="145"/>
      <c r="KY30" s="145"/>
      <c r="KZ30" s="145"/>
      <c r="LA30" s="145"/>
      <c r="LB30" s="145"/>
      <c r="LC30" s="145"/>
      <c r="LD30" s="145"/>
      <c r="LE30" s="145"/>
      <c r="LF30" s="145"/>
      <c r="LG30" s="145"/>
      <c r="LH30" s="145"/>
      <c r="LI30" s="145"/>
      <c r="LJ30" s="145"/>
      <c r="LK30" s="145"/>
      <c r="LL30" s="145"/>
      <c r="LM30" s="145"/>
      <c r="LN30" s="145"/>
      <c r="LO30" s="145"/>
      <c r="LP30" s="145"/>
      <c r="LQ30" s="145"/>
      <c r="LR30" s="145"/>
      <c r="LS30" s="145"/>
      <c r="LT30" s="145"/>
      <c r="LU30" s="145"/>
      <c r="LV30" s="145"/>
      <c r="LW30" s="145"/>
      <c r="LX30" s="145"/>
      <c r="LY30" s="145"/>
      <c r="LZ30" s="145"/>
      <c r="MA30" s="145"/>
      <c r="MB30" s="145"/>
      <c r="MC30" s="145"/>
      <c r="MD30" s="145"/>
      <c r="ME30" s="145"/>
      <c r="MF30" s="145"/>
      <c r="MG30" s="145"/>
      <c r="MH30" s="145"/>
      <c r="MI30" s="145"/>
      <c r="MJ30" s="145"/>
      <c r="MK30" s="145"/>
      <c r="ML30" s="145"/>
      <c r="MM30" s="145"/>
      <c r="MN30" s="145"/>
      <c r="MO30" s="145"/>
      <c r="MP30" s="145"/>
      <c r="MQ30" s="145"/>
      <c r="MR30" s="145"/>
      <c r="MS30" s="145"/>
      <c r="MT30" s="145"/>
      <c r="MU30" s="145"/>
      <c r="MV30" s="145"/>
      <c r="MW30" s="145"/>
      <c r="MX30" s="145"/>
      <c r="MY30" s="145"/>
      <c r="MZ30" s="145"/>
      <c r="NA30" s="145"/>
      <c r="NB30" s="145"/>
      <c r="NC30" s="145"/>
      <c r="ND30" s="145"/>
      <c r="NE30" s="145"/>
      <c r="NF30" s="145"/>
      <c r="NG30" s="145"/>
      <c r="NH30" s="145"/>
      <c r="NI30" s="145"/>
      <c r="NJ30" s="145"/>
      <c r="NK30" s="145"/>
      <c r="NL30" s="145"/>
      <c r="NM30" s="145"/>
      <c r="NN30" s="145"/>
      <c r="NO30" s="145"/>
      <c r="NP30" s="145"/>
      <c r="NQ30" s="145"/>
      <c r="NR30" s="145"/>
      <c r="NS30" s="145"/>
    </row>
    <row r="31" spans="1:383" s="16" customFormat="1" ht="15" customHeight="1" x14ac:dyDescent="0.2">
      <c r="A31" s="15">
        <v>50100</v>
      </c>
      <c r="B31" s="25">
        <v>501</v>
      </c>
      <c r="C31" s="26">
        <v>0</v>
      </c>
      <c r="D31" s="20" t="s">
        <v>254</v>
      </c>
      <c r="E31" s="14">
        <v>42304</v>
      </c>
      <c r="F31" s="18">
        <v>1.0534497289972899</v>
      </c>
      <c r="G31" s="18">
        <v>1.0536255324675301</v>
      </c>
      <c r="H31" s="21">
        <v>86</v>
      </c>
      <c r="I31" s="21">
        <v>79.699984000000001</v>
      </c>
      <c r="J31" s="21">
        <v>90</v>
      </c>
      <c r="K31" s="18">
        <v>1</v>
      </c>
      <c r="L31" s="18">
        <v>85</v>
      </c>
      <c r="M31" s="18">
        <v>8.3000000000000007</v>
      </c>
      <c r="N31" s="18">
        <v>2.6</v>
      </c>
      <c r="O31" s="18">
        <v>1.8</v>
      </c>
      <c r="P31" s="18">
        <v>4.8</v>
      </c>
      <c r="Q31" s="19"/>
      <c r="R31" s="18">
        <v>74.209301204819297</v>
      </c>
      <c r="S31" s="18">
        <v>43</v>
      </c>
      <c r="T31" s="18">
        <v>49</v>
      </c>
      <c r="U31" s="18">
        <v>51</v>
      </c>
      <c r="V31" s="18">
        <v>53</v>
      </c>
      <c r="W31" s="18">
        <v>54</v>
      </c>
      <c r="X31" s="18"/>
      <c r="Y31" s="18">
        <v>0.54117647058823526</v>
      </c>
      <c r="Z31" s="18">
        <v>3.2941176470588234</v>
      </c>
      <c r="AA31" s="18">
        <v>0.2</v>
      </c>
      <c r="AB31" s="18">
        <v>1.4999999999999998</v>
      </c>
      <c r="AC31" s="18">
        <v>5.7</v>
      </c>
      <c r="AD31" s="18">
        <v>1.2</v>
      </c>
      <c r="AE31" s="18">
        <v>1.1000000000000001</v>
      </c>
      <c r="AF31" s="18">
        <v>34</v>
      </c>
      <c r="AG31" s="18">
        <v>2.9</v>
      </c>
      <c r="AH31" s="18">
        <v>14</v>
      </c>
      <c r="AI31" s="18">
        <v>28</v>
      </c>
      <c r="AJ31" s="18">
        <v>0</v>
      </c>
      <c r="AK31" s="18">
        <v>0.04</v>
      </c>
      <c r="AL31" s="18"/>
      <c r="AM31" s="18">
        <v>3.9601176470588202</v>
      </c>
      <c r="AN31" s="18">
        <v>1.75917647058824</v>
      </c>
      <c r="AO31" s="18">
        <v>2.4757647058823502</v>
      </c>
      <c r="AP31" s="18">
        <v>3.5474117647058798</v>
      </c>
      <c r="AQ31" s="18">
        <v>1.3787058823529399</v>
      </c>
      <c r="AR31" s="18">
        <v>3.6432941176470601</v>
      </c>
      <c r="AS31" s="18">
        <v>6.9158823529411801</v>
      </c>
      <c r="AT31" s="18">
        <v>2.3268235294117598</v>
      </c>
      <c r="AU31" s="18">
        <v>4.6631764705882297</v>
      </c>
      <c r="AV31" s="18">
        <v>3.1852941176470599</v>
      </c>
      <c r="AW31" s="18">
        <v>5.20411764705882</v>
      </c>
      <c r="AX31" s="18"/>
      <c r="AY31" s="18">
        <v>0.94</v>
      </c>
      <c r="AZ31" s="18">
        <v>1.08</v>
      </c>
      <c r="BA31" s="18">
        <v>1.03</v>
      </c>
      <c r="BB31" s="18">
        <v>0.95</v>
      </c>
      <c r="BC31" s="18">
        <v>0.96</v>
      </c>
      <c r="BD31" s="18">
        <v>1</v>
      </c>
      <c r="BE31" s="18">
        <v>1.01</v>
      </c>
      <c r="BF31" s="18">
        <v>1</v>
      </c>
      <c r="BG31" s="18">
        <v>1.04</v>
      </c>
      <c r="BH31" s="18">
        <v>0.97</v>
      </c>
      <c r="BI31" s="18">
        <v>0.96</v>
      </c>
      <c r="BJ31" s="19"/>
      <c r="BK31" s="18">
        <v>9.764705882352942</v>
      </c>
      <c r="BL31" s="18">
        <v>3.0588235294117645</v>
      </c>
      <c r="BM31" s="18">
        <v>2.1176470588235294</v>
      </c>
      <c r="BN31" s="18">
        <v>5.6470588235294121</v>
      </c>
      <c r="BO31" s="18"/>
      <c r="BP31" s="18">
        <v>120</v>
      </c>
      <c r="BQ31" s="18">
        <v>36.705882352941174</v>
      </c>
      <c r="BR31" s="18">
        <v>1.2393526223497529</v>
      </c>
      <c r="BS31" s="18">
        <v>1.2395594499618001</v>
      </c>
      <c r="BT31" s="19"/>
      <c r="BU31" s="18">
        <v>978.82352941176475</v>
      </c>
      <c r="BV31" s="18">
        <v>635.16470588235291</v>
      </c>
      <c r="BW31" s="18">
        <v>88.094341378151285</v>
      </c>
      <c r="BX31" s="18">
        <v>604</v>
      </c>
      <c r="BY31" s="18">
        <v>21.000000000000004</v>
      </c>
      <c r="BZ31" s="18">
        <v>56</v>
      </c>
      <c r="CA31" s="18">
        <v>165</v>
      </c>
      <c r="CB31" s="19"/>
      <c r="CC31" s="19">
        <v>0.45999999999999996</v>
      </c>
      <c r="CD31" s="19">
        <v>2.8</v>
      </c>
      <c r="CE31" s="19">
        <v>0.17</v>
      </c>
      <c r="CF31" s="19">
        <v>1.2749999999999997</v>
      </c>
      <c r="CG31" s="19">
        <v>4.8449999999999998</v>
      </c>
      <c r="CH31" s="19">
        <v>1.02</v>
      </c>
      <c r="CI31" s="19">
        <v>0.93500000000000005</v>
      </c>
      <c r="CJ31" s="19"/>
      <c r="CK31" s="19">
        <v>28.9</v>
      </c>
      <c r="CL31" s="19">
        <v>2.4649999999999999</v>
      </c>
      <c r="CM31" s="19">
        <v>11.9</v>
      </c>
      <c r="CN31" s="19">
        <v>23.8</v>
      </c>
      <c r="CO31" s="19">
        <v>0</v>
      </c>
      <c r="CP31" s="19">
        <v>3.4000000000000002E-2</v>
      </c>
      <c r="CQ31" s="19">
        <v>61.593719999999998</v>
      </c>
      <c r="CR31" s="19">
        <v>58.468589724378248</v>
      </c>
      <c r="CS31" s="19">
        <v>2.1764994432818332</v>
      </c>
      <c r="CT31" s="19">
        <v>1.1108509269653155</v>
      </c>
      <c r="CU31" s="19">
        <v>1.4909710496760122</v>
      </c>
      <c r="CV31" s="19">
        <v>2.6018219766413275</v>
      </c>
      <c r="CW31" s="19">
        <v>1.9704155490131985</v>
      </c>
      <c r="CX31" s="19">
        <v>0.77386549042445785</v>
      </c>
      <c r="CY31" s="19">
        <v>2.1301826900994656</v>
      </c>
      <c r="CZ31" s="19">
        <v>4.084055067549472</v>
      </c>
      <c r="DA31" s="19">
        <v>1.3604609030220625</v>
      </c>
      <c r="DB31" s="19">
        <v>2.8355532594604567</v>
      </c>
      <c r="DC31" s="19">
        <v>1.8065246526869587</v>
      </c>
      <c r="DD31" s="19">
        <v>4.6420779121474149</v>
      </c>
      <c r="DE31" s="19">
        <v>2.921063227999479</v>
      </c>
      <c r="DF31" s="23">
        <v>0</v>
      </c>
      <c r="DG31" s="23">
        <v>0</v>
      </c>
      <c r="DH31" s="23">
        <v>0</v>
      </c>
      <c r="DI31" s="19">
        <v>0</v>
      </c>
      <c r="DJ31" s="19">
        <v>0</v>
      </c>
      <c r="DK31" s="19">
        <v>0</v>
      </c>
      <c r="DL31" s="19">
        <v>0</v>
      </c>
      <c r="DM31" s="19">
        <v>0</v>
      </c>
      <c r="DN31" s="19">
        <v>0</v>
      </c>
      <c r="DO31" s="19">
        <v>0</v>
      </c>
      <c r="DP31" s="19">
        <v>0</v>
      </c>
      <c r="DQ31" s="19">
        <v>0</v>
      </c>
      <c r="DR31" s="19">
        <v>0</v>
      </c>
      <c r="DS31" s="19">
        <v>0</v>
      </c>
      <c r="DT31" s="19">
        <v>0</v>
      </c>
      <c r="DU31" s="19">
        <v>0</v>
      </c>
      <c r="DV31" s="19">
        <v>0</v>
      </c>
      <c r="DW31" s="17" t="s">
        <v>230</v>
      </c>
      <c r="DX31" s="22" t="s">
        <v>218</v>
      </c>
      <c r="DY31" s="22">
        <v>32</v>
      </c>
      <c r="DZ31" s="22">
        <v>16</v>
      </c>
      <c r="EA31" s="22">
        <v>16</v>
      </c>
      <c r="EB31" s="22" t="s">
        <v>218</v>
      </c>
      <c r="EC31" s="22">
        <v>16</v>
      </c>
      <c r="ED31" s="22">
        <v>16</v>
      </c>
      <c r="EE31" s="22" t="s">
        <v>218</v>
      </c>
      <c r="EF31" s="22">
        <v>16</v>
      </c>
      <c r="EG31" s="22">
        <v>16</v>
      </c>
      <c r="EH31" s="22" t="s">
        <v>218</v>
      </c>
      <c r="EI31" s="22" t="s">
        <v>218</v>
      </c>
      <c r="EJ31" s="22" t="s">
        <v>218</v>
      </c>
      <c r="EK31" s="22" t="s">
        <v>218</v>
      </c>
      <c r="EL31" s="22" t="s">
        <v>218</v>
      </c>
      <c r="EM31" s="22" t="s">
        <v>218</v>
      </c>
      <c r="EN31" s="22" t="s">
        <v>218</v>
      </c>
      <c r="EO31" s="22" t="s">
        <v>218</v>
      </c>
      <c r="EP31" s="22" t="s">
        <v>218</v>
      </c>
      <c r="EQ31" s="22" t="s">
        <v>218</v>
      </c>
      <c r="ER31" s="22" t="s">
        <v>218</v>
      </c>
      <c r="ES31" s="22">
        <v>16</v>
      </c>
      <c r="ET31" s="22">
        <v>32</v>
      </c>
      <c r="EU31" s="22" t="s">
        <v>218</v>
      </c>
      <c r="EV31" s="22" t="s">
        <v>218</v>
      </c>
      <c r="EW31" s="22" t="s">
        <v>218</v>
      </c>
      <c r="EX31" s="22" t="s">
        <v>218</v>
      </c>
      <c r="EY31" s="22" t="s">
        <v>218</v>
      </c>
      <c r="EZ31" s="22" t="s">
        <v>218</v>
      </c>
      <c r="FA31" s="22" t="s">
        <v>218</v>
      </c>
      <c r="FB31" s="22" t="s">
        <v>218</v>
      </c>
      <c r="FC31" s="22" t="s">
        <v>218</v>
      </c>
      <c r="FD31" s="22" t="s">
        <v>218</v>
      </c>
      <c r="FE31" s="22" t="s">
        <v>218</v>
      </c>
      <c r="FF31" s="22" t="s">
        <v>218</v>
      </c>
      <c r="FG31" s="22">
        <v>0.7</v>
      </c>
      <c r="FH31" s="22">
        <v>0.1</v>
      </c>
      <c r="FI31" s="22">
        <v>0.2</v>
      </c>
      <c r="FJ31" s="22" t="s">
        <v>218</v>
      </c>
      <c r="FK31" s="22">
        <v>1.3</v>
      </c>
      <c r="FL31" s="22">
        <v>1</v>
      </c>
      <c r="FM31" s="22" t="s">
        <v>218</v>
      </c>
      <c r="FN31" s="22">
        <v>2</v>
      </c>
      <c r="FO31" s="22">
        <v>1.7</v>
      </c>
      <c r="FP31" s="22" t="s">
        <v>218</v>
      </c>
      <c r="FQ31" s="22" t="s">
        <v>218</v>
      </c>
      <c r="FR31" s="22" t="s">
        <v>218</v>
      </c>
      <c r="FS31" s="22" t="s">
        <v>218</v>
      </c>
      <c r="FT31" s="22" t="s">
        <v>218</v>
      </c>
      <c r="FU31" s="22" t="s">
        <v>218</v>
      </c>
      <c r="FV31" s="22" t="s">
        <v>218</v>
      </c>
      <c r="FW31" s="22" t="s">
        <v>218</v>
      </c>
      <c r="FX31" s="22" t="s">
        <v>218</v>
      </c>
      <c r="FY31" s="22" t="s">
        <v>218</v>
      </c>
      <c r="FZ31" s="22" t="s">
        <v>218</v>
      </c>
      <c r="GA31" s="22">
        <v>0.1</v>
      </c>
      <c r="GB31" s="22">
        <v>0.3</v>
      </c>
      <c r="GC31" s="22" t="s">
        <v>218</v>
      </c>
      <c r="GD31" s="22" t="s">
        <v>218</v>
      </c>
      <c r="GE31" s="22" t="s">
        <v>218</v>
      </c>
      <c r="GF31" s="22" t="s">
        <v>218</v>
      </c>
      <c r="GG31" s="22" t="s">
        <v>218</v>
      </c>
      <c r="GH31" s="22" t="s">
        <v>218</v>
      </c>
      <c r="GI31" s="22" t="s">
        <v>218</v>
      </c>
      <c r="GJ31" s="22" t="s">
        <v>218</v>
      </c>
      <c r="GK31" s="22" t="s">
        <v>218</v>
      </c>
      <c r="GL31" s="22" t="s">
        <v>218</v>
      </c>
      <c r="GM31" s="22" t="s">
        <v>218</v>
      </c>
      <c r="GN31" s="22" t="s">
        <v>218</v>
      </c>
      <c r="GO31" s="22">
        <v>2015</v>
      </c>
      <c r="GP31" s="22">
        <v>2015</v>
      </c>
      <c r="GQ31" s="22">
        <v>2015</v>
      </c>
      <c r="GR31" s="22" t="s">
        <v>218</v>
      </c>
      <c r="GS31" s="22">
        <v>2015</v>
      </c>
      <c r="GT31" s="22">
        <v>2015</v>
      </c>
      <c r="GU31" s="22" t="s">
        <v>218</v>
      </c>
      <c r="GV31" s="22">
        <v>2015</v>
      </c>
      <c r="GW31" s="22">
        <v>2015</v>
      </c>
      <c r="GX31" s="22" t="s">
        <v>218</v>
      </c>
      <c r="GY31" s="22" t="s">
        <v>218</v>
      </c>
      <c r="GZ31" s="22" t="s">
        <v>218</v>
      </c>
      <c r="HA31" s="22" t="s">
        <v>218</v>
      </c>
      <c r="HB31" s="22" t="s">
        <v>218</v>
      </c>
      <c r="HC31" s="22" t="s">
        <v>218</v>
      </c>
      <c r="HD31" s="22" t="s">
        <v>218</v>
      </c>
      <c r="HE31" s="22" t="s">
        <v>218</v>
      </c>
      <c r="HF31" s="22" t="s">
        <v>218</v>
      </c>
      <c r="HG31" s="22" t="s">
        <v>218</v>
      </c>
      <c r="HH31" s="22" t="s">
        <v>218</v>
      </c>
      <c r="HI31" s="22">
        <v>2015</v>
      </c>
      <c r="HJ31" s="22">
        <v>2015</v>
      </c>
      <c r="HK31" s="22" t="s">
        <v>218</v>
      </c>
      <c r="HL31" s="22" t="s">
        <v>218</v>
      </c>
      <c r="HM31" s="620">
        <f>'background data'!$G$10</f>
        <v>0.47300000000000003</v>
      </c>
      <c r="HN31" s="620">
        <f>'background data'!$H$10</f>
        <v>0.13</v>
      </c>
      <c r="HO31" s="620">
        <f>'background data'!$J$10</f>
        <v>0.39100000000000001</v>
      </c>
      <c r="HP31" s="620">
        <f>'background data'!$L$10</f>
        <v>5.5E-2</v>
      </c>
      <c r="HQ31" s="620">
        <f>'background data'!$M$10</f>
        <v>3.97</v>
      </c>
      <c r="HR31" s="620">
        <f>'background data'!$N$10</f>
        <v>4.5999999999999999E-3</v>
      </c>
      <c r="HS31" s="620">
        <f>'background data'!$O$10</f>
        <v>2.73</v>
      </c>
      <c r="HT31" s="145"/>
      <c r="HU31" s="145" t="s">
        <v>1809</v>
      </c>
      <c r="HV31" s="22" t="s">
        <v>1927</v>
      </c>
      <c r="HW31" s="22" t="s">
        <v>231</v>
      </c>
      <c r="HX31" s="22" t="s">
        <v>232</v>
      </c>
      <c r="HY31" s="22" t="s">
        <v>233</v>
      </c>
      <c r="HZ31" s="19"/>
      <c r="IA31" s="19"/>
      <c r="IB31" s="620">
        <f>'background data'!$G$10</f>
        <v>0.47300000000000003</v>
      </c>
      <c r="IC31" s="620">
        <f>'background data'!$H$10</f>
        <v>0.13</v>
      </c>
      <c r="ID31" s="620">
        <f>'background data'!$J$10</f>
        <v>0.39100000000000001</v>
      </c>
      <c r="IE31" s="620">
        <f>'background data'!$L$10</f>
        <v>5.5E-2</v>
      </c>
      <c r="IF31" s="620">
        <f>'background data'!$M$10</f>
        <v>3.97</v>
      </c>
      <c r="IG31" s="620">
        <f>'background data'!$N$10</f>
        <v>4.5999999999999999E-3</v>
      </c>
      <c r="IH31" s="620">
        <f>'background data'!$O$10</f>
        <v>2.73</v>
      </c>
      <c r="II31" s="145"/>
      <c r="IJ31" s="145">
        <v>1</v>
      </c>
      <c r="IK31" s="145"/>
      <c r="IL31" s="145"/>
      <c r="IM31" s="145"/>
      <c r="IN31" s="145"/>
      <c r="IO31" s="145"/>
      <c r="IP31" s="145"/>
      <c r="IQ31" s="145"/>
      <c r="IR31" s="145"/>
      <c r="IS31" s="145"/>
      <c r="IT31" s="145"/>
      <c r="IU31" s="145"/>
      <c r="IV31" s="145"/>
      <c r="IW31" s="145"/>
      <c r="IX31" s="145"/>
      <c r="IY31" s="145"/>
      <c r="IZ31" s="145"/>
      <c r="JA31" s="145"/>
      <c r="JB31" s="145"/>
      <c r="JC31" s="145"/>
      <c r="JD31" s="145"/>
      <c r="JE31" s="145"/>
      <c r="JF31" s="145"/>
      <c r="JG31" s="145"/>
      <c r="JH31" s="145"/>
      <c r="JI31" s="145"/>
      <c r="JJ31" s="145"/>
      <c r="JK31" s="145"/>
      <c r="JL31" s="145"/>
      <c r="JM31" s="145"/>
      <c r="JN31" s="145"/>
      <c r="JO31" s="145"/>
      <c r="JP31" s="145"/>
      <c r="JQ31" s="145"/>
      <c r="JR31" s="145"/>
      <c r="JS31" s="145"/>
      <c r="JT31" s="145"/>
      <c r="JU31" s="145"/>
      <c r="JV31" s="145"/>
      <c r="JW31" s="145"/>
      <c r="JX31" s="145"/>
      <c r="JY31" s="145"/>
      <c r="JZ31" s="145"/>
      <c r="KA31" s="145"/>
      <c r="KB31" s="145"/>
      <c r="KC31" s="145"/>
      <c r="KD31" s="145"/>
      <c r="KE31" s="145"/>
      <c r="KF31" s="145"/>
      <c r="KG31" s="145"/>
      <c r="KH31" s="145"/>
      <c r="KI31" s="145"/>
      <c r="KJ31" s="145"/>
      <c r="KK31" s="145"/>
      <c r="KL31" s="145"/>
      <c r="KM31" s="145"/>
      <c r="KN31" s="145"/>
      <c r="KO31" s="145"/>
      <c r="KP31" s="145"/>
      <c r="KQ31" s="145"/>
      <c r="KR31" s="145"/>
      <c r="KS31" s="145"/>
      <c r="KT31" s="145"/>
      <c r="KU31" s="145"/>
      <c r="KV31" s="145"/>
      <c r="KW31" s="145"/>
      <c r="KX31" s="145"/>
      <c r="KY31" s="145"/>
      <c r="KZ31" s="145"/>
      <c r="LA31" s="145"/>
      <c r="LB31" s="145"/>
      <c r="LC31" s="145"/>
      <c r="LD31" s="145"/>
      <c r="LE31" s="145"/>
      <c r="LF31" s="145"/>
      <c r="LG31" s="145"/>
      <c r="LH31" s="145"/>
      <c r="LI31" s="145"/>
      <c r="LJ31" s="145"/>
      <c r="LK31" s="145"/>
      <c r="LL31" s="145"/>
      <c r="LM31" s="145"/>
      <c r="LN31" s="145"/>
      <c r="LO31" s="145"/>
      <c r="LP31" s="145"/>
      <c r="LQ31" s="145"/>
      <c r="LR31" s="145"/>
      <c r="LS31" s="145"/>
      <c r="LT31" s="145"/>
      <c r="LU31" s="145"/>
      <c r="LV31" s="145"/>
      <c r="LW31" s="145"/>
      <c r="LX31" s="145"/>
      <c r="LY31" s="145"/>
      <c r="LZ31" s="145"/>
      <c r="MA31" s="145"/>
      <c r="MB31" s="145"/>
      <c r="MC31" s="145"/>
      <c r="MD31" s="145"/>
      <c r="ME31" s="145"/>
      <c r="MF31" s="145"/>
      <c r="MG31" s="145"/>
      <c r="MH31" s="145"/>
      <c r="MI31" s="145"/>
      <c r="MJ31" s="145"/>
      <c r="MK31" s="145"/>
      <c r="ML31" s="145"/>
      <c r="MM31" s="145"/>
      <c r="MN31" s="145"/>
      <c r="MO31" s="145"/>
      <c r="MP31" s="145"/>
      <c r="MQ31" s="145"/>
      <c r="MR31" s="145"/>
      <c r="MS31" s="145"/>
      <c r="MT31" s="145"/>
      <c r="MU31" s="145"/>
      <c r="MV31" s="145"/>
      <c r="MW31" s="145"/>
      <c r="MX31" s="145"/>
      <c r="MY31" s="145"/>
      <c r="MZ31" s="145"/>
      <c r="NA31" s="145"/>
      <c r="NB31" s="145"/>
      <c r="NC31" s="145"/>
      <c r="ND31" s="145"/>
      <c r="NE31" s="145"/>
      <c r="NF31" s="145"/>
      <c r="NG31" s="145"/>
      <c r="NH31" s="145"/>
      <c r="NI31" s="145"/>
      <c r="NJ31" s="145"/>
      <c r="NK31" s="145"/>
      <c r="NL31" s="145"/>
      <c r="NM31" s="145"/>
      <c r="NN31" s="145"/>
      <c r="NO31" s="145"/>
      <c r="NP31" s="145"/>
      <c r="NQ31" s="145"/>
      <c r="NR31" s="145"/>
      <c r="NS31" s="145"/>
    </row>
    <row r="32" spans="1:383" s="16" customFormat="1" ht="15" customHeight="1" x14ac:dyDescent="0.2">
      <c r="A32" s="15">
        <v>50101</v>
      </c>
      <c r="B32" s="25">
        <v>501</v>
      </c>
      <c r="C32" s="26">
        <v>1</v>
      </c>
      <c r="D32" s="20" t="s">
        <v>255</v>
      </c>
      <c r="E32" s="14">
        <v>42304</v>
      </c>
      <c r="F32" s="18">
        <v>1.05948921796361</v>
      </c>
      <c r="G32" s="18">
        <v>1.0578704304267099</v>
      </c>
      <c r="H32" s="21">
        <v>86</v>
      </c>
      <c r="I32" s="21">
        <v>80.199988000000005</v>
      </c>
      <c r="J32" s="21">
        <v>90</v>
      </c>
      <c r="K32" s="18">
        <v>1</v>
      </c>
      <c r="L32" s="18">
        <v>85</v>
      </c>
      <c r="M32" s="18">
        <v>8.3000000000000007</v>
      </c>
      <c r="N32" s="18">
        <v>2.6</v>
      </c>
      <c r="O32" s="18">
        <v>1.8</v>
      </c>
      <c r="P32" s="18">
        <v>4.8</v>
      </c>
      <c r="Q32" s="19"/>
      <c r="R32" s="18">
        <v>74.6818657487091</v>
      </c>
      <c r="S32" s="18">
        <v>43</v>
      </c>
      <c r="T32" s="18">
        <v>49</v>
      </c>
      <c r="U32" s="18">
        <v>51</v>
      </c>
      <c r="V32" s="18">
        <v>53</v>
      </c>
      <c r="W32" s="18">
        <v>54</v>
      </c>
      <c r="X32" s="18"/>
      <c r="Y32" s="18">
        <v>0.54117647058823526</v>
      </c>
      <c r="Z32" s="18">
        <v>3.2941176470588234</v>
      </c>
      <c r="AA32" s="18">
        <v>0.2</v>
      </c>
      <c r="AB32" s="18">
        <v>1.4999999999999998</v>
      </c>
      <c r="AC32" s="18">
        <v>5.7</v>
      </c>
      <c r="AD32" s="18">
        <v>1.2</v>
      </c>
      <c r="AE32" s="18">
        <v>1.1000000000000001</v>
      </c>
      <c r="AF32" s="18">
        <v>34</v>
      </c>
      <c r="AG32" s="18">
        <v>2.9</v>
      </c>
      <c r="AH32" s="18">
        <v>14</v>
      </c>
      <c r="AI32" s="18">
        <v>28</v>
      </c>
      <c r="AJ32" s="18">
        <v>0</v>
      </c>
      <c r="AK32" s="18">
        <v>0.04</v>
      </c>
      <c r="AL32" s="18"/>
      <c r="AM32" s="18">
        <v>3.9601176470588202</v>
      </c>
      <c r="AN32" s="18">
        <v>1.75917647058824</v>
      </c>
      <c r="AO32" s="18">
        <v>2.4757647058823502</v>
      </c>
      <c r="AP32" s="18">
        <v>3.5474117647058798</v>
      </c>
      <c r="AQ32" s="18">
        <v>1.3787058823529399</v>
      </c>
      <c r="AR32" s="18">
        <v>3.6432941176470601</v>
      </c>
      <c r="AS32" s="18">
        <v>6.9158823529411801</v>
      </c>
      <c r="AT32" s="18">
        <v>2.3268235294117598</v>
      </c>
      <c r="AU32" s="18">
        <v>4.6631764705882297</v>
      </c>
      <c r="AV32" s="18">
        <v>3.1852941176470599</v>
      </c>
      <c r="AW32" s="18">
        <v>5.20411764705882</v>
      </c>
      <c r="AX32" s="18"/>
      <c r="AY32" s="18">
        <v>0.94</v>
      </c>
      <c r="AZ32" s="18">
        <v>1.08</v>
      </c>
      <c r="BA32" s="18">
        <v>1.03</v>
      </c>
      <c r="BB32" s="18">
        <v>0.95</v>
      </c>
      <c r="BC32" s="18">
        <v>0.96</v>
      </c>
      <c r="BD32" s="18">
        <v>1</v>
      </c>
      <c r="BE32" s="18">
        <v>1.01</v>
      </c>
      <c r="BF32" s="18">
        <v>1</v>
      </c>
      <c r="BG32" s="18">
        <v>1.04</v>
      </c>
      <c r="BH32" s="18">
        <v>0.97</v>
      </c>
      <c r="BI32" s="18">
        <v>0.96</v>
      </c>
      <c r="BJ32" s="19"/>
      <c r="BK32" s="18">
        <v>9.764705882352942</v>
      </c>
      <c r="BL32" s="18">
        <v>3.0588235294117645</v>
      </c>
      <c r="BM32" s="18">
        <v>2.1176470588235294</v>
      </c>
      <c r="BN32" s="18">
        <v>5.6470588235294121</v>
      </c>
      <c r="BO32" s="18"/>
      <c r="BP32" s="18">
        <v>120</v>
      </c>
      <c r="BQ32" s="18">
        <v>36.705882352941174</v>
      </c>
      <c r="BR32" s="18">
        <v>1.2464579034865999</v>
      </c>
      <c r="BS32" s="18">
        <v>1.2445534475608351</v>
      </c>
      <c r="BT32" s="19"/>
      <c r="BU32" s="18">
        <v>978.82352941176475</v>
      </c>
      <c r="BV32" s="18">
        <v>642.15630252100937</v>
      </c>
      <c r="BW32" s="18">
        <v>81.102688806722824</v>
      </c>
      <c r="BX32" s="18">
        <v>604</v>
      </c>
      <c r="BY32" s="18">
        <v>21.000000000000004</v>
      </c>
      <c r="BZ32" s="18">
        <v>56</v>
      </c>
      <c r="CA32" s="18">
        <v>165</v>
      </c>
      <c r="CB32" s="19"/>
      <c r="CC32" s="19">
        <v>0.45999999999999996</v>
      </c>
      <c r="CD32" s="19">
        <v>2.8</v>
      </c>
      <c r="CE32" s="19">
        <v>0.17</v>
      </c>
      <c r="CF32" s="19">
        <v>1.2749999999999997</v>
      </c>
      <c r="CG32" s="19">
        <v>4.8449999999999998</v>
      </c>
      <c r="CH32" s="19">
        <v>1.02</v>
      </c>
      <c r="CI32" s="19">
        <v>0.93500000000000005</v>
      </c>
      <c r="CJ32" s="19"/>
      <c r="CK32" s="19">
        <v>28.9</v>
      </c>
      <c r="CL32" s="19">
        <v>2.4649999999999999</v>
      </c>
      <c r="CM32" s="19">
        <v>11.9</v>
      </c>
      <c r="CN32" s="19">
        <v>23.8</v>
      </c>
      <c r="CO32" s="19">
        <v>0</v>
      </c>
      <c r="CP32" s="19">
        <v>3.4000000000000002E-2</v>
      </c>
      <c r="CQ32" s="19">
        <v>61.985948571428601</v>
      </c>
      <c r="CR32" s="19">
        <v>58.505502010269275</v>
      </c>
      <c r="CS32" s="19">
        <v>2.1778735070324831</v>
      </c>
      <c r="CT32" s="19">
        <v>1.1115522273933132</v>
      </c>
      <c r="CU32" s="19">
        <v>1.4919123268626231</v>
      </c>
      <c r="CV32" s="19">
        <v>2.603464554255936</v>
      </c>
      <c r="CW32" s="19">
        <v>1.9716595082468962</v>
      </c>
      <c r="CX32" s="19">
        <v>0.7743540458070719</v>
      </c>
      <c r="CY32" s="19">
        <v>2.1315275132400227</v>
      </c>
      <c r="CZ32" s="19">
        <v>4.0866334059181364</v>
      </c>
      <c r="DA32" s="19">
        <v>1.3613197867754219</v>
      </c>
      <c r="DB32" s="19">
        <v>2.8373433958920957</v>
      </c>
      <c r="DC32" s="19">
        <v>1.8076651446119965</v>
      </c>
      <c r="DD32" s="19">
        <v>4.6450085405041017</v>
      </c>
      <c r="DE32" s="19">
        <v>2.9229073484321053</v>
      </c>
      <c r="DF32" s="23">
        <v>0</v>
      </c>
      <c r="DG32" s="23">
        <v>0</v>
      </c>
      <c r="DH32" s="23">
        <v>0</v>
      </c>
      <c r="DI32" s="19">
        <v>0</v>
      </c>
      <c r="DJ32" s="19">
        <v>0</v>
      </c>
      <c r="DK32" s="19">
        <v>0</v>
      </c>
      <c r="DL32" s="19">
        <v>0</v>
      </c>
      <c r="DM32" s="19">
        <v>0</v>
      </c>
      <c r="DN32" s="19">
        <v>0</v>
      </c>
      <c r="DO32" s="19">
        <v>0</v>
      </c>
      <c r="DP32" s="19">
        <v>0</v>
      </c>
      <c r="DQ32" s="19">
        <v>0</v>
      </c>
      <c r="DR32" s="19">
        <v>0</v>
      </c>
      <c r="DS32" s="19">
        <v>0</v>
      </c>
      <c r="DT32" s="19">
        <v>0</v>
      </c>
      <c r="DU32" s="19">
        <v>0</v>
      </c>
      <c r="DV32" s="19">
        <v>0</v>
      </c>
      <c r="DW32" s="17" t="s">
        <v>230</v>
      </c>
      <c r="DX32" s="22" t="s">
        <v>218</v>
      </c>
      <c r="DY32" s="22">
        <v>32</v>
      </c>
      <c r="DZ32" s="22">
        <v>16</v>
      </c>
      <c r="EA32" s="22">
        <v>16</v>
      </c>
      <c r="EB32" s="22" t="s">
        <v>218</v>
      </c>
      <c r="EC32" s="22">
        <v>16</v>
      </c>
      <c r="ED32" s="22">
        <v>16</v>
      </c>
      <c r="EE32" s="22" t="s">
        <v>218</v>
      </c>
      <c r="EF32" s="22">
        <v>16</v>
      </c>
      <c r="EG32" s="22">
        <v>16</v>
      </c>
      <c r="EH32" s="22" t="s">
        <v>218</v>
      </c>
      <c r="EI32" s="22" t="s">
        <v>218</v>
      </c>
      <c r="EJ32" s="22" t="s">
        <v>218</v>
      </c>
      <c r="EK32" s="22" t="s">
        <v>218</v>
      </c>
      <c r="EL32" s="22" t="s">
        <v>218</v>
      </c>
      <c r="EM32" s="22" t="s">
        <v>218</v>
      </c>
      <c r="EN32" s="22" t="s">
        <v>218</v>
      </c>
      <c r="EO32" s="22" t="s">
        <v>218</v>
      </c>
      <c r="EP32" s="22" t="s">
        <v>218</v>
      </c>
      <c r="EQ32" s="22" t="s">
        <v>218</v>
      </c>
      <c r="ER32" s="22" t="s">
        <v>218</v>
      </c>
      <c r="ES32" s="22">
        <v>16</v>
      </c>
      <c r="ET32" s="22">
        <v>32</v>
      </c>
      <c r="EU32" s="22" t="s">
        <v>218</v>
      </c>
      <c r="EV32" s="22" t="s">
        <v>218</v>
      </c>
      <c r="EW32" s="22" t="s">
        <v>218</v>
      </c>
      <c r="EX32" s="22" t="s">
        <v>218</v>
      </c>
      <c r="EY32" s="22" t="s">
        <v>218</v>
      </c>
      <c r="EZ32" s="22" t="s">
        <v>218</v>
      </c>
      <c r="FA32" s="22" t="s">
        <v>218</v>
      </c>
      <c r="FB32" s="22" t="s">
        <v>218</v>
      </c>
      <c r="FC32" s="22" t="s">
        <v>218</v>
      </c>
      <c r="FD32" s="22" t="s">
        <v>218</v>
      </c>
      <c r="FE32" s="22" t="s">
        <v>218</v>
      </c>
      <c r="FF32" s="22" t="s">
        <v>218</v>
      </c>
      <c r="FG32" s="22">
        <v>0.7</v>
      </c>
      <c r="FH32" s="22">
        <v>0.1</v>
      </c>
      <c r="FI32" s="22">
        <v>0.2</v>
      </c>
      <c r="FJ32" s="22" t="s">
        <v>218</v>
      </c>
      <c r="FK32" s="22">
        <v>1.3</v>
      </c>
      <c r="FL32" s="22">
        <v>1</v>
      </c>
      <c r="FM32" s="22" t="s">
        <v>218</v>
      </c>
      <c r="FN32" s="22">
        <v>2</v>
      </c>
      <c r="FO32" s="22">
        <v>1.7</v>
      </c>
      <c r="FP32" s="22" t="s">
        <v>218</v>
      </c>
      <c r="FQ32" s="22" t="s">
        <v>218</v>
      </c>
      <c r="FR32" s="22" t="s">
        <v>218</v>
      </c>
      <c r="FS32" s="22" t="s">
        <v>218</v>
      </c>
      <c r="FT32" s="22" t="s">
        <v>218</v>
      </c>
      <c r="FU32" s="22" t="s">
        <v>218</v>
      </c>
      <c r="FV32" s="22" t="s">
        <v>218</v>
      </c>
      <c r="FW32" s="22" t="s">
        <v>218</v>
      </c>
      <c r="FX32" s="22" t="s">
        <v>218</v>
      </c>
      <c r="FY32" s="22" t="s">
        <v>218</v>
      </c>
      <c r="FZ32" s="22" t="s">
        <v>218</v>
      </c>
      <c r="GA32" s="22">
        <v>0.1</v>
      </c>
      <c r="GB32" s="22">
        <v>0.3</v>
      </c>
      <c r="GC32" s="22" t="s">
        <v>218</v>
      </c>
      <c r="GD32" s="22" t="s">
        <v>218</v>
      </c>
      <c r="GE32" s="22" t="s">
        <v>218</v>
      </c>
      <c r="GF32" s="22" t="s">
        <v>218</v>
      </c>
      <c r="GG32" s="22" t="s">
        <v>218</v>
      </c>
      <c r="GH32" s="22" t="s">
        <v>218</v>
      </c>
      <c r="GI32" s="22" t="s">
        <v>218</v>
      </c>
      <c r="GJ32" s="22" t="s">
        <v>218</v>
      </c>
      <c r="GK32" s="22" t="s">
        <v>218</v>
      </c>
      <c r="GL32" s="22" t="s">
        <v>218</v>
      </c>
      <c r="GM32" s="22" t="s">
        <v>218</v>
      </c>
      <c r="GN32" s="22" t="s">
        <v>218</v>
      </c>
      <c r="GO32" s="22">
        <v>2015</v>
      </c>
      <c r="GP32" s="22">
        <v>2015</v>
      </c>
      <c r="GQ32" s="22">
        <v>2015</v>
      </c>
      <c r="GR32" s="22" t="s">
        <v>218</v>
      </c>
      <c r="GS32" s="22">
        <v>2015</v>
      </c>
      <c r="GT32" s="22">
        <v>2015</v>
      </c>
      <c r="GU32" s="22" t="s">
        <v>218</v>
      </c>
      <c r="GV32" s="22">
        <v>2015</v>
      </c>
      <c r="GW32" s="22">
        <v>2015</v>
      </c>
      <c r="GX32" s="22" t="s">
        <v>218</v>
      </c>
      <c r="GY32" s="22" t="s">
        <v>218</v>
      </c>
      <c r="GZ32" s="22" t="s">
        <v>218</v>
      </c>
      <c r="HA32" s="22" t="s">
        <v>218</v>
      </c>
      <c r="HB32" s="22" t="s">
        <v>218</v>
      </c>
      <c r="HC32" s="22" t="s">
        <v>218</v>
      </c>
      <c r="HD32" s="22" t="s">
        <v>218</v>
      </c>
      <c r="HE32" s="22" t="s">
        <v>218</v>
      </c>
      <c r="HF32" s="22" t="s">
        <v>218</v>
      </c>
      <c r="HG32" s="22" t="s">
        <v>218</v>
      </c>
      <c r="HH32" s="22" t="s">
        <v>218</v>
      </c>
      <c r="HI32" s="22">
        <v>2015</v>
      </c>
      <c r="HJ32" s="22">
        <v>2015</v>
      </c>
      <c r="HK32" s="22" t="s">
        <v>218</v>
      </c>
      <c r="HL32" s="22" t="s">
        <v>218</v>
      </c>
      <c r="HM32" s="620">
        <f>'background data'!$G$10</f>
        <v>0.47300000000000003</v>
      </c>
      <c r="HN32" s="620">
        <f>'background data'!$H$10</f>
        <v>0.13</v>
      </c>
      <c r="HO32" s="620">
        <f>'background data'!$J$10</f>
        <v>0.39100000000000001</v>
      </c>
      <c r="HP32" s="620">
        <f>'background data'!$L$10</f>
        <v>5.5E-2</v>
      </c>
      <c r="HQ32" s="620">
        <f>'background data'!$M$10</f>
        <v>3.97</v>
      </c>
      <c r="HR32" s="620">
        <f>'background data'!$N$10</f>
        <v>4.5999999999999999E-3</v>
      </c>
      <c r="HS32" s="620">
        <f>'background data'!$O$10</f>
        <v>2.73</v>
      </c>
      <c r="HT32" s="145"/>
      <c r="HU32" s="145" t="s">
        <v>1809</v>
      </c>
      <c r="HV32" s="22" t="s">
        <v>1927</v>
      </c>
      <c r="HW32" s="22" t="s">
        <v>231</v>
      </c>
      <c r="HX32" s="22" t="s">
        <v>232</v>
      </c>
      <c r="HY32" s="22" t="s">
        <v>233</v>
      </c>
      <c r="HZ32" s="19"/>
      <c r="IA32" s="19"/>
      <c r="IB32" s="620">
        <f>'background data'!$G$10</f>
        <v>0.47300000000000003</v>
      </c>
      <c r="IC32" s="620">
        <f>'background data'!$H$10</f>
        <v>0.13</v>
      </c>
      <c r="ID32" s="620">
        <f>'background data'!$J$10</f>
        <v>0.39100000000000001</v>
      </c>
      <c r="IE32" s="620">
        <f>'background data'!$L$10</f>
        <v>5.5E-2</v>
      </c>
      <c r="IF32" s="620">
        <f>'background data'!$M$10</f>
        <v>3.97</v>
      </c>
      <c r="IG32" s="620">
        <f>'background data'!$N$10</f>
        <v>4.5999999999999999E-3</v>
      </c>
      <c r="IH32" s="620">
        <f>'background data'!$O$10</f>
        <v>2.73</v>
      </c>
      <c r="II32" s="145"/>
      <c r="IJ32" s="145">
        <v>1</v>
      </c>
      <c r="IK32" s="145"/>
      <c r="IL32" s="145"/>
      <c r="IM32" s="145"/>
      <c r="IN32" s="145"/>
      <c r="IO32" s="145"/>
      <c r="IP32" s="145"/>
      <c r="IQ32" s="145"/>
      <c r="IR32" s="145"/>
      <c r="IS32" s="145"/>
      <c r="IT32" s="145"/>
      <c r="IU32" s="145"/>
      <c r="IV32" s="145"/>
      <c r="IW32" s="145"/>
      <c r="IX32" s="145"/>
      <c r="IY32" s="145"/>
      <c r="IZ32" s="145"/>
      <c r="JA32" s="145"/>
      <c r="JB32" s="145"/>
      <c r="JC32" s="145"/>
      <c r="JD32" s="145"/>
      <c r="JE32" s="145"/>
      <c r="JF32" s="145"/>
      <c r="JG32" s="145"/>
      <c r="JH32" s="145"/>
      <c r="JI32" s="145"/>
      <c r="JJ32" s="145"/>
      <c r="JK32" s="145"/>
      <c r="JL32" s="145"/>
      <c r="JM32" s="145"/>
      <c r="JN32" s="145"/>
      <c r="JO32" s="145"/>
      <c r="JP32" s="145"/>
      <c r="JQ32" s="145"/>
      <c r="JR32" s="145"/>
      <c r="JS32" s="145"/>
      <c r="JT32" s="145"/>
      <c r="JU32" s="145"/>
      <c r="JV32" s="145"/>
      <c r="JW32" s="145"/>
      <c r="JX32" s="145"/>
      <c r="JY32" s="145"/>
      <c r="JZ32" s="145"/>
      <c r="KA32" s="145"/>
      <c r="KB32" s="145"/>
      <c r="KC32" s="145"/>
      <c r="KD32" s="145"/>
      <c r="KE32" s="145"/>
      <c r="KF32" s="145"/>
      <c r="KG32" s="145"/>
      <c r="KH32" s="145"/>
      <c r="KI32" s="145"/>
      <c r="KJ32" s="145"/>
      <c r="KK32" s="145"/>
      <c r="KL32" s="145"/>
      <c r="KM32" s="145"/>
      <c r="KN32" s="145"/>
      <c r="KO32" s="145"/>
      <c r="KP32" s="145"/>
      <c r="KQ32" s="145"/>
      <c r="KR32" s="145"/>
      <c r="KS32" s="145"/>
      <c r="KT32" s="145"/>
      <c r="KU32" s="145"/>
      <c r="KV32" s="145"/>
      <c r="KW32" s="145"/>
      <c r="KX32" s="145"/>
      <c r="KY32" s="145"/>
      <c r="KZ32" s="145"/>
      <c r="LA32" s="145"/>
      <c r="LB32" s="145"/>
      <c r="LC32" s="145"/>
      <c r="LD32" s="145"/>
      <c r="LE32" s="145"/>
      <c r="LF32" s="145"/>
      <c r="LG32" s="145"/>
      <c r="LH32" s="145"/>
      <c r="LI32" s="145"/>
      <c r="LJ32" s="145"/>
      <c r="LK32" s="145"/>
      <c r="LL32" s="145"/>
      <c r="LM32" s="145"/>
      <c r="LN32" s="145"/>
      <c r="LO32" s="145"/>
      <c r="LP32" s="145"/>
      <c r="LQ32" s="145"/>
      <c r="LR32" s="145"/>
      <c r="LS32" s="145"/>
      <c r="LT32" s="145"/>
      <c r="LU32" s="145"/>
      <c r="LV32" s="145"/>
      <c r="LW32" s="145"/>
      <c r="LX32" s="145"/>
      <c r="LY32" s="145"/>
      <c r="LZ32" s="145"/>
      <c r="MA32" s="145"/>
      <c r="MB32" s="145"/>
      <c r="MC32" s="145"/>
      <c r="MD32" s="145"/>
      <c r="ME32" s="145"/>
      <c r="MF32" s="145"/>
      <c r="MG32" s="145"/>
      <c r="MH32" s="145"/>
      <c r="MI32" s="145"/>
      <c r="MJ32" s="145"/>
      <c r="MK32" s="145"/>
      <c r="ML32" s="145"/>
      <c r="MM32" s="145"/>
      <c r="MN32" s="145"/>
      <c r="MO32" s="145"/>
      <c r="MP32" s="145"/>
      <c r="MQ32" s="145"/>
      <c r="MR32" s="145"/>
      <c r="MS32" s="145"/>
      <c r="MT32" s="145"/>
      <c r="MU32" s="145"/>
      <c r="MV32" s="145"/>
      <c r="MW32" s="145"/>
      <c r="MX32" s="145"/>
      <c r="MY32" s="145"/>
      <c r="MZ32" s="145"/>
      <c r="NA32" s="145"/>
      <c r="NB32" s="145"/>
      <c r="NC32" s="145"/>
      <c r="ND32" s="145"/>
      <c r="NE32" s="145"/>
      <c r="NF32" s="145"/>
      <c r="NG32" s="145"/>
      <c r="NH32" s="145"/>
      <c r="NI32" s="145"/>
      <c r="NJ32" s="145"/>
      <c r="NK32" s="145"/>
      <c r="NL32" s="145"/>
      <c r="NM32" s="145"/>
      <c r="NN32" s="145"/>
      <c r="NO32" s="145"/>
      <c r="NP32" s="145"/>
      <c r="NQ32" s="145"/>
      <c r="NR32" s="145"/>
      <c r="NS32" s="145"/>
    </row>
    <row r="33" spans="1:383" s="16" customFormat="1" ht="15" customHeight="1" x14ac:dyDescent="0.2">
      <c r="A33" s="15">
        <v>50110</v>
      </c>
      <c r="B33" s="25">
        <v>501</v>
      </c>
      <c r="C33" s="26">
        <v>10</v>
      </c>
      <c r="D33" s="20" t="s">
        <v>256</v>
      </c>
      <c r="E33" s="14">
        <v>42304</v>
      </c>
      <c r="F33" s="18">
        <v>1.0534497289972899</v>
      </c>
      <c r="G33" s="18">
        <v>1.0536255324675301</v>
      </c>
      <c r="H33" s="21">
        <v>86</v>
      </c>
      <c r="I33" s="21">
        <v>79.699984000000001</v>
      </c>
      <c r="J33" s="21">
        <v>90</v>
      </c>
      <c r="K33" s="18">
        <v>1</v>
      </c>
      <c r="L33" s="18">
        <v>85</v>
      </c>
      <c r="M33" s="18">
        <v>8.3000000000000007</v>
      </c>
      <c r="N33" s="18">
        <v>2.6</v>
      </c>
      <c r="O33" s="18">
        <v>1.8</v>
      </c>
      <c r="P33" s="18">
        <v>4.8</v>
      </c>
      <c r="Q33" s="19"/>
      <c r="R33" s="18">
        <v>74.209301204819297</v>
      </c>
      <c r="S33" s="18">
        <v>30</v>
      </c>
      <c r="T33" s="18">
        <v>42</v>
      </c>
      <c r="U33" s="18">
        <v>46</v>
      </c>
      <c r="V33" s="18">
        <v>50</v>
      </c>
      <c r="W33" s="18">
        <v>53</v>
      </c>
      <c r="X33" s="18"/>
      <c r="Y33" s="18">
        <v>0.54117647058823526</v>
      </c>
      <c r="Z33" s="18">
        <v>3.2941176470588234</v>
      </c>
      <c r="AA33" s="18">
        <v>0.2</v>
      </c>
      <c r="AB33" s="18">
        <v>1.4999999999999998</v>
      </c>
      <c r="AC33" s="18">
        <v>5.7</v>
      </c>
      <c r="AD33" s="18">
        <v>1.2</v>
      </c>
      <c r="AE33" s="18">
        <v>1.1000000000000001</v>
      </c>
      <c r="AF33" s="18">
        <v>34</v>
      </c>
      <c r="AG33" s="18">
        <v>2.9</v>
      </c>
      <c r="AH33" s="18">
        <v>14</v>
      </c>
      <c r="AI33" s="18">
        <v>28</v>
      </c>
      <c r="AJ33" s="18">
        <v>0</v>
      </c>
      <c r="AK33" s="18">
        <v>0.04</v>
      </c>
      <c r="AL33" s="18"/>
      <c r="AM33" s="18">
        <v>3.9601176470588202</v>
      </c>
      <c r="AN33" s="18">
        <v>1.75917647058824</v>
      </c>
      <c r="AO33" s="18">
        <v>2.4757647058823502</v>
      </c>
      <c r="AP33" s="18">
        <v>3.5474117647058798</v>
      </c>
      <c r="AQ33" s="18">
        <v>1.3787058823529399</v>
      </c>
      <c r="AR33" s="18">
        <v>3.6432941176470601</v>
      </c>
      <c r="AS33" s="18">
        <v>6.9158823529411801</v>
      </c>
      <c r="AT33" s="18">
        <v>2.3268235294117598</v>
      </c>
      <c r="AU33" s="18">
        <v>4.6631764705882297</v>
      </c>
      <c r="AV33" s="18">
        <v>3.1852941176470599</v>
      </c>
      <c r="AW33" s="18">
        <v>5.20411764705882</v>
      </c>
      <c r="AX33" s="18"/>
      <c r="AY33" s="18">
        <v>0.94</v>
      </c>
      <c r="AZ33" s="18">
        <v>1.08</v>
      </c>
      <c r="BA33" s="18">
        <v>1.03</v>
      </c>
      <c r="BB33" s="18">
        <v>0.95</v>
      </c>
      <c r="BC33" s="18">
        <v>0.96</v>
      </c>
      <c r="BD33" s="18">
        <v>1</v>
      </c>
      <c r="BE33" s="18">
        <v>1.01</v>
      </c>
      <c r="BF33" s="18">
        <v>1</v>
      </c>
      <c r="BG33" s="18">
        <v>1.04</v>
      </c>
      <c r="BH33" s="18">
        <v>0.97</v>
      </c>
      <c r="BI33" s="18">
        <v>0.96</v>
      </c>
      <c r="BJ33" s="19"/>
      <c r="BK33" s="18">
        <v>9.764705882352942</v>
      </c>
      <c r="BL33" s="18">
        <v>3.0588235294117645</v>
      </c>
      <c r="BM33" s="18">
        <v>2.1176470588235294</v>
      </c>
      <c r="BN33" s="18">
        <v>5.6470588235294121</v>
      </c>
      <c r="BO33" s="18"/>
      <c r="BP33" s="18">
        <v>120</v>
      </c>
      <c r="BQ33" s="18">
        <v>36.705882352941174</v>
      </c>
      <c r="BR33" s="18">
        <v>1.2393526223497529</v>
      </c>
      <c r="BS33" s="18">
        <v>1.2395594499618001</v>
      </c>
      <c r="BT33" s="19"/>
      <c r="BU33" s="18">
        <v>978.82352941176475</v>
      </c>
      <c r="BV33" s="18">
        <v>635.16470588235291</v>
      </c>
      <c r="BW33" s="18">
        <v>88.094341378151285</v>
      </c>
      <c r="BX33" s="18">
        <v>604</v>
      </c>
      <c r="BY33" s="18">
        <v>21.000000000000004</v>
      </c>
      <c r="BZ33" s="18">
        <v>56</v>
      </c>
      <c r="CA33" s="18">
        <v>165</v>
      </c>
      <c r="CB33" s="19"/>
      <c r="CC33" s="19">
        <v>0.45999999999999996</v>
      </c>
      <c r="CD33" s="19">
        <v>2.8</v>
      </c>
      <c r="CE33" s="19">
        <v>0.17</v>
      </c>
      <c r="CF33" s="19">
        <v>1.2749999999999997</v>
      </c>
      <c r="CG33" s="19">
        <v>4.8449999999999998</v>
      </c>
      <c r="CH33" s="19">
        <v>1.02</v>
      </c>
      <c r="CI33" s="19">
        <v>0.93500000000000005</v>
      </c>
      <c r="CJ33" s="19"/>
      <c r="CK33" s="19">
        <v>28.9</v>
      </c>
      <c r="CL33" s="19">
        <v>2.4649999999999999</v>
      </c>
      <c r="CM33" s="19">
        <v>11.9</v>
      </c>
      <c r="CN33" s="19">
        <v>23.8</v>
      </c>
      <c r="CO33" s="19">
        <v>0</v>
      </c>
      <c r="CP33" s="19">
        <v>3.4000000000000002E-2</v>
      </c>
      <c r="CQ33" s="19">
        <v>61.593719999999998</v>
      </c>
      <c r="CR33" s="19">
        <v>58.468589724378248</v>
      </c>
      <c r="CS33" s="19">
        <v>2.1764994432818332</v>
      </c>
      <c r="CT33" s="19">
        <v>1.1108509269653155</v>
      </c>
      <c r="CU33" s="19">
        <v>1.4909710496760122</v>
      </c>
      <c r="CV33" s="19">
        <v>2.6018219766413275</v>
      </c>
      <c r="CW33" s="19">
        <v>1.9704155490131985</v>
      </c>
      <c r="CX33" s="19">
        <v>0.77386549042445785</v>
      </c>
      <c r="CY33" s="19">
        <v>2.1301826900994656</v>
      </c>
      <c r="CZ33" s="19">
        <v>4.084055067549472</v>
      </c>
      <c r="DA33" s="19">
        <v>1.3604609030220625</v>
      </c>
      <c r="DB33" s="19">
        <v>2.8355532594604567</v>
      </c>
      <c r="DC33" s="19">
        <v>1.8065246526869587</v>
      </c>
      <c r="DD33" s="19">
        <v>4.6420779121474149</v>
      </c>
      <c r="DE33" s="19">
        <v>2.921063227999479</v>
      </c>
      <c r="DF33" s="23">
        <v>0</v>
      </c>
      <c r="DG33" s="23">
        <v>0</v>
      </c>
      <c r="DH33" s="23">
        <v>0</v>
      </c>
      <c r="DI33" s="19">
        <v>0</v>
      </c>
      <c r="DJ33" s="19">
        <v>0</v>
      </c>
      <c r="DK33" s="19">
        <v>0</v>
      </c>
      <c r="DL33" s="19">
        <v>0</v>
      </c>
      <c r="DM33" s="19">
        <v>0</v>
      </c>
      <c r="DN33" s="19">
        <v>0</v>
      </c>
      <c r="DO33" s="19">
        <v>0</v>
      </c>
      <c r="DP33" s="19">
        <v>0</v>
      </c>
      <c r="DQ33" s="19">
        <v>0</v>
      </c>
      <c r="DR33" s="19">
        <v>0</v>
      </c>
      <c r="DS33" s="19">
        <v>0</v>
      </c>
      <c r="DT33" s="19">
        <v>0</v>
      </c>
      <c r="DU33" s="19">
        <v>0</v>
      </c>
      <c r="DV33" s="19">
        <v>0</v>
      </c>
      <c r="DW33" s="17" t="s">
        <v>230</v>
      </c>
      <c r="DX33" s="22" t="s">
        <v>218</v>
      </c>
      <c r="DY33" s="22">
        <v>32</v>
      </c>
      <c r="DZ33" s="22">
        <v>16</v>
      </c>
      <c r="EA33" s="22">
        <v>16</v>
      </c>
      <c r="EB33" s="22" t="s">
        <v>218</v>
      </c>
      <c r="EC33" s="22">
        <v>16</v>
      </c>
      <c r="ED33" s="22">
        <v>16</v>
      </c>
      <c r="EE33" s="22" t="s">
        <v>218</v>
      </c>
      <c r="EF33" s="22">
        <v>16</v>
      </c>
      <c r="EG33" s="22">
        <v>16</v>
      </c>
      <c r="EH33" s="22" t="s">
        <v>218</v>
      </c>
      <c r="EI33" s="22" t="s">
        <v>218</v>
      </c>
      <c r="EJ33" s="22" t="s">
        <v>218</v>
      </c>
      <c r="EK33" s="22" t="s">
        <v>218</v>
      </c>
      <c r="EL33" s="22" t="s">
        <v>218</v>
      </c>
      <c r="EM33" s="22" t="s">
        <v>218</v>
      </c>
      <c r="EN33" s="22" t="s">
        <v>218</v>
      </c>
      <c r="EO33" s="22" t="s">
        <v>218</v>
      </c>
      <c r="EP33" s="22" t="s">
        <v>218</v>
      </c>
      <c r="EQ33" s="22" t="s">
        <v>218</v>
      </c>
      <c r="ER33" s="22" t="s">
        <v>218</v>
      </c>
      <c r="ES33" s="22">
        <v>16</v>
      </c>
      <c r="ET33" s="22">
        <v>32</v>
      </c>
      <c r="EU33" s="22" t="s">
        <v>218</v>
      </c>
      <c r="EV33" s="22" t="s">
        <v>218</v>
      </c>
      <c r="EW33" s="22" t="s">
        <v>218</v>
      </c>
      <c r="EX33" s="22" t="s">
        <v>218</v>
      </c>
      <c r="EY33" s="22" t="s">
        <v>218</v>
      </c>
      <c r="EZ33" s="22" t="s">
        <v>218</v>
      </c>
      <c r="FA33" s="22" t="s">
        <v>218</v>
      </c>
      <c r="FB33" s="22" t="s">
        <v>218</v>
      </c>
      <c r="FC33" s="22" t="s">
        <v>218</v>
      </c>
      <c r="FD33" s="22" t="s">
        <v>218</v>
      </c>
      <c r="FE33" s="22" t="s">
        <v>218</v>
      </c>
      <c r="FF33" s="22" t="s">
        <v>218</v>
      </c>
      <c r="FG33" s="22">
        <v>0.7</v>
      </c>
      <c r="FH33" s="22">
        <v>0.1</v>
      </c>
      <c r="FI33" s="22">
        <v>0.2</v>
      </c>
      <c r="FJ33" s="22" t="s">
        <v>218</v>
      </c>
      <c r="FK33" s="22">
        <v>1.3</v>
      </c>
      <c r="FL33" s="22">
        <v>1</v>
      </c>
      <c r="FM33" s="22" t="s">
        <v>218</v>
      </c>
      <c r="FN33" s="22">
        <v>2</v>
      </c>
      <c r="FO33" s="22">
        <v>1.7</v>
      </c>
      <c r="FP33" s="22" t="s">
        <v>218</v>
      </c>
      <c r="FQ33" s="22" t="s">
        <v>218</v>
      </c>
      <c r="FR33" s="22" t="s">
        <v>218</v>
      </c>
      <c r="FS33" s="22" t="s">
        <v>218</v>
      </c>
      <c r="FT33" s="22" t="s">
        <v>218</v>
      </c>
      <c r="FU33" s="22" t="s">
        <v>218</v>
      </c>
      <c r="FV33" s="22" t="s">
        <v>218</v>
      </c>
      <c r="FW33" s="22" t="s">
        <v>218</v>
      </c>
      <c r="FX33" s="22" t="s">
        <v>218</v>
      </c>
      <c r="FY33" s="22" t="s">
        <v>218</v>
      </c>
      <c r="FZ33" s="22" t="s">
        <v>218</v>
      </c>
      <c r="GA33" s="22">
        <v>0.1</v>
      </c>
      <c r="GB33" s="22">
        <v>0.3</v>
      </c>
      <c r="GC33" s="22" t="s">
        <v>218</v>
      </c>
      <c r="GD33" s="22" t="s">
        <v>218</v>
      </c>
      <c r="GE33" s="22" t="s">
        <v>218</v>
      </c>
      <c r="GF33" s="22" t="s">
        <v>218</v>
      </c>
      <c r="GG33" s="22" t="s">
        <v>218</v>
      </c>
      <c r="GH33" s="22" t="s">
        <v>218</v>
      </c>
      <c r="GI33" s="22" t="s">
        <v>218</v>
      </c>
      <c r="GJ33" s="22" t="s">
        <v>218</v>
      </c>
      <c r="GK33" s="22" t="s">
        <v>218</v>
      </c>
      <c r="GL33" s="22" t="s">
        <v>218</v>
      </c>
      <c r="GM33" s="22" t="s">
        <v>218</v>
      </c>
      <c r="GN33" s="22" t="s">
        <v>218</v>
      </c>
      <c r="GO33" s="22">
        <v>2015</v>
      </c>
      <c r="GP33" s="22">
        <v>2015</v>
      </c>
      <c r="GQ33" s="22">
        <v>2015</v>
      </c>
      <c r="GR33" s="22" t="s">
        <v>218</v>
      </c>
      <c r="GS33" s="22">
        <v>2015</v>
      </c>
      <c r="GT33" s="22">
        <v>2015</v>
      </c>
      <c r="GU33" s="22" t="s">
        <v>218</v>
      </c>
      <c r="GV33" s="22">
        <v>2015</v>
      </c>
      <c r="GW33" s="22">
        <v>2015</v>
      </c>
      <c r="GX33" s="22" t="s">
        <v>218</v>
      </c>
      <c r="GY33" s="22" t="s">
        <v>218</v>
      </c>
      <c r="GZ33" s="22" t="s">
        <v>218</v>
      </c>
      <c r="HA33" s="22" t="s">
        <v>218</v>
      </c>
      <c r="HB33" s="22" t="s">
        <v>218</v>
      </c>
      <c r="HC33" s="22" t="s">
        <v>218</v>
      </c>
      <c r="HD33" s="22" t="s">
        <v>218</v>
      </c>
      <c r="HE33" s="22" t="s">
        <v>218</v>
      </c>
      <c r="HF33" s="22" t="s">
        <v>218</v>
      </c>
      <c r="HG33" s="22" t="s">
        <v>218</v>
      </c>
      <c r="HH33" s="22" t="s">
        <v>218</v>
      </c>
      <c r="HI33" s="22">
        <v>2015</v>
      </c>
      <c r="HJ33" s="22">
        <v>2015</v>
      </c>
      <c r="HK33" s="22" t="s">
        <v>218</v>
      </c>
      <c r="HL33" s="22" t="s">
        <v>218</v>
      </c>
      <c r="HM33" s="620">
        <f>'background data'!$G$10</f>
        <v>0.47300000000000003</v>
      </c>
      <c r="HN33" s="620">
        <f>'background data'!$H$10</f>
        <v>0.13</v>
      </c>
      <c r="HO33" s="620">
        <f>'background data'!$J$10</f>
        <v>0.39100000000000001</v>
      </c>
      <c r="HP33" s="620">
        <f>'background data'!$L$10</f>
        <v>5.5E-2</v>
      </c>
      <c r="HQ33" s="620">
        <f>'background data'!$M$10</f>
        <v>3.97</v>
      </c>
      <c r="HR33" s="620">
        <f>'background data'!$N$10</f>
        <v>4.5999999999999999E-3</v>
      </c>
      <c r="HS33" s="620">
        <f>'background data'!$O$10</f>
        <v>2.73</v>
      </c>
      <c r="HT33" s="145"/>
      <c r="HU33" s="145" t="s">
        <v>1809</v>
      </c>
      <c r="HV33" s="22" t="s">
        <v>1927</v>
      </c>
      <c r="HW33" s="22" t="s">
        <v>231</v>
      </c>
      <c r="HX33" s="22" t="s">
        <v>232</v>
      </c>
      <c r="HY33" s="22" t="s">
        <v>233</v>
      </c>
      <c r="HZ33" s="19"/>
      <c r="IA33" s="19"/>
      <c r="IB33" s="620">
        <f>'background data'!$G$10</f>
        <v>0.47300000000000003</v>
      </c>
      <c r="IC33" s="620">
        <f>'background data'!$H$10</f>
        <v>0.13</v>
      </c>
      <c r="ID33" s="620">
        <f>'background data'!$J$10</f>
        <v>0.39100000000000001</v>
      </c>
      <c r="IE33" s="620">
        <f>'background data'!$L$10</f>
        <v>5.5E-2</v>
      </c>
      <c r="IF33" s="620">
        <f>'background data'!$M$10</f>
        <v>3.97</v>
      </c>
      <c r="IG33" s="620">
        <f>'background data'!$N$10</f>
        <v>4.5999999999999999E-3</v>
      </c>
      <c r="IH33" s="620">
        <f>'background data'!$O$10</f>
        <v>2.73</v>
      </c>
      <c r="II33" s="145"/>
      <c r="IJ33" s="145">
        <v>1</v>
      </c>
      <c r="IK33" s="145"/>
      <c r="IL33" s="145"/>
      <c r="IM33" s="145"/>
      <c r="IN33" s="145"/>
      <c r="IO33" s="145"/>
      <c r="IP33" s="145"/>
      <c r="IQ33" s="145"/>
      <c r="IR33" s="145"/>
      <c r="IS33" s="145"/>
      <c r="IT33" s="145"/>
      <c r="IU33" s="145"/>
      <c r="IV33" s="145"/>
      <c r="IW33" s="145"/>
      <c r="IX33" s="145"/>
      <c r="IY33" s="145"/>
      <c r="IZ33" s="145"/>
      <c r="JA33" s="145"/>
      <c r="JB33" s="145"/>
      <c r="JC33" s="145"/>
      <c r="JD33" s="145"/>
      <c r="JE33" s="145"/>
      <c r="JF33" s="145"/>
      <c r="JG33" s="145"/>
      <c r="JH33" s="145"/>
      <c r="JI33" s="145"/>
      <c r="JJ33" s="145"/>
      <c r="JK33" s="145"/>
      <c r="JL33" s="145"/>
      <c r="JM33" s="145"/>
      <c r="JN33" s="145"/>
      <c r="JO33" s="145"/>
      <c r="JP33" s="145"/>
      <c r="JQ33" s="145"/>
      <c r="JR33" s="145"/>
      <c r="JS33" s="145"/>
      <c r="JT33" s="145"/>
      <c r="JU33" s="145"/>
      <c r="JV33" s="145"/>
      <c r="JW33" s="145"/>
      <c r="JX33" s="145"/>
      <c r="JY33" s="145"/>
      <c r="JZ33" s="145"/>
      <c r="KA33" s="145"/>
      <c r="KB33" s="145"/>
      <c r="KC33" s="145"/>
      <c r="KD33" s="145"/>
      <c r="KE33" s="145"/>
      <c r="KF33" s="145"/>
      <c r="KG33" s="145"/>
      <c r="KH33" s="145"/>
      <c r="KI33" s="145"/>
      <c r="KJ33" s="145"/>
      <c r="KK33" s="145"/>
      <c r="KL33" s="145"/>
      <c r="KM33" s="145"/>
      <c r="KN33" s="145"/>
      <c r="KO33" s="145"/>
      <c r="KP33" s="145"/>
      <c r="KQ33" s="145"/>
      <c r="KR33" s="145"/>
      <c r="KS33" s="145"/>
      <c r="KT33" s="145"/>
      <c r="KU33" s="145"/>
      <c r="KV33" s="145"/>
      <c r="KW33" s="145"/>
      <c r="KX33" s="145"/>
      <c r="KY33" s="145"/>
      <c r="KZ33" s="145"/>
      <c r="LA33" s="145"/>
      <c r="LB33" s="145"/>
      <c r="LC33" s="145"/>
      <c r="LD33" s="145"/>
      <c r="LE33" s="145"/>
      <c r="LF33" s="145"/>
      <c r="LG33" s="145"/>
      <c r="LH33" s="145"/>
      <c r="LI33" s="145"/>
      <c r="LJ33" s="145"/>
      <c r="LK33" s="145"/>
      <c r="LL33" s="145"/>
      <c r="LM33" s="145"/>
      <c r="LN33" s="145"/>
      <c r="LO33" s="145"/>
      <c r="LP33" s="145"/>
      <c r="LQ33" s="145"/>
      <c r="LR33" s="145"/>
      <c r="LS33" s="145"/>
      <c r="LT33" s="145"/>
      <c r="LU33" s="145"/>
      <c r="LV33" s="145"/>
      <c r="LW33" s="145"/>
      <c r="LX33" s="145"/>
      <c r="LY33" s="145"/>
      <c r="LZ33" s="145"/>
      <c r="MA33" s="145"/>
      <c r="MB33" s="145"/>
      <c r="MC33" s="145"/>
      <c r="MD33" s="145"/>
      <c r="ME33" s="145"/>
      <c r="MF33" s="145"/>
      <c r="MG33" s="145"/>
      <c r="MH33" s="145"/>
      <c r="MI33" s="145"/>
      <c r="MJ33" s="145"/>
      <c r="MK33" s="145"/>
      <c r="ML33" s="145"/>
      <c r="MM33" s="145"/>
      <c r="MN33" s="145"/>
      <c r="MO33" s="145"/>
      <c r="MP33" s="145"/>
      <c r="MQ33" s="145"/>
      <c r="MR33" s="145"/>
      <c r="MS33" s="145"/>
      <c r="MT33" s="145"/>
      <c r="MU33" s="145"/>
      <c r="MV33" s="145"/>
      <c r="MW33" s="145"/>
      <c r="MX33" s="145"/>
      <c r="MY33" s="145"/>
      <c r="MZ33" s="145"/>
      <c r="NA33" s="145"/>
      <c r="NB33" s="145"/>
      <c r="NC33" s="145"/>
      <c r="ND33" s="145"/>
      <c r="NE33" s="145"/>
      <c r="NF33" s="145"/>
      <c r="NG33" s="145"/>
      <c r="NH33" s="145"/>
      <c r="NI33" s="145"/>
      <c r="NJ33" s="145"/>
      <c r="NK33" s="145"/>
      <c r="NL33" s="145"/>
      <c r="NM33" s="145"/>
      <c r="NN33" s="145"/>
      <c r="NO33" s="145"/>
      <c r="NP33" s="145"/>
      <c r="NQ33" s="145"/>
      <c r="NR33" s="145"/>
      <c r="NS33" s="145"/>
    </row>
    <row r="34" spans="1:383" s="16" customFormat="1" ht="15" customHeight="1" x14ac:dyDescent="0.2">
      <c r="A34" s="15">
        <v>50111</v>
      </c>
      <c r="B34" s="25">
        <v>501</v>
      </c>
      <c r="C34" s="26">
        <v>11</v>
      </c>
      <c r="D34" s="20" t="s">
        <v>257</v>
      </c>
      <c r="E34" s="14">
        <v>42304</v>
      </c>
      <c r="F34" s="18">
        <v>1.05948921796361</v>
      </c>
      <c r="G34" s="18">
        <v>1.0578704304267099</v>
      </c>
      <c r="H34" s="21">
        <v>86</v>
      </c>
      <c r="I34" s="21">
        <v>80.199988000000005</v>
      </c>
      <c r="J34" s="21">
        <v>90</v>
      </c>
      <c r="K34" s="18">
        <v>1</v>
      </c>
      <c r="L34" s="18">
        <v>85</v>
      </c>
      <c r="M34" s="18">
        <v>8.3000000000000007</v>
      </c>
      <c r="N34" s="18">
        <v>2.6</v>
      </c>
      <c r="O34" s="18">
        <v>1.8</v>
      </c>
      <c r="P34" s="18">
        <v>4.8</v>
      </c>
      <c r="Q34" s="19"/>
      <c r="R34" s="18">
        <v>74.6818657487091</v>
      </c>
      <c r="S34" s="18">
        <v>30</v>
      </c>
      <c r="T34" s="18">
        <v>42</v>
      </c>
      <c r="U34" s="18">
        <v>46</v>
      </c>
      <c r="V34" s="18">
        <v>50</v>
      </c>
      <c r="W34" s="18">
        <v>53</v>
      </c>
      <c r="X34" s="18"/>
      <c r="Y34" s="18">
        <v>0.54117647058823526</v>
      </c>
      <c r="Z34" s="18">
        <v>3.2941176470588234</v>
      </c>
      <c r="AA34" s="18">
        <v>0.2</v>
      </c>
      <c r="AB34" s="18">
        <v>1.4999999999999998</v>
      </c>
      <c r="AC34" s="18">
        <v>5.7</v>
      </c>
      <c r="AD34" s="18">
        <v>1.2</v>
      </c>
      <c r="AE34" s="18">
        <v>1.1000000000000001</v>
      </c>
      <c r="AF34" s="18">
        <v>34</v>
      </c>
      <c r="AG34" s="18">
        <v>2.9</v>
      </c>
      <c r="AH34" s="18">
        <v>14</v>
      </c>
      <c r="AI34" s="18">
        <v>28</v>
      </c>
      <c r="AJ34" s="18">
        <v>0</v>
      </c>
      <c r="AK34" s="18">
        <v>0.04</v>
      </c>
      <c r="AL34" s="18"/>
      <c r="AM34" s="18">
        <v>3.9601176470588202</v>
      </c>
      <c r="AN34" s="18">
        <v>1.75917647058824</v>
      </c>
      <c r="AO34" s="18">
        <v>2.4757647058823502</v>
      </c>
      <c r="AP34" s="18">
        <v>3.5474117647058798</v>
      </c>
      <c r="AQ34" s="18">
        <v>1.3787058823529399</v>
      </c>
      <c r="AR34" s="18">
        <v>3.6432941176470601</v>
      </c>
      <c r="AS34" s="18">
        <v>6.9158823529411801</v>
      </c>
      <c r="AT34" s="18">
        <v>2.3268235294117598</v>
      </c>
      <c r="AU34" s="18">
        <v>4.6631764705882297</v>
      </c>
      <c r="AV34" s="18">
        <v>3.1852941176470599</v>
      </c>
      <c r="AW34" s="18">
        <v>5.20411764705882</v>
      </c>
      <c r="AX34" s="18"/>
      <c r="AY34" s="18">
        <v>0.94</v>
      </c>
      <c r="AZ34" s="18">
        <v>1.08</v>
      </c>
      <c r="BA34" s="18">
        <v>1.03</v>
      </c>
      <c r="BB34" s="18">
        <v>0.95</v>
      </c>
      <c r="BC34" s="18">
        <v>0.96</v>
      </c>
      <c r="BD34" s="18">
        <v>1</v>
      </c>
      <c r="BE34" s="18">
        <v>1.01</v>
      </c>
      <c r="BF34" s="18">
        <v>1</v>
      </c>
      <c r="BG34" s="18">
        <v>1.04</v>
      </c>
      <c r="BH34" s="18">
        <v>0.97</v>
      </c>
      <c r="BI34" s="18">
        <v>0.96</v>
      </c>
      <c r="BJ34" s="19"/>
      <c r="BK34" s="18">
        <v>9.764705882352942</v>
      </c>
      <c r="BL34" s="18">
        <v>3.0588235294117645</v>
      </c>
      <c r="BM34" s="18">
        <v>2.1176470588235294</v>
      </c>
      <c r="BN34" s="18">
        <v>5.6470588235294121</v>
      </c>
      <c r="BO34" s="18"/>
      <c r="BP34" s="18">
        <v>120</v>
      </c>
      <c r="BQ34" s="18">
        <v>36.705882352941174</v>
      </c>
      <c r="BR34" s="18">
        <v>1.2464579034865999</v>
      </c>
      <c r="BS34" s="18">
        <v>1.2445534475608351</v>
      </c>
      <c r="BT34" s="19"/>
      <c r="BU34" s="18">
        <v>978.82352941176475</v>
      </c>
      <c r="BV34" s="18">
        <v>642.15630252100937</v>
      </c>
      <c r="BW34" s="18">
        <v>81.102688806722824</v>
      </c>
      <c r="BX34" s="18">
        <v>604</v>
      </c>
      <c r="BY34" s="18">
        <v>21.000000000000004</v>
      </c>
      <c r="BZ34" s="18">
        <v>56</v>
      </c>
      <c r="CA34" s="18">
        <v>165</v>
      </c>
      <c r="CB34" s="19"/>
      <c r="CC34" s="19">
        <v>0.45999999999999996</v>
      </c>
      <c r="CD34" s="19">
        <v>2.8</v>
      </c>
      <c r="CE34" s="19">
        <v>0.17</v>
      </c>
      <c r="CF34" s="19">
        <v>1.2749999999999997</v>
      </c>
      <c r="CG34" s="19">
        <v>4.8449999999999998</v>
      </c>
      <c r="CH34" s="19">
        <v>1.02</v>
      </c>
      <c r="CI34" s="19">
        <v>0.93500000000000005</v>
      </c>
      <c r="CJ34" s="19"/>
      <c r="CK34" s="19">
        <v>28.9</v>
      </c>
      <c r="CL34" s="19">
        <v>2.4649999999999999</v>
      </c>
      <c r="CM34" s="19">
        <v>11.9</v>
      </c>
      <c r="CN34" s="19">
        <v>23.8</v>
      </c>
      <c r="CO34" s="19">
        <v>0</v>
      </c>
      <c r="CP34" s="19">
        <v>3.4000000000000002E-2</v>
      </c>
      <c r="CQ34" s="19">
        <v>61.985948571428601</v>
      </c>
      <c r="CR34" s="19">
        <v>58.505502010269275</v>
      </c>
      <c r="CS34" s="19">
        <v>2.1778735070324831</v>
      </c>
      <c r="CT34" s="19">
        <v>1.1115522273933132</v>
      </c>
      <c r="CU34" s="19">
        <v>1.4919123268626231</v>
      </c>
      <c r="CV34" s="19">
        <v>2.603464554255936</v>
      </c>
      <c r="CW34" s="19">
        <v>1.9716595082468962</v>
      </c>
      <c r="CX34" s="19">
        <v>0.7743540458070719</v>
      </c>
      <c r="CY34" s="19">
        <v>2.1315275132400227</v>
      </c>
      <c r="CZ34" s="19">
        <v>4.0866334059181364</v>
      </c>
      <c r="DA34" s="19">
        <v>1.3613197867754219</v>
      </c>
      <c r="DB34" s="19">
        <v>2.8373433958920957</v>
      </c>
      <c r="DC34" s="19">
        <v>1.8076651446119965</v>
      </c>
      <c r="DD34" s="19">
        <v>4.6450085405041017</v>
      </c>
      <c r="DE34" s="19">
        <v>2.9229073484321053</v>
      </c>
      <c r="DF34" s="23">
        <v>0</v>
      </c>
      <c r="DG34" s="23">
        <v>0</v>
      </c>
      <c r="DH34" s="23">
        <v>0</v>
      </c>
      <c r="DI34" s="19">
        <v>0</v>
      </c>
      <c r="DJ34" s="19">
        <v>0</v>
      </c>
      <c r="DK34" s="19">
        <v>0</v>
      </c>
      <c r="DL34" s="19">
        <v>0</v>
      </c>
      <c r="DM34" s="19">
        <v>0</v>
      </c>
      <c r="DN34" s="19">
        <v>0</v>
      </c>
      <c r="DO34" s="19">
        <v>0</v>
      </c>
      <c r="DP34" s="19">
        <v>0</v>
      </c>
      <c r="DQ34" s="19">
        <v>0</v>
      </c>
      <c r="DR34" s="19">
        <v>0</v>
      </c>
      <c r="DS34" s="19">
        <v>0</v>
      </c>
      <c r="DT34" s="19">
        <v>0</v>
      </c>
      <c r="DU34" s="19">
        <v>0</v>
      </c>
      <c r="DV34" s="19">
        <v>0</v>
      </c>
      <c r="DW34" s="17" t="s">
        <v>230</v>
      </c>
      <c r="DX34" s="22" t="s">
        <v>218</v>
      </c>
      <c r="DY34" s="22">
        <v>32</v>
      </c>
      <c r="DZ34" s="22">
        <v>16</v>
      </c>
      <c r="EA34" s="22">
        <v>16</v>
      </c>
      <c r="EB34" s="22" t="s">
        <v>218</v>
      </c>
      <c r="EC34" s="22">
        <v>16</v>
      </c>
      <c r="ED34" s="22">
        <v>16</v>
      </c>
      <c r="EE34" s="22" t="s">
        <v>218</v>
      </c>
      <c r="EF34" s="22">
        <v>16</v>
      </c>
      <c r="EG34" s="22">
        <v>16</v>
      </c>
      <c r="EH34" s="22" t="s">
        <v>218</v>
      </c>
      <c r="EI34" s="22" t="s">
        <v>218</v>
      </c>
      <c r="EJ34" s="22" t="s">
        <v>218</v>
      </c>
      <c r="EK34" s="22" t="s">
        <v>218</v>
      </c>
      <c r="EL34" s="22" t="s">
        <v>218</v>
      </c>
      <c r="EM34" s="22" t="s">
        <v>218</v>
      </c>
      <c r="EN34" s="22" t="s">
        <v>218</v>
      </c>
      <c r="EO34" s="22" t="s">
        <v>218</v>
      </c>
      <c r="EP34" s="22" t="s">
        <v>218</v>
      </c>
      <c r="EQ34" s="22" t="s">
        <v>218</v>
      </c>
      <c r="ER34" s="22" t="s">
        <v>218</v>
      </c>
      <c r="ES34" s="22">
        <v>16</v>
      </c>
      <c r="ET34" s="22">
        <v>32</v>
      </c>
      <c r="EU34" s="22" t="s">
        <v>218</v>
      </c>
      <c r="EV34" s="22" t="s">
        <v>218</v>
      </c>
      <c r="EW34" s="22" t="s">
        <v>218</v>
      </c>
      <c r="EX34" s="22" t="s">
        <v>218</v>
      </c>
      <c r="EY34" s="22" t="s">
        <v>218</v>
      </c>
      <c r="EZ34" s="22" t="s">
        <v>218</v>
      </c>
      <c r="FA34" s="22" t="s">
        <v>218</v>
      </c>
      <c r="FB34" s="22" t="s">
        <v>218</v>
      </c>
      <c r="FC34" s="22" t="s">
        <v>218</v>
      </c>
      <c r="FD34" s="22" t="s">
        <v>218</v>
      </c>
      <c r="FE34" s="22" t="s">
        <v>218</v>
      </c>
      <c r="FF34" s="22" t="s">
        <v>218</v>
      </c>
      <c r="FG34" s="22">
        <v>0.7</v>
      </c>
      <c r="FH34" s="22">
        <v>0.1</v>
      </c>
      <c r="FI34" s="22">
        <v>0.2</v>
      </c>
      <c r="FJ34" s="22" t="s">
        <v>218</v>
      </c>
      <c r="FK34" s="22">
        <v>1.3</v>
      </c>
      <c r="FL34" s="22">
        <v>1</v>
      </c>
      <c r="FM34" s="22" t="s">
        <v>218</v>
      </c>
      <c r="FN34" s="22">
        <v>2</v>
      </c>
      <c r="FO34" s="22">
        <v>1.7</v>
      </c>
      <c r="FP34" s="22" t="s">
        <v>218</v>
      </c>
      <c r="FQ34" s="22" t="s">
        <v>218</v>
      </c>
      <c r="FR34" s="22" t="s">
        <v>218</v>
      </c>
      <c r="FS34" s="22" t="s">
        <v>218</v>
      </c>
      <c r="FT34" s="22" t="s">
        <v>218</v>
      </c>
      <c r="FU34" s="22" t="s">
        <v>218</v>
      </c>
      <c r="FV34" s="22" t="s">
        <v>218</v>
      </c>
      <c r="FW34" s="22" t="s">
        <v>218</v>
      </c>
      <c r="FX34" s="22" t="s">
        <v>218</v>
      </c>
      <c r="FY34" s="22" t="s">
        <v>218</v>
      </c>
      <c r="FZ34" s="22" t="s">
        <v>218</v>
      </c>
      <c r="GA34" s="22">
        <v>0.1</v>
      </c>
      <c r="GB34" s="22">
        <v>0.3</v>
      </c>
      <c r="GC34" s="22" t="s">
        <v>218</v>
      </c>
      <c r="GD34" s="22" t="s">
        <v>218</v>
      </c>
      <c r="GE34" s="22" t="s">
        <v>218</v>
      </c>
      <c r="GF34" s="22" t="s">
        <v>218</v>
      </c>
      <c r="GG34" s="22" t="s">
        <v>218</v>
      </c>
      <c r="GH34" s="22" t="s">
        <v>218</v>
      </c>
      <c r="GI34" s="22" t="s">
        <v>218</v>
      </c>
      <c r="GJ34" s="22" t="s">
        <v>218</v>
      </c>
      <c r="GK34" s="22" t="s">
        <v>218</v>
      </c>
      <c r="GL34" s="22" t="s">
        <v>218</v>
      </c>
      <c r="GM34" s="22" t="s">
        <v>218</v>
      </c>
      <c r="GN34" s="22" t="s">
        <v>218</v>
      </c>
      <c r="GO34" s="22">
        <v>2015</v>
      </c>
      <c r="GP34" s="22">
        <v>2015</v>
      </c>
      <c r="GQ34" s="22">
        <v>2015</v>
      </c>
      <c r="GR34" s="22" t="s">
        <v>218</v>
      </c>
      <c r="GS34" s="22">
        <v>2015</v>
      </c>
      <c r="GT34" s="22">
        <v>2015</v>
      </c>
      <c r="GU34" s="22" t="s">
        <v>218</v>
      </c>
      <c r="GV34" s="22">
        <v>2015</v>
      </c>
      <c r="GW34" s="22">
        <v>2015</v>
      </c>
      <c r="GX34" s="22" t="s">
        <v>218</v>
      </c>
      <c r="GY34" s="22" t="s">
        <v>218</v>
      </c>
      <c r="GZ34" s="22" t="s">
        <v>218</v>
      </c>
      <c r="HA34" s="22" t="s">
        <v>218</v>
      </c>
      <c r="HB34" s="22" t="s">
        <v>218</v>
      </c>
      <c r="HC34" s="22" t="s">
        <v>218</v>
      </c>
      <c r="HD34" s="22" t="s">
        <v>218</v>
      </c>
      <c r="HE34" s="22" t="s">
        <v>218</v>
      </c>
      <c r="HF34" s="22" t="s">
        <v>218</v>
      </c>
      <c r="HG34" s="22" t="s">
        <v>218</v>
      </c>
      <c r="HH34" s="22" t="s">
        <v>218</v>
      </c>
      <c r="HI34" s="22">
        <v>2015</v>
      </c>
      <c r="HJ34" s="22">
        <v>2015</v>
      </c>
      <c r="HK34" s="22" t="s">
        <v>218</v>
      </c>
      <c r="HL34" s="22" t="s">
        <v>218</v>
      </c>
      <c r="HM34" s="620">
        <f>'background data'!$G$10</f>
        <v>0.47300000000000003</v>
      </c>
      <c r="HN34" s="620">
        <f>'background data'!$H$10</f>
        <v>0.13</v>
      </c>
      <c r="HO34" s="620">
        <f>'background data'!$J$10</f>
        <v>0.39100000000000001</v>
      </c>
      <c r="HP34" s="620">
        <f>'background data'!$L$10</f>
        <v>5.5E-2</v>
      </c>
      <c r="HQ34" s="620">
        <f>'background data'!$M$10</f>
        <v>3.97</v>
      </c>
      <c r="HR34" s="620">
        <f>'background data'!$N$10</f>
        <v>4.5999999999999999E-3</v>
      </c>
      <c r="HS34" s="620">
        <f>'background data'!$O$10</f>
        <v>2.73</v>
      </c>
      <c r="HT34" s="145"/>
      <c r="HU34" s="145" t="s">
        <v>1809</v>
      </c>
      <c r="HV34" s="22" t="s">
        <v>1927</v>
      </c>
      <c r="HW34" s="22" t="s">
        <v>231</v>
      </c>
      <c r="HX34" s="22" t="s">
        <v>232</v>
      </c>
      <c r="HY34" s="22" t="s">
        <v>233</v>
      </c>
      <c r="HZ34" s="19"/>
      <c r="IA34" s="19"/>
      <c r="IB34" s="620">
        <f>'background data'!$G$10</f>
        <v>0.47300000000000003</v>
      </c>
      <c r="IC34" s="620">
        <f>'background data'!$H$10</f>
        <v>0.13</v>
      </c>
      <c r="ID34" s="620">
        <f>'background data'!$J$10</f>
        <v>0.39100000000000001</v>
      </c>
      <c r="IE34" s="620">
        <f>'background data'!$L$10</f>
        <v>5.5E-2</v>
      </c>
      <c r="IF34" s="620">
        <f>'background data'!$M$10</f>
        <v>3.97</v>
      </c>
      <c r="IG34" s="620">
        <f>'background data'!$N$10</f>
        <v>4.5999999999999999E-3</v>
      </c>
      <c r="IH34" s="620">
        <f>'background data'!$O$10</f>
        <v>2.73</v>
      </c>
      <c r="II34" s="145"/>
      <c r="IJ34" s="145">
        <v>1</v>
      </c>
      <c r="IK34" s="145"/>
      <c r="IL34" s="145"/>
      <c r="IM34" s="145"/>
      <c r="IN34" s="145"/>
      <c r="IO34" s="145"/>
      <c r="IP34" s="145"/>
      <c r="IQ34" s="145"/>
      <c r="IR34" s="145"/>
      <c r="IS34" s="145"/>
      <c r="IT34" s="145"/>
      <c r="IU34" s="145"/>
      <c r="IV34" s="145"/>
      <c r="IW34" s="145"/>
      <c r="IX34" s="145"/>
      <c r="IY34" s="145"/>
      <c r="IZ34" s="145"/>
      <c r="JA34" s="145"/>
      <c r="JB34" s="145"/>
      <c r="JC34" s="145"/>
      <c r="JD34" s="145"/>
      <c r="JE34" s="145"/>
      <c r="JF34" s="145"/>
      <c r="JG34" s="145"/>
      <c r="JH34" s="145"/>
      <c r="JI34" s="145"/>
      <c r="JJ34" s="145"/>
      <c r="JK34" s="145"/>
      <c r="JL34" s="145"/>
      <c r="JM34" s="145"/>
      <c r="JN34" s="145"/>
      <c r="JO34" s="145"/>
      <c r="JP34" s="145"/>
      <c r="JQ34" s="145"/>
      <c r="JR34" s="145"/>
      <c r="JS34" s="145"/>
      <c r="JT34" s="145"/>
      <c r="JU34" s="145"/>
      <c r="JV34" s="145"/>
      <c r="JW34" s="145"/>
      <c r="JX34" s="145"/>
      <c r="JY34" s="145"/>
      <c r="JZ34" s="145"/>
      <c r="KA34" s="145"/>
      <c r="KB34" s="145"/>
      <c r="KC34" s="145"/>
      <c r="KD34" s="145"/>
      <c r="KE34" s="145"/>
      <c r="KF34" s="145"/>
      <c r="KG34" s="145"/>
      <c r="KH34" s="145"/>
      <c r="KI34" s="145"/>
      <c r="KJ34" s="145"/>
      <c r="KK34" s="145"/>
      <c r="KL34" s="145"/>
      <c r="KM34" s="145"/>
      <c r="KN34" s="145"/>
      <c r="KO34" s="145"/>
      <c r="KP34" s="145"/>
      <c r="KQ34" s="145"/>
      <c r="KR34" s="145"/>
      <c r="KS34" s="145"/>
      <c r="KT34" s="145"/>
      <c r="KU34" s="145"/>
      <c r="KV34" s="145"/>
      <c r="KW34" s="145"/>
      <c r="KX34" s="145"/>
      <c r="KY34" s="145"/>
      <c r="KZ34" s="145"/>
      <c r="LA34" s="145"/>
      <c r="LB34" s="145"/>
      <c r="LC34" s="145"/>
      <c r="LD34" s="145"/>
      <c r="LE34" s="145"/>
      <c r="LF34" s="145"/>
      <c r="LG34" s="145"/>
      <c r="LH34" s="145"/>
      <c r="LI34" s="145"/>
      <c r="LJ34" s="145"/>
      <c r="LK34" s="145"/>
      <c r="LL34" s="145"/>
      <c r="LM34" s="145"/>
      <c r="LN34" s="145"/>
      <c r="LO34" s="145"/>
      <c r="LP34" s="145"/>
      <c r="LQ34" s="145"/>
      <c r="LR34" s="145"/>
      <c r="LS34" s="145"/>
      <c r="LT34" s="145"/>
      <c r="LU34" s="145"/>
      <c r="LV34" s="145"/>
      <c r="LW34" s="145"/>
      <c r="LX34" s="145"/>
      <c r="LY34" s="145"/>
      <c r="LZ34" s="145"/>
      <c r="MA34" s="145"/>
      <c r="MB34" s="145"/>
      <c r="MC34" s="145"/>
      <c r="MD34" s="145"/>
      <c r="ME34" s="145"/>
      <c r="MF34" s="145"/>
      <c r="MG34" s="145"/>
      <c r="MH34" s="145"/>
      <c r="MI34" s="145"/>
      <c r="MJ34" s="145"/>
      <c r="MK34" s="145"/>
      <c r="ML34" s="145"/>
      <c r="MM34" s="145"/>
      <c r="MN34" s="145"/>
      <c r="MO34" s="145"/>
      <c r="MP34" s="145"/>
      <c r="MQ34" s="145"/>
      <c r="MR34" s="145"/>
      <c r="MS34" s="145"/>
      <c r="MT34" s="145"/>
      <c r="MU34" s="145"/>
      <c r="MV34" s="145"/>
      <c r="MW34" s="145"/>
      <c r="MX34" s="145"/>
      <c r="MY34" s="145"/>
      <c r="MZ34" s="145"/>
      <c r="NA34" s="145"/>
      <c r="NB34" s="145"/>
      <c r="NC34" s="145"/>
      <c r="ND34" s="145"/>
      <c r="NE34" s="145"/>
      <c r="NF34" s="145"/>
      <c r="NG34" s="145"/>
      <c r="NH34" s="145"/>
      <c r="NI34" s="145"/>
      <c r="NJ34" s="145"/>
      <c r="NK34" s="145"/>
      <c r="NL34" s="145"/>
      <c r="NM34" s="145"/>
      <c r="NN34" s="145"/>
      <c r="NO34" s="145"/>
      <c r="NP34" s="145"/>
      <c r="NQ34" s="145"/>
      <c r="NR34" s="145"/>
      <c r="NS34" s="145"/>
    </row>
    <row r="35" spans="1:383" s="16" customFormat="1" ht="15" customHeight="1" x14ac:dyDescent="0.2">
      <c r="A35" s="15">
        <v>50611</v>
      </c>
      <c r="B35" s="25">
        <v>506</v>
      </c>
      <c r="C35" s="26">
        <v>11</v>
      </c>
      <c r="D35" s="20" t="s">
        <v>258</v>
      </c>
      <c r="E35" s="14">
        <v>42678</v>
      </c>
      <c r="F35" s="18">
        <v>1.06026658834777</v>
      </c>
      <c r="G35" s="18">
        <v>1.05560409978304</v>
      </c>
      <c r="H35" s="21">
        <v>85.4</v>
      </c>
      <c r="I35" s="21">
        <v>80.900017800000001</v>
      </c>
      <c r="J35" s="21">
        <v>90</v>
      </c>
      <c r="K35" s="18">
        <v>1</v>
      </c>
      <c r="L35" s="18">
        <v>85</v>
      </c>
      <c r="M35" s="18">
        <v>9.9999999999999591</v>
      </c>
      <c r="N35" s="18">
        <v>2.6</v>
      </c>
      <c r="O35" s="18">
        <v>1.9</v>
      </c>
      <c r="P35" s="18">
        <v>4.8</v>
      </c>
      <c r="Q35" s="19"/>
      <c r="R35" s="18">
        <v>77.970349714285703</v>
      </c>
      <c r="S35" s="18">
        <v>30</v>
      </c>
      <c r="T35" s="18">
        <v>42</v>
      </c>
      <c r="U35" s="18">
        <v>46</v>
      </c>
      <c r="V35" s="18">
        <v>50</v>
      </c>
      <c r="W35" s="18">
        <v>53</v>
      </c>
      <c r="X35" s="18"/>
      <c r="Y35" s="18">
        <v>0.55294117647058827</v>
      </c>
      <c r="Z35" s="18">
        <v>3.6470588235294117</v>
      </c>
      <c r="AA35" s="18">
        <v>0.2</v>
      </c>
      <c r="AB35" s="18">
        <v>1.4999999999999998</v>
      </c>
      <c r="AC35" s="18">
        <v>5.7</v>
      </c>
      <c r="AD35" s="18">
        <v>1.2</v>
      </c>
      <c r="AE35" s="18">
        <v>1.1000000000000001</v>
      </c>
      <c r="AF35" s="18">
        <v>34</v>
      </c>
      <c r="AG35" s="18">
        <v>2.9</v>
      </c>
      <c r="AH35" s="18">
        <v>14</v>
      </c>
      <c r="AI35" s="18">
        <v>28</v>
      </c>
      <c r="AJ35" s="18">
        <v>0</v>
      </c>
      <c r="AK35" s="18">
        <v>0.04</v>
      </c>
      <c r="AL35" s="18"/>
      <c r="AM35" s="18">
        <v>3.70411764705882</v>
      </c>
      <c r="AN35" s="18">
        <v>1.6811764705882399</v>
      </c>
      <c r="AO35" s="18">
        <v>2.3417647058823499</v>
      </c>
      <c r="AP35" s="18">
        <v>3.3994117647058801</v>
      </c>
      <c r="AQ35" s="18">
        <v>1.30470588235294</v>
      </c>
      <c r="AR35" s="18">
        <v>3.6152941176470601</v>
      </c>
      <c r="AS35" s="18">
        <v>6.8658823529411803</v>
      </c>
      <c r="AT35" s="18">
        <v>2.26882352941176</v>
      </c>
      <c r="AU35" s="18">
        <v>4.8911764705882304</v>
      </c>
      <c r="AV35" s="18">
        <v>3.22529411764706</v>
      </c>
      <c r="AW35" s="18">
        <v>5.0841176470588199</v>
      </c>
      <c r="AX35" s="18"/>
      <c r="AY35" s="18">
        <v>0.94</v>
      </c>
      <c r="AZ35" s="18">
        <v>1.08</v>
      </c>
      <c r="BA35" s="18">
        <v>1.03</v>
      </c>
      <c r="BB35" s="18">
        <v>0.95</v>
      </c>
      <c r="BC35" s="18">
        <v>0.96</v>
      </c>
      <c r="BD35" s="18">
        <v>1</v>
      </c>
      <c r="BE35" s="18">
        <v>1.01</v>
      </c>
      <c r="BF35" s="18">
        <v>1</v>
      </c>
      <c r="BG35" s="18">
        <v>1.04</v>
      </c>
      <c r="BH35" s="18">
        <v>0.97</v>
      </c>
      <c r="BI35" s="18">
        <v>0.96</v>
      </c>
      <c r="BJ35" s="19"/>
      <c r="BK35" s="18">
        <v>11.764705882352892</v>
      </c>
      <c r="BL35" s="18">
        <v>3.0588235294117645</v>
      </c>
      <c r="BM35" s="18">
        <v>2.2352941176470589</v>
      </c>
      <c r="BN35" s="18">
        <v>5.6470588235294121</v>
      </c>
      <c r="BO35" s="18"/>
      <c r="BP35" s="18">
        <v>120</v>
      </c>
      <c r="BQ35" s="18">
        <v>36.705882352941174</v>
      </c>
      <c r="BR35" s="18">
        <v>1.2473724568797293</v>
      </c>
      <c r="BS35" s="18">
        <v>1.2418871762153412</v>
      </c>
      <c r="BT35" s="19"/>
      <c r="BU35" s="18">
        <v>977.64705882352939</v>
      </c>
      <c r="BV35" s="18">
        <v>635.33268557647068</v>
      </c>
      <c r="BW35" s="18">
        <v>62.848490894117653</v>
      </c>
      <c r="BX35" s="18">
        <v>604</v>
      </c>
      <c r="BY35" s="18">
        <v>21.000000000000004</v>
      </c>
      <c r="BZ35" s="18">
        <v>56</v>
      </c>
      <c r="CA35" s="18">
        <v>165</v>
      </c>
      <c r="CB35" s="19"/>
      <c r="CC35" s="19">
        <v>0.47000000000000003</v>
      </c>
      <c r="CD35" s="19">
        <v>3.0999999999999996</v>
      </c>
      <c r="CE35" s="19">
        <v>0.17</v>
      </c>
      <c r="CF35" s="19">
        <v>1.2749999999999997</v>
      </c>
      <c r="CG35" s="19">
        <v>4.8449999999999998</v>
      </c>
      <c r="CH35" s="19">
        <v>1.02</v>
      </c>
      <c r="CI35" s="19">
        <v>0.93500000000000005</v>
      </c>
      <c r="CJ35" s="19"/>
      <c r="CK35" s="19">
        <v>28.9</v>
      </c>
      <c r="CL35" s="19">
        <v>2.4649999999999999</v>
      </c>
      <c r="CM35" s="19">
        <v>11.9</v>
      </c>
      <c r="CN35" s="19">
        <v>23.8</v>
      </c>
      <c r="CO35" s="19">
        <v>0</v>
      </c>
      <c r="CP35" s="19">
        <v>3.4000000000000002E-2</v>
      </c>
      <c r="CQ35" s="19">
        <v>77.970349714285405</v>
      </c>
      <c r="CR35" s="19">
        <v>73.538438889966173</v>
      </c>
      <c r="CS35" s="19">
        <v>2.5605132747571124</v>
      </c>
      <c r="CT35" s="19">
        <v>1.3352158059725088</v>
      </c>
      <c r="CU35" s="19">
        <v>1.7737601233975502</v>
      </c>
      <c r="CV35" s="19">
        <v>3.1089759293700592</v>
      </c>
      <c r="CW35" s="19">
        <v>2.3748806260462274</v>
      </c>
      <c r="CX35" s="19">
        <v>0.92108192446839454</v>
      </c>
      <c r="CY35" s="19">
        <v>2.6586308553984237</v>
      </c>
      <c r="CZ35" s="19">
        <v>5.0995533253583654</v>
      </c>
      <c r="DA35" s="19">
        <v>1.6684574046976388</v>
      </c>
      <c r="DB35" s="19">
        <v>3.7407706126168927</v>
      </c>
      <c r="DC35" s="19">
        <v>2.3006760154157324</v>
      </c>
      <c r="DD35" s="19">
        <v>6.0414466280326149</v>
      </c>
      <c r="DE35" s="19">
        <v>3.5892295190172812</v>
      </c>
      <c r="DF35" s="23">
        <v>0</v>
      </c>
      <c r="DG35" s="23">
        <v>0</v>
      </c>
      <c r="DH35" s="23">
        <v>0</v>
      </c>
      <c r="DI35" s="19">
        <v>0</v>
      </c>
      <c r="DJ35" s="19">
        <v>0</v>
      </c>
      <c r="DK35" s="19">
        <v>0</v>
      </c>
      <c r="DL35" s="19">
        <v>0</v>
      </c>
      <c r="DM35" s="19">
        <v>0</v>
      </c>
      <c r="DN35" s="19">
        <v>0</v>
      </c>
      <c r="DO35" s="19">
        <v>0</v>
      </c>
      <c r="DP35" s="19">
        <v>0</v>
      </c>
      <c r="DQ35" s="19">
        <v>0</v>
      </c>
      <c r="DR35" s="19">
        <v>0</v>
      </c>
      <c r="DS35" s="19">
        <v>0</v>
      </c>
      <c r="DT35" s="19">
        <v>0</v>
      </c>
      <c r="DU35" s="19">
        <v>0</v>
      </c>
      <c r="DV35" s="19">
        <v>0</v>
      </c>
      <c r="DW35" s="17" t="s">
        <v>230</v>
      </c>
      <c r="DX35" s="22" t="s">
        <v>218</v>
      </c>
      <c r="DY35" s="22" t="s">
        <v>218</v>
      </c>
      <c r="DZ35" s="22" t="s">
        <v>218</v>
      </c>
      <c r="EA35" s="22" t="s">
        <v>218</v>
      </c>
      <c r="EB35" s="22" t="s">
        <v>218</v>
      </c>
      <c r="EC35" s="22" t="s">
        <v>218</v>
      </c>
      <c r="ED35" s="22" t="s">
        <v>218</v>
      </c>
      <c r="EE35" s="22" t="s">
        <v>218</v>
      </c>
      <c r="EF35" s="22" t="s">
        <v>218</v>
      </c>
      <c r="EG35" s="22" t="s">
        <v>218</v>
      </c>
      <c r="EH35" s="22" t="s">
        <v>218</v>
      </c>
      <c r="EI35" s="22" t="s">
        <v>218</v>
      </c>
      <c r="EJ35" s="22" t="s">
        <v>218</v>
      </c>
      <c r="EK35" s="22" t="s">
        <v>218</v>
      </c>
      <c r="EL35" s="22" t="s">
        <v>218</v>
      </c>
      <c r="EM35" s="22" t="s">
        <v>218</v>
      </c>
      <c r="EN35" s="22" t="s">
        <v>218</v>
      </c>
      <c r="EO35" s="22" t="s">
        <v>218</v>
      </c>
      <c r="EP35" s="22" t="s">
        <v>218</v>
      </c>
      <c r="EQ35" s="22" t="s">
        <v>218</v>
      </c>
      <c r="ER35" s="22" t="s">
        <v>218</v>
      </c>
      <c r="ES35" s="22" t="s">
        <v>218</v>
      </c>
      <c r="ET35" s="22" t="s">
        <v>218</v>
      </c>
      <c r="EU35" s="22" t="s">
        <v>218</v>
      </c>
      <c r="EV35" s="22" t="s">
        <v>218</v>
      </c>
      <c r="EW35" s="22" t="s">
        <v>218</v>
      </c>
      <c r="EX35" s="22" t="s">
        <v>218</v>
      </c>
      <c r="EY35" s="22" t="s">
        <v>218</v>
      </c>
      <c r="EZ35" s="22" t="s">
        <v>218</v>
      </c>
      <c r="FA35" s="22" t="s">
        <v>218</v>
      </c>
      <c r="FB35" s="22" t="s">
        <v>218</v>
      </c>
      <c r="FC35" s="22" t="s">
        <v>218</v>
      </c>
      <c r="FD35" s="22" t="s">
        <v>218</v>
      </c>
      <c r="FE35" s="22" t="s">
        <v>218</v>
      </c>
      <c r="FF35" s="22" t="s">
        <v>218</v>
      </c>
      <c r="FG35" s="22" t="s">
        <v>218</v>
      </c>
      <c r="FH35" s="22" t="s">
        <v>218</v>
      </c>
      <c r="FI35" s="22" t="s">
        <v>218</v>
      </c>
      <c r="FJ35" s="22" t="s">
        <v>218</v>
      </c>
      <c r="FK35" s="22" t="s">
        <v>218</v>
      </c>
      <c r="FL35" s="22" t="s">
        <v>218</v>
      </c>
      <c r="FM35" s="22" t="s">
        <v>218</v>
      </c>
      <c r="FN35" s="22" t="s">
        <v>218</v>
      </c>
      <c r="FO35" s="22" t="s">
        <v>218</v>
      </c>
      <c r="FP35" s="22" t="s">
        <v>218</v>
      </c>
      <c r="FQ35" s="22" t="s">
        <v>218</v>
      </c>
      <c r="FR35" s="22" t="s">
        <v>218</v>
      </c>
      <c r="FS35" s="22" t="s">
        <v>218</v>
      </c>
      <c r="FT35" s="22" t="s">
        <v>218</v>
      </c>
      <c r="FU35" s="22" t="s">
        <v>218</v>
      </c>
      <c r="FV35" s="22" t="s">
        <v>218</v>
      </c>
      <c r="FW35" s="22" t="s">
        <v>218</v>
      </c>
      <c r="FX35" s="22" t="s">
        <v>218</v>
      </c>
      <c r="FY35" s="22" t="s">
        <v>218</v>
      </c>
      <c r="FZ35" s="22" t="s">
        <v>218</v>
      </c>
      <c r="GA35" s="22" t="s">
        <v>218</v>
      </c>
      <c r="GB35" s="22" t="s">
        <v>218</v>
      </c>
      <c r="GC35" s="22" t="s">
        <v>218</v>
      </c>
      <c r="GD35" s="22" t="s">
        <v>218</v>
      </c>
      <c r="GE35" s="22" t="s">
        <v>218</v>
      </c>
      <c r="GF35" s="22" t="s">
        <v>218</v>
      </c>
      <c r="GG35" s="22" t="s">
        <v>218</v>
      </c>
      <c r="GH35" s="22" t="s">
        <v>218</v>
      </c>
      <c r="GI35" s="22" t="s">
        <v>218</v>
      </c>
      <c r="GJ35" s="22" t="s">
        <v>218</v>
      </c>
      <c r="GK35" s="22" t="s">
        <v>218</v>
      </c>
      <c r="GL35" s="22" t="s">
        <v>218</v>
      </c>
      <c r="GM35" s="22" t="s">
        <v>218</v>
      </c>
      <c r="GN35" s="22" t="s">
        <v>218</v>
      </c>
      <c r="GO35" s="22" t="s">
        <v>218</v>
      </c>
      <c r="GP35" s="22" t="s">
        <v>218</v>
      </c>
      <c r="GQ35" s="22" t="s">
        <v>218</v>
      </c>
      <c r="GR35" s="22" t="s">
        <v>218</v>
      </c>
      <c r="GS35" s="22" t="s">
        <v>218</v>
      </c>
      <c r="GT35" s="22" t="s">
        <v>218</v>
      </c>
      <c r="GU35" s="22" t="s">
        <v>218</v>
      </c>
      <c r="GV35" s="22" t="s">
        <v>218</v>
      </c>
      <c r="GW35" s="22" t="s">
        <v>218</v>
      </c>
      <c r="GX35" s="22" t="s">
        <v>218</v>
      </c>
      <c r="GY35" s="22" t="s">
        <v>218</v>
      </c>
      <c r="GZ35" s="22" t="s">
        <v>218</v>
      </c>
      <c r="HA35" s="22" t="s">
        <v>218</v>
      </c>
      <c r="HB35" s="22" t="s">
        <v>218</v>
      </c>
      <c r="HC35" s="22" t="s">
        <v>218</v>
      </c>
      <c r="HD35" s="22" t="s">
        <v>218</v>
      </c>
      <c r="HE35" s="22" t="s">
        <v>218</v>
      </c>
      <c r="HF35" s="22" t="s">
        <v>218</v>
      </c>
      <c r="HG35" s="22" t="s">
        <v>218</v>
      </c>
      <c r="HH35" s="22" t="s">
        <v>218</v>
      </c>
      <c r="HI35" s="22" t="s">
        <v>218</v>
      </c>
      <c r="HJ35" s="22" t="s">
        <v>218</v>
      </c>
      <c r="HK35" s="22" t="s">
        <v>218</v>
      </c>
      <c r="HL35" s="22" t="s">
        <v>218</v>
      </c>
      <c r="HM35" s="620">
        <f>'background data'!$G$10</f>
        <v>0.47300000000000003</v>
      </c>
      <c r="HN35" s="620">
        <f>'background data'!$H$10</f>
        <v>0.13</v>
      </c>
      <c r="HO35" s="620">
        <f>'background data'!$J$10</f>
        <v>0.39100000000000001</v>
      </c>
      <c r="HP35" s="620">
        <f>'background data'!$L$10</f>
        <v>5.5E-2</v>
      </c>
      <c r="HQ35" s="620">
        <f>'background data'!$M$10</f>
        <v>3.97</v>
      </c>
      <c r="HR35" s="620">
        <f>'background data'!$N$10</f>
        <v>4.5999999999999999E-3</v>
      </c>
      <c r="HS35" s="620">
        <f>'background data'!$O$10</f>
        <v>2.73</v>
      </c>
      <c r="HT35" s="145"/>
      <c r="HU35" s="145" t="s">
        <v>1809</v>
      </c>
      <c r="HV35" s="22" t="s">
        <v>1927</v>
      </c>
      <c r="HW35" s="22" t="s">
        <v>259</v>
      </c>
      <c r="HX35" s="22" t="s">
        <v>232</v>
      </c>
      <c r="HY35" s="22" t="s">
        <v>233</v>
      </c>
      <c r="HZ35" s="19"/>
      <c r="IA35" s="19"/>
      <c r="IB35" s="620">
        <f>'background data'!$G$10</f>
        <v>0.47300000000000003</v>
      </c>
      <c r="IC35" s="620">
        <f>'background data'!$H$10</f>
        <v>0.13</v>
      </c>
      <c r="ID35" s="620">
        <f>'background data'!$J$10</f>
        <v>0.39100000000000001</v>
      </c>
      <c r="IE35" s="620">
        <f>'background data'!$L$10</f>
        <v>5.5E-2</v>
      </c>
      <c r="IF35" s="620">
        <f>'background data'!$M$10</f>
        <v>3.97</v>
      </c>
      <c r="IG35" s="620">
        <f>'background data'!$N$10</f>
        <v>4.5999999999999999E-3</v>
      </c>
      <c r="IH35" s="620">
        <f>'background data'!$O$10</f>
        <v>2.73</v>
      </c>
      <c r="II35" s="145"/>
      <c r="IJ35" s="145">
        <v>1</v>
      </c>
      <c r="IK35" s="145"/>
      <c r="IL35" s="145"/>
      <c r="IM35" s="145"/>
      <c r="IN35" s="145"/>
      <c r="IO35" s="145"/>
      <c r="IP35" s="145"/>
      <c r="IQ35" s="145"/>
      <c r="IR35" s="145"/>
      <c r="IS35" s="145"/>
      <c r="IT35" s="145"/>
      <c r="IU35" s="145"/>
      <c r="IV35" s="145"/>
      <c r="IW35" s="145"/>
      <c r="IX35" s="145"/>
      <c r="IY35" s="145"/>
      <c r="IZ35" s="145"/>
      <c r="JA35" s="145"/>
      <c r="JB35" s="145"/>
      <c r="JC35" s="145"/>
      <c r="JD35" s="145"/>
      <c r="JE35" s="145"/>
      <c r="JF35" s="145"/>
      <c r="JG35" s="145"/>
      <c r="JH35" s="145"/>
      <c r="JI35" s="145"/>
      <c r="JJ35" s="145"/>
      <c r="JK35" s="145"/>
      <c r="JL35" s="145"/>
      <c r="JM35" s="145"/>
      <c r="JN35" s="145"/>
      <c r="JO35" s="145"/>
      <c r="JP35" s="145"/>
      <c r="JQ35" s="145"/>
      <c r="JR35" s="145"/>
      <c r="JS35" s="145"/>
      <c r="JT35" s="145"/>
      <c r="JU35" s="145"/>
      <c r="JV35" s="145"/>
      <c r="JW35" s="145"/>
      <c r="JX35" s="145"/>
      <c r="JY35" s="145"/>
      <c r="JZ35" s="145"/>
      <c r="KA35" s="145"/>
      <c r="KB35" s="145"/>
      <c r="KC35" s="145"/>
      <c r="KD35" s="145"/>
      <c r="KE35" s="145"/>
      <c r="KF35" s="145"/>
      <c r="KG35" s="145"/>
      <c r="KH35" s="145"/>
      <c r="KI35" s="145"/>
      <c r="KJ35" s="145"/>
      <c r="KK35" s="145"/>
      <c r="KL35" s="145"/>
      <c r="KM35" s="145"/>
      <c r="KN35" s="145"/>
      <c r="KO35" s="145"/>
      <c r="KP35" s="145"/>
      <c r="KQ35" s="145"/>
      <c r="KR35" s="145"/>
      <c r="KS35" s="145"/>
      <c r="KT35" s="145"/>
      <c r="KU35" s="145"/>
      <c r="KV35" s="145"/>
      <c r="KW35" s="145"/>
      <c r="KX35" s="145"/>
      <c r="KY35" s="145"/>
      <c r="KZ35" s="145"/>
      <c r="LA35" s="145"/>
      <c r="LB35" s="145"/>
      <c r="LC35" s="145"/>
      <c r="LD35" s="145"/>
      <c r="LE35" s="145"/>
      <c r="LF35" s="145"/>
      <c r="LG35" s="145"/>
      <c r="LH35" s="145"/>
      <c r="LI35" s="145"/>
      <c r="LJ35" s="145"/>
      <c r="LK35" s="145"/>
      <c r="LL35" s="145"/>
      <c r="LM35" s="145"/>
      <c r="LN35" s="145"/>
      <c r="LO35" s="145"/>
      <c r="LP35" s="145"/>
      <c r="LQ35" s="145"/>
      <c r="LR35" s="145"/>
      <c r="LS35" s="145"/>
      <c r="LT35" s="145"/>
      <c r="LU35" s="145"/>
      <c r="LV35" s="145"/>
      <c r="LW35" s="145"/>
      <c r="LX35" s="145"/>
      <c r="LY35" s="145"/>
      <c r="LZ35" s="145"/>
      <c r="MA35" s="145"/>
      <c r="MB35" s="145"/>
      <c r="MC35" s="145"/>
      <c r="MD35" s="145"/>
      <c r="ME35" s="145"/>
      <c r="MF35" s="145"/>
      <c r="MG35" s="145"/>
      <c r="MH35" s="145"/>
      <c r="MI35" s="145"/>
      <c r="MJ35" s="145"/>
      <c r="MK35" s="145"/>
      <c r="ML35" s="145"/>
      <c r="MM35" s="145"/>
      <c r="MN35" s="145"/>
      <c r="MO35" s="145"/>
      <c r="MP35" s="145"/>
      <c r="MQ35" s="145"/>
      <c r="MR35" s="145"/>
      <c r="MS35" s="145"/>
      <c r="MT35" s="145"/>
      <c r="MU35" s="145"/>
      <c r="MV35" s="145"/>
      <c r="MW35" s="145"/>
      <c r="MX35" s="145"/>
      <c r="MY35" s="145"/>
      <c r="MZ35" s="145"/>
      <c r="NA35" s="145"/>
      <c r="NB35" s="145"/>
      <c r="NC35" s="145"/>
      <c r="ND35" s="145"/>
      <c r="NE35" s="145"/>
      <c r="NF35" s="145"/>
      <c r="NG35" s="145"/>
      <c r="NH35" s="145"/>
      <c r="NI35" s="145"/>
      <c r="NJ35" s="145"/>
      <c r="NK35" s="145"/>
      <c r="NL35" s="145"/>
      <c r="NM35" s="145"/>
      <c r="NN35" s="145"/>
      <c r="NO35" s="145"/>
      <c r="NP35" s="145"/>
      <c r="NQ35" s="145"/>
      <c r="NR35" s="145"/>
      <c r="NS35" s="145"/>
    </row>
    <row r="36" spans="1:383" s="16" customFormat="1" ht="15" customHeight="1" x14ac:dyDescent="0.2">
      <c r="A36" s="15">
        <v>50661</v>
      </c>
      <c r="B36" s="25">
        <v>506</v>
      </c>
      <c r="C36" s="26">
        <v>61</v>
      </c>
      <c r="D36" s="20" t="s">
        <v>260</v>
      </c>
      <c r="E36" s="14">
        <v>42678</v>
      </c>
      <c r="F36" s="18">
        <v>1.0569386566008601</v>
      </c>
      <c r="G36" s="18">
        <v>1.0524153588126199</v>
      </c>
      <c r="H36" s="21">
        <v>85.4</v>
      </c>
      <c r="I36" s="21">
        <v>80.900017800000001</v>
      </c>
      <c r="J36" s="21">
        <v>90</v>
      </c>
      <c r="K36" s="18">
        <v>1</v>
      </c>
      <c r="L36" s="18">
        <v>85</v>
      </c>
      <c r="M36" s="18">
        <v>11.5</v>
      </c>
      <c r="N36" s="18">
        <v>2.6</v>
      </c>
      <c r="O36" s="18">
        <v>1.9</v>
      </c>
      <c r="P36" s="18">
        <v>4.8</v>
      </c>
      <c r="Q36" s="19"/>
      <c r="R36" s="18">
        <v>79.539434534161501</v>
      </c>
      <c r="S36" s="18">
        <v>30</v>
      </c>
      <c r="T36" s="18">
        <v>42</v>
      </c>
      <c r="U36" s="18">
        <v>46</v>
      </c>
      <c r="V36" s="18">
        <v>50</v>
      </c>
      <c r="W36" s="18">
        <v>53</v>
      </c>
      <c r="X36" s="18"/>
      <c r="Y36" s="18">
        <v>0.55294117647058827</v>
      </c>
      <c r="Z36" s="18">
        <v>3.6470588235294117</v>
      </c>
      <c r="AA36" s="18">
        <v>0.2</v>
      </c>
      <c r="AB36" s="18">
        <v>1.4999999999999998</v>
      </c>
      <c r="AC36" s="18">
        <v>5.7</v>
      </c>
      <c r="AD36" s="18">
        <v>1.2</v>
      </c>
      <c r="AE36" s="18">
        <v>1.1000000000000001</v>
      </c>
      <c r="AF36" s="18">
        <v>34</v>
      </c>
      <c r="AG36" s="18">
        <v>2.9</v>
      </c>
      <c r="AH36" s="18">
        <v>14</v>
      </c>
      <c r="AI36" s="18">
        <v>28</v>
      </c>
      <c r="AJ36" s="18">
        <v>0</v>
      </c>
      <c r="AK36" s="18">
        <v>0.04</v>
      </c>
      <c r="AL36" s="18"/>
      <c r="AM36" s="18">
        <v>3.47823529411765</v>
      </c>
      <c r="AN36" s="18">
        <v>1.6123529411764701</v>
      </c>
      <c r="AO36" s="18">
        <v>2.22352941176471</v>
      </c>
      <c r="AP36" s="18">
        <v>3.2688235294117698</v>
      </c>
      <c r="AQ36" s="18">
        <v>1.23941176470588</v>
      </c>
      <c r="AR36" s="18">
        <v>3.5905882352941201</v>
      </c>
      <c r="AS36" s="18">
        <v>6.8217647058823498</v>
      </c>
      <c r="AT36" s="18">
        <v>2.21764705882353</v>
      </c>
      <c r="AU36" s="18">
        <v>5.0923529411764701</v>
      </c>
      <c r="AV36" s="18">
        <v>3.26058823529412</v>
      </c>
      <c r="AW36" s="18">
        <v>4.97823529411765</v>
      </c>
      <c r="AX36" s="18"/>
      <c r="AY36" s="18">
        <v>0.94</v>
      </c>
      <c r="AZ36" s="18">
        <v>1.08</v>
      </c>
      <c r="BA36" s="18">
        <v>1.03</v>
      </c>
      <c r="BB36" s="18">
        <v>0.95</v>
      </c>
      <c r="BC36" s="18">
        <v>0.96</v>
      </c>
      <c r="BD36" s="18">
        <v>1</v>
      </c>
      <c r="BE36" s="18">
        <v>1.01</v>
      </c>
      <c r="BF36" s="18">
        <v>1</v>
      </c>
      <c r="BG36" s="18">
        <v>1.04</v>
      </c>
      <c r="BH36" s="18">
        <v>0.97</v>
      </c>
      <c r="BI36" s="18">
        <v>0.96</v>
      </c>
      <c r="BJ36" s="19"/>
      <c r="BK36" s="18">
        <v>13.529411764705882</v>
      </c>
      <c r="BL36" s="18">
        <v>3.0588235294117645</v>
      </c>
      <c r="BM36" s="18">
        <v>2.2352941176470589</v>
      </c>
      <c r="BN36" s="18">
        <v>5.6470588235294121</v>
      </c>
      <c r="BO36" s="18"/>
      <c r="BP36" s="18">
        <v>120</v>
      </c>
      <c r="BQ36" s="18">
        <v>36.705882352941174</v>
      </c>
      <c r="BR36" s="18">
        <v>1.2434572430598354</v>
      </c>
      <c r="BS36" s="18">
        <v>1.2381357162501412</v>
      </c>
      <c r="BT36" s="19"/>
      <c r="BU36" s="18">
        <v>977.64705882352939</v>
      </c>
      <c r="BV36" s="18">
        <v>619.27361344537769</v>
      </c>
      <c r="BW36" s="18">
        <v>62.848490894117653</v>
      </c>
      <c r="BX36" s="18">
        <v>604</v>
      </c>
      <c r="BY36" s="18">
        <v>21.000000000000004</v>
      </c>
      <c r="BZ36" s="18">
        <v>56</v>
      </c>
      <c r="CA36" s="18">
        <v>165</v>
      </c>
      <c r="CB36" s="19"/>
      <c r="CC36" s="19">
        <v>0.47000000000000003</v>
      </c>
      <c r="CD36" s="19">
        <v>3.0999999999999996</v>
      </c>
      <c r="CE36" s="19">
        <v>0.17</v>
      </c>
      <c r="CF36" s="19">
        <v>1.2749999999999997</v>
      </c>
      <c r="CG36" s="19">
        <v>4.8449999999999998</v>
      </c>
      <c r="CH36" s="19">
        <v>1.02</v>
      </c>
      <c r="CI36" s="19">
        <v>0.93500000000000005</v>
      </c>
      <c r="CJ36" s="19"/>
      <c r="CK36" s="19">
        <v>28.9</v>
      </c>
      <c r="CL36" s="19">
        <v>2.4649999999999999</v>
      </c>
      <c r="CM36" s="19">
        <v>11.9</v>
      </c>
      <c r="CN36" s="19">
        <v>23.8</v>
      </c>
      <c r="CO36" s="19">
        <v>0</v>
      </c>
      <c r="CP36" s="19">
        <v>3.4000000000000002E-2</v>
      </c>
      <c r="CQ36" s="19">
        <v>91.470349714285902</v>
      </c>
      <c r="CR36" s="19">
        <v>86.542723310411148</v>
      </c>
      <c r="CS36" s="19">
        <v>2.8295499738729077</v>
      </c>
      <c r="CT36" s="19">
        <v>1.5070040762431924</v>
      </c>
      <c r="CU36" s="19">
        <v>1.9820319937456201</v>
      </c>
      <c r="CV36" s="19">
        <v>3.489036069988813</v>
      </c>
      <c r="CW36" s="19">
        <v>2.6874824574362139</v>
      </c>
      <c r="CX36" s="19">
        <v>1.0297158664378483</v>
      </c>
      <c r="CY36" s="19">
        <v>3.1073928416867571</v>
      </c>
      <c r="CZ36" s="19">
        <v>5.9627783638420304</v>
      </c>
      <c r="DA36" s="19">
        <v>1.9192121581191199</v>
      </c>
      <c r="DB36" s="19">
        <v>4.5833433525068195</v>
      </c>
      <c r="DC36" s="19">
        <v>2.737147799119533</v>
      </c>
      <c r="DD36" s="19">
        <v>7.3204911516263431</v>
      </c>
      <c r="DE36" s="19">
        <v>4.1359683804762852</v>
      </c>
      <c r="DF36" s="23">
        <v>0</v>
      </c>
      <c r="DG36" s="23">
        <v>0</v>
      </c>
      <c r="DH36" s="23">
        <v>0</v>
      </c>
      <c r="DI36" s="19">
        <v>0</v>
      </c>
      <c r="DJ36" s="19">
        <v>0</v>
      </c>
      <c r="DK36" s="19">
        <v>0</v>
      </c>
      <c r="DL36" s="19">
        <v>0</v>
      </c>
      <c r="DM36" s="19">
        <v>0</v>
      </c>
      <c r="DN36" s="19">
        <v>0</v>
      </c>
      <c r="DO36" s="19">
        <v>0</v>
      </c>
      <c r="DP36" s="19">
        <v>0</v>
      </c>
      <c r="DQ36" s="19">
        <v>0</v>
      </c>
      <c r="DR36" s="19">
        <v>0</v>
      </c>
      <c r="DS36" s="19">
        <v>0</v>
      </c>
      <c r="DT36" s="19">
        <v>0</v>
      </c>
      <c r="DU36" s="19">
        <v>0</v>
      </c>
      <c r="DV36" s="19">
        <v>0</v>
      </c>
      <c r="DW36" s="17" t="s">
        <v>230</v>
      </c>
      <c r="DX36" s="22" t="s">
        <v>218</v>
      </c>
      <c r="DY36" s="22" t="s">
        <v>218</v>
      </c>
      <c r="DZ36" s="22" t="s">
        <v>218</v>
      </c>
      <c r="EA36" s="22" t="s">
        <v>218</v>
      </c>
      <c r="EB36" s="22" t="s">
        <v>218</v>
      </c>
      <c r="EC36" s="22" t="s">
        <v>218</v>
      </c>
      <c r="ED36" s="22" t="s">
        <v>218</v>
      </c>
      <c r="EE36" s="22" t="s">
        <v>218</v>
      </c>
      <c r="EF36" s="22" t="s">
        <v>218</v>
      </c>
      <c r="EG36" s="22" t="s">
        <v>218</v>
      </c>
      <c r="EH36" s="22" t="s">
        <v>218</v>
      </c>
      <c r="EI36" s="22" t="s">
        <v>218</v>
      </c>
      <c r="EJ36" s="22" t="s">
        <v>218</v>
      </c>
      <c r="EK36" s="22" t="s">
        <v>218</v>
      </c>
      <c r="EL36" s="22" t="s">
        <v>218</v>
      </c>
      <c r="EM36" s="22" t="s">
        <v>218</v>
      </c>
      <c r="EN36" s="22" t="s">
        <v>218</v>
      </c>
      <c r="EO36" s="22" t="s">
        <v>218</v>
      </c>
      <c r="EP36" s="22" t="s">
        <v>218</v>
      </c>
      <c r="EQ36" s="22" t="s">
        <v>218</v>
      </c>
      <c r="ER36" s="22" t="s">
        <v>218</v>
      </c>
      <c r="ES36" s="22" t="s">
        <v>218</v>
      </c>
      <c r="ET36" s="22" t="s">
        <v>218</v>
      </c>
      <c r="EU36" s="22" t="s">
        <v>218</v>
      </c>
      <c r="EV36" s="22" t="s">
        <v>218</v>
      </c>
      <c r="EW36" s="22" t="s">
        <v>218</v>
      </c>
      <c r="EX36" s="22" t="s">
        <v>218</v>
      </c>
      <c r="EY36" s="22" t="s">
        <v>218</v>
      </c>
      <c r="EZ36" s="22" t="s">
        <v>218</v>
      </c>
      <c r="FA36" s="22" t="s">
        <v>218</v>
      </c>
      <c r="FB36" s="22" t="s">
        <v>218</v>
      </c>
      <c r="FC36" s="22" t="s">
        <v>218</v>
      </c>
      <c r="FD36" s="22" t="s">
        <v>218</v>
      </c>
      <c r="FE36" s="22" t="s">
        <v>218</v>
      </c>
      <c r="FF36" s="22" t="s">
        <v>218</v>
      </c>
      <c r="FG36" s="22" t="s">
        <v>218</v>
      </c>
      <c r="FH36" s="22" t="s">
        <v>218</v>
      </c>
      <c r="FI36" s="22" t="s">
        <v>218</v>
      </c>
      <c r="FJ36" s="22" t="s">
        <v>218</v>
      </c>
      <c r="FK36" s="22" t="s">
        <v>218</v>
      </c>
      <c r="FL36" s="22" t="s">
        <v>218</v>
      </c>
      <c r="FM36" s="22" t="s">
        <v>218</v>
      </c>
      <c r="FN36" s="22" t="s">
        <v>218</v>
      </c>
      <c r="FO36" s="22" t="s">
        <v>218</v>
      </c>
      <c r="FP36" s="22" t="s">
        <v>218</v>
      </c>
      <c r="FQ36" s="22" t="s">
        <v>218</v>
      </c>
      <c r="FR36" s="22" t="s">
        <v>218</v>
      </c>
      <c r="FS36" s="22" t="s">
        <v>218</v>
      </c>
      <c r="FT36" s="22" t="s">
        <v>218</v>
      </c>
      <c r="FU36" s="22" t="s">
        <v>218</v>
      </c>
      <c r="FV36" s="22" t="s">
        <v>218</v>
      </c>
      <c r="FW36" s="22" t="s">
        <v>218</v>
      </c>
      <c r="FX36" s="22" t="s">
        <v>218</v>
      </c>
      <c r="FY36" s="22" t="s">
        <v>218</v>
      </c>
      <c r="FZ36" s="22" t="s">
        <v>218</v>
      </c>
      <c r="GA36" s="22" t="s">
        <v>218</v>
      </c>
      <c r="GB36" s="22" t="s">
        <v>218</v>
      </c>
      <c r="GC36" s="22" t="s">
        <v>218</v>
      </c>
      <c r="GD36" s="22" t="s">
        <v>218</v>
      </c>
      <c r="GE36" s="22" t="s">
        <v>218</v>
      </c>
      <c r="GF36" s="22" t="s">
        <v>218</v>
      </c>
      <c r="GG36" s="22" t="s">
        <v>218</v>
      </c>
      <c r="GH36" s="22" t="s">
        <v>218</v>
      </c>
      <c r="GI36" s="22" t="s">
        <v>218</v>
      </c>
      <c r="GJ36" s="22" t="s">
        <v>218</v>
      </c>
      <c r="GK36" s="22" t="s">
        <v>218</v>
      </c>
      <c r="GL36" s="22" t="s">
        <v>218</v>
      </c>
      <c r="GM36" s="22" t="s">
        <v>218</v>
      </c>
      <c r="GN36" s="22" t="s">
        <v>218</v>
      </c>
      <c r="GO36" s="22" t="s">
        <v>218</v>
      </c>
      <c r="GP36" s="22" t="s">
        <v>218</v>
      </c>
      <c r="GQ36" s="22" t="s">
        <v>218</v>
      </c>
      <c r="GR36" s="22" t="s">
        <v>218</v>
      </c>
      <c r="GS36" s="22" t="s">
        <v>218</v>
      </c>
      <c r="GT36" s="22" t="s">
        <v>218</v>
      </c>
      <c r="GU36" s="22" t="s">
        <v>218</v>
      </c>
      <c r="GV36" s="22" t="s">
        <v>218</v>
      </c>
      <c r="GW36" s="22" t="s">
        <v>218</v>
      </c>
      <c r="GX36" s="22" t="s">
        <v>218</v>
      </c>
      <c r="GY36" s="22" t="s">
        <v>218</v>
      </c>
      <c r="GZ36" s="22" t="s">
        <v>218</v>
      </c>
      <c r="HA36" s="22" t="s">
        <v>218</v>
      </c>
      <c r="HB36" s="22" t="s">
        <v>218</v>
      </c>
      <c r="HC36" s="22" t="s">
        <v>218</v>
      </c>
      <c r="HD36" s="22" t="s">
        <v>218</v>
      </c>
      <c r="HE36" s="22" t="s">
        <v>218</v>
      </c>
      <c r="HF36" s="22" t="s">
        <v>218</v>
      </c>
      <c r="HG36" s="22" t="s">
        <v>218</v>
      </c>
      <c r="HH36" s="22" t="s">
        <v>218</v>
      </c>
      <c r="HI36" s="22" t="s">
        <v>218</v>
      </c>
      <c r="HJ36" s="22" t="s">
        <v>218</v>
      </c>
      <c r="HK36" s="22" t="s">
        <v>218</v>
      </c>
      <c r="HL36" s="22" t="s">
        <v>218</v>
      </c>
      <c r="HM36" s="620">
        <f>'background data'!$G$10</f>
        <v>0.47300000000000003</v>
      </c>
      <c r="HN36" s="620">
        <f>'background data'!$H$10</f>
        <v>0.13</v>
      </c>
      <c r="HO36" s="620">
        <f>'background data'!$J$10</f>
        <v>0.39100000000000001</v>
      </c>
      <c r="HP36" s="620">
        <f>'background data'!$L$10</f>
        <v>5.5E-2</v>
      </c>
      <c r="HQ36" s="620">
        <f>'background data'!$M$10</f>
        <v>3.97</v>
      </c>
      <c r="HR36" s="620">
        <f>'background data'!$N$10</f>
        <v>4.5999999999999999E-3</v>
      </c>
      <c r="HS36" s="620">
        <f>'background data'!$O$10</f>
        <v>2.73</v>
      </c>
      <c r="HT36" s="145"/>
      <c r="HU36" s="145" t="s">
        <v>1809</v>
      </c>
      <c r="HV36" s="22" t="s">
        <v>1927</v>
      </c>
      <c r="HW36" s="22" t="s">
        <v>259</v>
      </c>
      <c r="HX36" s="22" t="s">
        <v>232</v>
      </c>
      <c r="HY36" s="22" t="s">
        <v>233</v>
      </c>
      <c r="HZ36" s="19"/>
      <c r="IA36" s="19"/>
      <c r="IB36" s="620">
        <f>'background data'!$G$10</f>
        <v>0.47300000000000003</v>
      </c>
      <c r="IC36" s="620">
        <f>'background data'!$H$10</f>
        <v>0.13</v>
      </c>
      <c r="ID36" s="620">
        <f>'background data'!$J$10</f>
        <v>0.39100000000000001</v>
      </c>
      <c r="IE36" s="620">
        <f>'background data'!$L$10</f>
        <v>5.5E-2</v>
      </c>
      <c r="IF36" s="620">
        <f>'background data'!$M$10</f>
        <v>3.97</v>
      </c>
      <c r="IG36" s="620">
        <f>'background data'!$N$10</f>
        <v>4.5999999999999999E-3</v>
      </c>
      <c r="IH36" s="620">
        <f>'background data'!$O$10</f>
        <v>2.73</v>
      </c>
      <c r="II36" s="145"/>
      <c r="IJ36" s="145">
        <v>1</v>
      </c>
      <c r="IK36" s="145"/>
      <c r="IL36" s="145"/>
      <c r="IM36" s="145"/>
      <c r="IN36" s="145"/>
      <c r="IO36" s="145"/>
      <c r="IP36" s="145"/>
      <c r="IQ36" s="145"/>
      <c r="IR36" s="145"/>
      <c r="IS36" s="145"/>
      <c r="IT36" s="145"/>
      <c r="IU36" s="145"/>
      <c r="IV36" s="145"/>
      <c r="IW36" s="145"/>
      <c r="IX36" s="145"/>
      <c r="IY36" s="145"/>
      <c r="IZ36" s="145"/>
      <c r="JA36" s="145"/>
      <c r="JB36" s="145"/>
      <c r="JC36" s="145"/>
      <c r="JD36" s="145"/>
      <c r="JE36" s="145"/>
      <c r="JF36" s="145"/>
      <c r="JG36" s="145"/>
      <c r="JH36" s="145"/>
      <c r="JI36" s="145"/>
      <c r="JJ36" s="145"/>
      <c r="JK36" s="145"/>
      <c r="JL36" s="145"/>
      <c r="JM36" s="145"/>
      <c r="JN36" s="145"/>
      <c r="JO36" s="145"/>
      <c r="JP36" s="145"/>
      <c r="JQ36" s="145"/>
      <c r="JR36" s="145"/>
      <c r="JS36" s="145"/>
      <c r="JT36" s="145"/>
      <c r="JU36" s="145"/>
      <c r="JV36" s="145"/>
      <c r="JW36" s="145"/>
      <c r="JX36" s="145"/>
      <c r="JY36" s="145"/>
      <c r="JZ36" s="145"/>
      <c r="KA36" s="145"/>
      <c r="KB36" s="145"/>
      <c r="KC36" s="145"/>
      <c r="KD36" s="145"/>
      <c r="KE36" s="145"/>
      <c r="KF36" s="145"/>
      <c r="KG36" s="145"/>
      <c r="KH36" s="145"/>
      <c r="KI36" s="145"/>
      <c r="KJ36" s="145"/>
      <c r="KK36" s="145"/>
      <c r="KL36" s="145"/>
      <c r="KM36" s="145"/>
      <c r="KN36" s="145"/>
      <c r="KO36" s="145"/>
      <c r="KP36" s="145"/>
      <c r="KQ36" s="145"/>
      <c r="KR36" s="145"/>
      <c r="KS36" s="145"/>
      <c r="KT36" s="145"/>
      <c r="KU36" s="145"/>
      <c r="KV36" s="145"/>
      <c r="KW36" s="145"/>
      <c r="KX36" s="145"/>
      <c r="KY36" s="145"/>
      <c r="KZ36" s="145"/>
      <c r="LA36" s="145"/>
      <c r="LB36" s="145"/>
      <c r="LC36" s="145"/>
      <c r="LD36" s="145"/>
      <c r="LE36" s="145"/>
      <c r="LF36" s="145"/>
      <c r="LG36" s="145"/>
      <c r="LH36" s="145"/>
      <c r="LI36" s="145"/>
      <c r="LJ36" s="145"/>
      <c r="LK36" s="145"/>
      <c r="LL36" s="145"/>
      <c r="LM36" s="145"/>
      <c r="LN36" s="145"/>
      <c r="LO36" s="145"/>
      <c r="LP36" s="145"/>
      <c r="LQ36" s="145"/>
      <c r="LR36" s="145"/>
      <c r="LS36" s="145"/>
      <c r="LT36" s="145"/>
      <c r="LU36" s="145"/>
      <c r="LV36" s="145"/>
      <c r="LW36" s="145"/>
      <c r="LX36" s="145"/>
      <c r="LY36" s="145"/>
      <c r="LZ36" s="145"/>
      <c r="MA36" s="145"/>
      <c r="MB36" s="145"/>
      <c r="MC36" s="145"/>
      <c r="MD36" s="145"/>
      <c r="ME36" s="145"/>
      <c r="MF36" s="145"/>
      <c r="MG36" s="145"/>
      <c r="MH36" s="145"/>
      <c r="MI36" s="145"/>
      <c r="MJ36" s="145"/>
      <c r="MK36" s="145"/>
      <c r="ML36" s="145"/>
      <c r="MM36" s="145"/>
      <c r="MN36" s="145"/>
      <c r="MO36" s="145"/>
      <c r="MP36" s="145"/>
      <c r="MQ36" s="145"/>
      <c r="MR36" s="145"/>
      <c r="MS36" s="145"/>
      <c r="MT36" s="145"/>
      <c r="MU36" s="145"/>
      <c r="MV36" s="145"/>
      <c r="MW36" s="145"/>
      <c r="MX36" s="145"/>
      <c r="MY36" s="145"/>
      <c r="MZ36" s="145"/>
      <c r="NA36" s="145"/>
      <c r="NB36" s="145"/>
      <c r="NC36" s="145"/>
      <c r="ND36" s="145"/>
      <c r="NE36" s="145"/>
      <c r="NF36" s="145"/>
      <c r="NG36" s="145"/>
      <c r="NH36" s="145"/>
      <c r="NI36" s="145"/>
      <c r="NJ36" s="145"/>
      <c r="NK36" s="145"/>
      <c r="NL36" s="145"/>
      <c r="NM36" s="145"/>
      <c r="NN36" s="145"/>
      <c r="NO36" s="145"/>
      <c r="NP36" s="145"/>
      <c r="NQ36" s="145"/>
      <c r="NR36" s="145"/>
      <c r="NS36" s="145"/>
    </row>
    <row r="37" spans="1:383" s="16" customFormat="1" ht="15" customHeight="1" x14ac:dyDescent="0.2">
      <c r="A37" s="15">
        <v>50600</v>
      </c>
      <c r="B37" s="25">
        <v>506</v>
      </c>
      <c r="C37" s="26">
        <v>0</v>
      </c>
      <c r="D37" s="20" t="s">
        <v>261</v>
      </c>
      <c r="E37" s="14">
        <v>42678</v>
      </c>
      <c r="F37" s="18">
        <v>1.0542336624080499</v>
      </c>
      <c r="G37" s="18">
        <v>1.0513645239332099</v>
      </c>
      <c r="H37" s="21">
        <v>85.4</v>
      </c>
      <c r="I37" s="21">
        <v>80.400000800000001</v>
      </c>
      <c r="J37" s="21">
        <v>90</v>
      </c>
      <c r="K37" s="18">
        <v>1</v>
      </c>
      <c r="L37" s="18">
        <v>85</v>
      </c>
      <c r="M37" s="18">
        <v>9.9999999999999591</v>
      </c>
      <c r="N37" s="18">
        <v>2.6</v>
      </c>
      <c r="O37" s="18">
        <v>1.9</v>
      </c>
      <c r="P37" s="18">
        <v>4.8</v>
      </c>
      <c r="Q37" s="19"/>
      <c r="R37" s="18">
        <v>77.578592571428501</v>
      </c>
      <c r="S37" s="18">
        <v>43</v>
      </c>
      <c r="T37" s="18">
        <v>49</v>
      </c>
      <c r="U37" s="18">
        <v>51</v>
      </c>
      <c r="V37" s="18">
        <v>53</v>
      </c>
      <c r="W37" s="18">
        <v>54</v>
      </c>
      <c r="X37" s="18"/>
      <c r="Y37" s="18">
        <v>0.55294117647058827</v>
      </c>
      <c r="Z37" s="18">
        <v>3.6470588235294117</v>
      </c>
      <c r="AA37" s="18">
        <v>0.2</v>
      </c>
      <c r="AB37" s="18">
        <v>1.4999999999999998</v>
      </c>
      <c r="AC37" s="18">
        <v>5.7</v>
      </c>
      <c r="AD37" s="18">
        <v>1.2</v>
      </c>
      <c r="AE37" s="18">
        <v>1.1000000000000001</v>
      </c>
      <c r="AF37" s="18">
        <v>34</v>
      </c>
      <c r="AG37" s="18">
        <v>2.9</v>
      </c>
      <c r="AH37" s="18">
        <v>14</v>
      </c>
      <c r="AI37" s="18">
        <v>28</v>
      </c>
      <c r="AJ37" s="18">
        <v>0</v>
      </c>
      <c r="AK37" s="18">
        <v>0.04</v>
      </c>
      <c r="AL37" s="18"/>
      <c r="AM37" s="18">
        <v>3.70411764705882</v>
      </c>
      <c r="AN37" s="18">
        <v>1.6811764705882399</v>
      </c>
      <c r="AO37" s="18">
        <v>2.3417647058823499</v>
      </c>
      <c r="AP37" s="18">
        <v>3.3994117647058801</v>
      </c>
      <c r="AQ37" s="18">
        <v>1.30470588235294</v>
      </c>
      <c r="AR37" s="18">
        <v>3.6152941176470601</v>
      </c>
      <c r="AS37" s="18">
        <v>6.8658823529411803</v>
      </c>
      <c r="AT37" s="18">
        <v>2.26882352941176</v>
      </c>
      <c r="AU37" s="18">
        <v>4.8911764705882304</v>
      </c>
      <c r="AV37" s="18">
        <v>3.22529411764706</v>
      </c>
      <c r="AW37" s="18">
        <v>5.0841176470588199</v>
      </c>
      <c r="AX37" s="18"/>
      <c r="AY37" s="18">
        <v>0.93979487733984202</v>
      </c>
      <c r="AZ37" s="18">
        <v>1.07984084344248</v>
      </c>
      <c r="BA37" s="18">
        <v>1.0298133265506999</v>
      </c>
      <c r="BB37" s="18">
        <v>0.94986852960372503</v>
      </c>
      <c r="BC37" s="18">
        <v>0.95982752284767003</v>
      </c>
      <c r="BD37" s="18">
        <v>0.99997514724094605</v>
      </c>
      <c r="BE37" s="18">
        <v>1.00997639474776</v>
      </c>
      <c r="BF37" s="18">
        <v>0.99991835406371998</v>
      </c>
      <c r="BG37" s="18">
        <v>1.0401578477529601</v>
      </c>
      <c r="BH37" s="18">
        <v>0.970038811056257</v>
      </c>
      <c r="BI37" s="18">
        <v>0.95992759482045098</v>
      </c>
      <c r="BJ37" s="19"/>
      <c r="BK37" s="18">
        <v>11.764705882352892</v>
      </c>
      <c r="BL37" s="18">
        <v>3.0588235294117645</v>
      </c>
      <c r="BM37" s="18">
        <v>2.2352941176470589</v>
      </c>
      <c r="BN37" s="18">
        <v>5.6470588235294121</v>
      </c>
      <c r="BO37" s="18"/>
      <c r="BP37" s="18">
        <v>120</v>
      </c>
      <c r="BQ37" s="18">
        <v>36.70588235294106</v>
      </c>
      <c r="BR37" s="18">
        <v>1.240274896950647</v>
      </c>
      <c r="BS37" s="18">
        <v>1.2368994399214235</v>
      </c>
      <c r="BT37" s="19"/>
      <c r="BU37" s="18">
        <v>977.64705882352939</v>
      </c>
      <c r="BV37" s="18">
        <v>628.34924369747876</v>
      </c>
      <c r="BW37" s="18">
        <v>69.831921600000115</v>
      </c>
      <c r="BX37" s="18">
        <v>604</v>
      </c>
      <c r="BY37" s="18">
        <v>21.000000000000004</v>
      </c>
      <c r="BZ37" s="18">
        <v>55.999999999999879</v>
      </c>
      <c r="CA37" s="18">
        <v>165</v>
      </c>
      <c r="CB37" s="19"/>
      <c r="CC37" s="19">
        <v>0.47000000000000003</v>
      </c>
      <c r="CD37" s="19">
        <v>3.0999999999999996</v>
      </c>
      <c r="CE37" s="19">
        <v>0.17</v>
      </c>
      <c r="CF37" s="19">
        <v>1.2749999999999997</v>
      </c>
      <c r="CG37" s="19">
        <v>4.8449999999999998</v>
      </c>
      <c r="CH37" s="19">
        <v>1.02</v>
      </c>
      <c r="CI37" s="19">
        <v>0.93500000000000005</v>
      </c>
      <c r="CJ37" s="19"/>
      <c r="CK37" s="19">
        <v>28.9</v>
      </c>
      <c r="CL37" s="19">
        <v>2.4649999999999999</v>
      </c>
      <c r="CM37" s="19">
        <v>11.9</v>
      </c>
      <c r="CN37" s="19">
        <v>23.8</v>
      </c>
      <c r="CO37" s="19">
        <v>0</v>
      </c>
      <c r="CP37" s="19">
        <v>3.4000000000000002E-2</v>
      </c>
      <c r="CQ37" s="19">
        <v>77.578592571428203</v>
      </c>
      <c r="CR37" s="19">
        <v>73.587664042357972</v>
      </c>
      <c r="CS37" s="19">
        <v>2.5616681129182171</v>
      </c>
      <c r="CT37" s="19">
        <v>1.3359126738827571</v>
      </c>
      <c r="CU37" s="19">
        <v>1.7746257577488966</v>
      </c>
      <c r="CV37" s="19">
        <v>3.1105384316316536</v>
      </c>
      <c r="CW37" s="19">
        <v>2.3761414439181658</v>
      </c>
      <c r="CX37" s="19">
        <v>0.92153288242970133</v>
      </c>
      <c r="CY37" s="19">
        <v>2.6603443708963703</v>
      </c>
      <c r="CZ37" s="19">
        <v>5.1028475996419509</v>
      </c>
      <c r="DA37" s="19">
        <v>1.6694379225857578</v>
      </c>
      <c r="DB37" s="19">
        <v>3.7438427510643981</v>
      </c>
      <c r="DC37" s="19">
        <v>2.3023081565646812</v>
      </c>
      <c r="DD37" s="19">
        <v>6.0461509076290891</v>
      </c>
      <c r="DE37" s="19">
        <v>3.5913611887931403</v>
      </c>
      <c r="DF37" s="23">
        <v>0</v>
      </c>
      <c r="DG37" s="23">
        <v>0</v>
      </c>
      <c r="DH37" s="23">
        <v>0</v>
      </c>
      <c r="DI37" s="19">
        <v>0</v>
      </c>
      <c r="DJ37" s="19">
        <v>0</v>
      </c>
      <c r="DK37" s="19">
        <v>0</v>
      </c>
      <c r="DL37" s="19">
        <v>0</v>
      </c>
      <c r="DM37" s="19">
        <v>0</v>
      </c>
      <c r="DN37" s="19">
        <v>0</v>
      </c>
      <c r="DO37" s="19">
        <v>0</v>
      </c>
      <c r="DP37" s="19">
        <v>0</v>
      </c>
      <c r="DQ37" s="19">
        <v>0</v>
      </c>
      <c r="DR37" s="19">
        <v>0</v>
      </c>
      <c r="DS37" s="19">
        <v>0</v>
      </c>
      <c r="DT37" s="19">
        <v>0</v>
      </c>
      <c r="DU37" s="19">
        <v>0</v>
      </c>
      <c r="DV37" s="19">
        <v>0</v>
      </c>
      <c r="DW37" s="17" t="s">
        <v>218</v>
      </c>
      <c r="DX37" s="22" t="s">
        <v>218</v>
      </c>
      <c r="DY37" s="22" t="s">
        <v>218</v>
      </c>
      <c r="DZ37" s="22" t="s">
        <v>218</v>
      </c>
      <c r="EA37" s="22" t="s">
        <v>218</v>
      </c>
      <c r="EB37" s="22" t="s">
        <v>218</v>
      </c>
      <c r="EC37" s="22" t="s">
        <v>218</v>
      </c>
      <c r="ED37" s="22" t="s">
        <v>218</v>
      </c>
      <c r="EE37" s="22" t="s">
        <v>218</v>
      </c>
      <c r="EF37" s="22" t="s">
        <v>218</v>
      </c>
      <c r="EG37" s="22" t="s">
        <v>218</v>
      </c>
      <c r="EH37" s="22" t="s">
        <v>218</v>
      </c>
      <c r="EI37" s="22" t="s">
        <v>218</v>
      </c>
      <c r="EJ37" s="22" t="s">
        <v>218</v>
      </c>
      <c r="EK37" s="22" t="s">
        <v>218</v>
      </c>
      <c r="EL37" s="22" t="s">
        <v>218</v>
      </c>
      <c r="EM37" s="22" t="s">
        <v>218</v>
      </c>
      <c r="EN37" s="22" t="s">
        <v>218</v>
      </c>
      <c r="EO37" s="22" t="s">
        <v>218</v>
      </c>
      <c r="EP37" s="22" t="s">
        <v>218</v>
      </c>
      <c r="EQ37" s="22" t="s">
        <v>218</v>
      </c>
      <c r="ER37" s="22" t="s">
        <v>218</v>
      </c>
      <c r="ES37" s="22" t="s">
        <v>218</v>
      </c>
      <c r="ET37" s="22" t="s">
        <v>218</v>
      </c>
      <c r="EU37" s="22" t="s">
        <v>218</v>
      </c>
      <c r="EV37" s="22" t="s">
        <v>218</v>
      </c>
      <c r="EW37" s="22" t="s">
        <v>218</v>
      </c>
      <c r="EX37" s="22" t="s">
        <v>218</v>
      </c>
      <c r="EY37" s="22" t="s">
        <v>218</v>
      </c>
      <c r="EZ37" s="22" t="s">
        <v>218</v>
      </c>
      <c r="FA37" s="22" t="s">
        <v>218</v>
      </c>
      <c r="FB37" s="22" t="s">
        <v>218</v>
      </c>
      <c r="FC37" s="22" t="s">
        <v>218</v>
      </c>
      <c r="FD37" s="22" t="s">
        <v>218</v>
      </c>
      <c r="FE37" s="22" t="s">
        <v>218</v>
      </c>
      <c r="FF37" s="22" t="s">
        <v>218</v>
      </c>
      <c r="FG37" s="22" t="s">
        <v>218</v>
      </c>
      <c r="FH37" s="22" t="s">
        <v>218</v>
      </c>
      <c r="FI37" s="22" t="s">
        <v>218</v>
      </c>
      <c r="FJ37" s="22" t="s">
        <v>218</v>
      </c>
      <c r="FK37" s="22" t="s">
        <v>218</v>
      </c>
      <c r="FL37" s="22" t="s">
        <v>218</v>
      </c>
      <c r="FM37" s="22" t="s">
        <v>218</v>
      </c>
      <c r="FN37" s="22" t="s">
        <v>218</v>
      </c>
      <c r="FO37" s="22" t="s">
        <v>218</v>
      </c>
      <c r="FP37" s="22" t="s">
        <v>218</v>
      </c>
      <c r="FQ37" s="22" t="s">
        <v>218</v>
      </c>
      <c r="FR37" s="22" t="s">
        <v>218</v>
      </c>
      <c r="FS37" s="22" t="s">
        <v>218</v>
      </c>
      <c r="FT37" s="22" t="s">
        <v>218</v>
      </c>
      <c r="FU37" s="22" t="s">
        <v>218</v>
      </c>
      <c r="FV37" s="22" t="s">
        <v>218</v>
      </c>
      <c r="FW37" s="22" t="s">
        <v>218</v>
      </c>
      <c r="FX37" s="22" t="s">
        <v>218</v>
      </c>
      <c r="FY37" s="22" t="s">
        <v>218</v>
      </c>
      <c r="FZ37" s="22" t="s">
        <v>218</v>
      </c>
      <c r="GA37" s="22" t="s">
        <v>218</v>
      </c>
      <c r="GB37" s="22" t="s">
        <v>218</v>
      </c>
      <c r="GC37" s="22" t="s">
        <v>218</v>
      </c>
      <c r="GD37" s="22" t="s">
        <v>218</v>
      </c>
      <c r="GE37" s="22" t="s">
        <v>218</v>
      </c>
      <c r="GF37" s="22" t="s">
        <v>218</v>
      </c>
      <c r="GG37" s="22" t="s">
        <v>218</v>
      </c>
      <c r="GH37" s="22" t="s">
        <v>218</v>
      </c>
      <c r="GI37" s="22" t="s">
        <v>218</v>
      </c>
      <c r="GJ37" s="22" t="s">
        <v>218</v>
      </c>
      <c r="GK37" s="22" t="s">
        <v>218</v>
      </c>
      <c r="GL37" s="22" t="s">
        <v>218</v>
      </c>
      <c r="GM37" s="22" t="s">
        <v>218</v>
      </c>
      <c r="GN37" s="22" t="s">
        <v>218</v>
      </c>
      <c r="GO37" s="22" t="s">
        <v>218</v>
      </c>
      <c r="GP37" s="22" t="s">
        <v>218</v>
      </c>
      <c r="GQ37" s="22" t="s">
        <v>218</v>
      </c>
      <c r="GR37" s="22" t="s">
        <v>218</v>
      </c>
      <c r="GS37" s="22" t="s">
        <v>218</v>
      </c>
      <c r="GT37" s="22" t="s">
        <v>218</v>
      </c>
      <c r="GU37" s="22" t="s">
        <v>218</v>
      </c>
      <c r="GV37" s="22" t="s">
        <v>218</v>
      </c>
      <c r="GW37" s="22" t="s">
        <v>218</v>
      </c>
      <c r="GX37" s="22" t="s">
        <v>218</v>
      </c>
      <c r="GY37" s="22" t="s">
        <v>218</v>
      </c>
      <c r="GZ37" s="22" t="s">
        <v>218</v>
      </c>
      <c r="HA37" s="22" t="s">
        <v>218</v>
      </c>
      <c r="HB37" s="22" t="s">
        <v>218</v>
      </c>
      <c r="HC37" s="22" t="s">
        <v>218</v>
      </c>
      <c r="HD37" s="22" t="s">
        <v>218</v>
      </c>
      <c r="HE37" s="22" t="s">
        <v>218</v>
      </c>
      <c r="HF37" s="22" t="s">
        <v>218</v>
      </c>
      <c r="HG37" s="22" t="s">
        <v>218</v>
      </c>
      <c r="HH37" s="22" t="s">
        <v>218</v>
      </c>
      <c r="HI37" s="22" t="s">
        <v>218</v>
      </c>
      <c r="HJ37" s="22" t="s">
        <v>218</v>
      </c>
      <c r="HK37" s="22" t="s">
        <v>218</v>
      </c>
      <c r="HL37" s="22" t="s">
        <v>218</v>
      </c>
      <c r="HM37" s="620">
        <f>'background data'!$G$10</f>
        <v>0.47300000000000003</v>
      </c>
      <c r="HN37" s="620">
        <f>'background data'!$H$10</f>
        <v>0.13</v>
      </c>
      <c r="HO37" s="620">
        <f>'background data'!$J$10</f>
        <v>0.39100000000000001</v>
      </c>
      <c r="HP37" s="620">
        <f>'background data'!$L$10</f>
        <v>5.5E-2</v>
      </c>
      <c r="HQ37" s="620">
        <f>'background data'!$M$10</f>
        <v>3.97</v>
      </c>
      <c r="HR37" s="620">
        <f>'background data'!$N$10</f>
        <v>4.5999999999999999E-3</v>
      </c>
      <c r="HS37" s="620">
        <f>'background data'!$O$10</f>
        <v>2.73</v>
      </c>
      <c r="HT37" s="145"/>
      <c r="HU37" s="145" t="s">
        <v>1809</v>
      </c>
      <c r="HV37" s="22" t="s">
        <v>1927</v>
      </c>
      <c r="HW37" s="22" t="s">
        <v>218</v>
      </c>
      <c r="HX37" s="22" t="s">
        <v>218</v>
      </c>
      <c r="HY37" s="22" t="s">
        <v>218</v>
      </c>
      <c r="HZ37" s="19"/>
      <c r="IA37" s="19"/>
      <c r="IB37" s="620">
        <f>'background data'!$G$10</f>
        <v>0.47300000000000003</v>
      </c>
      <c r="IC37" s="620">
        <f>'background data'!$H$10</f>
        <v>0.13</v>
      </c>
      <c r="ID37" s="620">
        <f>'background data'!$J$10</f>
        <v>0.39100000000000001</v>
      </c>
      <c r="IE37" s="620">
        <f>'background data'!$L$10</f>
        <v>5.5E-2</v>
      </c>
      <c r="IF37" s="620">
        <f>'background data'!$M$10</f>
        <v>3.97</v>
      </c>
      <c r="IG37" s="620">
        <f>'background data'!$N$10</f>
        <v>4.5999999999999999E-3</v>
      </c>
      <c r="IH37" s="620">
        <f>'background data'!$O$10</f>
        <v>2.73</v>
      </c>
      <c r="II37" s="145"/>
      <c r="IJ37" s="145">
        <v>1</v>
      </c>
      <c r="IK37" s="145"/>
      <c r="IL37" s="145"/>
      <c r="IM37" s="145"/>
      <c r="IN37" s="145"/>
      <c r="IO37" s="145"/>
      <c r="IP37" s="145"/>
      <c r="IQ37" s="145"/>
      <c r="IR37" s="145"/>
      <c r="IS37" s="145"/>
      <c r="IT37" s="145"/>
      <c r="IU37" s="145"/>
      <c r="IV37" s="145"/>
      <c r="IW37" s="145"/>
      <c r="IX37" s="145"/>
      <c r="IY37" s="145"/>
      <c r="IZ37" s="145"/>
      <c r="JA37" s="145"/>
      <c r="JB37" s="145"/>
      <c r="JC37" s="145"/>
      <c r="JD37" s="145"/>
      <c r="JE37" s="145"/>
      <c r="JF37" s="145"/>
      <c r="JG37" s="145"/>
      <c r="JH37" s="145"/>
      <c r="JI37" s="145"/>
      <c r="JJ37" s="145"/>
      <c r="JK37" s="145"/>
      <c r="JL37" s="145"/>
      <c r="JM37" s="145"/>
      <c r="JN37" s="145"/>
      <c r="JO37" s="145"/>
      <c r="JP37" s="145"/>
      <c r="JQ37" s="145"/>
      <c r="JR37" s="145"/>
      <c r="JS37" s="145"/>
      <c r="JT37" s="145"/>
      <c r="JU37" s="145"/>
      <c r="JV37" s="145"/>
      <c r="JW37" s="145"/>
      <c r="JX37" s="145"/>
      <c r="JY37" s="145"/>
      <c r="JZ37" s="145"/>
      <c r="KA37" s="145"/>
      <c r="KB37" s="145"/>
      <c r="KC37" s="145"/>
      <c r="KD37" s="145"/>
      <c r="KE37" s="145"/>
      <c r="KF37" s="145"/>
      <c r="KG37" s="145"/>
      <c r="KH37" s="145"/>
      <c r="KI37" s="145"/>
      <c r="KJ37" s="145"/>
      <c r="KK37" s="145"/>
      <c r="KL37" s="145"/>
      <c r="KM37" s="145"/>
      <c r="KN37" s="145"/>
      <c r="KO37" s="145"/>
      <c r="KP37" s="145"/>
      <c r="KQ37" s="145"/>
      <c r="KR37" s="145"/>
      <c r="KS37" s="145"/>
      <c r="KT37" s="145"/>
      <c r="KU37" s="145"/>
      <c r="KV37" s="145"/>
      <c r="KW37" s="145"/>
      <c r="KX37" s="145"/>
      <c r="KY37" s="145"/>
      <c r="KZ37" s="145"/>
      <c r="LA37" s="145"/>
      <c r="LB37" s="145"/>
      <c r="LC37" s="145"/>
      <c r="LD37" s="145"/>
      <c r="LE37" s="145"/>
      <c r="LF37" s="145"/>
      <c r="LG37" s="145"/>
      <c r="LH37" s="145"/>
      <c r="LI37" s="145"/>
      <c r="LJ37" s="145"/>
      <c r="LK37" s="145"/>
      <c r="LL37" s="145"/>
      <c r="LM37" s="145"/>
      <c r="LN37" s="145"/>
      <c r="LO37" s="145"/>
      <c r="LP37" s="145"/>
      <c r="LQ37" s="145"/>
      <c r="LR37" s="145"/>
      <c r="LS37" s="145"/>
      <c r="LT37" s="145"/>
      <c r="LU37" s="145"/>
      <c r="LV37" s="145"/>
      <c r="LW37" s="145"/>
      <c r="LX37" s="145"/>
      <c r="LY37" s="145"/>
      <c r="LZ37" s="145"/>
      <c r="MA37" s="145"/>
      <c r="MB37" s="145"/>
      <c r="MC37" s="145"/>
      <c r="MD37" s="145"/>
      <c r="ME37" s="145"/>
      <c r="MF37" s="145"/>
      <c r="MG37" s="145"/>
      <c r="MH37" s="145"/>
      <c r="MI37" s="145"/>
      <c r="MJ37" s="145"/>
      <c r="MK37" s="145"/>
      <c r="ML37" s="145"/>
      <c r="MM37" s="145"/>
      <c r="MN37" s="145"/>
      <c r="MO37" s="145"/>
      <c r="MP37" s="145"/>
      <c r="MQ37" s="145"/>
      <c r="MR37" s="145"/>
      <c r="MS37" s="145"/>
      <c r="MT37" s="145"/>
      <c r="MU37" s="145"/>
      <c r="MV37" s="145"/>
      <c r="MW37" s="145"/>
      <c r="MX37" s="145"/>
      <c r="MY37" s="145"/>
      <c r="MZ37" s="145"/>
      <c r="NA37" s="145"/>
      <c r="NB37" s="145"/>
      <c r="NC37" s="145"/>
      <c r="ND37" s="145"/>
      <c r="NE37" s="145"/>
      <c r="NF37" s="145"/>
      <c r="NG37" s="145"/>
      <c r="NH37" s="145"/>
      <c r="NI37" s="145"/>
      <c r="NJ37" s="145"/>
      <c r="NK37" s="145"/>
      <c r="NL37" s="145"/>
      <c r="NM37" s="145"/>
      <c r="NN37" s="145"/>
      <c r="NO37" s="145"/>
      <c r="NP37" s="145"/>
      <c r="NQ37" s="145"/>
      <c r="NR37" s="145"/>
      <c r="NS37" s="145"/>
    </row>
    <row r="38" spans="1:383" s="16" customFormat="1" ht="15" customHeight="1" x14ac:dyDescent="0.2">
      <c r="A38" s="15">
        <v>48900</v>
      </c>
      <c r="B38" s="25">
        <v>489</v>
      </c>
      <c r="C38" s="26">
        <v>0</v>
      </c>
      <c r="D38" s="20" t="s">
        <v>262</v>
      </c>
      <c r="E38" s="14">
        <v>41753</v>
      </c>
      <c r="F38" s="18">
        <v>1.05139609756097</v>
      </c>
      <c r="G38" s="18">
        <v>1.0077017142857101</v>
      </c>
      <c r="H38" s="21">
        <v>100</v>
      </c>
      <c r="I38" s="21">
        <v>100</v>
      </c>
      <c r="J38" s="21">
        <v>0</v>
      </c>
      <c r="K38" s="18">
        <v>1</v>
      </c>
      <c r="L38" s="18">
        <v>99</v>
      </c>
      <c r="M38" s="18">
        <v>0</v>
      </c>
      <c r="N38" s="18">
        <v>0</v>
      </c>
      <c r="O38" s="18">
        <v>30.492000000000001</v>
      </c>
      <c r="P38" s="18">
        <v>0</v>
      </c>
      <c r="Q38" s="19"/>
      <c r="R38" s="18">
        <v>0</v>
      </c>
      <c r="S38" s="18">
        <v>0</v>
      </c>
      <c r="T38" s="18">
        <v>0</v>
      </c>
      <c r="U38" s="18">
        <v>0</v>
      </c>
      <c r="V38" s="18">
        <v>0</v>
      </c>
      <c r="W38" s="18">
        <v>0</v>
      </c>
      <c r="X38" s="18"/>
      <c r="Y38" s="18">
        <v>308</v>
      </c>
      <c r="Z38" s="18">
        <v>0</v>
      </c>
      <c r="AA38" s="18">
        <v>0</v>
      </c>
      <c r="AB38" s="18">
        <v>0</v>
      </c>
      <c r="AC38" s="18">
        <v>0</v>
      </c>
      <c r="AD38" s="18">
        <v>0</v>
      </c>
      <c r="AE38" s="18">
        <v>0</v>
      </c>
      <c r="AF38" s="18">
        <v>0</v>
      </c>
      <c r="AG38" s="18">
        <v>0</v>
      </c>
      <c r="AH38" s="18">
        <v>0</v>
      </c>
      <c r="AI38" s="18">
        <v>0</v>
      </c>
      <c r="AJ38" s="18">
        <v>0</v>
      </c>
      <c r="AK38" s="18">
        <v>0</v>
      </c>
      <c r="AL38" s="18"/>
      <c r="AM38" s="18">
        <v>0</v>
      </c>
      <c r="AN38" s="18">
        <v>0</v>
      </c>
      <c r="AO38" s="18">
        <v>0</v>
      </c>
      <c r="AP38" s="18">
        <v>0</v>
      </c>
      <c r="AQ38" s="18">
        <v>0</v>
      </c>
      <c r="AR38" s="18">
        <v>0</v>
      </c>
      <c r="AS38" s="18">
        <v>0</v>
      </c>
      <c r="AT38" s="18">
        <v>0</v>
      </c>
      <c r="AU38" s="18">
        <v>0</v>
      </c>
      <c r="AV38" s="18">
        <v>0</v>
      </c>
      <c r="AW38" s="18">
        <v>0</v>
      </c>
      <c r="AX38" s="18"/>
      <c r="AY38" s="18">
        <v>1</v>
      </c>
      <c r="AZ38" s="18">
        <v>1</v>
      </c>
      <c r="BA38" s="18">
        <v>1</v>
      </c>
      <c r="BB38" s="18">
        <v>1</v>
      </c>
      <c r="BC38" s="18">
        <v>1</v>
      </c>
      <c r="BD38" s="18">
        <v>1</v>
      </c>
      <c r="BE38" s="18">
        <v>1</v>
      </c>
      <c r="BF38" s="18">
        <v>1</v>
      </c>
      <c r="BG38" s="18">
        <v>1</v>
      </c>
      <c r="BH38" s="18">
        <v>1</v>
      </c>
      <c r="BI38" s="18">
        <v>1</v>
      </c>
      <c r="BJ38" s="19"/>
      <c r="BK38" s="18">
        <v>0</v>
      </c>
      <c r="BL38" s="18">
        <v>0</v>
      </c>
      <c r="BM38" s="18">
        <v>30.8</v>
      </c>
      <c r="BN38" s="18">
        <v>0</v>
      </c>
      <c r="BO38" s="18"/>
      <c r="BP38" s="18">
        <v>0</v>
      </c>
      <c r="BQ38" s="18">
        <v>0</v>
      </c>
      <c r="BR38" s="18">
        <v>1.062016260162596</v>
      </c>
      <c r="BS38" s="18">
        <v>1.0178805194805152</v>
      </c>
      <c r="BT38" s="19"/>
      <c r="BU38" s="18">
        <v>692</v>
      </c>
      <c r="BV38" s="18">
        <v>692</v>
      </c>
      <c r="BW38" s="18">
        <v>0</v>
      </c>
      <c r="BX38" s="18" t="s">
        <v>217</v>
      </c>
      <c r="BY38" s="18" t="s">
        <v>217</v>
      </c>
      <c r="BZ38" s="18" t="s">
        <v>217</v>
      </c>
      <c r="CA38" s="18" t="s">
        <v>217</v>
      </c>
      <c r="CB38" s="19"/>
      <c r="CC38" s="19">
        <v>304.92</v>
      </c>
      <c r="CD38" s="19">
        <v>0</v>
      </c>
      <c r="CE38" s="19">
        <v>0</v>
      </c>
      <c r="CF38" s="19">
        <v>0</v>
      </c>
      <c r="CG38" s="19">
        <v>0</v>
      </c>
      <c r="CH38" s="19">
        <v>0</v>
      </c>
      <c r="CI38" s="19">
        <v>0</v>
      </c>
      <c r="CJ38" s="19"/>
      <c r="CK38" s="19">
        <v>0</v>
      </c>
      <c r="CL38" s="19">
        <v>0</v>
      </c>
      <c r="CM38" s="19">
        <v>0</v>
      </c>
      <c r="CN38" s="19">
        <v>0</v>
      </c>
      <c r="CO38" s="19">
        <v>0</v>
      </c>
      <c r="CP38" s="19">
        <v>0</v>
      </c>
      <c r="CQ38" s="19">
        <v>0</v>
      </c>
      <c r="CR38" s="19">
        <v>0</v>
      </c>
      <c r="CS38" s="19">
        <v>0</v>
      </c>
      <c r="CT38" s="19">
        <v>0</v>
      </c>
      <c r="CU38" s="19">
        <v>0</v>
      </c>
      <c r="CV38" s="19">
        <v>0</v>
      </c>
      <c r="CW38" s="19">
        <v>0</v>
      </c>
      <c r="CX38" s="19">
        <v>0</v>
      </c>
      <c r="CY38" s="19">
        <v>0</v>
      </c>
      <c r="CZ38" s="19">
        <v>0</v>
      </c>
      <c r="DA38" s="19">
        <v>0</v>
      </c>
      <c r="DB38" s="19">
        <v>0</v>
      </c>
      <c r="DC38" s="19">
        <v>0</v>
      </c>
      <c r="DD38" s="19">
        <v>0</v>
      </c>
      <c r="DE38" s="19">
        <v>0</v>
      </c>
      <c r="DF38" s="23">
        <v>0</v>
      </c>
      <c r="DG38" s="23">
        <v>0</v>
      </c>
      <c r="DH38" s="23">
        <v>0</v>
      </c>
      <c r="DI38" s="19">
        <v>0</v>
      </c>
      <c r="DJ38" s="19">
        <v>0</v>
      </c>
      <c r="DK38" s="19">
        <v>0</v>
      </c>
      <c r="DL38" s="19">
        <v>0</v>
      </c>
      <c r="DM38" s="19">
        <v>0</v>
      </c>
      <c r="DN38" s="19">
        <v>0</v>
      </c>
      <c r="DO38" s="19">
        <v>0</v>
      </c>
      <c r="DP38" s="19">
        <v>0</v>
      </c>
      <c r="DQ38" s="19">
        <v>0</v>
      </c>
      <c r="DR38" s="19">
        <v>0</v>
      </c>
      <c r="DS38" s="19">
        <v>0</v>
      </c>
      <c r="DT38" s="19">
        <v>0</v>
      </c>
      <c r="DU38" s="19">
        <v>0</v>
      </c>
      <c r="DV38" s="19">
        <v>0</v>
      </c>
      <c r="DW38" s="17" t="s">
        <v>218</v>
      </c>
      <c r="DX38" s="22" t="s">
        <v>218</v>
      </c>
      <c r="DY38" s="22" t="s">
        <v>218</v>
      </c>
      <c r="DZ38" s="22" t="s">
        <v>218</v>
      </c>
      <c r="EA38" s="22" t="s">
        <v>218</v>
      </c>
      <c r="EB38" s="22" t="s">
        <v>218</v>
      </c>
      <c r="EC38" s="22" t="s">
        <v>218</v>
      </c>
      <c r="ED38" s="22" t="s">
        <v>218</v>
      </c>
      <c r="EE38" s="22" t="s">
        <v>218</v>
      </c>
      <c r="EF38" s="22" t="s">
        <v>218</v>
      </c>
      <c r="EG38" s="22" t="s">
        <v>218</v>
      </c>
      <c r="EH38" s="22" t="s">
        <v>218</v>
      </c>
      <c r="EI38" s="22" t="s">
        <v>218</v>
      </c>
      <c r="EJ38" s="22" t="s">
        <v>218</v>
      </c>
      <c r="EK38" s="22" t="s">
        <v>218</v>
      </c>
      <c r="EL38" s="22" t="s">
        <v>218</v>
      </c>
      <c r="EM38" s="22" t="s">
        <v>218</v>
      </c>
      <c r="EN38" s="22" t="s">
        <v>218</v>
      </c>
      <c r="EO38" s="22" t="s">
        <v>218</v>
      </c>
      <c r="EP38" s="22" t="s">
        <v>218</v>
      </c>
      <c r="EQ38" s="22" t="s">
        <v>218</v>
      </c>
      <c r="ER38" s="22" t="s">
        <v>218</v>
      </c>
      <c r="ES38" s="22" t="s">
        <v>218</v>
      </c>
      <c r="ET38" s="22" t="s">
        <v>218</v>
      </c>
      <c r="EU38" s="22" t="s">
        <v>218</v>
      </c>
      <c r="EV38" s="22" t="s">
        <v>218</v>
      </c>
      <c r="EW38" s="22" t="s">
        <v>218</v>
      </c>
      <c r="EX38" s="22" t="s">
        <v>218</v>
      </c>
      <c r="EY38" s="22" t="s">
        <v>218</v>
      </c>
      <c r="EZ38" s="22" t="s">
        <v>218</v>
      </c>
      <c r="FA38" s="22" t="s">
        <v>218</v>
      </c>
      <c r="FB38" s="22" t="s">
        <v>218</v>
      </c>
      <c r="FC38" s="22" t="s">
        <v>218</v>
      </c>
      <c r="FD38" s="22" t="s">
        <v>218</v>
      </c>
      <c r="FE38" s="22" t="s">
        <v>218</v>
      </c>
      <c r="FF38" s="22" t="s">
        <v>218</v>
      </c>
      <c r="FG38" s="22" t="s">
        <v>218</v>
      </c>
      <c r="FH38" s="22" t="s">
        <v>218</v>
      </c>
      <c r="FI38" s="22" t="s">
        <v>218</v>
      </c>
      <c r="FJ38" s="22" t="s">
        <v>218</v>
      </c>
      <c r="FK38" s="22" t="s">
        <v>218</v>
      </c>
      <c r="FL38" s="22" t="s">
        <v>218</v>
      </c>
      <c r="FM38" s="22" t="s">
        <v>218</v>
      </c>
      <c r="FN38" s="22" t="s">
        <v>218</v>
      </c>
      <c r="FO38" s="22" t="s">
        <v>218</v>
      </c>
      <c r="FP38" s="22" t="s">
        <v>218</v>
      </c>
      <c r="FQ38" s="22" t="s">
        <v>218</v>
      </c>
      <c r="FR38" s="22" t="s">
        <v>218</v>
      </c>
      <c r="FS38" s="22" t="s">
        <v>218</v>
      </c>
      <c r="FT38" s="22" t="s">
        <v>218</v>
      </c>
      <c r="FU38" s="22" t="s">
        <v>218</v>
      </c>
      <c r="FV38" s="22" t="s">
        <v>218</v>
      </c>
      <c r="FW38" s="22" t="s">
        <v>218</v>
      </c>
      <c r="FX38" s="22" t="s">
        <v>218</v>
      </c>
      <c r="FY38" s="22" t="s">
        <v>218</v>
      </c>
      <c r="FZ38" s="22" t="s">
        <v>218</v>
      </c>
      <c r="GA38" s="22" t="s">
        <v>218</v>
      </c>
      <c r="GB38" s="22" t="s">
        <v>218</v>
      </c>
      <c r="GC38" s="22" t="s">
        <v>218</v>
      </c>
      <c r="GD38" s="22" t="s">
        <v>218</v>
      </c>
      <c r="GE38" s="22" t="s">
        <v>218</v>
      </c>
      <c r="GF38" s="22" t="s">
        <v>218</v>
      </c>
      <c r="GG38" s="22" t="s">
        <v>218</v>
      </c>
      <c r="GH38" s="22" t="s">
        <v>218</v>
      </c>
      <c r="GI38" s="22" t="s">
        <v>218</v>
      </c>
      <c r="GJ38" s="22" t="s">
        <v>218</v>
      </c>
      <c r="GK38" s="22" t="s">
        <v>218</v>
      </c>
      <c r="GL38" s="22" t="s">
        <v>218</v>
      </c>
      <c r="GM38" s="22" t="s">
        <v>218</v>
      </c>
      <c r="GN38" s="22" t="s">
        <v>218</v>
      </c>
      <c r="GO38" s="22" t="s">
        <v>218</v>
      </c>
      <c r="GP38" s="22" t="s">
        <v>218</v>
      </c>
      <c r="GQ38" s="22" t="s">
        <v>218</v>
      </c>
      <c r="GR38" s="22" t="s">
        <v>218</v>
      </c>
      <c r="GS38" s="22" t="s">
        <v>218</v>
      </c>
      <c r="GT38" s="22" t="s">
        <v>218</v>
      </c>
      <c r="GU38" s="22" t="s">
        <v>218</v>
      </c>
      <c r="GV38" s="22" t="s">
        <v>218</v>
      </c>
      <c r="GW38" s="22" t="s">
        <v>218</v>
      </c>
      <c r="GX38" s="22" t="s">
        <v>218</v>
      </c>
      <c r="GY38" s="22" t="s">
        <v>218</v>
      </c>
      <c r="GZ38" s="22" t="s">
        <v>218</v>
      </c>
      <c r="HA38" s="22" t="s">
        <v>218</v>
      </c>
      <c r="HB38" s="22" t="s">
        <v>218</v>
      </c>
      <c r="HC38" s="22" t="s">
        <v>218</v>
      </c>
      <c r="HD38" s="22" t="s">
        <v>218</v>
      </c>
      <c r="HE38" s="22" t="s">
        <v>218</v>
      </c>
      <c r="HF38" s="22" t="s">
        <v>218</v>
      </c>
      <c r="HG38" s="22" t="s">
        <v>218</v>
      </c>
      <c r="HH38" s="22" t="s">
        <v>218</v>
      </c>
      <c r="HI38" s="22" t="s">
        <v>218</v>
      </c>
      <c r="HJ38" s="22" t="s">
        <v>218</v>
      </c>
      <c r="HK38" s="22" t="s">
        <v>218</v>
      </c>
      <c r="HL38" s="22" t="s">
        <v>218</v>
      </c>
      <c r="HM38" s="860"/>
      <c r="HN38" s="860"/>
      <c r="HO38" s="860"/>
      <c r="HP38" s="860"/>
      <c r="HQ38" s="860"/>
      <c r="HR38" s="860"/>
      <c r="HS38" s="860"/>
      <c r="HT38" s="145"/>
      <c r="HU38" s="145" t="s">
        <v>1809</v>
      </c>
      <c r="HV38" s="22" t="s">
        <v>1926</v>
      </c>
      <c r="HW38" s="22" t="s">
        <v>263</v>
      </c>
      <c r="HX38" s="22">
        <v>0</v>
      </c>
      <c r="HY38" s="22">
        <v>0</v>
      </c>
      <c r="HZ38" s="19"/>
      <c r="IA38" s="19"/>
      <c r="IB38" s="621">
        <f>'background data'!$G$10</f>
        <v>0.47300000000000003</v>
      </c>
      <c r="IC38" s="621">
        <f>'background data'!$H$10</f>
        <v>0.13</v>
      </c>
      <c r="ID38" s="621">
        <f>'background data'!$J$10</f>
        <v>0.39100000000000001</v>
      </c>
      <c r="IE38" s="621">
        <f>'background data'!$L$10</f>
        <v>5.5E-2</v>
      </c>
      <c r="IF38" s="621">
        <f>'background data'!$M$10</f>
        <v>3.97</v>
      </c>
      <c r="IG38" s="621">
        <f>'background data'!$N$10</f>
        <v>4.5999999999999999E-3</v>
      </c>
      <c r="IH38" s="621">
        <f>'background data'!$O$10</f>
        <v>2.73</v>
      </c>
      <c r="II38" s="145"/>
      <c r="IJ38" s="145"/>
      <c r="IK38" s="145"/>
      <c r="IL38" s="145"/>
      <c r="IM38" s="145"/>
      <c r="IN38" s="145"/>
      <c r="IO38" s="145"/>
      <c r="IP38" s="145"/>
      <c r="IQ38" s="145"/>
      <c r="IR38" s="145"/>
      <c r="IS38" s="145"/>
      <c r="IT38" s="145"/>
      <c r="IU38" s="145"/>
      <c r="IV38" s="145"/>
      <c r="IW38" s="145"/>
      <c r="IX38" s="145"/>
      <c r="IY38" s="145"/>
      <c r="IZ38" s="145"/>
      <c r="JA38" s="145"/>
      <c r="JB38" s="145"/>
      <c r="JC38" s="145"/>
      <c r="JD38" s="145"/>
      <c r="JE38" s="145"/>
      <c r="JF38" s="145"/>
      <c r="JG38" s="145"/>
      <c r="JH38" s="145"/>
      <c r="JI38" s="145"/>
      <c r="JJ38" s="145"/>
      <c r="JK38" s="145"/>
      <c r="JL38" s="145"/>
      <c r="JM38" s="145"/>
      <c r="JN38" s="145"/>
      <c r="JO38" s="145"/>
      <c r="JP38" s="145"/>
      <c r="JQ38" s="145"/>
      <c r="JR38" s="145"/>
      <c r="JS38" s="145"/>
      <c r="JT38" s="145"/>
      <c r="JU38" s="145"/>
      <c r="JV38" s="145"/>
      <c r="JW38" s="145"/>
      <c r="JX38" s="145"/>
      <c r="JY38" s="145"/>
      <c r="JZ38" s="145"/>
      <c r="KA38" s="145"/>
      <c r="KB38" s="145"/>
      <c r="KC38" s="145"/>
      <c r="KD38" s="145"/>
      <c r="KE38" s="145"/>
      <c r="KF38" s="145"/>
      <c r="KG38" s="145"/>
      <c r="KH38" s="145"/>
      <c r="KI38" s="145"/>
      <c r="KJ38" s="145"/>
      <c r="KK38" s="145"/>
      <c r="KL38" s="145"/>
      <c r="KM38" s="145"/>
      <c r="KN38" s="145"/>
      <c r="KO38" s="145"/>
      <c r="KP38" s="145"/>
      <c r="KQ38" s="145"/>
      <c r="KR38" s="145"/>
      <c r="KS38" s="145"/>
      <c r="KT38" s="145"/>
      <c r="KU38" s="145"/>
      <c r="KV38" s="145"/>
      <c r="KW38" s="145"/>
      <c r="KX38" s="145"/>
      <c r="KY38" s="145"/>
      <c r="KZ38" s="145"/>
      <c r="LA38" s="145"/>
      <c r="LB38" s="145"/>
      <c r="LC38" s="145"/>
      <c r="LD38" s="145"/>
      <c r="LE38" s="145"/>
      <c r="LF38" s="145"/>
      <c r="LG38" s="145"/>
      <c r="LH38" s="145"/>
      <c r="LI38" s="145"/>
      <c r="LJ38" s="145"/>
      <c r="LK38" s="145"/>
      <c r="LL38" s="145"/>
      <c r="LM38" s="145"/>
      <c r="LN38" s="145"/>
      <c r="LO38" s="145"/>
      <c r="LP38" s="145"/>
      <c r="LQ38" s="145"/>
      <c r="LR38" s="145"/>
      <c r="LS38" s="145"/>
      <c r="LT38" s="145"/>
      <c r="LU38" s="145"/>
      <c r="LV38" s="145"/>
      <c r="LW38" s="145"/>
      <c r="LX38" s="145"/>
      <c r="LY38" s="145"/>
      <c r="LZ38" s="145"/>
      <c r="MA38" s="145"/>
      <c r="MB38" s="145"/>
      <c r="MC38" s="145"/>
      <c r="MD38" s="145"/>
      <c r="ME38" s="145"/>
      <c r="MF38" s="145"/>
      <c r="MG38" s="145"/>
      <c r="MH38" s="145"/>
      <c r="MI38" s="145"/>
      <c r="MJ38" s="145"/>
      <c r="MK38" s="145"/>
      <c r="ML38" s="145"/>
      <c r="MM38" s="145"/>
      <c r="MN38" s="145"/>
      <c r="MO38" s="145"/>
      <c r="MP38" s="145"/>
      <c r="MQ38" s="145"/>
      <c r="MR38" s="145"/>
      <c r="MS38" s="145"/>
      <c r="MT38" s="145"/>
      <c r="MU38" s="145"/>
      <c r="MV38" s="145"/>
      <c r="MW38" s="145"/>
      <c r="MX38" s="145"/>
      <c r="MY38" s="145"/>
      <c r="MZ38" s="145"/>
      <c r="NA38" s="145"/>
      <c r="NB38" s="145"/>
      <c r="NC38" s="145"/>
      <c r="ND38" s="145"/>
      <c r="NE38" s="145"/>
      <c r="NF38" s="145"/>
      <c r="NG38" s="145"/>
      <c r="NH38" s="145"/>
      <c r="NI38" s="145"/>
      <c r="NJ38" s="145"/>
      <c r="NK38" s="145"/>
      <c r="NL38" s="145"/>
      <c r="NM38" s="145"/>
      <c r="NN38" s="145"/>
      <c r="NO38" s="145"/>
      <c r="NP38" s="145"/>
      <c r="NQ38" s="145"/>
      <c r="NR38" s="145"/>
      <c r="NS38" s="145"/>
    </row>
    <row r="39" spans="1:383" s="16" customFormat="1" ht="15" customHeight="1" x14ac:dyDescent="0.2">
      <c r="A39" s="15">
        <v>48400</v>
      </c>
      <c r="B39" s="25">
        <v>484</v>
      </c>
      <c r="C39" s="26">
        <v>0</v>
      </c>
      <c r="D39" s="20" t="s">
        <v>264</v>
      </c>
      <c r="E39" s="14">
        <v>40310</v>
      </c>
      <c r="F39" s="18">
        <v>-0.112682926829268</v>
      </c>
      <c r="G39" s="18">
        <v>-0.108</v>
      </c>
      <c r="H39" s="21">
        <v>70</v>
      </c>
      <c r="I39" s="21">
        <v>70</v>
      </c>
      <c r="J39" s="21">
        <v>0</v>
      </c>
      <c r="K39" s="18">
        <v>1</v>
      </c>
      <c r="L39" s="18">
        <v>99</v>
      </c>
      <c r="M39" s="18">
        <v>0</v>
      </c>
      <c r="N39" s="18">
        <v>0</v>
      </c>
      <c r="O39" s="18">
        <v>99</v>
      </c>
      <c r="P39" s="18">
        <v>0</v>
      </c>
      <c r="Q39" s="19"/>
      <c r="R39" s="18">
        <v>0</v>
      </c>
      <c r="S39" s="18">
        <v>0</v>
      </c>
      <c r="T39" s="18">
        <v>0</v>
      </c>
      <c r="U39" s="18">
        <v>0</v>
      </c>
      <c r="V39" s="18">
        <v>0</v>
      </c>
      <c r="W39" s="18">
        <v>0</v>
      </c>
      <c r="X39" s="18"/>
      <c r="Y39" s="18">
        <v>1.0383838383838384</v>
      </c>
      <c r="Z39" s="18">
        <v>0</v>
      </c>
      <c r="AA39" s="18">
        <v>0</v>
      </c>
      <c r="AB39" s="18">
        <v>0</v>
      </c>
      <c r="AC39" s="18">
        <v>0</v>
      </c>
      <c r="AD39" s="18">
        <v>0</v>
      </c>
      <c r="AE39" s="18">
        <v>0</v>
      </c>
      <c r="AF39" s="18">
        <v>0</v>
      </c>
      <c r="AG39" s="18">
        <v>0</v>
      </c>
      <c r="AH39" s="18">
        <v>0</v>
      </c>
      <c r="AI39" s="18">
        <v>0</v>
      </c>
      <c r="AJ39" s="18">
        <v>5959.5959595959594</v>
      </c>
      <c r="AK39" s="18">
        <v>0</v>
      </c>
      <c r="AL39" s="18"/>
      <c r="AM39" s="18">
        <v>0</v>
      </c>
      <c r="AN39" s="18">
        <v>0</v>
      </c>
      <c r="AO39" s="18">
        <v>0</v>
      </c>
      <c r="AP39" s="18">
        <v>0</v>
      </c>
      <c r="AQ39" s="18">
        <v>0</v>
      </c>
      <c r="AR39" s="18">
        <v>0</v>
      </c>
      <c r="AS39" s="18">
        <v>0</v>
      </c>
      <c r="AT39" s="18">
        <v>0</v>
      </c>
      <c r="AU39" s="18">
        <v>0</v>
      </c>
      <c r="AV39" s="18">
        <v>0</v>
      </c>
      <c r="AW39" s="18">
        <v>0</v>
      </c>
      <c r="AX39" s="18"/>
      <c r="AY39" s="18">
        <v>1</v>
      </c>
      <c r="AZ39" s="18">
        <v>1</v>
      </c>
      <c r="BA39" s="18">
        <v>1</v>
      </c>
      <c r="BB39" s="18">
        <v>1</v>
      </c>
      <c r="BC39" s="18">
        <v>1</v>
      </c>
      <c r="BD39" s="18">
        <v>1</v>
      </c>
      <c r="BE39" s="18">
        <v>1</v>
      </c>
      <c r="BF39" s="18">
        <v>1</v>
      </c>
      <c r="BG39" s="18">
        <v>1</v>
      </c>
      <c r="BH39" s="18">
        <v>1</v>
      </c>
      <c r="BI39" s="18">
        <v>1</v>
      </c>
      <c r="BJ39" s="19"/>
      <c r="BK39" s="18">
        <v>0</v>
      </c>
      <c r="BL39" s="18">
        <v>0</v>
      </c>
      <c r="BM39" s="18">
        <v>100</v>
      </c>
      <c r="BN39" s="18">
        <v>0</v>
      </c>
      <c r="BO39" s="18"/>
      <c r="BP39" s="18">
        <v>0</v>
      </c>
      <c r="BQ39" s="18">
        <v>0</v>
      </c>
      <c r="BR39" s="18">
        <v>-0.11382113821138182</v>
      </c>
      <c r="BS39" s="18">
        <v>-0.10909090909090909</v>
      </c>
      <c r="BT39" s="19"/>
      <c r="BU39" s="18">
        <v>0</v>
      </c>
      <c r="BV39" s="18">
        <v>0</v>
      </c>
      <c r="BW39" s="18">
        <v>0</v>
      </c>
      <c r="BX39" s="18" t="s">
        <v>217</v>
      </c>
      <c r="BY39" s="18" t="s">
        <v>217</v>
      </c>
      <c r="BZ39" s="18" t="s">
        <v>217</v>
      </c>
      <c r="CA39" s="18" t="s">
        <v>217</v>
      </c>
      <c r="CB39" s="19"/>
      <c r="CC39" s="19">
        <v>1.028</v>
      </c>
      <c r="CD39" s="19">
        <v>0</v>
      </c>
      <c r="CE39" s="19">
        <v>0</v>
      </c>
      <c r="CF39" s="19">
        <v>0</v>
      </c>
      <c r="CG39" s="19">
        <v>0</v>
      </c>
      <c r="CH39" s="19">
        <v>0</v>
      </c>
      <c r="CI39" s="19">
        <v>0</v>
      </c>
      <c r="CJ39" s="19"/>
      <c r="CK39" s="19">
        <v>0</v>
      </c>
      <c r="CL39" s="19">
        <v>0</v>
      </c>
      <c r="CM39" s="19">
        <v>0</v>
      </c>
      <c r="CN39" s="19">
        <v>0</v>
      </c>
      <c r="CO39" s="19">
        <v>5900</v>
      </c>
      <c r="CP39" s="19">
        <v>0</v>
      </c>
      <c r="CQ39" s="19">
        <v>0</v>
      </c>
      <c r="CR39" s="19">
        <v>0</v>
      </c>
      <c r="CS39" s="19">
        <v>0</v>
      </c>
      <c r="CT39" s="19">
        <v>0</v>
      </c>
      <c r="CU39" s="19">
        <v>0</v>
      </c>
      <c r="CV39" s="19">
        <v>0</v>
      </c>
      <c r="CW39" s="19">
        <v>0</v>
      </c>
      <c r="CX39" s="19">
        <v>0</v>
      </c>
      <c r="CY39" s="19">
        <v>0</v>
      </c>
      <c r="CZ39" s="19">
        <v>0</v>
      </c>
      <c r="DA39" s="19">
        <v>0</v>
      </c>
      <c r="DB39" s="19">
        <v>0</v>
      </c>
      <c r="DC39" s="19">
        <v>0</v>
      </c>
      <c r="DD39" s="19">
        <v>0</v>
      </c>
      <c r="DE39" s="19">
        <v>0</v>
      </c>
      <c r="DF39" s="23">
        <v>0</v>
      </c>
      <c r="DG39" s="23">
        <v>0</v>
      </c>
      <c r="DH39" s="23">
        <v>0</v>
      </c>
      <c r="DI39" s="19">
        <v>0</v>
      </c>
      <c r="DJ39" s="19">
        <v>0</v>
      </c>
      <c r="DK39" s="19">
        <v>0</v>
      </c>
      <c r="DL39" s="19">
        <v>0</v>
      </c>
      <c r="DM39" s="19">
        <v>0</v>
      </c>
      <c r="DN39" s="19">
        <v>0</v>
      </c>
      <c r="DO39" s="19">
        <v>0</v>
      </c>
      <c r="DP39" s="19">
        <v>0</v>
      </c>
      <c r="DQ39" s="19">
        <v>0</v>
      </c>
      <c r="DR39" s="19">
        <v>0</v>
      </c>
      <c r="DS39" s="19">
        <v>0</v>
      </c>
      <c r="DT39" s="19">
        <v>0</v>
      </c>
      <c r="DU39" s="19">
        <v>0</v>
      </c>
      <c r="DV39" s="19">
        <v>0</v>
      </c>
      <c r="DW39" s="17" t="s">
        <v>218</v>
      </c>
      <c r="DX39" s="22" t="s">
        <v>218</v>
      </c>
      <c r="DY39" s="22" t="s">
        <v>218</v>
      </c>
      <c r="DZ39" s="22" t="s">
        <v>218</v>
      </c>
      <c r="EA39" s="22" t="s">
        <v>218</v>
      </c>
      <c r="EB39" s="22" t="s">
        <v>218</v>
      </c>
      <c r="EC39" s="22" t="s">
        <v>218</v>
      </c>
      <c r="ED39" s="22" t="s">
        <v>218</v>
      </c>
      <c r="EE39" s="22" t="s">
        <v>218</v>
      </c>
      <c r="EF39" s="22" t="s">
        <v>218</v>
      </c>
      <c r="EG39" s="22" t="s">
        <v>218</v>
      </c>
      <c r="EH39" s="22" t="s">
        <v>218</v>
      </c>
      <c r="EI39" s="22" t="s">
        <v>218</v>
      </c>
      <c r="EJ39" s="22" t="s">
        <v>218</v>
      </c>
      <c r="EK39" s="22" t="s">
        <v>218</v>
      </c>
      <c r="EL39" s="22" t="s">
        <v>218</v>
      </c>
      <c r="EM39" s="22" t="s">
        <v>218</v>
      </c>
      <c r="EN39" s="22" t="s">
        <v>218</v>
      </c>
      <c r="EO39" s="22" t="s">
        <v>218</v>
      </c>
      <c r="EP39" s="22" t="s">
        <v>218</v>
      </c>
      <c r="EQ39" s="22" t="s">
        <v>218</v>
      </c>
      <c r="ER39" s="22" t="s">
        <v>218</v>
      </c>
      <c r="ES39" s="22" t="s">
        <v>218</v>
      </c>
      <c r="ET39" s="22" t="s">
        <v>218</v>
      </c>
      <c r="EU39" s="22" t="s">
        <v>218</v>
      </c>
      <c r="EV39" s="22" t="s">
        <v>218</v>
      </c>
      <c r="EW39" s="22" t="s">
        <v>218</v>
      </c>
      <c r="EX39" s="22" t="s">
        <v>218</v>
      </c>
      <c r="EY39" s="22" t="s">
        <v>218</v>
      </c>
      <c r="EZ39" s="22" t="s">
        <v>218</v>
      </c>
      <c r="FA39" s="22" t="s">
        <v>218</v>
      </c>
      <c r="FB39" s="22" t="s">
        <v>218</v>
      </c>
      <c r="FC39" s="22" t="s">
        <v>218</v>
      </c>
      <c r="FD39" s="22" t="s">
        <v>218</v>
      </c>
      <c r="FE39" s="22" t="s">
        <v>218</v>
      </c>
      <c r="FF39" s="22" t="s">
        <v>218</v>
      </c>
      <c r="FG39" s="22" t="s">
        <v>218</v>
      </c>
      <c r="FH39" s="22" t="s">
        <v>218</v>
      </c>
      <c r="FI39" s="22" t="s">
        <v>218</v>
      </c>
      <c r="FJ39" s="22" t="s">
        <v>218</v>
      </c>
      <c r="FK39" s="22" t="s">
        <v>218</v>
      </c>
      <c r="FL39" s="22" t="s">
        <v>218</v>
      </c>
      <c r="FM39" s="22" t="s">
        <v>218</v>
      </c>
      <c r="FN39" s="22" t="s">
        <v>218</v>
      </c>
      <c r="FO39" s="22" t="s">
        <v>218</v>
      </c>
      <c r="FP39" s="22" t="s">
        <v>218</v>
      </c>
      <c r="FQ39" s="22" t="s">
        <v>218</v>
      </c>
      <c r="FR39" s="22" t="s">
        <v>218</v>
      </c>
      <c r="FS39" s="22" t="s">
        <v>218</v>
      </c>
      <c r="FT39" s="22" t="s">
        <v>218</v>
      </c>
      <c r="FU39" s="22" t="s">
        <v>218</v>
      </c>
      <c r="FV39" s="22" t="s">
        <v>218</v>
      </c>
      <c r="FW39" s="22" t="s">
        <v>218</v>
      </c>
      <c r="FX39" s="22" t="s">
        <v>218</v>
      </c>
      <c r="FY39" s="22" t="s">
        <v>218</v>
      </c>
      <c r="FZ39" s="22" t="s">
        <v>218</v>
      </c>
      <c r="GA39" s="22" t="s">
        <v>218</v>
      </c>
      <c r="GB39" s="22" t="s">
        <v>218</v>
      </c>
      <c r="GC39" s="22" t="s">
        <v>218</v>
      </c>
      <c r="GD39" s="22" t="s">
        <v>218</v>
      </c>
      <c r="GE39" s="22" t="s">
        <v>218</v>
      </c>
      <c r="GF39" s="22" t="s">
        <v>218</v>
      </c>
      <c r="GG39" s="22" t="s">
        <v>218</v>
      </c>
      <c r="GH39" s="22" t="s">
        <v>218</v>
      </c>
      <c r="GI39" s="22" t="s">
        <v>218</v>
      </c>
      <c r="GJ39" s="22" t="s">
        <v>218</v>
      </c>
      <c r="GK39" s="22" t="s">
        <v>218</v>
      </c>
      <c r="GL39" s="22" t="s">
        <v>218</v>
      </c>
      <c r="GM39" s="22" t="s">
        <v>218</v>
      </c>
      <c r="GN39" s="22" t="s">
        <v>218</v>
      </c>
      <c r="GO39" s="22" t="s">
        <v>218</v>
      </c>
      <c r="GP39" s="22" t="s">
        <v>218</v>
      </c>
      <c r="GQ39" s="22" t="s">
        <v>218</v>
      </c>
      <c r="GR39" s="22" t="s">
        <v>218</v>
      </c>
      <c r="GS39" s="22" t="s">
        <v>218</v>
      </c>
      <c r="GT39" s="22" t="s">
        <v>218</v>
      </c>
      <c r="GU39" s="22" t="s">
        <v>218</v>
      </c>
      <c r="GV39" s="22" t="s">
        <v>218</v>
      </c>
      <c r="GW39" s="22" t="s">
        <v>218</v>
      </c>
      <c r="GX39" s="22" t="s">
        <v>218</v>
      </c>
      <c r="GY39" s="22" t="s">
        <v>218</v>
      </c>
      <c r="GZ39" s="22" t="s">
        <v>218</v>
      </c>
      <c r="HA39" s="22" t="s">
        <v>218</v>
      </c>
      <c r="HB39" s="22" t="s">
        <v>218</v>
      </c>
      <c r="HC39" s="22" t="s">
        <v>218</v>
      </c>
      <c r="HD39" s="22" t="s">
        <v>218</v>
      </c>
      <c r="HE39" s="22" t="s">
        <v>218</v>
      </c>
      <c r="HF39" s="22" t="s">
        <v>218</v>
      </c>
      <c r="HG39" s="22" t="s">
        <v>218</v>
      </c>
      <c r="HH39" s="22" t="s">
        <v>218</v>
      </c>
      <c r="HI39" s="22" t="s">
        <v>218</v>
      </c>
      <c r="HJ39" s="22" t="s">
        <v>218</v>
      </c>
      <c r="HK39" s="22" t="s">
        <v>218</v>
      </c>
      <c r="HL39" s="22" t="s">
        <v>218</v>
      </c>
      <c r="HM39" s="860"/>
      <c r="HN39" s="860"/>
      <c r="HO39" s="860"/>
      <c r="HP39" s="860"/>
      <c r="HQ39" s="860"/>
      <c r="HR39" s="860"/>
      <c r="HS39" s="860"/>
      <c r="HT39" s="145"/>
      <c r="HU39" s="145" t="s">
        <v>1809</v>
      </c>
      <c r="HV39" s="22" t="s">
        <v>1926</v>
      </c>
      <c r="HW39" s="22">
        <v>0</v>
      </c>
      <c r="HX39" s="22">
        <v>0</v>
      </c>
      <c r="HY39" s="22">
        <v>0</v>
      </c>
      <c r="HZ39" s="19"/>
      <c r="IA39" s="19"/>
      <c r="IB39" s="621">
        <f>'background data'!$G$10</f>
        <v>0.47300000000000003</v>
      </c>
      <c r="IC39" s="621">
        <f>'background data'!$H$10</f>
        <v>0.13</v>
      </c>
      <c r="ID39" s="621">
        <f>'background data'!$J$10</f>
        <v>0.39100000000000001</v>
      </c>
      <c r="IE39" s="621">
        <f>'background data'!$L$10</f>
        <v>5.5E-2</v>
      </c>
      <c r="IF39" s="621">
        <f>'background data'!$M$10</f>
        <v>3.97</v>
      </c>
      <c r="IG39" s="621">
        <f>'background data'!$N$10</f>
        <v>4.5999999999999999E-3</v>
      </c>
      <c r="IH39" s="621">
        <f>'background data'!$O$10</f>
        <v>2.73</v>
      </c>
      <c r="II39" s="145"/>
      <c r="IJ39" s="145"/>
      <c r="IK39" s="145"/>
      <c r="IL39" s="145"/>
      <c r="IM39" s="145"/>
      <c r="IN39" s="145"/>
      <c r="IO39" s="145"/>
      <c r="IP39" s="145"/>
      <c r="IQ39" s="145"/>
      <c r="IR39" s="145"/>
      <c r="IS39" s="145"/>
      <c r="IT39" s="145"/>
      <c r="IU39" s="145"/>
      <c r="IV39" s="145"/>
      <c r="IW39" s="145"/>
      <c r="IX39" s="145"/>
      <c r="IY39" s="145"/>
      <c r="IZ39" s="145"/>
      <c r="JA39" s="145"/>
      <c r="JB39" s="145"/>
      <c r="JC39" s="145"/>
      <c r="JD39" s="145"/>
      <c r="JE39" s="145"/>
      <c r="JF39" s="145"/>
      <c r="JG39" s="145"/>
      <c r="JH39" s="145"/>
      <c r="JI39" s="145"/>
      <c r="JJ39" s="145"/>
      <c r="JK39" s="145"/>
      <c r="JL39" s="145"/>
      <c r="JM39" s="145"/>
      <c r="JN39" s="145"/>
      <c r="JO39" s="145"/>
      <c r="JP39" s="145"/>
      <c r="JQ39" s="145"/>
      <c r="JR39" s="145"/>
      <c r="JS39" s="145"/>
      <c r="JT39" s="145"/>
      <c r="JU39" s="145"/>
      <c r="JV39" s="145"/>
      <c r="JW39" s="145"/>
      <c r="JX39" s="145"/>
      <c r="JY39" s="145"/>
      <c r="JZ39" s="145"/>
      <c r="KA39" s="145"/>
      <c r="KB39" s="145"/>
      <c r="KC39" s="145"/>
      <c r="KD39" s="145"/>
      <c r="KE39" s="145"/>
      <c r="KF39" s="145"/>
      <c r="KG39" s="145"/>
      <c r="KH39" s="145"/>
      <c r="KI39" s="145"/>
      <c r="KJ39" s="145"/>
      <c r="KK39" s="145"/>
      <c r="KL39" s="145"/>
      <c r="KM39" s="145"/>
      <c r="KN39" s="145"/>
      <c r="KO39" s="145"/>
      <c r="KP39" s="145"/>
      <c r="KQ39" s="145"/>
      <c r="KR39" s="145"/>
      <c r="KS39" s="145"/>
      <c r="KT39" s="145"/>
      <c r="KU39" s="145"/>
      <c r="KV39" s="145"/>
      <c r="KW39" s="145"/>
      <c r="KX39" s="145"/>
      <c r="KY39" s="145"/>
      <c r="KZ39" s="145"/>
      <c r="LA39" s="145"/>
      <c r="LB39" s="145"/>
      <c r="LC39" s="145"/>
      <c r="LD39" s="145"/>
      <c r="LE39" s="145"/>
      <c r="LF39" s="145"/>
      <c r="LG39" s="145"/>
      <c r="LH39" s="145"/>
      <c r="LI39" s="145"/>
      <c r="LJ39" s="145"/>
      <c r="LK39" s="145"/>
      <c r="LL39" s="145"/>
      <c r="LM39" s="145"/>
      <c r="LN39" s="145"/>
      <c r="LO39" s="145"/>
      <c r="LP39" s="145"/>
      <c r="LQ39" s="145"/>
      <c r="LR39" s="145"/>
      <c r="LS39" s="145"/>
      <c r="LT39" s="145"/>
      <c r="LU39" s="145"/>
      <c r="LV39" s="145"/>
      <c r="LW39" s="145"/>
      <c r="LX39" s="145"/>
      <c r="LY39" s="145"/>
      <c r="LZ39" s="145"/>
      <c r="MA39" s="145"/>
      <c r="MB39" s="145"/>
      <c r="MC39" s="145"/>
      <c r="MD39" s="145"/>
      <c r="ME39" s="145"/>
      <c r="MF39" s="145"/>
      <c r="MG39" s="145"/>
      <c r="MH39" s="145"/>
      <c r="MI39" s="145"/>
      <c r="MJ39" s="145"/>
      <c r="MK39" s="145"/>
      <c r="ML39" s="145"/>
      <c r="MM39" s="145"/>
      <c r="MN39" s="145"/>
      <c r="MO39" s="145"/>
      <c r="MP39" s="145"/>
      <c r="MQ39" s="145"/>
      <c r="MR39" s="145"/>
      <c r="MS39" s="145"/>
      <c r="MT39" s="145"/>
      <c r="MU39" s="145"/>
      <c r="MV39" s="145"/>
      <c r="MW39" s="145"/>
      <c r="MX39" s="145"/>
      <c r="MY39" s="145"/>
      <c r="MZ39" s="145"/>
      <c r="NA39" s="145"/>
      <c r="NB39" s="145"/>
      <c r="NC39" s="145"/>
      <c r="ND39" s="145"/>
      <c r="NE39" s="145"/>
      <c r="NF39" s="145"/>
      <c r="NG39" s="145"/>
      <c r="NH39" s="145"/>
      <c r="NI39" s="145"/>
      <c r="NJ39" s="145"/>
      <c r="NK39" s="145"/>
      <c r="NL39" s="145"/>
      <c r="NM39" s="145"/>
      <c r="NN39" s="145"/>
      <c r="NO39" s="145"/>
      <c r="NP39" s="145"/>
      <c r="NQ39" s="145"/>
      <c r="NR39" s="145"/>
      <c r="NS39" s="145"/>
    </row>
    <row r="40" spans="1:383" s="16" customFormat="1" ht="15" customHeight="1" x14ac:dyDescent="0.2">
      <c r="A40" s="15">
        <v>67900</v>
      </c>
      <c r="B40" s="25">
        <v>679</v>
      </c>
      <c r="C40" s="26">
        <v>0</v>
      </c>
      <c r="D40" s="20" t="s">
        <v>265</v>
      </c>
      <c r="E40" s="14">
        <v>42695</v>
      </c>
      <c r="F40" s="18">
        <v>1.22</v>
      </c>
      <c r="G40" s="18">
        <v>1.2380368068575101</v>
      </c>
      <c r="H40" s="21">
        <v>96.3</v>
      </c>
      <c r="I40" s="21">
        <v>88.8</v>
      </c>
      <c r="J40" s="21">
        <v>90</v>
      </c>
      <c r="K40" s="18">
        <v>1</v>
      </c>
      <c r="L40" s="18">
        <v>95.4</v>
      </c>
      <c r="M40" s="18">
        <v>6.3</v>
      </c>
      <c r="N40" s="18">
        <v>0.40253164556962001</v>
      </c>
      <c r="O40" s="18">
        <v>5.0316455696202604</v>
      </c>
      <c r="P40" s="18">
        <v>4.78006329113924</v>
      </c>
      <c r="Q40" s="19"/>
      <c r="R40" s="18">
        <v>50</v>
      </c>
      <c r="S40" s="18">
        <v>50</v>
      </c>
      <c r="T40" s="18">
        <v>50</v>
      </c>
      <c r="U40" s="18">
        <v>50</v>
      </c>
      <c r="V40" s="18">
        <v>50</v>
      </c>
      <c r="W40" s="18">
        <v>50</v>
      </c>
      <c r="X40" s="18"/>
      <c r="Y40" s="18">
        <v>2.5786163522012577</v>
      </c>
      <c r="Z40" s="18">
        <v>2.4213836477987418</v>
      </c>
      <c r="AA40" s="18">
        <v>1.4240506329113942</v>
      </c>
      <c r="AB40" s="18">
        <v>0</v>
      </c>
      <c r="AC40" s="18">
        <v>13.502109704641404</v>
      </c>
      <c r="AD40" s="18">
        <v>1.2341772151898742</v>
      </c>
      <c r="AE40" s="18">
        <v>0</v>
      </c>
      <c r="AF40" s="18">
        <v>360.75949367088572</v>
      </c>
      <c r="AG40" s="18">
        <v>19.514767932489519</v>
      </c>
      <c r="AH40" s="18">
        <v>59.071729957805864</v>
      </c>
      <c r="AI40" s="18">
        <v>129.74683544303775</v>
      </c>
      <c r="AJ40" s="18">
        <v>0</v>
      </c>
      <c r="AK40" s="18">
        <v>0</v>
      </c>
      <c r="AL40" s="18"/>
      <c r="AM40" s="18">
        <v>2.8730158730158699</v>
      </c>
      <c r="AN40" s="18">
        <v>0.73015873015873001</v>
      </c>
      <c r="AO40" s="18">
        <v>0.55559142857142896</v>
      </c>
      <c r="AP40" s="18">
        <v>2.5238095238095202</v>
      </c>
      <c r="AQ40" s="18">
        <v>0.92727272727272703</v>
      </c>
      <c r="AR40" s="18">
        <v>2.4363636363636401</v>
      </c>
      <c r="AS40" s="18">
        <v>3.2727272727272698</v>
      </c>
      <c r="AT40" s="18">
        <v>1.25454545454545</v>
      </c>
      <c r="AU40" s="18">
        <v>2.16363636363636</v>
      </c>
      <c r="AV40" s="18">
        <v>1.2</v>
      </c>
      <c r="AW40" s="18">
        <v>2.9272727272727299</v>
      </c>
      <c r="AX40" s="18"/>
      <c r="AY40" s="18">
        <v>1</v>
      </c>
      <c r="AZ40" s="18">
        <v>1</v>
      </c>
      <c r="BA40" s="18">
        <v>1</v>
      </c>
      <c r="BB40" s="18">
        <v>1</v>
      </c>
      <c r="BC40" s="18">
        <v>1</v>
      </c>
      <c r="BD40" s="18">
        <v>1</v>
      </c>
      <c r="BE40" s="18">
        <v>1</v>
      </c>
      <c r="BF40" s="18">
        <v>1</v>
      </c>
      <c r="BG40" s="18">
        <v>1</v>
      </c>
      <c r="BH40" s="18">
        <v>1</v>
      </c>
      <c r="BI40" s="18">
        <v>1</v>
      </c>
      <c r="BJ40" s="19"/>
      <c r="BK40" s="18">
        <v>6.6037735849056602</v>
      </c>
      <c r="BL40" s="18">
        <v>0.42194092827004187</v>
      </c>
      <c r="BM40" s="18">
        <v>5.2742616033755345</v>
      </c>
      <c r="BN40" s="18">
        <v>5.0105485232067499</v>
      </c>
      <c r="BO40" s="18"/>
      <c r="BP40" s="18">
        <v>0</v>
      </c>
      <c r="BQ40" s="18">
        <v>0</v>
      </c>
      <c r="BR40" s="18">
        <v>1.2788259958071277</v>
      </c>
      <c r="BS40" s="18">
        <v>1.2977325019470753</v>
      </c>
      <c r="BT40" s="19"/>
      <c r="BU40" s="18">
        <v>947.25738396624536</v>
      </c>
      <c r="BV40" s="18">
        <v>746.5298315648206</v>
      </c>
      <c r="BW40" s="18">
        <v>101.49186256781203</v>
      </c>
      <c r="BX40" s="18" t="s">
        <v>217</v>
      </c>
      <c r="BY40" s="18">
        <v>156</v>
      </c>
      <c r="BZ40" s="18">
        <v>62.308814357364767</v>
      </c>
      <c r="CA40" s="18">
        <v>67.501215553811946</v>
      </c>
      <c r="CB40" s="19"/>
      <c r="CC40" s="19">
        <v>2.46</v>
      </c>
      <c r="CD40" s="19">
        <v>2.31</v>
      </c>
      <c r="CE40" s="19">
        <v>1.3585443037974703</v>
      </c>
      <c r="CF40" s="19">
        <v>0</v>
      </c>
      <c r="CG40" s="19">
        <v>12.881012658227901</v>
      </c>
      <c r="CH40" s="19">
        <v>1.1774050632911401</v>
      </c>
      <c r="CI40" s="19">
        <v>0</v>
      </c>
      <c r="CJ40" s="19"/>
      <c r="CK40" s="19">
        <v>344.16455696202502</v>
      </c>
      <c r="CL40" s="19">
        <v>18.617088607595004</v>
      </c>
      <c r="CM40" s="19">
        <v>56.354430379746802</v>
      </c>
      <c r="CN40" s="19">
        <v>123.77848101265802</v>
      </c>
      <c r="CO40" s="19">
        <v>0</v>
      </c>
      <c r="CP40" s="19">
        <v>0</v>
      </c>
      <c r="CQ40" s="19">
        <v>31.5</v>
      </c>
      <c r="CR40" s="19">
        <v>25.819672131147541</v>
      </c>
      <c r="CS40" s="19">
        <v>0.74180327868852625</v>
      </c>
      <c r="CT40" s="19">
        <v>0.18852459016393444</v>
      </c>
      <c r="CU40" s="19">
        <v>0.14345188524590166</v>
      </c>
      <c r="CV40" s="19">
        <v>0.3319764754098361</v>
      </c>
      <c r="CW40" s="19">
        <v>0.65163934426229431</v>
      </c>
      <c r="CX40" s="19">
        <v>0.23941877794336805</v>
      </c>
      <c r="CY40" s="19">
        <v>0.629061102831596</v>
      </c>
      <c r="CZ40" s="19">
        <v>0.84500745156482793</v>
      </c>
      <c r="DA40" s="19">
        <v>0.32391952309985</v>
      </c>
      <c r="DB40" s="19">
        <v>0.55864381520119177</v>
      </c>
      <c r="DC40" s="19">
        <v>0.30983606557377052</v>
      </c>
      <c r="DD40" s="19">
        <v>0.86847988077495897</v>
      </c>
      <c r="DE40" s="19">
        <v>0.75581222056631725</v>
      </c>
      <c r="DF40" s="23">
        <v>0</v>
      </c>
      <c r="DG40" s="23">
        <v>0</v>
      </c>
      <c r="DH40" s="23">
        <v>0</v>
      </c>
      <c r="DI40" s="19">
        <v>0</v>
      </c>
      <c r="DJ40" s="19">
        <v>0</v>
      </c>
      <c r="DK40" s="19">
        <v>0</v>
      </c>
      <c r="DL40" s="19">
        <v>0</v>
      </c>
      <c r="DM40" s="19">
        <v>0</v>
      </c>
      <c r="DN40" s="19">
        <v>0</v>
      </c>
      <c r="DO40" s="19">
        <v>0</v>
      </c>
      <c r="DP40" s="19">
        <v>0</v>
      </c>
      <c r="DQ40" s="19">
        <v>0</v>
      </c>
      <c r="DR40" s="19">
        <v>0</v>
      </c>
      <c r="DS40" s="19">
        <v>0</v>
      </c>
      <c r="DT40" s="19">
        <v>0</v>
      </c>
      <c r="DU40" s="19">
        <v>0</v>
      </c>
      <c r="DV40" s="19">
        <v>0</v>
      </c>
      <c r="DW40" s="17" t="s">
        <v>266</v>
      </c>
      <c r="DX40" s="22" t="s">
        <v>218</v>
      </c>
      <c r="DY40" s="22">
        <v>4</v>
      </c>
      <c r="DZ40" s="22">
        <v>4</v>
      </c>
      <c r="EA40" s="22">
        <v>4</v>
      </c>
      <c r="EB40" s="22" t="s">
        <v>218</v>
      </c>
      <c r="EC40" s="22" t="s">
        <v>218</v>
      </c>
      <c r="ED40" s="22" t="s">
        <v>218</v>
      </c>
      <c r="EE40" s="22" t="s">
        <v>218</v>
      </c>
      <c r="EF40" s="22">
        <v>4</v>
      </c>
      <c r="EG40" s="22">
        <v>4</v>
      </c>
      <c r="EH40" s="22">
        <v>4</v>
      </c>
      <c r="EI40" s="22">
        <v>4</v>
      </c>
      <c r="EJ40" s="22">
        <v>4</v>
      </c>
      <c r="EK40" s="22">
        <v>4</v>
      </c>
      <c r="EL40" s="22" t="s">
        <v>218</v>
      </c>
      <c r="EM40" s="22" t="s">
        <v>218</v>
      </c>
      <c r="EN40" s="22" t="s">
        <v>218</v>
      </c>
      <c r="EO40" s="22" t="s">
        <v>218</v>
      </c>
      <c r="EP40" s="22" t="s">
        <v>218</v>
      </c>
      <c r="EQ40" s="22" t="s">
        <v>218</v>
      </c>
      <c r="ER40" s="22" t="s">
        <v>218</v>
      </c>
      <c r="ES40" s="22">
        <v>4</v>
      </c>
      <c r="ET40" s="22">
        <v>4</v>
      </c>
      <c r="EU40" s="22" t="s">
        <v>218</v>
      </c>
      <c r="EV40" s="22" t="s">
        <v>218</v>
      </c>
      <c r="EW40" s="22" t="s">
        <v>218</v>
      </c>
      <c r="EX40" s="22" t="s">
        <v>218</v>
      </c>
      <c r="EY40" s="22" t="s">
        <v>218</v>
      </c>
      <c r="EZ40" s="22" t="s">
        <v>218</v>
      </c>
      <c r="FA40" s="22" t="s">
        <v>218</v>
      </c>
      <c r="FB40" s="22" t="s">
        <v>218</v>
      </c>
      <c r="FC40" s="22" t="s">
        <v>218</v>
      </c>
      <c r="FD40" s="22" t="s">
        <v>218</v>
      </c>
      <c r="FE40" s="22" t="s">
        <v>218</v>
      </c>
      <c r="FF40" s="22" t="s">
        <v>218</v>
      </c>
      <c r="FG40" s="22">
        <v>0.05</v>
      </c>
      <c r="FH40" s="22" t="s">
        <v>218</v>
      </c>
      <c r="FI40" s="22">
        <v>0.1</v>
      </c>
      <c r="FJ40" s="22" t="s">
        <v>218</v>
      </c>
      <c r="FK40" s="22" t="s">
        <v>218</v>
      </c>
      <c r="FL40" s="22" t="s">
        <v>218</v>
      </c>
      <c r="FM40" s="22" t="s">
        <v>218</v>
      </c>
      <c r="FN40" s="22">
        <v>0.65</v>
      </c>
      <c r="FO40" s="22">
        <v>0.7</v>
      </c>
      <c r="FP40" s="22">
        <v>0.04</v>
      </c>
      <c r="FQ40" s="22" t="s">
        <v>218</v>
      </c>
      <c r="FR40" s="22">
        <v>0.01</v>
      </c>
      <c r="FS40" s="22">
        <v>0.02</v>
      </c>
      <c r="FT40" s="22" t="s">
        <v>218</v>
      </c>
      <c r="FU40" s="22" t="s">
        <v>218</v>
      </c>
      <c r="FV40" s="22" t="s">
        <v>218</v>
      </c>
      <c r="FW40" s="22" t="s">
        <v>218</v>
      </c>
      <c r="FX40" s="22" t="s">
        <v>218</v>
      </c>
      <c r="FY40" s="22" t="s">
        <v>218</v>
      </c>
      <c r="FZ40" s="22" t="s">
        <v>218</v>
      </c>
      <c r="GA40" s="22">
        <v>0.09</v>
      </c>
      <c r="GB40" s="22">
        <v>7.0000000000000007E-2</v>
      </c>
      <c r="GC40" s="22" t="s">
        <v>218</v>
      </c>
      <c r="GD40" s="22" t="s">
        <v>218</v>
      </c>
      <c r="GE40" s="22" t="s">
        <v>218</v>
      </c>
      <c r="GF40" s="22" t="s">
        <v>218</v>
      </c>
      <c r="GG40" s="22" t="s">
        <v>218</v>
      </c>
      <c r="GH40" s="22" t="s">
        <v>218</v>
      </c>
      <c r="GI40" s="22" t="s">
        <v>218</v>
      </c>
      <c r="GJ40" s="22" t="s">
        <v>218</v>
      </c>
      <c r="GK40" s="22" t="s">
        <v>218</v>
      </c>
      <c r="GL40" s="22" t="s">
        <v>218</v>
      </c>
      <c r="GM40" s="22" t="s">
        <v>218</v>
      </c>
      <c r="GN40" s="22" t="s">
        <v>218</v>
      </c>
      <c r="GO40" s="22">
        <v>2013</v>
      </c>
      <c r="GP40" s="22">
        <v>2013</v>
      </c>
      <c r="GQ40" s="22">
        <v>2013</v>
      </c>
      <c r="GR40" s="22" t="s">
        <v>218</v>
      </c>
      <c r="GS40" s="22" t="s">
        <v>218</v>
      </c>
      <c r="GT40" s="22" t="s">
        <v>218</v>
      </c>
      <c r="GU40" s="22" t="s">
        <v>218</v>
      </c>
      <c r="GV40" s="22">
        <v>2013</v>
      </c>
      <c r="GW40" s="22">
        <v>2013</v>
      </c>
      <c r="GX40" s="22">
        <v>2013</v>
      </c>
      <c r="GY40" s="22">
        <v>2013</v>
      </c>
      <c r="GZ40" s="22">
        <v>2013</v>
      </c>
      <c r="HA40" s="22">
        <v>2013</v>
      </c>
      <c r="HB40" s="22" t="s">
        <v>218</v>
      </c>
      <c r="HC40" s="22" t="s">
        <v>218</v>
      </c>
      <c r="HD40" s="22" t="s">
        <v>218</v>
      </c>
      <c r="HE40" s="22" t="s">
        <v>218</v>
      </c>
      <c r="HF40" s="22" t="s">
        <v>218</v>
      </c>
      <c r="HG40" s="22" t="s">
        <v>218</v>
      </c>
      <c r="HH40" s="22" t="s">
        <v>218</v>
      </c>
      <c r="HI40" s="22">
        <v>21013</v>
      </c>
      <c r="HJ40" s="22">
        <v>2013</v>
      </c>
      <c r="HK40" s="22" t="s">
        <v>218</v>
      </c>
      <c r="HL40" s="22" t="s">
        <v>218</v>
      </c>
      <c r="HM40" s="860"/>
      <c r="HN40" s="860"/>
      <c r="HO40" s="860"/>
      <c r="HP40" s="860"/>
      <c r="HQ40" s="860"/>
      <c r="HR40" s="860"/>
      <c r="HS40" s="860"/>
      <c r="HT40" s="145"/>
      <c r="HU40" s="145" t="s">
        <v>1809</v>
      </c>
      <c r="HV40" s="22" t="s">
        <v>2016</v>
      </c>
      <c r="HW40" s="22" t="s">
        <v>267</v>
      </c>
      <c r="HX40" s="22">
        <v>0</v>
      </c>
      <c r="HY40" s="22">
        <v>0</v>
      </c>
      <c r="HZ40" s="19"/>
      <c r="IA40" s="19"/>
      <c r="IB40" s="621">
        <f>'background data'!$G$10</f>
        <v>0.47300000000000003</v>
      </c>
      <c r="IC40" s="621">
        <f>'background data'!$H$10</f>
        <v>0.13</v>
      </c>
      <c r="ID40" s="621">
        <f>'background data'!$J$10</f>
        <v>0.39100000000000001</v>
      </c>
      <c r="IE40" s="621">
        <f>'background data'!$L$10</f>
        <v>5.5E-2</v>
      </c>
      <c r="IF40" s="621">
        <f>'background data'!$M$10</f>
        <v>3.97</v>
      </c>
      <c r="IG40" s="621">
        <f>'background data'!$N$10</f>
        <v>4.5999999999999999E-3</v>
      </c>
      <c r="IH40" s="621">
        <f>'background data'!$O$10</f>
        <v>2.73</v>
      </c>
      <c r="II40" s="145"/>
      <c r="IJ40" s="145"/>
      <c r="IK40" s="145"/>
      <c r="IL40" s="145"/>
      <c r="IM40" s="145"/>
      <c r="IN40" s="145"/>
      <c r="IO40" s="145"/>
      <c r="IP40" s="145"/>
      <c r="IQ40" s="145"/>
      <c r="IR40" s="145"/>
      <c r="IS40" s="145"/>
      <c r="IT40" s="145"/>
      <c r="IU40" s="145"/>
      <c r="IV40" s="145"/>
      <c r="IW40" s="145"/>
      <c r="IX40" s="145"/>
      <c r="IY40" s="145"/>
      <c r="IZ40" s="145"/>
      <c r="JA40" s="145"/>
      <c r="JB40" s="145"/>
      <c r="JC40" s="145"/>
      <c r="JD40" s="145"/>
      <c r="JE40" s="145"/>
      <c r="JF40" s="145"/>
      <c r="JG40" s="145"/>
      <c r="JH40" s="145"/>
      <c r="JI40" s="145"/>
      <c r="JJ40" s="145"/>
      <c r="JK40" s="145"/>
      <c r="JL40" s="145"/>
      <c r="JM40" s="145"/>
      <c r="JN40" s="145"/>
      <c r="JO40" s="145"/>
      <c r="JP40" s="145"/>
      <c r="JQ40" s="145"/>
      <c r="JR40" s="145"/>
      <c r="JS40" s="145"/>
      <c r="JT40" s="145"/>
      <c r="JU40" s="145"/>
      <c r="JV40" s="145"/>
      <c r="JW40" s="145"/>
      <c r="JX40" s="145"/>
      <c r="JY40" s="145"/>
      <c r="JZ40" s="145"/>
      <c r="KA40" s="145"/>
      <c r="KB40" s="145"/>
      <c r="KC40" s="145"/>
      <c r="KD40" s="145"/>
      <c r="KE40" s="145"/>
      <c r="KF40" s="145"/>
      <c r="KG40" s="145"/>
      <c r="KH40" s="145"/>
      <c r="KI40" s="145"/>
      <c r="KJ40" s="145"/>
      <c r="KK40" s="145"/>
      <c r="KL40" s="145"/>
      <c r="KM40" s="145"/>
      <c r="KN40" s="145"/>
      <c r="KO40" s="145"/>
      <c r="KP40" s="145"/>
      <c r="KQ40" s="145"/>
      <c r="KR40" s="145"/>
      <c r="KS40" s="145"/>
      <c r="KT40" s="145"/>
      <c r="KU40" s="145"/>
      <c r="KV40" s="145"/>
      <c r="KW40" s="145"/>
      <c r="KX40" s="145"/>
      <c r="KY40" s="145"/>
      <c r="KZ40" s="145"/>
      <c r="LA40" s="145"/>
      <c r="LB40" s="145"/>
      <c r="LC40" s="145"/>
      <c r="LD40" s="145"/>
      <c r="LE40" s="145"/>
      <c r="LF40" s="145"/>
      <c r="LG40" s="145"/>
      <c r="LH40" s="145"/>
      <c r="LI40" s="145"/>
      <c r="LJ40" s="145"/>
      <c r="LK40" s="145"/>
      <c r="LL40" s="145"/>
      <c r="LM40" s="145"/>
      <c r="LN40" s="145"/>
      <c r="LO40" s="145"/>
      <c r="LP40" s="145"/>
      <c r="LQ40" s="145"/>
      <c r="LR40" s="145"/>
      <c r="LS40" s="145"/>
      <c r="LT40" s="145"/>
      <c r="LU40" s="145"/>
      <c r="LV40" s="145"/>
      <c r="LW40" s="145"/>
      <c r="LX40" s="145"/>
      <c r="LY40" s="145"/>
      <c r="LZ40" s="145"/>
      <c r="MA40" s="145"/>
      <c r="MB40" s="145"/>
      <c r="MC40" s="145"/>
      <c r="MD40" s="145"/>
      <c r="ME40" s="145"/>
      <c r="MF40" s="145"/>
      <c r="MG40" s="145"/>
      <c r="MH40" s="145"/>
      <c r="MI40" s="145"/>
      <c r="MJ40" s="145"/>
      <c r="MK40" s="145"/>
      <c r="ML40" s="145"/>
      <c r="MM40" s="145"/>
      <c r="MN40" s="145"/>
      <c r="MO40" s="145"/>
      <c r="MP40" s="145"/>
      <c r="MQ40" s="145"/>
      <c r="MR40" s="145"/>
      <c r="MS40" s="145"/>
      <c r="MT40" s="145"/>
      <c r="MU40" s="145"/>
      <c r="MV40" s="145"/>
      <c r="MW40" s="145"/>
      <c r="MX40" s="145"/>
      <c r="MY40" s="145"/>
      <c r="MZ40" s="145"/>
      <c r="NA40" s="145"/>
      <c r="NB40" s="145"/>
      <c r="NC40" s="145"/>
      <c r="ND40" s="145"/>
      <c r="NE40" s="145"/>
      <c r="NF40" s="145"/>
      <c r="NG40" s="145"/>
      <c r="NH40" s="145"/>
      <c r="NI40" s="145"/>
      <c r="NJ40" s="145"/>
      <c r="NK40" s="145"/>
      <c r="NL40" s="145"/>
      <c r="NM40" s="145"/>
      <c r="NN40" s="145"/>
      <c r="NO40" s="145"/>
      <c r="NP40" s="145"/>
      <c r="NQ40" s="145"/>
      <c r="NR40" s="145"/>
      <c r="NS40" s="145"/>
    </row>
    <row r="41" spans="1:383" s="16" customFormat="1" ht="15" customHeight="1" x14ac:dyDescent="0.2">
      <c r="A41" s="15">
        <v>94700</v>
      </c>
      <c r="B41" s="25">
        <v>947</v>
      </c>
      <c r="C41" s="26">
        <v>0</v>
      </c>
      <c r="D41" s="20" t="s">
        <v>268</v>
      </c>
      <c r="E41" s="14">
        <v>40310</v>
      </c>
      <c r="F41" s="18">
        <v>1.5695119733062399</v>
      </c>
      <c r="G41" s="18">
        <v>1.5042855016883101</v>
      </c>
      <c r="H41" s="21">
        <v>100</v>
      </c>
      <c r="I41" s="21">
        <v>100</v>
      </c>
      <c r="J41" s="21">
        <v>100</v>
      </c>
      <c r="K41" s="18">
        <v>1</v>
      </c>
      <c r="L41" s="18">
        <v>99</v>
      </c>
      <c r="M41" s="18">
        <v>1E-4</v>
      </c>
      <c r="N41" s="18">
        <v>0</v>
      </c>
      <c r="O41" s="18">
        <v>0</v>
      </c>
      <c r="P41" s="18">
        <v>0</v>
      </c>
      <c r="Q41" s="19"/>
      <c r="R41" s="18">
        <v>0</v>
      </c>
      <c r="S41" s="18">
        <v>0</v>
      </c>
      <c r="T41" s="18">
        <v>0</v>
      </c>
      <c r="U41" s="18">
        <v>0</v>
      </c>
      <c r="V41" s="18">
        <v>0</v>
      </c>
      <c r="W41" s="18">
        <v>0</v>
      </c>
      <c r="X41" s="18"/>
      <c r="Y41" s="18">
        <v>0</v>
      </c>
      <c r="Z41" s="18">
        <v>0</v>
      </c>
      <c r="AA41" s="18">
        <v>0</v>
      </c>
      <c r="AB41" s="18">
        <v>0</v>
      </c>
      <c r="AC41" s="18">
        <v>0</v>
      </c>
      <c r="AD41" s="18">
        <v>0</v>
      </c>
      <c r="AE41" s="18">
        <v>0</v>
      </c>
      <c r="AF41" s="18">
        <v>0</v>
      </c>
      <c r="AG41" s="18">
        <v>0</v>
      </c>
      <c r="AH41" s="18">
        <v>0</v>
      </c>
      <c r="AI41" s="18">
        <v>0</v>
      </c>
      <c r="AJ41" s="18">
        <v>0</v>
      </c>
      <c r="AK41" s="18">
        <v>0</v>
      </c>
      <c r="AL41" s="18"/>
      <c r="AM41" s="18">
        <v>0</v>
      </c>
      <c r="AN41" s="18">
        <v>0</v>
      </c>
      <c r="AO41" s="18">
        <v>0</v>
      </c>
      <c r="AP41" s="18">
        <v>0</v>
      </c>
      <c r="AQ41" s="18">
        <v>0</v>
      </c>
      <c r="AR41" s="18">
        <v>0</v>
      </c>
      <c r="AS41" s="18">
        <v>0</v>
      </c>
      <c r="AT41" s="18">
        <v>0</v>
      </c>
      <c r="AU41" s="18">
        <v>0</v>
      </c>
      <c r="AV41" s="18">
        <v>0</v>
      </c>
      <c r="AW41" s="18">
        <v>0</v>
      </c>
      <c r="AX41" s="18"/>
      <c r="AY41" s="18">
        <v>1</v>
      </c>
      <c r="AZ41" s="18">
        <v>1</v>
      </c>
      <c r="BA41" s="18">
        <v>1</v>
      </c>
      <c r="BB41" s="18">
        <v>1</v>
      </c>
      <c r="BC41" s="18">
        <v>1</v>
      </c>
      <c r="BD41" s="18">
        <v>1</v>
      </c>
      <c r="BE41" s="18">
        <v>1</v>
      </c>
      <c r="BF41" s="18">
        <v>1</v>
      </c>
      <c r="BG41" s="18">
        <v>1</v>
      </c>
      <c r="BH41" s="18">
        <v>1</v>
      </c>
      <c r="BI41" s="18">
        <v>1</v>
      </c>
      <c r="BJ41" s="19"/>
      <c r="BK41" s="18">
        <v>1.0101010101010101E-4</v>
      </c>
      <c r="BL41" s="18">
        <v>0</v>
      </c>
      <c r="BM41" s="18">
        <v>0</v>
      </c>
      <c r="BN41" s="18">
        <v>0</v>
      </c>
      <c r="BO41" s="18"/>
      <c r="BP41" s="18">
        <v>0</v>
      </c>
      <c r="BQ41" s="18">
        <v>0</v>
      </c>
      <c r="BR41" s="18">
        <v>1.5853656296022625</v>
      </c>
      <c r="BS41" s="18">
        <v>1.5194803047356669</v>
      </c>
      <c r="BT41" s="19"/>
      <c r="BU41" s="18">
        <v>1000</v>
      </c>
      <c r="BV41" s="18">
        <v>999.99908080808086</v>
      </c>
      <c r="BW41" s="18">
        <v>0</v>
      </c>
      <c r="BX41" s="18" t="s">
        <v>217</v>
      </c>
      <c r="BY41" s="18" t="s">
        <v>217</v>
      </c>
      <c r="BZ41" s="18" t="s">
        <v>217</v>
      </c>
      <c r="CA41" s="18" t="s">
        <v>217</v>
      </c>
      <c r="CB41" s="19"/>
      <c r="CC41" s="19">
        <v>0</v>
      </c>
      <c r="CD41" s="19">
        <v>0</v>
      </c>
      <c r="CE41" s="19">
        <v>0</v>
      </c>
      <c r="CF41" s="19">
        <v>0</v>
      </c>
      <c r="CG41" s="19">
        <v>0</v>
      </c>
      <c r="CH41" s="19">
        <v>0</v>
      </c>
      <c r="CI41" s="19">
        <v>0</v>
      </c>
      <c r="CJ41" s="19"/>
      <c r="CK41" s="19">
        <v>0</v>
      </c>
      <c r="CL41" s="19">
        <v>0</v>
      </c>
      <c r="CM41" s="19">
        <v>0</v>
      </c>
      <c r="CN41" s="19">
        <v>0</v>
      </c>
      <c r="CO41" s="19">
        <v>0</v>
      </c>
      <c r="CP41" s="19">
        <v>0</v>
      </c>
      <c r="CQ41" s="19">
        <v>0</v>
      </c>
      <c r="CR41" s="19">
        <v>0</v>
      </c>
      <c r="CS41" s="19">
        <v>0</v>
      </c>
      <c r="CT41" s="19">
        <v>0</v>
      </c>
      <c r="CU41" s="19">
        <v>0</v>
      </c>
      <c r="CV41" s="19">
        <v>0</v>
      </c>
      <c r="CW41" s="19">
        <v>0</v>
      </c>
      <c r="CX41" s="19">
        <v>0</v>
      </c>
      <c r="CY41" s="19">
        <v>0</v>
      </c>
      <c r="CZ41" s="19">
        <v>0</v>
      </c>
      <c r="DA41" s="19">
        <v>0</v>
      </c>
      <c r="DB41" s="19">
        <v>0</v>
      </c>
      <c r="DC41" s="19">
        <v>0</v>
      </c>
      <c r="DD41" s="19">
        <v>0</v>
      </c>
      <c r="DE41" s="19">
        <v>0</v>
      </c>
      <c r="DF41" s="23">
        <v>0</v>
      </c>
      <c r="DG41" s="23">
        <v>0</v>
      </c>
      <c r="DH41" s="23">
        <v>0</v>
      </c>
      <c r="DI41" s="19">
        <v>0</v>
      </c>
      <c r="DJ41" s="19">
        <v>0</v>
      </c>
      <c r="DK41" s="19">
        <v>0</v>
      </c>
      <c r="DL41" s="19">
        <v>0</v>
      </c>
      <c r="DM41" s="19">
        <v>0</v>
      </c>
      <c r="DN41" s="19">
        <v>0</v>
      </c>
      <c r="DO41" s="19">
        <v>0</v>
      </c>
      <c r="DP41" s="19">
        <v>0</v>
      </c>
      <c r="DQ41" s="19">
        <v>0</v>
      </c>
      <c r="DR41" s="19">
        <v>0</v>
      </c>
      <c r="DS41" s="19">
        <v>0</v>
      </c>
      <c r="DT41" s="19">
        <v>0</v>
      </c>
      <c r="DU41" s="19">
        <v>0</v>
      </c>
      <c r="DV41" s="19">
        <v>0</v>
      </c>
      <c r="DW41" s="17" t="s">
        <v>218</v>
      </c>
      <c r="DX41" s="22" t="s">
        <v>218</v>
      </c>
      <c r="DY41" s="22" t="s">
        <v>218</v>
      </c>
      <c r="DZ41" s="22" t="s">
        <v>218</v>
      </c>
      <c r="EA41" s="22" t="s">
        <v>218</v>
      </c>
      <c r="EB41" s="22" t="s">
        <v>218</v>
      </c>
      <c r="EC41" s="22" t="s">
        <v>218</v>
      </c>
      <c r="ED41" s="22" t="s">
        <v>218</v>
      </c>
      <c r="EE41" s="22" t="s">
        <v>218</v>
      </c>
      <c r="EF41" s="22" t="s">
        <v>218</v>
      </c>
      <c r="EG41" s="22" t="s">
        <v>218</v>
      </c>
      <c r="EH41" s="22" t="s">
        <v>218</v>
      </c>
      <c r="EI41" s="22" t="s">
        <v>218</v>
      </c>
      <c r="EJ41" s="22" t="s">
        <v>218</v>
      </c>
      <c r="EK41" s="22" t="s">
        <v>218</v>
      </c>
      <c r="EL41" s="22" t="s">
        <v>218</v>
      </c>
      <c r="EM41" s="22" t="s">
        <v>218</v>
      </c>
      <c r="EN41" s="22" t="s">
        <v>218</v>
      </c>
      <c r="EO41" s="22" t="s">
        <v>218</v>
      </c>
      <c r="EP41" s="22" t="s">
        <v>218</v>
      </c>
      <c r="EQ41" s="22" t="s">
        <v>218</v>
      </c>
      <c r="ER41" s="22" t="s">
        <v>218</v>
      </c>
      <c r="ES41" s="22" t="s">
        <v>218</v>
      </c>
      <c r="ET41" s="22" t="s">
        <v>218</v>
      </c>
      <c r="EU41" s="22" t="s">
        <v>218</v>
      </c>
      <c r="EV41" s="22" t="s">
        <v>218</v>
      </c>
      <c r="EW41" s="22" t="s">
        <v>218</v>
      </c>
      <c r="EX41" s="22" t="s">
        <v>218</v>
      </c>
      <c r="EY41" s="22" t="s">
        <v>218</v>
      </c>
      <c r="EZ41" s="22" t="s">
        <v>218</v>
      </c>
      <c r="FA41" s="22" t="s">
        <v>218</v>
      </c>
      <c r="FB41" s="22" t="s">
        <v>218</v>
      </c>
      <c r="FC41" s="22" t="s">
        <v>218</v>
      </c>
      <c r="FD41" s="22" t="s">
        <v>218</v>
      </c>
      <c r="FE41" s="22" t="s">
        <v>218</v>
      </c>
      <c r="FF41" s="22" t="s">
        <v>218</v>
      </c>
      <c r="FG41" s="22" t="s">
        <v>218</v>
      </c>
      <c r="FH41" s="22" t="s">
        <v>218</v>
      </c>
      <c r="FI41" s="22" t="s">
        <v>218</v>
      </c>
      <c r="FJ41" s="22" t="s">
        <v>218</v>
      </c>
      <c r="FK41" s="22" t="s">
        <v>218</v>
      </c>
      <c r="FL41" s="22" t="s">
        <v>218</v>
      </c>
      <c r="FM41" s="22" t="s">
        <v>218</v>
      </c>
      <c r="FN41" s="22" t="s">
        <v>218</v>
      </c>
      <c r="FO41" s="22" t="s">
        <v>218</v>
      </c>
      <c r="FP41" s="22" t="s">
        <v>218</v>
      </c>
      <c r="FQ41" s="22" t="s">
        <v>218</v>
      </c>
      <c r="FR41" s="22" t="s">
        <v>218</v>
      </c>
      <c r="FS41" s="22" t="s">
        <v>218</v>
      </c>
      <c r="FT41" s="22" t="s">
        <v>218</v>
      </c>
      <c r="FU41" s="22" t="s">
        <v>218</v>
      </c>
      <c r="FV41" s="22" t="s">
        <v>218</v>
      </c>
      <c r="FW41" s="22" t="s">
        <v>218</v>
      </c>
      <c r="FX41" s="22" t="s">
        <v>218</v>
      </c>
      <c r="FY41" s="22" t="s">
        <v>218</v>
      </c>
      <c r="FZ41" s="22" t="s">
        <v>218</v>
      </c>
      <c r="GA41" s="22" t="s">
        <v>218</v>
      </c>
      <c r="GB41" s="22" t="s">
        <v>218</v>
      </c>
      <c r="GC41" s="22" t="s">
        <v>218</v>
      </c>
      <c r="GD41" s="22" t="s">
        <v>218</v>
      </c>
      <c r="GE41" s="22" t="s">
        <v>218</v>
      </c>
      <c r="GF41" s="22" t="s">
        <v>218</v>
      </c>
      <c r="GG41" s="22" t="s">
        <v>218</v>
      </c>
      <c r="GH41" s="22" t="s">
        <v>218</v>
      </c>
      <c r="GI41" s="22" t="s">
        <v>218</v>
      </c>
      <c r="GJ41" s="22" t="s">
        <v>218</v>
      </c>
      <c r="GK41" s="22" t="s">
        <v>218</v>
      </c>
      <c r="GL41" s="22" t="s">
        <v>218</v>
      </c>
      <c r="GM41" s="22" t="s">
        <v>218</v>
      </c>
      <c r="GN41" s="22" t="s">
        <v>218</v>
      </c>
      <c r="GO41" s="22" t="s">
        <v>218</v>
      </c>
      <c r="GP41" s="22" t="s">
        <v>218</v>
      </c>
      <c r="GQ41" s="22" t="s">
        <v>218</v>
      </c>
      <c r="GR41" s="22" t="s">
        <v>218</v>
      </c>
      <c r="GS41" s="22" t="s">
        <v>218</v>
      </c>
      <c r="GT41" s="22" t="s">
        <v>218</v>
      </c>
      <c r="GU41" s="22" t="s">
        <v>218</v>
      </c>
      <c r="GV41" s="22" t="s">
        <v>218</v>
      </c>
      <c r="GW41" s="22" t="s">
        <v>218</v>
      </c>
      <c r="GX41" s="22" t="s">
        <v>218</v>
      </c>
      <c r="GY41" s="22" t="s">
        <v>218</v>
      </c>
      <c r="GZ41" s="22" t="s">
        <v>218</v>
      </c>
      <c r="HA41" s="22" t="s">
        <v>218</v>
      </c>
      <c r="HB41" s="22" t="s">
        <v>218</v>
      </c>
      <c r="HC41" s="22" t="s">
        <v>218</v>
      </c>
      <c r="HD41" s="22" t="s">
        <v>218</v>
      </c>
      <c r="HE41" s="22" t="s">
        <v>218</v>
      </c>
      <c r="HF41" s="22" t="s">
        <v>218</v>
      </c>
      <c r="HG41" s="22" t="s">
        <v>218</v>
      </c>
      <c r="HH41" s="22" t="s">
        <v>218</v>
      </c>
      <c r="HI41" s="22" t="s">
        <v>218</v>
      </c>
      <c r="HJ41" s="22" t="s">
        <v>218</v>
      </c>
      <c r="HK41" s="22" t="s">
        <v>218</v>
      </c>
      <c r="HL41" s="22" t="s">
        <v>218</v>
      </c>
      <c r="HM41" s="860"/>
      <c r="HN41" s="860"/>
      <c r="HO41" s="860"/>
      <c r="HP41" s="860"/>
      <c r="HQ41" s="860"/>
      <c r="HR41" s="860"/>
      <c r="HS41" s="860"/>
      <c r="HT41" s="145"/>
      <c r="HU41" s="145" t="s">
        <v>1809</v>
      </c>
      <c r="HV41" s="22" t="s">
        <v>1928</v>
      </c>
      <c r="HW41" s="22">
        <v>0</v>
      </c>
      <c r="HX41" s="22">
        <v>0</v>
      </c>
      <c r="HY41" s="22">
        <v>0</v>
      </c>
      <c r="HZ41" s="19"/>
      <c r="IA41" s="19"/>
      <c r="IB41" s="621">
        <f>'background data'!$G$10</f>
        <v>0.47300000000000003</v>
      </c>
      <c r="IC41" s="621">
        <f>'background data'!$H$10</f>
        <v>0.13</v>
      </c>
      <c r="ID41" s="621">
        <f>'background data'!$J$10</f>
        <v>0.39100000000000001</v>
      </c>
      <c r="IE41" s="621">
        <f>'background data'!$L$10</f>
        <v>5.5E-2</v>
      </c>
      <c r="IF41" s="621">
        <f>'background data'!$M$10</f>
        <v>3.97</v>
      </c>
      <c r="IG41" s="621">
        <f>'background data'!$N$10</f>
        <v>4.5999999999999999E-3</v>
      </c>
      <c r="IH41" s="621">
        <f>'background data'!$O$10</f>
        <v>2.73</v>
      </c>
      <c r="II41" s="145"/>
      <c r="IJ41" s="145"/>
      <c r="IK41" s="145"/>
      <c r="IL41" s="145"/>
      <c r="IM41" s="145"/>
      <c r="IN41" s="145"/>
      <c r="IO41" s="145"/>
      <c r="IP41" s="145"/>
      <c r="IQ41" s="145"/>
      <c r="IR41" s="145"/>
      <c r="IS41" s="145"/>
      <c r="IT41" s="145"/>
      <c r="IU41" s="145"/>
      <c r="IV41" s="145"/>
      <c r="IW41" s="145"/>
      <c r="IX41" s="145"/>
      <c r="IY41" s="145"/>
      <c r="IZ41" s="145"/>
      <c r="JA41" s="145"/>
      <c r="JB41" s="145"/>
      <c r="JC41" s="145"/>
      <c r="JD41" s="145"/>
      <c r="JE41" s="145"/>
      <c r="JF41" s="145"/>
      <c r="JG41" s="145"/>
      <c r="JH41" s="145"/>
      <c r="JI41" s="145"/>
      <c r="JJ41" s="145"/>
      <c r="JK41" s="145"/>
      <c r="JL41" s="145"/>
      <c r="JM41" s="145"/>
      <c r="JN41" s="145"/>
      <c r="JO41" s="145"/>
      <c r="JP41" s="145"/>
      <c r="JQ41" s="145"/>
      <c r="JR41" s="145"/>
      <c r="JS41" s="145"/>
      <c r="JT41" s="145"/>
      <c r="JU41" s="145"/>
      <c r="JV41" s="145"/>
      <c r="JW41" s="145"/>
      <c r="JX41" s="145"/>
      <c r="JY41" s="145"/>
      <c r="JZ41" s="145"/>
      <c r="KA41" s="145"/>
      <c r="KB41" s="145"/>
      <c r="KC41" s="145"/>
      <c r="KD41" s="145"/>
      <c r="KE41" s="145"/>
      <c r="KF41" s="145"/>
      <c r="KG41" s="145"/>
      <c r="KH41" s="145"/>
      <c r="KI41" s="145"/>
      <c r="KJ41" s="145"/>
      <c r="KK41" s="145"/>
      <c r="KL41" s="145"/>
      <c r="KM41" s="145"/>
      <c r="KN41" s="145"/>
      <c r="KO41" s="145"/>
      <c r="KP41" s="145"/>
      <c r="KQ41" s="145"/>
      <c r="KR41" s="145"/>
      <c r="KS41" s="145"/>
      <c r="KT41" s="145"/>
      <c r="KU41" s="145"/>
      <c r="KV41" s="145"/>
      <c r="KW41" s="145"/>
      <c r="KX41" s="145"/>
      <c r="KY41" s="145"/>
      <c r="KZ41" s="145"/>
      <c r="LA41" s="145"/>
      <c r="LB41" s="145"/>
      <c r="LC41" s="145"/>
      <c r="LD41" s="145"/>
      <c r="LE41" s="145"/>
      <c r="LF41" s="145"/>
      <c r="LG41" s="145"/>
      <c r="LH41" s="145"/>
      <c r="LI41" s="145"/>
      <c r="LJ41" s="145"/>
      <c r="LK41" s="145"/>
      <c r="LL41" s="145"/>
      <c r="LM41" s="145"/>
      <c r="LN41" s="145"/>
      <c r="LO41" s="145"/>
      <c r="LP41" s="145"/>
      <c r="LQ41" s="145"/>
      <c r="LR41" s="145"/>
      <c r="LS41" s="145"/>
      <c r="LT41" s="145"/>
      <c r="LU41" s="145"/>
      <c r="LV41" s="145"/>
      <c r="LW41" s="145"/>
      <c r="LX41" s="145"/>
      <c r="LY41" s="145"/>
      <c r="LZ41" s="145"/>
      <c r="MA41" s="145"/>
      <c r="MB41" s="145"/>
      <c r="MC41" s="145"/>
      <c r="MD41" s="145"/>
      <c r="ME41" s="145"/>
      <c r="MF41" s="145"/>
      <c r="MG41" s="145"/>
      <c r="MH41" s="145"/>
      <c r="MI41" s="145"/>
      <c r="MJ41" s="145"/>
      <c r="MK41" s="145"/>
      <c r="ML41" s="145"/>
      <c r="MM41" s="145"/>
      <c r="MN41" s="145"/>
      <c r="MO41" s="145"/>
      <c r="MP41" s="145"/>
      <c r="MQ41" s="145"/>
      <c r="MR41" s="145"/>
      <c r="MS41" s="145"/>
      <c r="MT41" s="145"/>
      <c r="MU41" s="145"/>
      <c r="MV41" s="145"/>
      <c r="MW41" s="145"/>
      <c r="MX41" s="145"/>
      <c r="MY41" s="145"/>
      <c r="MZ41" s="145"/>
      <c r="NA41" s="145"/>
      <c r="NB41" s="145"/>
      <c r="NC41" s="145"/>
      <c r="ND41" s="145"/>
      <c r="NE41" s="145"/>
      <c r="NF41" s="145"/>
      <c r="NG41" s="145"/>
      <c r="NH41" s="145"/>
      <c r="NI41" s="145"/>
      <c r="NJ41" s="145"/>
      <c r="NK41" s="145"/>
      <c r="NL41" s="145"/>
      <c r="NM41" s="145"/>
      <c r="NN41" s="145"/>
      <c r="NO41" s="145"/>
      <c r="NP41" s="145"/>
      <c r="NQ41" s="145"/>
      <c r="NR41" s="145"/>
      <c r="NS41" s="145"/>
    </row>
    <row r="42" spans="1:383" s="16" customFormat="1" ht="15" customHeight="1" x14ac:dyDescent="0.2">
      <c r="A42" s="15">
        <v>71000</v>
      </c>
      <c r="B42" s="25">
        <v>710</v>
      </c>
      <c r="C42" s="26">
        <v>0</v>
      </c>
      <c r="D42" s="20" t="s">
        <v>269</v>
      </c>
      <c r="E42" s="14">
        <v>40310</v>
      </c>
      <c r="F42" s="18">
        <v>0.669398910975609</v>
      </c>
      <c r="G42" s="18">
        <v>0.79532880545454498</v>
      </c>
      <c r="H42" s="21">
        <v>92.5</v>
      </c>
      <c r="I42" s="21">
        <v>46.4</v>
      </c>
      <c r="J42" s="21">
        <v>80</v>
      </c>
      <c r="K42" s="18">
        <v>1</v>
      </c>
      <c r="L42" s="18">
        <v>88.2</v>
      </c>
      <c r="M42" s="18">
        <v>5.9976000000000003</v>
      </c>
      <c r="N42" s="18">
        <v>2.4695999999999998</v>
      </c>
      <c r="O42" s="18">
        <v>5.9093999999999998</v>
      </c>
      <c r="P42" s="18">
        <v>11.6424</v>
      </c>
      <c r="Q42" s="19"/>
      <c r="R42" s="18">
        <v>11.4296743697479</v>
      </c>
      <c r="S42" s="18" t="s">
        <v>217</v>
      </c>
      <c r="T42" s="18" t="s">
        <v>217</v>
      </c>
      <c r="U42" s="18" t="s">
        <v>217</v>
      </c>
      <c r="V42" s="18" t="s">
        <v>217</v>
      </c>
      <c r="W42" s="18" t="s">
        <v>217</v>
      </c>
      <c r="X42" s="18"/>
      <c r="Y42" s="18">
        <v>14.700000000000001</v>
      </c>
      <c r="Z42" s="18">
        <v>1.3</v>
      </c>
      <c r="AA42" s="18">
        <v>0.39999999999999997</v>
      </c>
      <c r="AB42" s="18">
        <v>0</v>
      </c>
      <c r="AC42" s="18">
        <v>10</v>
      </c>
      <c r="AD42" s="18">
        <v>1.7</v>
      </c>
      <c r="AE42" s="18">
        <v>1.1000000000000001</v>
      </c>
      <c r="AF42" s="18">
        <v>100</v>
      </c>
      <c r="AG42" s="18">
        <v>5.8</v>
      </c>
      <c r="AH42" s="18">
        <v>12</v>
      </c>
      <c r="AI42" s="18">
        <v>12</v>
      </c>
      <c r="AJ42" s="18">
        <v>0</v>
      </c>
      <c r="AK42" s="18">
        <v>4.9999999999999996E-2</v>
      </c>
      <c r="AL42" s="18"/>
      <c r="AM42" s="18">
        <v>2.62</v>
      </c>
      <c r="AN42" s="18">
        <v>1.0900000000000001</v>
      </c>
      <c r="AO42" s="18">
        <v>1.38</v>
      </c>
      <c r="AP42" s="18">
        <v>2.9</v>
      </c>
      <c r="AQ42" s="18">
        <v>0.78</v>
      </c>
      <c r="AR42" s="18">
        <v>2.8</v>
      </c>
      <c r="AS42" s="18">
        <v>5.0199999999999996</v>
      </c>
      <c r="AT42" s="18">
        <v>1.78</v>
      </c>
      <c r="AU42" s="18">
        <v>3.41</v>
      </c>
      <c r="AV42" s="18">
        <v>2.21</v>
      </c>
      <c r="AW42" s="18">
        <v>3.71</v>
      </c>
      <c r="AX42" s="18"/>
      <c r="AY42" s="18">
        <v>1</v>
      </c>
      <c r="AZ42" s="18">
        <v>1</v>
      </c>
      <c r="BA42" s="18">
        <v>1</v>
      </c>
      <c r="BB42" s="18">
        <v>1</v>
      </c>
      <c r="BC42" s="18">
        <v>1</v>
      </c>
      <c r="BD42" s="18">
        <v>1</v>
      </c>
      <c r="BE42" s="18">
        <v>1</v>
      </c>
      <c r="BF42" s="18">
        <v>1</v>
      </c>
      <c r="BG42" s="18">
        <v>1</v>
      </c>
      <c r="BH42" s="18">
        <v>1</v>
      </c>
      <c r="BI42" s="18">
        <v>1</v>
      </c>
      <c r="BJ42" s="19"/>
      <c r="BK42" s="18">
        <v>6.8</v>
      </c>
      <c r="BL42" s="18">
        <v>2.8</v>
      </c>
      <c r="BM42" s="18">
        <v>6.6999999999999993</v>
      </c>
      <c r="BN42" s="18">
        <v>13.2</v>
      </c>
      <c r="BO42" s="18"/>
      <c r="BP42" s="18">
        <v>0</v>
      </c>
      <c r="BQ42" s="18">
        <v>0</v>
      </c>
      <c r="BR42" s="18">
        <v>0.75895568137824143</v>
      </c>
      <c r="BS42" s="18">
        <v>0.90173333951762469</v>
      </c>
      <c r="BT42" s="19"/>
      <c r="BU42" s="18">
        <v>932.99999999999989</v>
      </c>
      <c r="BV42" s="18">
        <v>159.53785714285715</v>
      </c>
      <c r="BW42" s="18">
        <v>614.44714285714281</v>
      </c>
      <c r="BX42" s="18" t="s">
        <v>217</v>
      </c>
      <c r="BY42" s="18" t="s">
        <v>217</v>
      </c>
      <c r="BZ42" s="18" t="s">
        <v>217</v>
      </c>
      <c r="CA42" s="18" t="s">
        <v>217</v>
      </c>
      <c r="CB42" s="19"/>
      <c r="CC42" s="19">
        <v>12.965400000000001</v>
      </c>
      <c r="CD42" s="19">
        <v>1.1466000000000001</v>
      </c>
      <c r="CE42" s="19">
        <v>0.35279999999999995</v>
      </c>
      <c r="CF42" s="19">
        <v>0</v>
      </c>
      <c r="CG42" s="19">
        <v>8.82</v>
      </c>
      <c r="CH42" s="19">
        <v>1.4994000000000001</v>
      </c>
      <c r="CI42" s="19">
        <v>0.97020000000000006</v>
      </c>
      <c r="CJ42" s="19"/>
      <c r="CK42" s="19">
        <v>88.2</v>
      </c>
      <c r="CL42" s="19">
        <v>5.1155999999999997</v>
      </c>
      <c r="CM42" s="19">
        <v>10.584</v>
      </c>
      <c r="CN42" s="19">
        <v>10.584</v>
      </c>
      <c r="CO42" s="19">
        <v>0</v>
      </c>
      <c r="CP42" s="19">
        <v>4.4099999999999993E-2</v>
      </c>
      <c r="CQ42" s="19">
        <v>6.8550614999999899</v>
      </c>
      <c r="CR42" s="19">
        <v>10.240622426482808</v>
      </c>
      <c r="CS42" s="19">
        <v>0.26830430757384843</v>
      </c>
      <c r="CT42" s="19">
        <v>0.11162278444866262</v>
      </c>
      <c r="CU42" s="19">
        <v>0.14132058948546294</v>
      </c>
      <c r="CV42" s="19">
        <v>0.25294337393412569</v>
      </c>
      <c r="CW42" s="19">
        <v>0.29697805036800035</v>
      </c>
      <c r="CX42" s="19">
        <v>7.9876854926565863E-2</v>
      </c>
      <c r="CY42" s="19">
        <v>0.28673742794151907</v>
      </c>
      <c r="CZ42" s="19">
        <v>0.5140792458094362</v>
      </c>
      <c r="DA42" s="19">
        <v>0.18228307919139425</v>
      </c>
      <c r="DB42" s="19">
        <v>0.34920522474306426</v>
      </c>
      <c r="DC42" s="19">
        <v>0.22631775562527037</v>
      </c>
      <c r="DD42" s="19">
        <v>0.57552298036833316</v>
      </c>
      <c r="DE42" s="19">
        <v>0.37992709202251124</v>
      </c>
      <c r="DF42" s="23">
        <v>0</v>
      </c>
      <c r="DG42" s="23">
        <v>0</v>
      </c>
      <c r="DH42" s="23">
        <v>0</v>
      </c>
      <c r="DI42" s="19">
        <v>0</v>
      </c>
      <c r="DJ42" s="19">
        <v>0</v>
      </c>
      <c r="DK42" s="19">
        <v>0</v>
      </c>
      <c r="DL42" s="19">
        <v>0</v>
      </c>
      <c r="DM42" s="19">
        <v>0</v>
      </c>
      <c r="DN42" s="19">
        <v>0</v>
      </c>
      <c r="DO42" s="19">
        <v>0</v>
      </c>
      <c r="DP42" s="19">
        <v>0</v>
      </c>
      <c r="DQ42" s="19">
        <v>0</v>
      </c>
      <c r="DR42" s="19">
        <v>0</v>
      </c>
      <c r="DS42" s="19">
        <v>0</v>
      </c>
      <c r="DT42" s="19">
        <v>0</v>
      </c>
      <c r="DU42" s="19">
        <v>0</v>
      </c>
      <c r="DV42" s="19">
        <v>0</v>
      </c>
      <c r="DW42" s="17" t="s">
        <v>270</v>
      </c>
      <c r="DX42" s="22" t="s">
        <v>218</v>
      </c>
      <c r="DY42" s="22" t="s">
        <v>218</v>
      </c>
      <c r="DZ42" s="22" t="s">
        <v>218</v>
      </c>
      <c r="EA42" s="22" t="s">
        <v>218</v>
      </c>
      <c r="EB42" s="22" t="s">
        <v>218</v>
      </c>
      <c r="EC42" s="22" t="s">
        <v>218</v>
      </c>
      <c r="ED42" s="22" t="s">
        <v>218</v>
      </c>
      <c r="EE42" s="22" t="s">
        <v>218</v>
      </c>
      <c r="EF42" s="22" t="s">
        <v>218</v>
      </c>
      <c r="EG42" s="22" t="s">
        <v>218</v>
      </c>
      <c r="EH42" s="22" t="s">
        <v>218</v>
      </c>
      <c r="EI42" s="22" t="s">
        <v>218</v>
      </c>
      <c r="EJ42" s="22" t="s">
        <v>218</v>
      </c>
      <c r="EK42" s="22" t="s">
        <v>218</v>
      </c>
      <c r="EL42" s="22" t="s">
        <v>218</v>
      </c>
      <c r="EM42" s="22" t="s">
        <v>218</v>
      </c>
      <c r="EN42" s="22" t="s">
        <v>218</v>
      </c>
      <c r="EO42" s="22" t="s">
        <v>218</v>
      </c>
      <c r="EP42" s="22" t="s">
        <v>218</v>
      </c>
      <c r="EQ42" s="22" t="s">
        <v>218</v>
      </c>
      <c r="ER42" s="22" t="s">
        <v>218</v>
      </c>
      <c r="ES42" s="22" t="s">
        <v>218</v>
      </c>
      <c r="ET42" s="22" t="s">
        <v>218</v>
      </c>
      <c r="EU42" s="22" t="s">
        <v>218</v>
      </c>
      <c r="EV42" s="22" t="s">
        <v>218</v>
      </c>
      <c r="EW42" s="22" t="s">
        <v>218</v>
      </c>
      <c r="EX42" s="22" t="s">
        <v>218</v>
      </c>
      <c r="EY42" s="22" t="s">
        <v>218</v>
      </c>
      <c r="EZ42" s="22" t="s">
        <v>218</v>
      </c>
      <c r="FA42" s="22" t="s">
        <v>218</v>
      </c>
      <c r="FB42" s="22" t="s">
        <v>218</v>
      </c>
      <c r="FC42" s="22" t="s">
        <v>218</v>
      </c>
      <c r="FD42" s="22" t="s">
        <v>218</v>
      </c>
      <c r="FE42" s="22" t="s">
        <v>218</v>
      </c>
      <c r="FF42" s="22" t="s">
        <v>218</v>
      </c>
      <c r="FG42" s="22" t="s">
        <v>218</v>
      </c>
      <c r="FH42" s="22" t="s">
        <v>218</v>
      </c>
      <c r="FI42" s="22" t="s">
        <v>218</v>
      </c>
      <c r="FJ42" s="22" t="s">
        <v>218</v>
      </c>
      <c r="FK42" s="22" t="s">
        <v>218</v>
      </c>
      <c r="FL42" s="22" t="s">
        <v>218</v>
      </c>
      <c r="FM42" s="22" t="s">
        <v>218</v>
      </c>
      <c r="FN42" s="22" t="s">
        <v>218</v>
      </c>
      <c r="FO42" s="22" t="s">
        <v>218</v>
      </c>
      <c r="FP42" s="22" t="s">
        <v>218</v>
      </c>
      <c r="FQ42" s="22" t="s">
        <v>218</v>
      </c>
      <c r="FR42" s="22" t="s">
        <v>218</v>
      </c>
      <c r="FS42" s="22" t="s">
        <v>218</v>
      </c>
      <c r="FT42" s="22" t="s">
        <v>218</v>
      </c>
      <c r="FU42" s="22" t="s">
        <v>218</v>
      </c>
      <c r="FV42" s="22" t="s">
        <v>218</v>
      </c>
      <c r="FW42" s="22" t="s">
        <v>218</v>
      </c>
      <c r="FX42" s="22" t="s">
        <v>218</v>
      </c>
      <c r="FY42" s="22" t="s">
        <v>218</v>
      </c>
      <c r="FZ42" s="22" t="s">
        <v>218</v>
      </c>
      <c r="GA42" s="22" t="s">
        <v>218</v>
      </c>
      <c r="GB42" s="22" t="s">
        <v>218</v>
      </c>
      <c r="GC42" s="22" t="s">
        <v>218</v>
      </c>
      <c r="GD42" s="22" t="s">
        <v>218</v>
      </c>
      <c r="GE42" s="22" t="s">
        <v>218</v>
      </c>
      <c r="GF42" s="22" t="s">
        <v>218</v>
      </c>
      <c r="GG42" s="22" t="s">
        <v>218</v>
      </c>
      <c r="GH42" s="22" t="s">
        <v>218</v>
      </c>
      <c r="GI42" s="22" t="s">
        <v>218</v>
      </c>
      <c r="GJ42" s="22" t="s">
        <v>218</v>
      </c>
      <c r="GK42" s="22" t="s">
        <v>218</v>
      </c>
      <c r="GL42" s="22" t="s">
        <v>218</v>
      </c>
      <c r="GM42" s="22" t="s">
        <v>218</v>
      </c>
      <c r="GN42" s="22" t="s">
        <v>218</v>
      </c>
      <c r="GO42" s="22" t="s">
        <v>218</v>
      </c>
      <c r="GP42" s="22" t="s">
        <v>218</v>
      </c>
      <c r="GQ42" s="22" t="s">
        <v>218</v>
      </c>
      <c r="GR42" s="22" t="s">
        <v>218</v>
      </c>
      <c r="GS42" s="22" t="s">
        <v>218</v>
      </c>
      <c r="GT42" s="22" t="s">
        <v>218</v>
      </c>
      <c r="GU42" s="22" t="s">
        <v>218</v>
      </c>
      <c r="GV42" s="22" t="s">
        <v>218</v>
      </c>
      <c r="GW42" s="22" t="s">
        <v>218</v>
      </c>
      <c r="GX42" s="22" t="s">
        <v>218</v>
      </c>
      <c r="GY42" s="22" t="s">
        <v>218</v>
      </c>
      <c r="GZ42" s="22" t="s">
        <v>218</v>
      </c>
      <c r="HA42" s="22" t="s">
        <v>218</v>
      </c>
      <c r="HB42" s="22" t="s">
        <v>218</v>
      </c>
      <c r="HC42" s="22" t="s">
        <v>218</v>
      </c>
      <c r="HD42" s="22" t="s">
        <v>218</v>
      </c>
      <c r="HE42" s="22" t="s">
        <v>218</v>
      </c>
      <c r="HF42" s="22" t="s">
        <v>218</v>
      </c>
      <c r="HG42" s="22" t="s">
        <v>218</v>
      </c>
      <c r="HH42" s="22" t="s">
        <v>218</v>
      </c>
      <c r="HI42" s="22" t="s">
        <v>218</v>
      </c>
      <c r="HJ42" s="22" t="s">
        <v>218</v>
      </c>
      <c r="HK42" s="22" t="s">
        <v>218</v>
      </c>
      <c r="HL42" s="22" t="s">
        <v>218</v>
      </c>
      <c r="HM42" s="860"/>
      <c r="HN42" s="860"/>
      <c r="HO42" s="860"/>
      <c r="HP42" s="860"/>
      <c r="HQ42" s="860"/>
      <c r="HR42" s="860"/>
      <c r="HS42" s="860"/>
      <c r="HT42" s="145"/>
      <c r="HU42" s="145" t="s">
        <v>1809</v>
      </c>
      <c r="HV42" s="22" t="s">
        <v>1928</v>
      </c>
      <c r="HW42" s="22" t="s">
        <v>271</v>
      </c>
      <c r="HX42" s="22">
        <v>0</v>
      </c>
      <c r="HY42" s="22">
        <v>0</v>
      </c>
      <c r="HZ42" s="19"/>
      <c r="IA42" s="19"/>
      <c r="IB42" s="621">
        <f>'background data'!$G$10</f>
        <v>0.47300000000000003</v>
      </c>
      <c r="IC42" s="621">
        <f>'background data'!$H$10</f>
        <v>0.13</v>
      </c>
      <c r="ID42" s="621">
        <f>'background data'!$J$10</f>
        <v>0.39100000000000001</v>
      </c>
      <c r="IE42" s="621">
        <f>'background data'!$L$10</f>
        <v>5.5E-2</v>
      </c>
      <c r="IF42" s="621">
        <f>'background data'!$M$10</f>
        <v>3.97</v>
      </c>
      <c r="IG42" s="621">
        <f>'background data'!$N$10</f>
        <v>4.5999999999999999E-3</v>
      </c>
      <c r="IH42" s="621">
        <f>'background data'!$O$10</f>
        <v>2.73</v>
      </c>
      <c r="II42" s="145"/>
      <c r="IJ42" s="145"/>
      <c r="IK42" s="145"/>
      <c r="IL42" s="145"/>
      <c r="IM42" s="145"/>
      <c r="IN42" s="145"/>
      <c r="IO42" s="145"/>
      <c r="IP42" s="145"/>
      <c r="IQ42" s="145"/>
      <c r="IR42" s="145"/>
      <c r="IS42" s="145"/>
      <c r="IT42" s="145"/>
      <c r="IU42" s="145"/>
      <c r="IV42" s="145"/>
      <c r="IW42" s="145"/>
      <c r="IX42" s="145"/>
      <c r="IY42" s="145"/>
      <c r="IZ42" s="145"/>
      <c r="JA42" s="145"/>
      <c r="JB42" s="145"/>
      <c r="JC42" s="145"/>
      <c r="JD42" s="145"/>
      <c r="JE42" s="145"/>
      <c r="JF42" s="145"/>
      <c r="JG42" s="145"/>
      <c r="JH42" s="145"/>
      <c r="JI42" s="145"/>
      <c r="JJ42" s="145"/>
      <c r="JK42" s="145"/>
      <c r="JL42" s="145"/>
      <c r="JM42" s="145"/>
      <c r="JN42" s="145"/>
      <c r="JO42" s="145"/>
      <c r="JP42" s="145"/>
      <c r="JQ42" s="145"/>
      <c r="JR42" s="145"/>
      <c r="JS42" s="145"/>
      <c r="JT42" s="145"/>
      <c r="JU42" s="145"/>
      <c r="JV42" s="145"/>
      <c r="JW42" s="145"/>
      <c r="JX42" s="145"/>
      <c r="JY42" s="145"/>
      <c r="JZ42" s="145"/>
      <c r="KA42" s="145"/>
      <c r="KB42" s="145"/>
      <c r="KC42" s="145"/>
      <c r="KD42" s="145"/>
      <c r="KE42" s="145"/>
      <c r="KF42" s="145"/>
      <c r="KG42" s="145"/>
      <c r="KH42" s="145"/>
      <c r="KI42" s="145"/>
      <c r="KJ42" s="145"/>
      <c r="KK42" s="145"/>
      <c r="KL42" s="145"/>
      <c r="KM42" s="145"/>
      <c r="KN42" s="145"/>
      <c r="KO42" s="145"/>
      <c r="KP42" s="145"/>
      <c r="KQ42" s="145"/>
      <c r="KR42" s="145"/>
      <c r="KS42" s="145"/>
      <c r="KT42" s="145"/>
      <c r="KU42" s="145"/>
      <c r="KV42" s="145"/>
      <c r="KW42" s="145"/>
      <c r="KX42" s="145"/>
      <c r="KY42" s="145"/>
      <c r="KZ42" s="145"/>
      <c r="LA42" s="145"/>
      <c r="LB42" s="145"/>
      <c r="LC42" s="145"/>
      <c r="LD42" s="145"/>
      <c r="LE42" s="145"/>
      <c r="LF42" s="145"/>
      <c r="LG42" s="145"/>
      <c r="LH42" s="145"/>
      <c r="LI42" s="145"/>
      <c r="LJ42" s="145"/>
      <c r="LK42" s="145"/>
      <c r="LL42" s="145"/>
      <c r="LM42" s="145"/>
      <c r="LN42" s="145"/>
      <c r="LO42" s="145"/>
      <c r="LP42" s="145"/>
      <c r="LQ42" s="145"/>
      <c r="LR42" s="145"/>
      <c r="LS42" s="145"/>
      <c r="LT42" s="145"/>
      <c r="LU42" s="145"/>
      <c r="LV42" s="145"/>
      <c r="LW42" s="145"/>
      <c r="LX42" s="145"/>
      <c r="LY42" s="145"/>
      <c r="LZ42" s="145"/>
      <c r="MA42" s="145"/>
      <c r="MB42" s="145"/>
      <c r="MC42" s="145"/>
      <c r="MD42" s="145"/>
      <c r="ME42" s="145"/>
      <c r="MF42" s="145"/>
      <c r="MG42" s="145"/>
      <c r="MH42" s="145"/>
      <c r="MI42" s="145"/>
      <c r="MJ42" s="145"/>
      <c r="MK42" s="145"/>
      <c r="ML42" s="145"/>
      <c r="MM42" s="145"/>
      <c r="MN42" s="145"/>
      <c r="MO42" s="145"/>
      <c r="MP42" s="145"/>
      <c r="MQ42" s="145"/>
      <c r="MR42" s="145"/>
      <c r="MS42" s="145"/>
      <c r="MT42" s="145"/>
      <c r="MU42" s="145"/>
      <c r="MV42" s="145"/>
      <c r="MW42" s="145"/>
      <c r="MX42" s="145"/>
      <c r="MY42" s="145"/>
      <c r="MZ42" s="145"/>
      <c r="NA42" s="145"/>
      <c r="NB42" s="145"/>
      <c r="NC42" s="145"/>
      <c r="ND42" s="145"/>
      <c r="NE42" s="145"/>
      <c r="NF42" s="145"/>
      <c r="NG42" s="145"/>
      <c r="NH42" s="145"/>
      <c r="NI42" s="145"/>
      <c r="NJ42" s="145"/>
      <c r="NK42" s="145"/>
      <c r="NL42" s="145"/>
      <c r="NM42" s="145"/>
      <c r="NN42" s="145"/>
      <c r="NO42" s="145"/>
      <c r="NP42" s="145"/>
      <c r="NQ42" s="145"/>
      <c r="NR42" s="145"/>
      <c r="NS42" s="145"/>
    </row>
    <row r="43" spans="1:383" s="16" customFormat="1" ht="15" customHeight="1" x14ac:dyDescent="0.2">
      <c r="A43" s="15">
        <v>99940</v>
      </c>
      <c r="B43" s="25">
        <v>999</v>
      </c>
      <c r="C43" s="26">
        <v>40</v>
      </c>
      <c r="D43" s="20" t="s">
        <v>272</v>
      </c>
      <c r="E43" s="14">
        <v>40310</v>
      </c>
      <c r="F43" s="18">
        <v>1.1389897018970201</v>
      </c>
      <c r="G43" s="18">
        <v>1.09165506493506</v>
      </c>
      <c r="H43" s="21">
        <v>100</v>
      </c>
      <c r="I43" s="21">
        <v>100</v>
      </c>
      <c r="J43" s="21">
        <v>100</v>
      </c>
      <c r="K43" s="18">
        <v>1</v>
      </c>
      <c r="L43" s="18">
        <v>100</v>
      </c>
      <c r="M43" s="18">
        <v>84.8</v>
      </c>
      <c r="N43" s="18">
        <v>0</v>
      </c>
      <c r="O43" s="18">
        <v>15.2</v>
      </c>
      <c r="P43" s="18">
        <v>0</v>
      </c>
      <c r="Q43" s="19"/>
      <c r="R43" s="18">
        <v>100</v>
      </c>
      <c r="S43" s="18">
        <v>0</v>
      </c>
      <c r="T43" s="18">
        <v>0</v>
      </c>
      <c r="U43" s="18">
        <v>0</v>
      </c>
      <c r="V43" s="18">
        <v>0</v>
      </c>
      <c r="W43" s="18">
        <v>0</v>
      </c>
      <c r="X43" s="18"/>
      <c r="Y43" s="18">
        <v>0</v>
      </c>
      <c r="Z43" s="18">
        <v>0</v>
      </c>
      <c r="AA43" s="18">
        <v>0</v>
      </c>
      <c r="AB43" s="18">
        <v>0</v>
      </c>
      <c r="AC43" s="18">
        <v>0</v>
      </c>
      <c r="AD43" s="18">
        <v>0</v>
      </c>
      <c r="AE43" s="18">
        <v>0</v>
      </c>
      <c r="AF43" s="18">
        <v>0</v>
      </c>
      <c r="AG43" s="18">
        <v>0</v>
      </c>
      <c r="AH43" s="18">
        <v>0</v>
      </c>
      <c r="AI43" s="18">
        <v>0</v>
      </c>
      <c r="AJ43" s="18">
        <v>0</v>
      </c>
      <c r="AK43" s="18">
        <v>0</v>
      </c>
      <c r="AL43" s="18"/>
      <c r="AM43" s="18">
        <v>0</v>
      </c>
      <c r="AN43" s="18">
        <v>0</v>
      </c>
      <c r="AO43" s="18">
        <v>116.700019</v>
      </c>
      <c r="AP43" s="18">
        <v>0</v>
      </c>
      <c r="AQ43" s="18">
        <v>0</v>
      </c>
      <c r="AR43" s="18">
        <v>0</v>
      </c>
      <c r="AS43" s="18">
        <v>0</v>
      </c>
      <c r="AT43" s="18">
        <v>0</v>
      </c>
      <c r="AU43" s="18">
        <v>0</v>
      </c>
      <c r="AV43" s="18">
        <v>0</v>
      </c>
      <c r="AW43" s="18">
        <v>0</v>
      </c>
      <c r="AX43" s="18"/>
      <c r="AY43" s="18">
        <v>1</v>
      </c>
      <c r="AZ43" s="18">
        <v>1</v>
      </c>
      <c r="BA43" s="18">
        <v>1</v>
      </c>
      <c r="BB43" s="18">
        <v>1</v>
      </c>
      <c r="BC43" s="18">
        <v>1</v>
      </c>
      <c r="BD43" s="18">
        <v>1</v>
      </c>
      <c r="BE43" s="18">
        <v>1</v>
      </c>
      <c r="BF43" s="18">
        <v>1</v>
      </c>
      <c r="BG43" s="18">
        <v>1</v>
      </c>
      <c r="BH43" s="18">
        <v>1</v>
      </c>
      <c r="BI43" s="18">
        <v>1</v>
      </c>
      <c r="BJ43" s="19"/>
      <c r="BK43" s="18">
        <v>84.8</v>
      </c>
      <c r="BL43" s="18">
        <v>0</v>
      </c>
      <c r="BM43" s="18">
        <v>15.2</v>
      </c>
      <c r="BN43" s="18">
        <v>0</v>
      </c>
      <c r="BO43" s="18"/>
      <c r="BP43" s="18">
        <v>0</v>
      </c>
      <c r="BQ43" s="18">
        <v>0</v>
      </c>
      <c r="BR43" s="18">
        <v>1.1389897018970201</v>
      </c>
      <c r="BS43" s="18">
        <v>1.09165506493506</v>
      </c>
      <c r="BT43" s="19"/>
      <c r="BU43" s="18">
        <v>848</v>
      </c>
      <c r="BV43" s="18">
        <v>76.320000000000107</v>
      </c>
      <c r="BW43" s="18">
        <v>0</v>
      </c>
      <c r="BX43" s="18">
        <v>0</v>
      </c>
      <c r="BY43" s="18">
        <v>0</v>
      </c>
      <c r="BZ43" s="18" t="s">
        <v>217</v>
      </c>
      <c r="CA43" s="18" t="s">
        <v>217</v>
      </c>
      <c r="CB43" s="19"/>
      <c r="CC43" s="19">
        <v>0</v>
      </c>
      <c r="CD43" s="19">
        <v>0</v>
      </c>
      <c r="CE43" s="19">
        <v>0</v>
      </c>
      <c r="CF43" s="19">
        <v>0</v>
      </c>
      <c r="CG43" s="19">
        <v>0</v>
      </c>
      <c r="CH43" s="19">
        <v>0</v>
      </c>
      <c r="CI43" s="19">
        <v>0</v>
      </c>
      <c r="CJ43" s="19"/>
      <c r="CK43" s="19">
        <v>0</v>
      </c>
      <c r="CL43" s="19">
        <v>0</v>
      </c>
      <c r="CM43" s="19">
        <v>0</v>
      </c>
      <c r="CN43" s="19">
        <v>0</v>
      </c>
      <c r="CO43" s="19">
        <v>0</v>
      </c>
      <c r="CP43" s="19">
        <v>0</v>
      </c>
      <c r="CQ43" s="19">
        <v>848</v>
      </c>
      <c r="CR43" s="19">
        <v>744.51946192984155</v>
      </c>
      <c r="CS43" s="19">
        <v>0</v>
      </c>
      <c r="CT43" s="19">
        <v>0</v>
      </c>
      <c r="CU43" s="19">
        <v>868.85435353082289</v>
      </c>
      <c r="CV43" s="19">
        <v>868.85435353082289</v>
      </c>
      <c r="CW43" s="19">
        <v>0</v>
      </c>
      <c r="CX43" s="19">
        <v>0</v>
      </c>
      <c r="CY43" s="19">
        <v>0</v>
      </c>
      <c r="CZ43" s="19">
        <v>0</v>
      </c>
      <c r="DA43" s="19">
        <v>0</v>
      </c>
      <c r="DB43" s="19">
        <v>0</v>
      </c>
      <c r="DC43" s="19">
        <v>0</v>
      </c>
      <c r="DD43" s="19">
        <v>0</v>
      </c>
      <c r="DE43" s="19">
        <v>0</v>
      </c>
      <c r="DF43" s="23">
        <v>0</v>
      </c>
      <c r="DG43" s="23">
        <v>0</v>
      </c>
      <c r="DH43" s="23">
        <v>0</v>
      </c>
      <c r="DI43" s="19">
        <v>0</v>
      </c>
      <c r="DJ43" s="19">
        <v>0</v>
      </c>
      <c r="DK43" s="19">
        <v>0</v>
      </c>
      <c r="DL43" s="19">
        <v>0</v>
      </c>
      <c r="DM43" s="19">
        <v>0</v>
      </c>
      <c r="DN43" s="19">
        <v>0</v>
      </c>
      <c r="DO43" s="19">
        <v>0</v>
      </c>
      <c r="DP43" s="19">
        <v>0</v>
      </c>
      <c r="DQ43" s="19">
        <v>0</v>
      </c>
      <c r="DR43" s="19">
        <v>0</v>
      </c>
      <c r="DS43" s="19">
        <v>0</v>
      </c>
      <c r="DT43" s="19">
        <v>0</v>
      </c>
      <c r="DU43" s="19">
        <v>0</v>
      </c>
      <c r="DV43" s="19">
        <v>0</v>
      </c>
      <c r="DW43" s="17" t="s">
        <v>218</v>
      </c>
      <c r="DX43" s="22" t="s">
        <v>218</v>
      </c>
      <c r="DY43" s="22" t="s">
        <v>218</v>
      </c>
      <c r="DZ43" s="22" t="s">
        <v>218</v>
      </c>
      <c r="EA43" s="22" t="s">
        <v>218</v>
      </c>
      <c r="EB43" s="22" t="s">
        <v>218</v>
      </c>
      <c r="EC43" s="22" t="s">
        <v>218</v>
      </c>
      <c r="ED43" s="22" t="s">
        <v>218</v>
      </c>
      <c r="EE43" s="22" t="s">
        <v>218</v>
      </c>
      <c r="EF43" s="22" t="s">
        <v>218</v>
      </c>
      <c r="EG43" s="22" t="s">
        <v>218</v>
      </c>
      <c r="EH43" s="22" t="s">
        <v>218</v>
      </c>
      <c r="EI43" s="22" t="s">
        <v>218</v>
      </c>
      <c r="EJ43" s="22" t="s">
        <v>218</v>
      </c>
      <c r="EK43" s="22" t="s">
        <v>218</v>
      </c>
      <c r="EL43" s="22" t="s">
        <v>218</v>
      </c>
      <c r="EM43" s="22" t="s">
        <v>218</v>
      </c>
      <c r="EN43" s="22" t="s">
        <v>218</v>
      </c>
      <c r="EO43" s="22" t="s">
        <v>218</v>
      </c>
      <c r="EP43" s="22" t="s">
        <v>218</v>
      </c>
      <c r="EQ43" s="22" t="s">
        <v>218</v>
      </c>
      <c r="ER43" s="22" t="s">
        <v>218</v>
      </c>
      <c r="ES43" s="22" t="s">
        <v>218</v>
      </c>
      <c r="ET43" s="22" t="s">
        <v>218</v>
      </c>
      <c r="EU43" s="22" t="s">
        <v>218</v>
      </c>
      <c r="EV43" s="22" t="s">
        <v>218</v>
      </c>
      <c r="EW43" s="22" t="s">
        <v>218</v>
      </c>
      <c r="EX43" s="22" t="s">
        <v>218</v>
      </c>
      <c r="EY43" s="22" t="s">
        <v>218</v>
      </c>
      <c r="EZ43" s="22" t="s">
        <v>218</v>
      </c>
      <c r="FA43" s="22" t="s">
        <v>218</v>
      </c>
      <c r="FB43" s="22" t="s">
        <v>218</v>
      </c>
      <c r="FC43" s="22" t="s">
        <v>218</v>
      </c>
      <c r="FD43" s="22" t="s">
        <v>218</v>
      </c>
      <c r="FE43" s="22" t="s">
        <v>218</v>
      </c>
      <c r="FF43" s="22" t="s">
        <v>218</v>
      </c>
      <c r="FG43" s="22" t="s">
        <v>218</v>
      </c>
      <c r="FH43" s="22" t="s">
        <v>218</v>
      </c>
      <c r="FI43" s="22" t="s">
        <v>218</v>
      </c>
      <c r="FJ43" s="22" t="s">
        <v>218</v>
      </c>
      <c r="FK43" s="22" t="s">
        <v>218</v>
      </c>
      <c r="FL43" s="22" t="s">
        <v>218</v>
      </c>
      <c r="FM43" s="22" t="s">
        <v>218</v>
      </c>
      <c r="FN43" s="22" t="s">
        <v>218</v>
      </c>
      <c r="FO43" s="22" t="s">
        <v>218</v>
      </c>
      <c r="FP43" s="22" t="s">
        <v>218</v>
      </c>
      <c r="FQ43" s="22" t="s">
        <v>218</v>
      </c>
      <c r="FR43" s="22" t="s">
        <v>218</v>
      </c>
      <c r="FS43" s="22" t="s">
        <v>218</v>
      </c>
      <c r="FT43" s="22" t="s">
        <v>218</v>
      </c>
      <c r="FU43" s="22" t="s">
        <v>218</v>
      </c>
      <c r="FV43" s="22" t="s">
        <v>218</v>
      </c>
      <c r="FW43" s="22" t="s">
        <v>218</v>
      </c>
      <c r="FX43" s="22" t="s">
        <v>218</v>
      </c>
      <c r="FY43" s="22" t="s">
        <v>218</v>
      </c>
      <c r="FZ43" s="22" t="s">
        <v>218</v>
      </c>
      <c r="GA43" s="22" t="s">
        <v>218</v>
      </c>
      <c r="GB43" s="22" t="s">
        <v>218</v>
      </c>
      <c r="GC43" s="22" t="s">
        <v>218</v>
      </c>
      <c r="GD43" s="22" t="s">
        <v>218</v>
      </c>
      <c r="GE43" s="22" t="s">
        <v>218</v>
      </c>
      <c r="GF43" s="22" t="s">
        <v>218</v>
      </c>
      <c r="GG43" s="22" t="s">
        <v>218</v>
      </c>
      <c r="GH43" s="22" t="s">
        <v>218</v>
      </c>
      <c r="GI43" s="22" t="s">
        <v>218</v>
      </c>
      <c r="GJ43" s="22" t="s">
        <v>218</v>
      </c>
      <c r="GK43" s="22" t="s">
        <v>218</v>
      </c>
      <c r="GL43" s="22" t="s">
        <v>218</v>
      </c>
      <c r="GM43" s="22" t="s">
        <v>218</v>
      </c>
      <c r="GN43" s="22" t="s">
        <v>218</v>
      </c>
      <c r="GO43" s="22" t="s">
        <v>218</v>
      </c>
      <c r="GP43" s="22" t="s">
        <v>218</v>
      </c>
      <c r="GQ43" s="22" t="s">
        <v>218</v>
      </c>
      <c r="GR43" s="22" t="s">
        <v>218</v>
      </c>
      <c r="GS43" s="22" t="s">
        <v>218</v>
      </c>
      <c r="GT43" s="22" t="s">
        <v>218</v>
      </c>
      <c r="GU43" s="22" t="s">
        <v>218</v>
      </c>
      <c r="GV43" s="22" t="s">
        <v>218</v>
      </c>
      <c r="GW43" s="22" t="s">
        <v>218</v>
      </c>
      <c r="GX43" s="22" t="s">
        <v>218</v>
      </c>
      <c r="GY43" s="22" t="s">
        <v>218</v>
      </c>
      <c r="GZ43" s="22" t="s">
        <v>218</v>
      </c>
      <c r="HA43" s="22" t="s">
        <v>218</v>
      </c>
      <c r="HB43" s="22" t="s">
        <v>218</v>
      </c>
      <c r="HC43" s="22" t="s">
        <v>218</v>
      </c>
      <c r="HD43" s="22" t="s">
        <v>218</v>
      </c>
      <c r="HE43" s="22" t="s">
        <v>218</v>
      </c>
      <c r="HF43" s="22" t="s">
        <v>218</v>
      </c>
      <c r="HG43" s="22" t="s">
        <v>218</v>
      </c>
      <c r="HH43" s="22" t="s">
        <v>218</v>
      </c>
      <c r="HI43" s="22" t="s">
        <v>218</v>
      </c>
      <c r="HJ43" s="22" t="s">
        <v>218</v>
      </c>
      <c r="HK43" s="22" t="s">
        <v>218</v>
      </c>
      <c r="HL43" s="22" t="s">
        <v>218</v>
      </c>
      <c r="HM43" s="860"/>
      <c r="HN43" s="860"/>
      <c r="HO43" s="860"/>
      <c r="HP43" s="860"/>
      <c r="HQ43" s="860"/>
      <c r="HR43" s="860"/>
      <c r="HS43" s="860"/>
      <c r="HT43" s="145"/>
      <c r="HU43" s="145" t="s">
        <v>1809</v>
      </c>
      <c r="HV43" s="22" t="s">
        <v>1926</v>
      </c>
      <c r="HW43" s="22" t="s">
        <v>218</v>
      </c>
      <c r="HX43" s="22" t="s">
        <v>218</v>
      </c>
      <c r="HY43" s="22" t="s">
        <v>218</v>
      </c>
      <c r="HZ43" s="19"/>
      <c r="IA43" s="19"/>
      <c r="IB43" s="621">
        <f>'background data'!$G$10</f>
        <v>0.47300000000000003</v>
      </c>
      <c r="IC43" s="621">
        <f>'background data'!$H$10</f>
        <v>0.13</v>
      </c>
      <c r="ID43" s="621">
        <f>'background data'!$J$10</f>
        <v>0.39100000000000001</v>
      </c>
      <c r="IE43" s="621">
        <f>'background data'!$L$10</f>
        <v>5.5E-2</v>
      </c>
      <c r="IF43" s="621">
        <f>'background data'!$M$10</f>
        <v>3.97</v>
      </c>
      <c r="IG43" s="621">
        <f>'background data'!$N$10</f>
        <v>4.5999999999999999E-3</v>
      </c>
      <c r="IH43" s="621">
        <f>'background data'!$O$10</f>
        <v>2.73</v>
      </c>
      <c r="II43" s="145"/>
      <c r="IJ43" s="145"/>
      <c r="IK43" s="145"/>
      <c r="IL43" s="145"/>
      <c r="IM43" s="145"/>
      <c r="IN43" s="145"/>
      <c r="IO43" s="145"/>
      <c r="IP43" s="145"/>
      <c r="IQ43" s="145"/>
      <c r="IR43" s="145"/>
      <c r="IS43" s="145"/>
      <c r="IT43" s="145"/>
      <c r="IU43" s="145"/>
      <c r="IV43" s="145"/>
      <c r="IW43" s="145"/>
      <c r="IX43" s="145"/>
      <c r="IY43" s="145"/>
      <c r="IZ43" s="145"/>
      <c r="JA43" s="145"/>
      <c r="JB43" s="145"/>
      <c r="JC43" s="145"/>
      <c r="JD43" s="145"/>
      <c r="JE43" s="145"/>
      <c r="JF43" s="145"/>
      <c r="JG43" s="145"/>
      <c r="JH43" s="145"/>
      <c r="JI43" s="145"/>
      <c r="JJ43" s="145"/>
      <c r="JK43" s="145"/>
      <c r="JL43" s="145"/>
      <c r="JM43" s="145"/>
      <c r="JN43" s="145"/>
      <c r="JO43" s="145"/>
      <c r="JP43" s="145"/>
      <c r="JQ43" s="145"/>
      <c r="JR43" s="145"/>
      <c r="JS43" s="145"/>
      <c r="JT43" s="145"/>
      <c r="JU43" s="145"/>
      <c r="JV43" s="145"/>
      <c r="JW43" s="145"/>
      <c r="JX43" s="145"/>
      <c r="JY43" s="145"/>
      <c r="JZ43" s="145"/>
      <c r="KA43" s="145"/>
      <c r="KB43" s="145"/>
      <c r="KC43" s="145"/>
      <c r="KD43" s="145"/>
      <c r="KE43" s="145"/>
      <c r="KF43" s="145"/>
      <c r="KG43" s="145"/>
      <c r="KH43" s="145"/>
      <c r="KI43" s="145"/>
      <c r="KJ43" s="145"/>
      <c r="KK43" s="145"/>
      <c r="KL43" s="145"/>
      <c r="KM43" s="145"/>
      <c r="KN43" s="145"/>
      <c r="KO43" s="145"/>
      <c r="KP43" s="145"/>
      <c r="KQ43" s="145"/>
      <c r="KR43" s="145"/>
      <c r="KS43" s="145"/>
      <c r="KT43" s="145"/>
      <c r="KU43" s="145"/>
      <c r="KV43" s="145"/>
      <c r="KW43" s="145"/>
      <c r="KX43" s="145"/>
      <c r="KY43" s="145"/>
      <c r="KZ43" s="145"/>
      <c r="LA43" s="145"/>
      <c r="LB43" s="145"/>
      <c r="LC43" s="145"/>
      <c r="LD43" s="145"/>
      <c r="LE43" s="145"/>
      <c r="LF43" s="145"/>
      <c r="LG43" s="145"/>
      <c r="LH43" s="145"/>
      <c r="LI43" s="145"/>
      <c r="LJ43" s="145"/>
      <c r="LK43" s="145"/>
      <c r="LL43" s="145"/>
      <c r="LM43" s="145"/>
      <c r="LN43" s="145"/>
      <c r="LO43" s="145"/>
      <c r="LP43" s="145"/>
      <c r="LQ43" s="145"/>
      <c r="LR43" s="145"/>
      <c r="LS43" s="145"/>
      <c r="LT43" s="145"/>
      <c r="LU43" s="145"/>
      <c r="LV43" s="145"/>
      <c r="LW43" s="145"/>
      <c r="LX43" s="145"/>
      <c r="LY43" s="145"/>
      <c r="LZ43" s="145"/>
      <c r="MA43" s="145"/>
      <c r="MB43" s="145"/>
      <c r="MC43" s="145"/>
      <c r="MD43" s="145"/>
      <c r="ME43" s="145"/>
      <c r="MF43" s="145"/>
      <c r="MG43" s="145"/>
      <c r="MH43" s="145"/>
      <c r="MI43" s="145"/>
      <c r="MJ43" s="145"/>
      <c r="MK43" s="145"/>
      <c r="ML43" s="145"/>
      <c r="MM43" s="145"/>
      <c r="MN43" s="145"/>
      <c r="MO43" s="145"/>
      <c r="MP43" s="145"/>
      <c r="MQ43" s="145"/>
      <c r="MR43" s="145"/>
      <c r="MS43" s="145"/>
      <c r="MT43" s="145"/>
      <c r="MU43" s="145"/>
      <c r="MV43" s="145"/>
      <c r="MW43" s="145"/>
      <c r="MX43" s="145"/>
      <c r="MY43" s="145"/>
      <c r="MZ43" s="145"/>
      <c r="NA43" s="145"/>
      <c r="NB43" s="145"/>
      <c r="NC43" s="145"/>
      <c r="ND43" s="145"/>
      <c r="NE43" s="145"/>
      <c r="NF43" s="145"/>
      <c r="NG43" s="145"/>
      <c r="NH43" s="145"/>
      <c r="NI43" s="145"/>
      <c r="NJ43" s="145"/>
      <c r="NK43" s="145"/>
      <c r="NL43" s="145"/>
      <c r="NM43" s="145"/>
      <c r="NN43" s="145"/>
      <c r="NO43" s="145"/>
      <c r="NP43" s="145"/>
      <c r="NQ43" s="145"/>
      <c r="NR43" s="145"/>
      <c r="NS43" s="145"/>
    </row>
    <row r="44" spans="1:383" s="16" customFormat="1" ht="15" customHeight="1" x14ac:dyDescent="0.2">
      <c r="A44" s="15">
        <v>47100</v>
      </c>
      <c r="B44" s="25">
        <v>471</v>
      </c>
      <c r="C44" s="26">
        <v>0</v>
      </c>
      <c r="D44" s="20" t="s">
        <v>273</v>
      </c>
      <c r="E44" s="14">
        <v>40310</v>
      </c>
      <c r="F44" s="18">
        <v>-0.112682926829268</v>
      </c>
      <c r="G44" s="18">
        <v>-0.108</v>
      </c>
      <c r="H44" s="21">
        <v>70</v>
      </c>
      <c r="I44" s="21">
        <v>70</v>
      </c>
      <c r="J44" s="21">
        <v>0</v>
      </c>
      <c r="K44" s="18">
        <v>1</v>
      </c>
      <c r="L44" s="18">
        <v>99</v>
      </c>
      <c r="M44" s="18">
        <v>0</v>
      </c>
      <c r="N44" s="18">
        <v>0</v>
      </c>
      <c r="O44" s="18">
        <v>99</v>
      </c>
      <c r="P44" s="18">
        <v>0</v>
      </c>
      <c r="Q44" s="19"/>
      <c r="R44" s="18">
        <v>0</v>
      </c>
      <c r="S44" s="18">
        <v>50</v>
      </c>
      <c r="T44" s="18">
        <v>50</v>
      </c>
      <c r="U44" s="18">
        <v>50</v>
      </c>
      <c r="V44" s="18">
        <v>50</v>
      </c>
      <c r="W44" s="18">
        <v>50</v>
      </c>
      <c r="X44" s="18"/>
      <c r="Y44" s="18">
        <v>303.03030000000098</v>
      </c>
      <c r="Z44" s="18">
        <v>181.81817999999998</v>
      </c>
      <c r="AA44" s="18">
        <v>50.505050505050505</v>
      </c>
      <c r="AB44" s="18">
        <v>0</v>
      </c>
      <c r="AC44" s="18">
        <v>0</v>
      </c>
      <c r="AD44" s="18">
        <v>0</v>
      </c>
      <c r="AE44" s="18">
        <v>0</v>
      </c>
      <c r="AF44" s="18">
        <v>0</v>
      </c>
      <c r="AG44" s="18">
        <v>0</v>
      </c>
      <c r="AH44" s="18">
        <v>0</v>
      </c>
      <c r="AI44" s="18">
        <v>0</v>
      </c>
      <c r="AJ44" s="18">
        <v>0</v>
      </c>
      <c r="AK44" s="18">
        <v>0</v>
      </c>
      <c r="AL44" s="18"/>
      <c r="AM44" s="18">
        <v>0</v>
      </c>
      <c r="AN44" s="18">
        <v>0</v>
      </c>
      <c r="AO44" s="18">
        <v>0</v>
      </c>
      <c r="AP44" s="18">
        <v>0</v>
      </c>
      <c r="AQ44" s="18">
        <v>0</v>
      </c>
      <c r="AR44" s="18">
        <v>0</v>
      </c>
      <c r="AS44" s="18">
        <v>0</v>
      </c>
      <c r="AT44" s="18">
        <v>0</v>
      </c>
      <c r="AU44" s="18">
        <v>0</v>
      </c>
      <c r="AV44" s="18">
        <v>0</v>
      </c>
      <c r="AW44" s="18">
        <v>0</v>
      </c>
      <c r="AX44" s="18"/>
      <c r="AY44" s="18">
        <v>1</v>
      </c>
      <c r="AZ44" s="18">
        <v>1</v>
      </c>
      <c r="BA44" s="18">
        <v>1</v>
      </c>
      <c r="BB44" s="18">
        <v>1</v>
      </c>
      <c r="BC44" s="18">
        <v>1</v>
      </c>
      <c r="BD44" s="18">
        <v>1</v>
      </c>
      <c r="BE44" s="18">
        <v>1</v>
      </c>
      <c r="BF44" s="18">
        <v>1</v>
      </c>
      <c r="BG44" s="18">
        <v>1</v>
      </c>
      <c r="BH44" s="18">
        <v>1</v>
      </c>
      <c r="BI44" s="18">
        <v>1</v>
      </c>
      <c r="BJ44" s="19"/>
      <c r="BK44" s="18">
        <v>0</v>
      </c>
      <c r="BL44" s="18">
        <v>0</v>
      </c>
      <c r="BM44" s="18">
        <v>100</v>
      </c>
      <c r="BN44" s="18">
        <v>0</v>
      </c>
      <c r="BO44" s="18"/>
      <c r="BP44" s="18">
        <v>0</v>
      </c>
      <c r="BQ44" s="18">
        <v>0</v>
      </c>
      <c r="BR44" s="18">
        <v>-0.11382113821138182</v>
      </c>
      <c r="BS44" s="18">
        <v>-0.10909090909090909</v>
      </c>
      <c r="BT44" s="19"/>
      <c r="BU44" s="18">
        <v>0</v>
      </c>
      <c r="BV44" s="18">
        <v>0</v>
      </c>
      <c r="BW44" s="18">
        <v>0</v>
      </c>
      <c r="BX44" s="18" t="s">
        <v>217</v>
      </c>
      <c r="BY44" s="18" t="s">
        <v>217</v>
      </c>
      <c r="BZ44" s="18" t="s">
        <v>217</v>
      </c>
      <c r="CA44" s="18" t="s">
        <v>217</v>
      </c>
      <c r="CB44" s="19"/>
      <c r="CC44" s="19">
        <v>299.99999700000097</v>
      </c>
      <c r="CD44" s="19">
        <v>179.99999819999999</v>
      </c>
      <c r="CE44" s="19">
        <v>50</v>
      </c>
      <c r="CF44" s="19">
        <v>0</v>
      </c>
      <c r="CG44" s="19">
        <v>0</v>
      </c>
      <c r="CH44" s="19">
        <v>0</v>
      </c>
      <c r="CI44" s="19">
        <v>0</v>
      </c>
      <c r="CJ44" s="19"/>
      <c r="CK44" s="19">
        <v>0</v>
      </c>
      <c r="CL44" s="19">
        <v>0</v>
      </c>
      <c r="CM44" s="19">
        <v>0</v>
      </c>
      <c r="CN44" s="19">
        <v>0</v>
      </c>
      <c r="CO44" s="19">
        <v>0</v>
      </c>
      <c r="CP44" s="19">
        <v>0</v>
      </c>
      <c r="CQ44" s="19">
        <v>0</v>
      </c>
      <c r="CR44" s="19">
        <v>0</v>
      </c>
      <c r="CS44" s="19">
        <v>0</v>
      </c>
      <c r="CT44" s="19">
        <v>0</v>
      </c>
      <c r="CU44" s="19">
        <v>0</v>
      </c>
      <c r="CV44" s="19">
        <v>0</v>
      </c>
      <c r="CW44" s="19">
        <v>0</v>
      </c>
      <c r="CX44" s="19">
        <v>0</v>
      </c>
      <c r="CY44" s="19">
        <v>0</v>
      </c>
      <c r="CZ44" s="19">
        <v>0</v>
      </c>
      <c r="DA44" s="19">
        <v>0</v>
      </c>
      <c r="DB44" s="19">
        <v>0</v>
      </c>
      <c r="DC44" s="19">
        <v>0</v>
      </c>
      <c r="DD44" s="19">
        <v>0</v>
      </c>
      <c r="DE44" s="19">
        <v>0</v>
      </c>
      <c r="DF44" s="23">
        <v>0</v>
      </c>
      <c r="DG44" s="23">
        <v>0</v>
      </c>
      <c r="DH44" s="23">
        <v>0</v>
      </c>
      <c r="DI44" s="19">
        <v>0</v>
      </c>
      <c r="DJ44" s="19">
        <v>0</v>
      </c>
      <c r="DK44" s="19">
        <v>0</v>
      </c>
      <c r="DL44" s="19">
        <v>0</v>
      </c>
      <c r="DM44" s="19">
        <v>0</v>
      </c>
      <c r="DN44" s="19">
        <v>0</v>
      </c>
      <c r="DO44" s="19">
        <v>0</v>
      </c>
      <c r="DP44" s="19">
        <v>0</v>
      </c>
      <c r="DQ44" s="19">
        <v>0</v>
      </c>
      <c r="DR44" s="19">
        <v>0</v>
      </c>
      <c r="DS44" s="19">
        <v>0</v>
      </c>
      <c r="DT44" s="19">
        <v>0</v>
      </c>
      <c r="DU44" s="19">
        <v>0</v>
      </c>
      <c r="DV44" s="19">
        <v>0</v>
      </c>
      <c r="DW44" s="17" t="s">
        <v>274</v>
      </c>
      <c r="DX44" s="22" t="s">
        <v>218</v>
      </c>
      <c r="DY44" s="22" t="s">
        <v>218</v>
      </c>
      <c r="DZ44" s="22" t="s">
        <v>218</v>
      </c>
      <c r="EA44" s="22" t="s">
        <v>218</v>
      </c>
      <c r="EB44" s="22" t="s">
        <v>218</v>
      </c>
      <c r="EC44" s="22" t="s">
        <v>218</v>
      </c>
      <c r="ED44" s="22" t="s">
        <v>218</v>
      </c>
      <c r="EE44" s="22" t="s">
        <v>218</v>
      </c>
      <c r="EF44" s="22" t="s">
        <v>218</v>
      </c>
      <c r="EG44" s="22" t="s">
        <v>218</v>
      </c>
      <c r="EH44" s="22" t="s">
        <v>218</v>
      </c>
      <c r="EI44" s="22" t="s">
        <v>218</v>
      </c>
      <c r="EJ44" s="22" t="s">
        <v>218</v>
      </c>
      <c r="EK44" s="22" t="s">
        <v>218</v>
      </c>
      <c r="EL44" s="22" t="s">
        <v>218</v>
      </c>
      <c r="EM44" s="22" t="s">
        <v>218</v>
      </c>
      <c r="EN44" s="22" t="s">
        <v>218</v>
      </c>
      <c r="EO44" s="22" t="s">
        <v>218</v>
      </c>
      <c r="EP44" s="22" t="s">
        <v>218</v>
      </c>
      <c r="EQ44" s="22" t="s">
        <v>218</v>
      </c>
      <c r="ER44" s="22" t="s">
        <v>218</v>
      </c>
      <c r="ES44" s="22" t="s">
        <v>218</v>
      </c>
      <c r="ET44" s="22" t="s">
        <v>218</v>
      </c>
      <c r="EU44" s="22" t="s">
        <v>218</v>
      </c>
      <c r="EV44" s="22" t="s">
        <v>218</v>
      </c>
      <c r="EW44" s="22" t="s">
        <v>218</v>
      </c>
      <c r="EX44" s="22" t="s">
        <v>218</v>
      </c>
      <c r="EY44" s="22" t="s">
        <v>218</v>
      </c>
      <c r="EZ44" s="22" t="s">
        <v>218</v>
      </c>
      <c r="FA44" s="22" t="s">
        <v>218</v>
      </c>
      <c r="FB44" s="22" t="s">
        <v>218</v>
      </c>
      <c r="FC44" s="22" t="s">
        <v>218</v>
      </c>
      <c r="FD44" s="22" t="s">
        <v>218</v>
      </c>
      <c r="FE44" s="22" t="s">
        <v>218</v>
      </c>
      <c r="FF44" s="22" t="s">
        <v>218</v>
      </c>
      <c r="FG44" s="22" t="s">
        <v>218</v>
      </c>
      <c r="FH44" s="22" t="s">
        <v>218</v>
      </c>
      <c r="FI44" s="22" t="s">
        <v>218</v>
      </c>
      <c r="FJ44" s="22" t="s">
        <v>218</v>
      </c>
      <c r="FK44" s="22" t="s">
        <v>218</v>
      </c>
      <c r="FL44" s="22" t="s">
        <v>218</v>
      </c>
      <c r="FM44" s="22" t="s">
        <v>218</v>
      </c>
      <c r="FN44" s="22" t="s">
        <v>218</v>
      </c>
      <c r="FO44" s="22" t="s">
        <v>218</v>
      </c>
      <c r="FP44" s="22" t="s">
        <v>218</v>
      </c>
      <c r="FQ44" s="22" t="s">
        <v>218</v>
      </c>
      <c r="FR44" s="22" t="s">
        <v>218</v>
      </c>
      <c r="FS44" s="22" t="s">
        <v>218</v>
      </c>
      <c r="FT44" s="22" t="s">
        <v>218</v>
      </c>
      <c r="FU44" s="22" t="s">
        <v>218</v>
      </c>
      <c r="FV44" s="22" t="s">
        <v>218</v>
      </c>
      <c r="FW44" s="22" t="s">
        <v>218</v>
      </c>
      <c r="FX44" s="22" t="s">
        <v>218</v>
      </c>
      <c r="FY44" s="22" t="s">
        <v>218</v>
      </c>
      <c r="FZ44" s="22" t="s">
        <v>218</v>
      </c>
      <c r="GA44" s="22" t="s">
        <v>218</v>
      </c>
      <c r="GB44" s="22" t="s">
        <v>218</v>
      </c>
      <c r="GC44" s="22" t="s">
        <v>218</v>
      </c>
      <c r="GD44" s="22" t="s">
        <v>218</v>
      </c>
      <c r="GE44" s="22" t="s">
        <v>218</v>
      </c>
      <c r="GF44" s="22" t="s">
        <v>218</v>
      </c>
      <c r="GG44" s="22" t="s">
        <v>218</v>
      </c>
      <c r="GH44" s="22" t="s">
        <v>218</v>
      </c>
      <c r="GI44" s="22" t="s">
        <v>218</v>
      </c>
      <c r="GJ44" s="22" t="s">
        <v>218</v>
      </c>
      <c r="GK44" s="22" t="s">
        <v>218</v>
      </c>
      <c r="GL44" s="22" t="s">
        <v>218</v>
      </c>
      <c r="GM44" s="22" t="s">
        <v>218</v>
      </c>
      <c r="GN44" s="22" t="s">
        <v>218</v>
      </c>
      <c r="GO44" s="22" t="s">
        <v>218</v>
      </c>
      <c r="GP44" s="22" t="s">
        <v>218</v>
      </c>
      <c r="GQ44" s="22" t="s">
        <v>218</v>
      </c>
      <c r="GR44" s="22" t="s">
        <v>218</v>
      </c>
      <c r="GS44" s="22" t="s">
        <v>218</v>
      </c>
      <c r="GT44" s="22" t="s">
        <v>218</v>
      </c>
      <c r="GU44" s="22" t="s">
        <v>218</v>
      </c>
      <c r="GV44" s="22" t="s">
        <v>218</v>
      </c>
      <c r="GW44" s="22" t="s">
        <v>218</v>
      </c>
      <c r="GX44" s="22" t="s">
        <v>218</v>
      </c>
      <c r="GY44" s="22" t="s">
        <v>218</v>
      </c>
      <c r="GZ44" s="22" t="s">
        <v>218</v>
      </c>
      <c r="HA44" s="22" t="s">
        <v>218</v>
      </c>
      <c r="HB44" s="22" t="s">
        <v>218</v>
      </c>
      <c r="HC44" s="22" t="s">
        <v>218</v>
      </c>
      <c r="HD44" s="22" t="s">
        <v>218</v>
      </c>
      <c r="HE44" s="22" t="s">
        <v>218</v>
      </c>
      <c r="HF44" s="22" t="s">
        <v>218</v>
      </c>
      <c r="HG44" s="22" t="s">
        <v>218</v>
      </c>
      <c r="HH44" s="22" t="s">
        <v>218</v>
      </c>
      <c r="HI44" s="22" t="s">
        <v>218</v>
      </c>
      <c r="HJ44" s="22" t="s">
        <v>218</v>
      </c>
      <c r="HK44" s="22" t="s">
        <v>218</v>
      </c>
      <c r="HL44" s="22" t="s">
        <v>218</v>
      </c>
      <c r="HM44" s="860"/>
      <c r="HN44" s="860"/>
      <c r="HO44" s="860"/>
      <c r="HP44" s="860"/>
      <c r="HQ44" s="860"/>
      <c r="HR44" s="860"/>
      <c r="HS44" s="860"/>
      <c r="HT44" s="145"/>
      <c r="HU44" s="145" t="s">
        <v>1809</v>
      </c>
      <c r="HV44" s="22" t="s">
        <v>1926</v>
      </c>
      <c r="HW44" s="22">
        <v>0</v>
      </c>
      <c r="HX44" s="22">
        <v>0</v>
      </c>
      <c r="HY44" s="22">
        <v>0</v>
      </c>
      <c r="HZ44" s="19"/>
      <c r="IA44" s="19"/>
      <c r="IB44" s="621">
        <f>'background data'!$G$10</f>
        <v>0.47300000000000003</v>
      </c>
      <c r="IC44" s="621">
        <f>'background data'!$H$10</f>
        <v>0.13</v>
      </c>
      <c r="ID44" s="621">
        <f>'background data'!$J$10</f>
        <v>0.39100000000000001</v>
      </c>
      <c r="IE44" s="621">
        <f>'background data'!$L$10</f>
        <v>5.5E-2</v>
      </c>
      <c r="IF44" s="621">
        <f>'background data'!$M$10</f>
        <v>3.97</v>
      </c>
      <c r="IG44" s="621">
        <f>'background data'!$N$10</f>
        <v>4.5999999999999999E-3</v>
      </c>
      <c r="IH44" s="621">
        <f>'background data'!$O$10</f>
        <v>2.73</v>
      </c>
      <c r="II44" s="145"/>
      <c r="IJ44" s="145"/>
      <c r="IK44" s="145"/>
      <c r="IL44" s="145"/>
      <c r="IM44" s="145"/>
      <c r="IN44" s="145"/>
      <c r="IO44" s="145"/>
      <c r="IP44" s="145"/>
      <c r="IQ44" s="145"/>
      <c r="IR44" s="145"/>
      <c r="IS44" s="145"/>
      <c r="IT44" s="145"/>
      <c r="IU44" s="145"/>
      <c r="IV44" s="145"/>
      <c r="IW44" s="145"/>
      <c r="IX44" s="145"/>
      <c r="IY44" s="145"/>
      <c r="IZ44" s="145"/>
      <c r="JA44" s="145"/>
      <c r="JB44" s="145"/>
      <c r="JC44" s="145"/>
      <c r="JD44" s="145"/>
      <c r="JE44" s="145"/>
      <c r="JF44" s="145"/>
      <c r="JG44" s="145"/>
      <c r="JH44" s="145"/>
      <c r="JI44" s="145"/>
      <c r="JJ44" s="145"/>
      <c r="JK44" s="145"/>
      <c r="JL44" s="145"/>
      <c r="JM44" s="145"/>
      <c r="JN44" s="145"/>
      <c r="JO44" s="145"/>
      <c r="JP44" s="145"/>
      <c r="JQ44" s="145"/>
      <c r="JR44" s="145"/>
      <c r="JS44" s="145"/>
      <c r="JT44" s="145"/>
      <c r="JU44" s="145"/>
      <c r="JV44" s="145"/>
      <c r="JW44" s="145"/>
      <c r="JX44" s="145"/>
      <c r="JY44" s="145"/>
      <c r="JZ44" s="145"/>
      <c r="KA44" s="145"/>
      <c r="KB44" s="145"/>
      <c r="KC44" s="145"/>
      <c r="KD44" s="145"/>
      <c r="KE44" s="145"/>
      <c r="KF44" s="145"/>
      <c r="KG44" s="145"/>
      <c r="KH44" s="145"/>
      <c r="KI44" s="145"/>
      <c r="KJ44" s="145"/>
      <c r="KK44" s="145"/>
      <c r="KL44" s="145"/>
      <c r="KM44" s="145"/>
      <c r="KN44" s="145"/>
      <c r="KO44" s="145"/>
      <c r="KP44" s="145"/>
      <c r="KQ44" s="145"/>
      <c r="KR44" s="145"/>
      <c r="KS44" s="145"/>
      <c r="KT44" s="145"/>
      <c r="KU44" s="145"/>
      <c r="KV44" s="145"/>
      <c r="KW44" s="145"/>
      <c r="KX44" s="145"/>
      <c r="KY44" s="145"/>
      <c r="KZ44" s="145"/>
      <c r="LA44" s="145"/>
      <c r="LB44" s="145"/>
      <c r="LC44" s="145"/>
      <c r="LD44" s="145"/>
      <c r="LE44" s="145"/>
      <c r="LF44" s="145"/>
      <c r="LG44" s="145"/>
      <c r="LH44" s="145"/>
      <c r="LI44" s="145"/>
      <c r="LJ44" s="145"/>
      <c r="LK44" s="145"/>
      <c r="LL44" s="145"/>
      <c r="LM44" s="145"/>
      <c r="LN44" s="145"/>
      <c r="LO44" s="145"/>
      <c r="LP44" s="145"/>
      <c r="LQ44" s="145"/>
      <c r="LR44" s="145"/>
      <c r="LS44" s="145"/>
      <c r="LT44" s="145"/>
      <c r="LU44" s="145"/>
      <c r="LV44" s="145"/>
      <c r="LW44" s="145"/>
      <c r="LX44" s="145"/>
      <c r="LY44" s="145"/>
      <c r="LZ44" s="145"/>
      <c r="MA44" s="145"/>
      <c r="MB44" s="145"/>
      <c r="MC44" s="145"/>
      <c r="MD44" s="145"/>
      <c r="ME44" s="145"/>
      <c r="MF44" s="145"/>
      <c r="MG44" s="145"/>
      <c r="MH44" s="145"/>
      <c r="MI44" s="145"/>
      <c r="MJ44" s="145"/>
      <c r="MK44" s="145"/>
      <c r="ML44" s="145"/>
      <c r="MM44" s="145"/>
      <c r="MN44" s="145"/>
      <c r="MO44" s="145"/>
      <c r="MP44" s="145"/>
      <c r="MQ44" s="145"/>
      <c r="MR44" s="145"/>
      <c r="MS44" s="145"/>
      <c r="MT44" s="145"/>
      <c r="MU44" s="145"/>
      <c r="MV44" s="145"/>
      <c r="MW44" s="145"/>
      <c r="MX44" s="145"/>
      <c r="MY44" s="145"/>
      <c r="MZ44" s="145"/>
      <c r="NA44" s="145"/>
      <c r="NB44" s="145"/>
      <c r="NC44" s="145"/>
      <c r="ND44" s="145"/>
      <c r="NE44" s="145"/>
      <c r="NF44" s="145"/>
      <c r="NG44" s="145"/>
      <c r="NH44" s="145"/>
      <c r="NI44" s="145"/>
      <c r="NJ44" s="145"/>
      <c r="NK44" s="145"/>
      <c r="NL44" s="145"/>
      <c r="NM44" s="145"/>
      <c r="NN44" s="145"/>
      <c r="NO44" s="145"/>
      <c r="NP44" s="145"/>
      <c r="NQ44" s="145"/>
      <c r="NR44" s="145"/>
      <c r="NS44" s="145"/>
    </row>
    <row r="45" spans="1:383" s="16" customFormat="1" ht="15" customHeight="1" x14ac:dyDescent="0.2">
      <c r="A45" s="15">
        <v>47101</v>
      </c>
      <c r="B45" s="25">
        <v>471</v>
      </c>
      <c r="C45" s="26">
        <v>1</v>
      </c>
      <c r="D45" s="20" t="s">
        <v>275</v>
      </c>
      <c r="E45" s="14">
        <v>40310</v>
      </c>
      <c r="F45" s="18">
        <v>-0.112682926829268</v>
      </c>
      <c r="G45" s="18">
        <v>-0.108</v>
      </c>
      <c r="H45" s="21">
        <v>70</v>
      </c>
      <c r="I45" s="21">
        <v>70</v>
      </c>
      <c r="J45" s="21">
        <v>0</v>
      </c>
      <c r="K45" s="18">
        <v>1</v>
      </c>
      <c r="L45" s="18">
        <v>99</v>
      </c>
      <c r="M45" s="18">
        <v>0</v>
      </c>
      <c r="N45" s="18">
        <v>0</v>
      </c>
      <c r="O45" s="18">
        <v>99</v>
      </c>
      <c r="P45" s="18">
        <v>0</v>
      </c>
      <c r="Q45" s="19"/>
      <c r="R45" s="18">
        <v>0</v>
      </c>
      <c r="S45" s="18">
        <v>59</v>
      </c>
      <c r="T45" s="18">
        <v>59</v>
      </c>
      <c r="U45" s="18">
        <v>59</v>
      </c>
      <c r="V45" s="18">
        <v>59</v>
      </c>
      <c r="W45" s="18">
        <v>59</v>
      </c>
      <c r="X45" s="18"/>
      <c r="Y45" s="18">
        <v>309.09090909090907</v>
      </c>
      <c r="Z45" s="18">
        <v>181.81817999999998</v>
      </c>
      <c r="AA45" s="18">
        <v>51.515151515151516</v>
      </c>
      <c r="AB45" s="18">
        <v>0</v>
      </c>
      <c r="AC45" s="18">
        <v>0</v>
      </c>
      <c r="AD45" s="18">
        <v>0</v>
      </c>
      <c r="AE45" s="18">
        <v>0</v>
      </c>
      <c r="AF45" s="18">
        <v>0</v>
      </c>
      <c r="AG45" s="18">
        <v>0</v>
      </c>
      <c r="AH45" s="18">
        <v>0</v>
      </c>
      <c r="AI45" s="18">
        <v>0</v>
      </c>
      <c r="AJ45" s="18">
        <v>0</v>
      </c>
      <c r="AK45" s="18">
        <v>0</v>
      </c>
      <c r="AL45" s="18"/>
      <c r="AM45" s="18">
        <v>0</v>
      </c>
      <c r="AN45" s="18">
        <v>0</v>
      </c>
      <c r="AO45" s="18">
        <v>0</v>
      </c>
      <c r="AP45" s="18">
        <v>0</v>
      </c>
      <c r="AQ45" s="18">
        <v>0</v>
      </c>
      <c r="AR45" s="18">
        <v>0</v>
      </c>
      <c r="AS45" s="18">
        <v>0</v>
      </c>
      <c r="AT45" s="18">
        <v>0</v>
      </c>
      <c r="AU45" s="18">
        <v>0</v>
      </c>
      <c r="AV45" s="18">
        <v>0</v>
      </c>
      <c r="AW45" s="18">
        <v>0</v>
      </c>
      <c r="AX45" s="18"/>
      <c r="AY45" s="18">
        <v>1</v>
      </c>
      <c r="AZ45" s="18">
        <v>1</v>
      </c>
      <c r="BA45" s="18">
        <v>1</v>
      </c>
      <c r="BB45" s="18">
        <v>1</v>
      </c>
      <c r="BC45" s="18">
        <v>1</v>
      </c>
      <c r="BD45" s="18">
        <v>1</v>
      </c>
      <c r="BE45" s="18">
        <v>1</v>
      </c>
      <c r="BF45" s="18">
        <v>1</v>
      </c>
      <c r="BG45" s="18">
        <v>1</v>
      </c>
      <c r="BH45" s="18">
        <v>1</v>
      </c>
      <c r="BI45" s="18">
        <v>1</v>
      </c>
      <c r="BJ45" s="19"/>
      <c r="BK45" s="18">
        <v>0</v>
      </c>
      <c r="BL45" s="18">
        <v>0</v>
      </c>
      <c r="BM45" s="18">
        <v>100</v>
      </c>
      <c r="BN45" s="18">
        <v>0</v>
      </c>
      <c r="BO45" s="18"/>
      <c r="BP45" s="18">
        <v>0</v>
      </c>
      <c r="BQ45" s="18">
        <v>0</v>
      </c>
      <c r="BR45" s="18">
        <v>-0.11382113821138182</v>
      </c>
      <c r="BS45" s="18">
        <v>-0.10909090909090909</v>
      </c>
      <c r="BT45" s="19"/>
      <c r="BU45" s="18">
        <v>0</v>
      </c>
      <c r="BV45" s="18">
        <v>0</v>
      </c>
      <c r="BW45" s="18">
        <v>0</v>
      </c>
      <c r="BX45" s="18" t="s">
        <v>217</v>
      </c>
      <c r="BY45" s="18" t="s">
        <v>217</v>
      </c>
      <c r="BZ45" s="18" t="s">
        <v>217</v>
      </c>
      <c r="CA45" s="18" t="s">
        <v>217</v>
      </c>
      <c r="CB45" s="19"/>
      <c r="CC45" s="19">
        <v>306</v>
      </c>
      <c r="CD45" s="19">
        <v>179.99999819999999</v>
      </c>
      <c r="CE45" s="19">
        <v>51</v>
      </c>
      <c r="CF45" s="19">
        <v>0</v>
      </c>
      <c r="CG45" s="19">
        <v>0</v>
      </c>
      <c r="CH45" s="19">
        <v>0</v>
      </c>
      <c r="CI45" s="19">
        <v>0</v>
      </c>
      <c r="CJ45" s="19"/>
      <c r="CK45" s="19">
        <v>0</v>
      </c>
      <c r="CL45" s="19">
        <v>0</v>
      </c>
      <c r="CM45" s="19">
        <v>0</v>
      </c>
      <c r="CN45" s="19">
        <v>0</v>
      </c>
      <c r="CO45" s="19">
        <v>0</v>
      </c>
      <c r="CP45" s="19">
        <v>0</v>
      </c>
      <c r="CQ45" s="19">
        <v>0</v>
      </c>
      <c r="CR45" s="19">
        <v>0</v>
      </c>
      <c r="CS45" s="19">
        <v>0</v>
      </c>
      <c r="CT45" s="19">
        <v>0</v>
      </c>
      <c r="CU45" s="19">
        <v>0</v>
      </c>
      <c r="CV45" s="19">
        <v>0</v>
      </c>
      <c r="CW45" s="19">
        <v>0</v>
      </c>
      <c r="CX45" s="19">
        <v>0</v>
      </c>
      <c r="CY45" s="19">
        <v>0</v>
      </c>
      <c r="CZ45" s="19">
        <v>0</v>
      </c>
      <c r="DA45" s="19">
        <v>0</v>
      </c>
      <c r="DB45" s="19">
        <v>0</v>
      </c>
      <c r="DC45" s="19">
        <v>0</v>
      </c>
      <c r="DD45" s="19">
        <v>0</v>
      </c>
      <c r="DE45" s="19">
        <v>0</v>
      </c>
      <c r="DF45" s="23">
        <v>0</v>
      </c>
      <c r="DG45" s="23">
        <v>0</v>
      </c>
      <c r="DH45" s="23">
        <v>0</v>
      </c>
      <c r="DI45" s="19">
        <v>0</v>
      </c>
      <c r="DJ45" s="19">
        <v>0</v>
      </c>
      <c r="DK45" s="19">
        <v>0</v>
      </c>
      <c r="DL45" s="19">
        <v>0</v>
      </c>
      <c r="DM45" s="19">
        <v>0</v>
      </c>
      <c r="DN45" s="19">
        <v>0</v>
      </c>
      <c r="DO45" s="19">
        <v>0</v>
      </c>
      <c r="DP45" s="19">
        <v>0</v>
      </c>
      <c r="DQ45" s="19">
        <v>0</v>
      </c>
      <c r="DR45" s="19">
        <v>0</v>
      </c>
      <c r="DS45" s="19">
        <v>0</v>
      </c>
      <c r="DT45" s="19">
        <v>0</v>
      </c>
      <c r="DU45" s="19">
        <v>0</v>
      </c>
      <c r="DV45" s="19">
        <v>0</v>
      </c>
      <c r="DW45" s="17" t="s">
        <v>218</v>
      </c>
      <c r="DX45" s="22" t="s">
        <v>218</v>
      </c>
      <c r="DY45" s="22" t="s">
        <v>218</v>
      </c>
      <c r="DZ45" s="22" t="s">
        <v>218</v>
      </c>
      <c r="EA45" s="22" t="s">
        <v>218</v>
      </c>
      <c r="EB45" s="22" t="s">
        <v>218</v>
      </c>
      <c r="EC45" s="22" t="s">
        <v>218</v>
      </c>
      <c r="ED45" s="22" t="s">
        <v>218</v>
      </c>
      <c r="EE45" s="22" t="s">
        <v>218</v>
      </c>
      <c r="EF45" s="22" t="s">
        <v>218</v>
      </c>
      <c r="EG45" s="22" t="s">
        <v>218</v>
      </c>
      <c r="EH45" s="22" t="s">
        <v>218</v>
      </c>
      <c r="EI45" s="22" t="s">
        <v>218</v>
      </c>
      <c r="EJ45" s="22" t="s">
        <v>218</v>
      </c>
      <c r="EK45" s="22" t="s">
        <v>218</v>
      </c>
      <c r="EL45" s="22" t="s">
        <v>218</v>
      </c>
      <c r="EM45" s="22" t="s">
        <v>218</v>
      </c>
      <c r="EN45" s="22" t="s">
        <v>218</v>
      </c>
      <c r="EO45" s="22" t="s">
        <v>218</v>
      </c>
      <c r="EP45" s="22" t="s">
        <v>218</v>
      </c>
      <c r="EQ45" s="22" t="s">
        <v>218</v>
      </c>
      <c r="ER45" s="22" t="s">
        <v>218</v>
      </c>
      <c r="ES45" s="22" t="s">
        <v>218</v>
      </c>
      <c r="ET45" s="22" t="s">
        <v>218</v>
      </c>
      <c r="EU45" s="22" t="s">
        <v>218</v>
      </c>
      <c r="EV45" s="22" t="s">
        <v>218</v>
      </c>
      <c r="EW45" s="22" t="s">
        <v>218</v>
      </c>
      <c r="EX45" s="22" t="s">
        <v>218</v>
      </c>
      <c r="EY45" s="22" t="s">
        <v>218</v>
      </c>
      <c r="EZ45" s="22" t="s">
        <v>218</v>
      </c>
      <c r="FA45" s="22" t="s">
        <v>218</v>
      </c>
      <c r="FB45" s="22" t="s">
        <v>218</v>
      </c>
      <c r="FC45" s="22" t="s">
        <v>218</v>
      </c>
      <c r="FD45" s="22" t="s">
        <v>218</v>
      </c>
      <c r="FE45" s="22" t="s">
        <v>218</v>
      </c>
      <c r="FF45" s="22" t="s">
        <v>218</v>
      </c>
      <c r="FG45" s="22" t="s">
        <v>218</v>
      </c>
      <c r="FH45" s="22" t="s">
        <v>218</v>
      </c>
      <c r="FI45" s="22" t="s">
        <v>218</v>
      </c>
      <c r="FJ45" s="22" t="s">
        <v>218</v>
      </c>
      <c r="FK45" s="22" t="s">
        <v>218</v>
      </c>
      <c r="FL45" s="22" t="s">
        <v>218</v>
      </c>
      <c r="FM45" s="22" t="s">
        <v>218</v>
      </c>
      <c r="FN45" s="22" t="s">
        <v>218</v>
      </c>
      <c r="FO45" s="22" t="s">
        <v>218</v>
      </c>
      <c r="FP45" s="22" t="s">
        <v>218</v>
      </c>
      <c r="FQ45" s="22" t="s">
        <v>218</v>
      </c>
      <c r="FR45" s="22" t="s">
        <v>218</v>
      </c>
      <c r="FS45" s="22" t="s">
        <v>218</v>
      </c>
      <c r="FT45" s="22" t="s">
        <v>218</v>
      </c>
      <c r="FU45" s="22" t="s">
        <v>218</v>
      </c>
      <c r="FV45" s="22" t="s">
        <v>218</v>
      </c>
      <c r="FW45" s="22" t="s">
        <v>218</v>
      </c>
      <c r="FX45" s="22" t="s">
        <v>218</v>
      </c>
      <c r="FY45" s="22" t="s">
        <v>218</v>
      </c>
      <c r="FZ45" s="22" t="s">
        <v>218</v>
      </c>
      <c r="GA45" s="22" t="s">
        <v>218</v>
      </c>
      <c r="GB45" s="22" t="s">
        <v>218</v>
      </c>
      <c r="GC45" s="22" t="s">
        <v>218</v>
      </c>
      <c r="GD45" s="22" t="s">
        <v>218</v>
      </c>
      <c r="GE45" s="22" t="s">
        <v>218</v>
      </c>
      <c r="GF45" s="22" t="s">
        <v>218</v>
      </c>
      <c r="GG45" s="22" t="s">
        <v>218</v>
      </c>
      <c r="GH45" s="22" t="s">
        <v>218</v>
      </c>
      <c r="GI45" s="22" t="s">
        <v>218</v>
      </c>
      <c r="GJ45" s="22" t="s">
        <v>218</v>
      </c>
      <c r="GK45" s="22" t="s">
        <v>218</v>
      </c>
      <c r="GL45" s="22" t="s">
        <v>218</v>
      </c>
      <c r="GM45" s="22" t="s">
        <v>218</v>
      </c>
      <c r="GN45" s="22" t="s">
        <v>218</v>
      </c>
      <c r="GO45" s="22" t="s">
        <v>218</v>
      </c>
      <c r="GP45" s="22" t="s">
        <v>218</v>
      </c>
      <c r="GQ45" s="22" t="s">
        <v>218</v>
      </c>
      <c r="GR45" s="22" t="s">
        <v>218</v>
      </c>
      <c r="GS45" s="22" t="s">
        <v>218</v>
      </c>
      <c r="GT45" s="22" t="s">
        <v>218</v>
      </c>
      <c r="GU45" s="22" t="s">
        <v>218</v>
      </c>
      <c r="GV45" s="22" t="s">
        <v>218</v>
      </c>
      <c r="GW45" s="22" t="s">
        <v>218</v>
      </c>
      <c r="GX45" s="22" t="s">
        <v>218</v>
      </c>
      <c r="GY45" s="22" t="s">
        <v>218</v>
      </c>
      <c r="GZ45" s="22" t="s">
        <v>218</v>
      </c>
      <c r="HA45" s="22" t="s">
        <v>218</v>
      </c>
      <c r="HB45" s="22" t="s">
        <v>218</v>
      </c>
      <c r="HC45" s="22" t="s">
        <v>218</v>
      </c>
      <c r="HD45" s="22" t="s">
        <v>218</v>
      </c>
      <c r="HE45" s="22" t="s">
        <v>218</v>
      </c>
      <c r="HF45" s="22" t="s">
        <v>218</v>
      </c>
      <c r="HG45" s="22" t="s">
        <v>218</v>
      </c>
      <c r="HH45" s="22" t="s">
        <v>218</v>
      </c>
      <c r="HI45" s="22" t="s">
        <v>218</v>
      </c>
      <c r="HJ45" s="22" t="s">
        <v>218</v>
      </c>
      <c r="HK45" s="22" t="s">
        <v>218</v>
      </c>
      <c r="HL45" s="22" t="s">
        <v>218</v>
      </c>
      <c r="HM45" s="860"/>
      <c r="HN45" s="860"/>
      <c r="HO45" s="860"/>
      <c r="HP45" s="860"/>
      <c r="HQ45" s="860"/>
      <c r="HR45" s="860"/>
      <c r="HS45" s="860"/>
      <c r="HT45" s="145"/>
      <c r="HU45" s="145" t="s">
        <v>1809</v>
      </c>
      <c r="HV45" s="22" t="s">
        <v>1926</v>
      </c>
      <c r="HW45" s="22">
        <v>0</v>
      </c>
      <c r="HX45" s="22">
        <v>0</v>
      </c>
      <c r="HY45" s="22">
        <v>0</v>
      </c>
      <c r="HZ45" s="19"/>
      <c r="IA45" s="19"/>
      <c r="IB45" s="621">
        <f>'background data'!$G$10</f>
        <v>0.47300000000000003</v>
      </c>
      <c r="IC45" s="621">
        <f>'background data'!$H$10</f>
        <v>0.13</v>
      </c>
      <c r="ID45" s="621">
        <f>'background data'!$J$10</f>
        <v>0.39100000000000001</v>
      </c>
      <c r="IE45" s="621">
        <f>'background data'!$L$10</f>
        <v>5.5E-2</v>
      </c>
      <c r="IF45" s="621">
        <f>'background data'!$M$10</f>
        <v>3.97</v>
      </c>
      <c r="IG45" s="621">
        <f>'background data'!$N$10</f>
        <v>4.5999999999999999E-3</v>
      </c>
      <c r="IH45" s="621">
        <f>'background data'!$O$10</f>
        <v>2.73</v>
      </c>
      <c r="II45" s="145"/>
      <c r="IJ45" s="145"/>
      <c r="IK45" s="145"/>
      <c r="IL45" s="145"/>
      <c r="IM45" s="145"/>
      <c r="IN45" s="145"/>
      <c r="IO45" s="145"/>
      <c r="IP45" s="145"/>
      <c r="IQ45" s="145"/>
      <c r="IR45" s="145"/>
      <c r="IS45" s="145"/>
      <c r="IT45" s="145"/>
      <c r="IU45" s="145"/>
      <c r="IV45" s="145"/>
      <c r="IW45" s="145"/>
      <c r="IX45" s="145"/>
      <c r="IY45" s="145"/>
      <c r="IZ45" s="145"/>
      <c r="JA45" s="145"/>
      <c r="JB45" s="145"/>
      <c r="JC45" s="145"/>
      <c r="JD45" s="145"/>
      <c r="JE45" s="145"/>
      <c r="JF45" s="145"/>
      <c r="JG45" s="145"/>
      <c r="JH45" s="145"/>
      <c r="JI45" s="145"/>
      <c r="JJ45" s="145"/>
      <c r="JK45" s="145"/>
      <c r="JL45" s="145"/>
      <c r="JM45" s="145"/>
      <c r="JN45" s="145"/>
      <c r="JO45" s="145"/>
      <c r="JP45" s="145"/>
      <c r="JQ45" s="145"/>
      <c r="JR45" s="145"/>
      <c r="JS45" s="145"/>
      <c r="JT45" s="145"/>
      <c r="JU45" s="145"/>
      <c r="JV45" s="145"/>
      <c r="JW45" s="145"/>
      <c r="JX45" s="145"/>
      <c r="JY45" s="145"/>
      <c r="JZ45" s="145"/>
      <c r="KA45" s="145"/>
      <c r="KB45" s="145"/>
      <c r="KC45" s="145"/>
      <c r="KD45" s="145"/>
      <c r="KE45" s="145"/>
      <c r="KF45" s="145"/>
      <c r="KG45" s="145"/>
      <c r="KH45" s="145"/>
      <c r="KI45" s="145"/>
      <c r="KJ45" s="145"/>
      <c r="KK45" s="145"/>
      <c r="KL45" s="145"/>
      <c r="KM45" s="145"/>
      <c r="KN45" s="145"/>
      <c r="KO45" s="145"/>
      <c r="KP45" s="145"/>
      <c r="KQ45" s="145"/>
      <c r="KR45" s="145"/>
      <c r="KS45" s="145"/>
      <c r="KT45" s="145"/>
      <c r="KU45" s="145"/>
      <c r="KV45" s="145"/>
      <c r="KW45" s="145"/>
      <c r="KX45" s="145"/>
      <c r="KY45" s="145"/>
      <c r="KZ45" s="145"/>
      <c r="LA45" s="145"/>
      <c r="LB45" s="145"/>
      <c r="LC45" s="145"/>
      <c r="LD45" s="145"/>
      <c r="LE45" s="145"/>
      <c r="LF45" s="145"/>
      <c r="LG45" s="145"/>
      <c r="LH45" s="145"/>
      <c r="LI45" s="145"/>
      <c r="LJ45" s="145"/>
      <c r="LK45" s="145"/>
      <c r="LL45" s="145"/>
      <c r="LM45" s="145"/>
      <c r="LN45" s="145"/>
      <c r="LO45" s="145"/>
      <c r="LP45" s="145"/>
      <c r="LQ45" s="145"/>
      <c r="LR45" s="145"/>
      <c r="LS45" s="145"/>
      <c r="LT45" s="145"/>
      <c r="LU45" s="145"/>
      <c r="LV45" s="145"/>
      <c r="LW45" s="145"/>
      <c r="LX45" s="145"/>
      <c r="LY45" s="145"/>
      <c r="LZ45" s="145"/>
      <c r="MA45" s="145"/>
      <c r="MB45" s="145"/>
      <c r="MC45" s="145"/>
      <c r="MD45" s="145"/>
      <c r="ME45" s="145"/>
      <c r="MF45" s="145"/>
      <c r="MG45" s="145"/>
      <c r="MH45" s="145"/>
      <c r="MI45" s="145"/>
      <c r="MJ45" s="145"/>
      <c r="MK45" s="145"/>
      <c r="ML45" s="145"/>
      <c r="MM45" s="145"/>
      <c r="MN45" s="145"/>
      <c r="MO45" s="145"/>
      <c r="MP45" s="145"/>
      <c r="MQ45" s="145"/>
      <c r="MR45" s="145"/>
      <c r="MS45" s="145"/>
      <c r="MT45" s="145"/>
      <c r="MU45" s="145"/>
      <c r="MV45" s="145"/>
      <c r="MW45" s="145"/>
      <c r="MX45" s="145"/>
      <c r="MY45" s="145"/>
      <c r="MZ45" s="145"/>
      <c r="NA45" s="145"/>
      <c r="NB45" s="145"/>
      <c r="NC45" s="145"/>
      <c r="ND45" s="145"/>
      <c r="NE45" s="145"/>
      <c r="NF45" s="145"/>
      <c r="NG45" s="145"/>
      <c r="NH45" s="145"/>
      <c r="NI45" s="145"/>
      <c r="NJ45" s="145"/>
      <c r="NK45" s="145"/>
      <c r="NL45" s="145"/>
      <c r="NM45" s="145"/>
      <c r="NN45" s="145"/>
      <c r="NO45" s="145"/>
      <c r="NP45" s="145"/>
      <c r="NQ45" s="145"/>
      <c r="NR45" s="145"/>
      <c r="NS45" s="145"/>
    </row>
    <row r="46" spans="1:383" s="16" customFormat="1" ht="15" customHeight="1" x14ac:dyDescent="0.2">
      <c r="A46" s="15">
        <v>47300</v>
      </c>
      <c r="B46" s="25">
        <v>473</v>
      </c>
      <c r="C46" s="26">
        <v>0</v>
      </c>
      <c r="D46" s="20" t="s">
        <v>276</v>
      </c>
      <c r="E46" s="14">
        <v>40310</v>
      </c>
      <c r="F46" s="18">
        <v>-0.112682926829268</v>
      </c>
      <c r="G46" s="18">
        <v>-0.108</v>
      </c>
      <c r="H46" s="21">
        <v>70</v>
      </c>
      <c r="I46" s="21">
        <v>70</v>
      </c>
      <c r="J46" s="21">
        <v>0</v>
      </c>
      <c r="K46" s="18">
        <v>1</v>
      </c>
      <c r="L46" s="18">
        <v>99</v>
      </c>
      <c r="M46" s="18">
        <v>0</v>
      </c>
      <c r="N46" s="18">
        <v>0</v>
      </c>
      <c r="O46" s="18">
        <v>99</v>
      </c>
      <c r="P46" s="18">
        <v>0</v>
      </c>
      <c r="Q46" s="19"/>
      <c r="R46" s="18">
        <v>0</v>
      </c>
      <c r="S46" s="18">
        <v>55</v>
      </c>
      <c r="T46" s="18">
        <v>55</v>
      </c>
      <c r="U46" s="18">
        <v>55</v>
      </c>
      <c r="V46" s="18">
        <v>55</v>
      </c>
      <c r="W46" s="18">
        <v>55</v>
      </c>
      <c r="X46" s="18"/>
      <c r="Y46" s="18">
        <v>202.02020202020202</v>
      </c>
      <c r="Z46" s="18">
        <v>207.07070707070707</v>
      </c>
      <c r="AA46" s="18">
        <v>30.303030303030305</v>
      </c>
      <c r="AB46" s="18">
        <v>0</v>
      </c>
      <c r="AC46" s="18">
        <v>0</v>
      </c>
      <c r="AD46" s="18">
        <v>0</v>
      </c>
      <c r="AE46" s="18">
        <v>0</v>
      </c>
      <c r="AF46" s="18">
        <v>0</v>
      </c>
      <c r="AG46" s="18">
        <v>0</v>
      </c>
      <c r="AH46" s="18">
        <v>0</v>
      </c>
      <c r="AI46" s="18">
        <v>0</v>
      </c>
      <c r="AJ46" s="18">
        <v>0</v>
      </c>
      <c r="AK46" s="18">
        <v>0</v>
      </c>
      <c r="AL46" s="18"/>
      <c r="AM46" s="18">
        <v>0</v>
      </c>
      <c r="AN46" s="18">
        <v>0</v>
      </c>
      <c r="AO46" s="18">
        <v>0</v>
      </c>
      <c r="AP46" s="18">
        <v>0</v>
      </c>
      <c r="AQ46" s="18">
        <v>0</v>
      </c>
      <c r="AR46" s="18">
        <v>0</v>
      </c>
      <c r="AS46" s="18">
        <v>0</v>
      </c>
      <c r="AT46" s="18">
        <v>0</v>
      </c>
      <c r="AU46" s="18">
        <v>0</v>
      </c>
      <c r="AV46" s="18">
        <v>0</v>
      </c>
      <c r="AW46" s="18">
        <v>0</v>
      </c>
      <c r="AX46" s="18"/>
      <c r="AY46" s="18">
        <v>1</v>
      </c>
      <c r="AZ46" s="18">
        <v>1</v>
      </c>
      <c r="BA46" s="18">
        <v>1</v>
      </c>
      <c r="BB46" s="18">
        <v>1</v>
      </c>
      <c r="BC46" s="18">
        <v>1</v>
      </c>
      <c r="BD46" s="18">
        <v>1</v>
      </c>
      <c r="BE46" s="18">
        <v>1</v>
      </c>
      <c r="BF46" s="18">
        <v>1</v>
      </c>
      <c r="BG46" s="18">
        <v>1</v>
      </c>
      <c r="BH46" s="18">
        <v>1</v>
      </c>
      <c r="BI46" s="18">
        <v>1</v>
      </c>
      <c r="BJ46" s="19"/>
      <c r="BK46" s="18">
        <v>0</v>
      </c>
      <c r="BL46" s="18">
        <v>0</v>
      </c>
      <c r="BM46" s="18">
        <v>100</v>
      </c>
      <c r="BN46" s="18">
        <v>0</v>
      </c>
      <c r="BO46" s="18"/>
      <c r="BP46" s="18">
        <v>0</v>
      </c>
      <c r="BQ46" s="18">
        <v>0</v>
      </c>
      <c r="BR46" s="18">
        <v>-0.11382113821138182</v>
      </c>
      <c r="BS46" s="18">
        <v>-0.10909090909090909</v>
      </c>
      <c r="BT46" s="19"/>
      <c r="BU46" s="18">
        <v>0</v>
      </c>
      <c r="BV46" s="18">
        <v>0</v>
      </c>
      <c r="BW46" s="18">
        <v>0</v>
      </c>
      <c r="BX46" s="18" t="s">
        <v>217</v>
      </c>
      <c r="BY46" s="18" t="s">
        <v>217</v>
      </c>
      <c r="BZ46" s="18" t="s">
        <v>217</v>
      </c>
      <c r="CA46" s="18" t="s">
        <v>217</v>
      </c>
      <c r="CB46" s="19"/>
      <c r="CC46" s="19">
        <v>200</v>
      </c>
      <c r="CD46" s="19">
        <v>205</v>
      </c>
      <c r="CE46" s="19">
        <v>30</v>
      </c>
      <c r="CF46" s="19">
        <v>0</v>
      </c>
      <c r="CG46" s="19">
        <v>0</v>
      </c>
      <c r="CH46" s="19">
        <v>0</v>
      </c>
      <c r="CI46" s="19">
        <v>0</v>
      </c>
      <c r="CJ46" s="19"/>
      <c r="CK46" s="19">
        <v>0</v>
      </c>
      <c r="CL46" s="19">
        <v>0</v>
      </c>
      <c r="CM46" s="19">
        <v>0</v>
      </c>
      <c r="CN46" s="19">
        <v>0</v>
      </c>
      <c r="CO46" s="19">
        <v>0</v>
      </c>
      <c r="CP46" s="19">
        <v>0</v>
      </c>
      <c r="CQ46" s="19">
        <v>0</v>
      </c>
      <c r="CR46" s="19">
        <v>0</v>
      </c>
      <c r="CS46" s="19">
        <v>0</v>
      </c>
      <c r="CT46" s="19">
        <v>0</v>
      </c>
      <c r="CU46" s="19">
        <v>0</v>
      </c>
      <c r="CV46" s="19">
        <v>0</v>
      </c>
      <c r="CW46" s="19">
        <v>0</v>
      </c>
      <c r="CX46" s="19">
        <v>0</v>
      </c>
      <c r="CY46" s="19">
        <v>0</v>
      </c>
      <c r="CZ46" s="19">
        <v>0</v>
      </c>
      <c r="DA46" s="19">
        <v>0</v>
      </c>
      <c r="DB46" s="19">
        <v>0</v>
      </c>
      <c r="DC46" s="19">
        <v>0</v>
      </c>
      <c r="DD46" s="19">
        <v>0</v>
      </c>
      <c r="DE46" s="19">
        <v>0</v>
      </c>
      <c r="DF46" s="23">
        <v>0</v>
      </c>
      <c r="DG46" s="23">
        <v>0</v>
      </c>
      <c r="DH46" s="23">
        <v>0</v>
      </c>
      <c r="DI46" s="19">
        <v>0</v>
      </c>
      <c r="DJ46" s="19">
        <v>0</v>
      </c>
      <c r="DK46" s="19">
        <v>0</v>
      </c>
      <c r="DL46" s="19">
        <v>0</v>
      </c>
      <c r="DM46" s="19">
        <v>0</v>
      </c>
      <c r="DN46" s="19">
        <v>0</v>
      </c>
      <c r="DO46" s="19">
        <v>0</v>
      </c>
      <c r="DP46" s="19">
        <v>0</v>
      </c>
      <c r="DQ46" s="19">
        <v>0</v>
      </c>
      <c r="DR46" s="19">
        <v>0</v>
      </c>
      <c r="DS46" s="19">
        <v>0</v>
      </c>
      <c r="DT46" s="19">
        <v>0</v>
      </c>
      <c r="DU46" s="19">
        <v>0</v>
      </c>
      <c r="DV46" s="19">
        <v>0</v>
      </c>
      <c r="DW46" s="17" t="s">
        <v>218</v>
      </c>
      <c r="DX46" s="22" t="s">
        <v>218</v>
      </c>
      <c r="DY46" s="22" t="s">
        <v>218</v>
      </c>
      <c r="DZ46" s="22" t="s">
        <v>218</v>
      </c>
      <c r="EA46" s="22" t="s">
        <v>218</v>
      </c>
      <c r="EB46" s="22" t="s">
        <v>218</v>
      </c>
      <c r="EC46" s="22" t="s">
        <v>218</v>
      </c>
      <c r="ED46" s="22" t="s">
        <v>218</v>
      </c>
      <c r="EE46" s="22" t="s">
        <v>218</v>
      </c>
      <c r="EF46" s="22" t="s">
        <v>218</v>
      </c>
      <c r="EG46" s="22" t="s">
        <v>218</v>
      </c>
      <c r="EH46" s="22" t="s">
        <v>218</v>
      </c>
      <c r="EI46" s="22" t="s">
        <v>218</v>
      </c>
      <c r="EJ46" s="22" t="s">
        <v>218</v>
      </c>
      <c r="EK46" s="22" t="s">
        <v>218</v>
      </c>
      <c r="EL46" s="22" t="s">
        <v>218</v>
      </c>
      <c r="EM46" s="22" t="s">
        <v>218</v>
      </c>
      <c r="EN46" s="22" t="s">
        <v>218</v>
      </c>
      <c r="EO46" s="22" t="s">
        <v>218</v>
      </c>
      <c r="EP46" s="22" t="s">
        <v>218</v>
      </c>
      <c r="EQ46" s="22" t="s">
        <v>218</v>
      </c>
      <c r="ER46" s="22" t="s">
        <v>218</v>
      </c>
      <c r="ES46" s="22" t="s">
        <v>218</v>
      </c>
      <c r="ET46" s="22" t="s">
        <v>218</v>
      </c>
      <c r="EU46" s="22" t="s">
        <v>218</v>
      </c>
      <c r="EV46" s="22" t="s">
        <v>218</v>
      </c>
      <c r="EW46" s="22" t="s">
        <v>218</v>
      </c>
      <c r="EX46" s="22" t="s">
        <v>218</v>
      </c>
      <c r="EY46" s="22" t="s">
        <v>218</v>
      </c>
      <c r="EZ46" s="22" t="s">
        <v>218</v>
      </c>
      <c r="FA46" s="22" t="s">
        <v>218</v>
      </c>
      <c r="FB46" s="22" t="s">
        <v>218</v>
      </c>
      <c r="FC46" s="22" t="s">
        <v>218</v>
      </c>
      <c r="FD46" s="22" t="s">
        <v>218</v>
      </c>
      <c r="FE46" s="22" t="s">
        <v>218</v>
      </c>
      <c r="FF46" s="22" t="s">
        <v>218</v>
      </c>
      <c r="FG46" s="22" t="s">
        <v>218</v>
      </c>
      <c r="FH46" s="22" t="s">
        <v>218</v>
      </c>
      <c r="FI46" s="22" t="s">
        <v>218</v>
      </c>
      <c r="FJ46" s="22" t="s">
        <v>218</v>
      </c>
      <c r="FK46" s="22" t="s">
        <v>218</v>
      </c>
      <c r="FL46" s="22" t="s">
        <v>218</v>
      </c>
      <c r="FM46" s="22" t="s">
        <v>218</v>
      </c>
      <c r="FN46" s="22" t="s">
        <v>218</v>
      </c>
      <c r="FO46" s="22" t="s">
        <v>218</v>
      </c>
      <c r="FP46" s="22" t="s">
        <v>218</v>
      </c>
      <c r="FQ46" s="22" t="s">
        <v>218</v>
      </c>
      <c r="FR46" s="22" t="s">
        <v>218</v>
      </c>
      <c r="FS46" s="22" t="s">
        <v>218</v>
      </c>
      <c r="FT46" s="22" t="s">
        <v>218</v>
      </c>
      <c r="FU46" s="22" t="s">
        <v>218</v>
      </c>
      <c r="FV46" s="22" t="s">
        <v>218</v>
      </c>
      <c r="FW46" s="22" t="s">
        <v>218</v>
      </c>
      <c r="FX46" s="22" t="s">
        <v>218</v>
      </c>
      <c r="FY46" s="22" t="s">
        <v>218</v>
      </c>
      <c r="FZ46" s="22" t="s">
        <v>218</v>
      </c>
      <c r="GA46" s="22" t="s">
        <v>218</v>
      </c>
      <c r="GB46" s="22" t="s">
        <v>218</v>
      </c>
      <c r="GC46" s="22" t="s">
        <v>218</v>
      </c>
      <c r="GD46" s="22" t="s">
        <v>218</v>
      </c>
      <c r="GE46" s="22" t="s">
        <v>218</v>
      </c>
      <c r="GF46" s="22" t="s">
        <v>218</v>
      </c>
      <c r="GG46" s="22" t="s">
        <v>218</v>
      </c>
      <c r="GH46" s="22" t="s">
        <v>218</v>
      </c>
      <c r="GI46" s="22" t="s">
        <v>218</v>
      </c>
      <c r="GJ46" s="22" t="s">
        <v>218</v>
      </c>
      <c r="GK46" s="22" t="s">
        <v>218</v>
      </c>
      <c r="GL46" s="22" t="s">
        <v>218</v>
      </c>
      <c r="GM46" s="22" t="s">
        <v>218</v>
      </c>
      <c r="GN46" s="22" t="s">
        <v>218</v>
      </c>
      <c r="GO46" s="22" t="s">
        <v>218</v>
      </c>
      <c r="GP46" s="22" t="s">
        <v>218</v>
      </c>
      <c r="GQ46" s="22" t="s">
        <v>218</v>
      </c>
      <c r="GR46" s="22" t="s">
        <v>218</v>
      </c>
      <c r="GS46" s="22" t="s">
        <v>218</v>
      </c>
      <c r="GT46" s="22" t="s">
        <v>218</v>
      </c>
      <c r="GU46" s="22" t="s">
        <v>218</v>
      </c>
      <c r="GV46" s="22" t="s">
        <v>218</v>
      </c>
      <c r="GW46" s="22" t="s">
        <v>218</v>
      </c>
      <c r="GX46" s="22" t="s">
        <v>218</v>
      </c>
      <c r="GY46" s="22" t="s">
        <v>218</v>
      </c>
      <c r="GZ46" s="22" t="s">
        <v>218</v>
      </c>
      <c r="HA46" s="22" t="s">
        <v>218</v>
      </c>
      <c r="HB46" s="22" t="s">
        <v>218</v>
      </c>
      <c r="HC46" s="22" t="s">
        <v>218</v>
      </c>
      <c r="HD46" s="22" t="s">
        <v>218</v>
      </c>
      <c r="HE46" s="22" t="s">
        <v>218</v>
      </c>
      <c r="HF46" s="22" t="s">
        <v>218</v>
      </c>
      <c r="HG46" s="22" t="s">
        <v>218</v>
      </c>
      <c r="HH46" s="22" t="s">
        <v>218</v>
      </c>
      <c r="HI46" s="22" t="s">
        <v>218</v>
      </c>
      <c r="HJ46" s="22" t="s">
        <v>218</v>
      </c>
      <c r="HK46" s="22" t="s">
        <v>218</v>
      </c>
      <c r="HL46" s="22" t="s">
        <v>218</v>
      </c>
      <c r="HM46" s="860"/>
      <c r="HN46" s="860"/>
      <c r="HO46" s="860"/>
      <c r="HP46" s="860"/>
      <c r="HQ46" s="860"/>
      <c r="HR46" s="860"/>
      <c r="HS46" s="860"/>
      <c r="HT46" s="145"/>
      <c r="HU46" s="145" t="s">
        <v>1809</v>
      </c>
      <c r="HV46" s="22" t="s">
        <v>1926</v>
      </c>
      <c r="HW46" s="22">
        <v>0</v>
      </c>
      <c r="HX46" s="22">
        <v>0</v>
      </c>
      <c r="HY46" s="22">
        <v>0</v>
      </c>
      <c r="HZ46" s="19"/>
      <c r="IA46" s="19"/>
      <c r="IB46" s="621">
        <f>'background data'!$G$10</f>
        <v>0.47300000000000003</v>
      </c>
      <c r="IC46" s="621">
        <f>'background data'!$H$10</f>
        <v>0.13</v>
      </c>
      <c r="ID46" s="621">
        <f>'background data'!$J$10</f>
        <v>0.39100000000000001</v>
      </c>
      <c r="IE46" s="621">
        <f>'background data'!$L$10</f>
        <v>5.5E-2</v>
      </c>
      <c r="IF46" s="621">
        <f>'background data'!$M$10</f>
        <v>3.97</v>
      </c>
      <c r="IG46" s="621">
        <f>'background data'!$N$10</f>
        <v>4.5999999999999999E-3</v>
      </c>
      <c r="IH46" s="621">
        <f>'background data'!$O$10</f>
        <v>2.73</v>
      </c>
      <c r="II46" s="145"/>
      <c r="IJ46" s="145"/>
      <c r="IK46" s="145"/>
      <c r="IL46" s="145"/>
      <c r="IM46" s="145"/>
      <c r="IN46" s="145"/>
      <c r="IO46" s="145"/>
      <c r="IP46" s="145"/>
      <c r="IQ46" s="145"/>
      <c r="IR46" s="145"/>
      <c r="IS46" s="145"/>
      <c r="IT46" s="145"/>
      <c r="IU46" s="145"/>
      <c r="IV46" s="145"/>
      <c r="IW46" s="145"/>
      <c r="IX46" s="145"/>
      <c r="IY46" s="145"/>
      <c r="IZ46" s="145"/>
      <c r="JA46" s="145"/>
      <c r="JB46" s="145"/>
      <c r="JC46" s="145"/>
      <c r="JD46" s="145"/>
      <c r="JE46" s="145"/>
      <c r="JF46" s="145"/>
      <c r="JG46" s="145"/>
      <c r="JH46" s="145"/>
      <c r="JI46" s="145"/>
      <c r="JJ46" s="145"/>
      <c r="JK46" s="145"/>
      <c r="JL46" s="145"/>
      <c r="JM46" s="145"/>
      <c r="JN46" s="145"/>
      <c r="JO46" s="145"/>
      <c r="JP46" s="145"/>
      <c r="JQ46" s="145"/>
      <c r="JR46" s="145"/>
      <c r="JS46" s="145"/>
      <c r="JT46" s="145"/>
      <c r="JU46" s="145"/>
      <c r="JV46" s="145"/>
      <c r="JW46" s="145"/>
      <c r="JX46" s="145"/>
      <c r="JY46" s="145"/>
      <c r="JZ46" s="145"/>
      <c r="KA46" s="145"/>
      <c r="KB46" s="145"/>
      <c r="KC46" s="145"/>
      <c r="KD46" s="145"/>
      <c r="KE46" s="145"/>
      <c r="KF46" s="145"/>
      <c r="KG46" s="145"/>
      <c r="KH46" s="145"/>
      <c r="KI46" s="145"/>
      <c r="KJ46" s="145"/>
      <c r="KK46" s="145"/>
      <c r="KL46" s="145"/>
      <c r="KM46" s="145"/>
      <c r="KN46" s="145"/>
      <c r="KO46" s="145"/>
      <c r="KP46" s="145"/>
      <c r="KQ46" s="145"/>
      <c r="KR46" s="145"/>
      <c r="KS46" s="145"/>
      <c r="KT46" s="145"/>
      <c r="KU46" s="145"/>
      <c r="KV46" s="145"/>
      <c r="KW46" s="145"/>
      <c r="KX46" s="145"/>
      <c r="KY46" s="145"/>
      <c r="KZ46" s="145"/>
      <c r="LA46" s="145"/>
      <c r="LB46" s="145"/>
      <c r="LC46" s="145"/>
      <c r="LD46" s="145"/>
      <c r="LE46" s="145"/>
      <c r="LF46" s="145"/>
      <c r="LG46" s="145"/>
      <c r="LH46" s="145"/>
      <c r="LI46" s="145"/>
      <c r="LJ46" s="145"/>
      <c r="LK46" s="145"/>
      <c r="LL46" s="145"/>
      <c r="LM46" s="145"/>
      <c r="LN46" s="145"/>
      <c r="LO46" s="145"/>
      <c r="LP46" s="145"/>
      <c r="LQ46" s="145"/>
      <c r="LR46" s="145"/>
      <c r="LS46" s="145"/>
      <c r="LT46" s="145"/>
      <c r="LU46" s="145"/>
      <c r="LV46" s="145"/>
      <c r="LW46" s="145"/>
      <c r="LX46" s="145"/>
      <c r="LY46" s="145"/>
      <c r="LZ46" s="145"/>
      <c r="MA46" s="145"/>
      <c r="MB46" s="145"/>
      <c r="MC46" s="145"/>
      <c r="MD46" s="145"/>
      <c r="ME46" s="145"/>
      <c r="MF46" s="145"/>
      <c r="MG46" s="145"/>
      <c r="MH46" s="145"/>
      <c r="MI46" s="145"/>
      <c r="MJ46" s="145"/>
      <c r="MK46" s="145"/>
      <c r="ML46" s="145"/>
      <c r="MM46" s="145"/>
      <c r="MN46" s="145"/>
      <c r="MO46" s="145"/>
      <c r="MP46" s="145"/>
      <c r="MQ46" s="145"/>
      <c r="MR46" s="145"/>
      <c r="MS46" s="145"/>
      <c r="MT46" s="145"/>
      <c r="MU46" s="145"/>
      <c r="MV46" s="145"/>
      <c r="MW46" s="145"/>
      <c r="MX46" s="145"/>
      <c r="MY46" s="145"/>
      <c r="MZ46" s="145"/>
      <c r="NA46" s="145"/>
      <c r="NB46" s="145"/>
      <c r="NC46" s="145"/>
      <c r="ND46" s="145"/>
      <c r="NE46" s="145"/>
      <c r="NF46" s="145"/>
      <c r="NG46" s="145"/>
      <c r="NH46" s="145"/>
      <c r="NI46" s="145"/>
      <c r="NJ46" s="145"/>
      <c r="NK46" s="145"/>
      <c r="NL46" s="145"/>
      <c r="NM46" s="145"/>
      <c r="NN46" s="145"/>
      <c r="NO46" s="145"/>
      <c r="NP46" s="145"/>
      <c r="NQ46" s="145"/>
      <c r="NR46" s="145"/>
      <c r="NS46" s="145"/>
    </row>
    <row r="47" spans="1:383" s="16" customFormat="1" ht="15" customHeight="1" x14ac:dyDescent="0.2">
      <c r="A47" s="15">
        <v>47301</v>
      </c>
      <c r="B47" s="25">
        <v>473</v>
      </c>
      <c r="C47" s="26">
        <v>1</v>
      </c>
      <c r="D47" s="20" t="s">
        <v>277</v>
      </c>
      <c r="E47" s="14">
        <v>40310</v>
      </c>
      <c r="F47" s="18">
        <v>-0.112682926829268</v>
      </c>
      <c r="G47" s="18">
        <v>-0.108</v>
      </c>
      <c r="H47" s="21">
        <v>70</v>
      </c>
      <c r="I47" s="21">
        <v>70</v>
      </c>
      <c r="J47" s="21">
        <v>0</v>
      </c>
      <c r="K47" s="18">
        <v>1</v>
      </c>
      <c r="L47" s="18">
        <v>99</v>
      </c>
      <c r="M47" s="18">
        <v>0</v>
      </c>
      <c r="N47" s="18">
        <v>0</v>
      </c>
      <c r="O47" s="18">
        <v>99</v>
      </c>
      <c r="P47" s="18">
        <v>0</v>
      </c>
      <c r="Q47" s="19"/>
      <c r="R47" s="18">
        <v>0</v>
      </c>
      <c r="S47" s="18">
        <v>63</v>
      </c>
      <c r="T47" s="18">
        <v>63</v>
      </c>
      <c r="U47" s="18">
        <v>63</v>
      </c>
      <c r="V47" s="18">
        <v>63</v>
      </c>
      <c r="W47" s="18">
        <v>63</v>
      </c>
      <c r="X47" s="18"/>
      <c r="Y47" s="18">
        <v>203.03030303030303</v>
      </c>
      <c r="Z47" s="18">
        <v>208.08080808080808</v>
      </c>
      <c r="AA47" s="18">
        <v>32.323232323232325</v>
      </c>
      <c r="AB47" s="18">
        <v>0</v>
      </c>
      <c r="AC47" s="18">
        <v>0</v>
      </c>
      <c r="AD47" s="18">
        <v>0</v>
      </c>
      <c r="AE47" s="18">
        <v>0</v>
      </c>
      <c r="AF47" s="18">
        <v>0</v>
      </c>
      <c r="AG47" s="18">
        <v>0</v>
      </c>
      <c r="AH47" s="18">
        <v>0</v>
      </c>
      <c r="AI47" s="18">
        <v>0</v>
      </c>
      <c r="AJ47" s="18">
        <v>0</v>
      </c>
      <c r="AK47" s="18">
        <v>0</v>
      </c>
      <c r="AL47" s="18"/>
      <c r="AM47" s="18">
        <v>0</v>
      </c>
      <c r="AN47" s="18">
        <v>0</v>
      </c>
      <c r="AO47" s="18">
        <v>0</v>
      </c>
      <c r="AP47" s="18">
        <v>0</v>
      </c>
      <c r="AQ47" s="18">
        <v>0</v>
      </c>
      <c r="AR47" s="18">
        <v>0</v>
      </c>
      <c r="AS47" s="18">
        <v>0</v>
      </c>
      <c r="AT47" s="18">
        <v>0</v>
      </c>
      <c r="AU47" s="18">
        <v>0</v>
      </c>
      <c r="AV47" s="18">
        <v>0</v>
      </c>
      <c r="AW47" s="18">
        <v>0</v>
      </c>
      <c r="AX47" s="18"/>
      <c r="AY47" s="18">
        <v>1</v>
      </c>
      <c r="AZ47" s="18">
        <v>1</v>
      </c>
      <c r="BA47" s="18">
        <v>1</v>
      </c>
      <c r="BB47" s="18">
        <v>1</v>
      </c>
      <c r="BC47" s="18">
        <v>1</v>
      </c>
      <c r="BD47" s="18">
        <v>1</v>
      </c>
      <c r="BE47" s="18">
        <v>1</v>
      </c>
      <c r="BF47" s="18">
        <v>1</v>
      </c>
      <c r="BG47" s="18">
        <v>1</v>
      </c>
      <c r="BH47" s="18">
        <v>1</v>
      </c>
      <c r="BI47" s="18">
        <v>1</v>
      </c>
      <c r="BJ47" s="19"/>
      <c r="BK47" s="18">
        <v>0</v>
      </c>
      <c r="BL47" s="18">
        <v>0</v>
      </c>
      <c r="BM47" s="18">
        <v>100</v>
      </c>
      <c r="BN47" s="18">
        <v>0</v>
      </c>
      <c r="BO47" s="18"/>
      <c r="BP47" s="18">
        <v>0</v>
      </c>
      <c r="BQ47" s="18">
        <v>0</v>
      </c>
      <c r="BR47" s="18">
        <v>-0.11382113821138182</v>
      </c>
      <c r="BS47" s="18">
        <v>-0.10909090909090909</v>
      </c>
      <c r="BT47" s="19"/>
      <c r="BU47" s="18">
        <v>0</v>
      </c>
      <c r="BV47" s="18">
        <v>0</v>
      </c>
      <c r="BW47" s="18">
        <v>0</v>
      </c>
      <c r="BX47" s="18" t="s">
        <v>217</v>
      </c>
      <c r="BY47" s="18" t="s">
        <v>217</v>
      </c>
      <c r="BZ47" s="18" t="s">
        <v>217</v>
      </c>
      <c r="CA47" s="18" t="s">
        <v>217</v>
      </c>
      <c r="CB47" s="19"/>
      <c r="CC47" s="19">
        <v>201</v>
      </c>
      <c r="CD47" s="19">
        <v>206</v>
      </c>
      <c r="CE47" s="19">
        <v>32</v>
      </c>
      <c r="CF47" s="19">
        <v>0</v>
      </c>
      <c r="CG47" s="19">
        <v>0</v>
      </c>
      <c r="CH47" s="19">
        <v>0</v>
      </c>
      <c r="CI47" s="19">
        <v>0</v>
      </c>
      <c r="CJ47" s="19"/>
      <c r="CK47" s="19">
        <v>0</v>
      </c>
      <c r="CL47" s="19">
        <v>0</v>
      </c>
      <c r="CM47" s="19">
        <v>0</v>
      </c>
      <c r="CN47" s="19">
        <v>0</v>
      </c>
      <c r="CO47" s="19">
        <v>0</v>
      </c>
      <c r="CP47" s="19">
        <v>0</v>
      </c>
      <c r="CQ47" s="19">
        <v>0</v>
      </c>
      <c r="CR47" s="19">
        <v>0</v>
      </c>
      <c r="CS47" s="19">
        <v>0</v>
      </c>
      <c r="CT47" s="19">
        <v>0</v>
      </c>
      <c r="CU47" s="19">
        <v>0</v>
      </c>
      <c r="CV47" s="19">
        <v>0</v>
      </c>
      <c r="CW47" s="19">
        <v>0</v>
      </c>
      <c r="CX47" s="19">
        <v>0</v>
      </c>
      <c r="CY47" s="19">
        <v>0</v>
      </c>
      <c r="CZ47" s="19">
        <v>0</v>
      </c>
      <c r="DA47" s="19">
        <v>0</v>
      </c>
      <c r="DB47" s="19">
        <v>0</v>
      </c>
      <c r="DC47" s="19">
        <v>0</v>
      </c>
      <c r="DD47" s="19">
        <v>0</v>
      </c>
      <c r="DE47" s="19">
        <v>0</v>
      </c>
      <c r="DF47" s="23">
        <v>0</v>
      </c>
      <c r="DG47" s="23">
        <v>0</v>
      </c>
      <c r="DH47" s="23">
        <v>0</v>
      </c>
      <c r="DI47" s="19">
        <v>0</v>
      </c>
      <c r="DJ47" s="19">
        <v>0</v>
      </c>
      <c r="DK47" s="19">
        <v>0</v>
      </c>
      <c r="DL47" s="19">
        <v>0</v>
      </c>
      <c r="DM47" s="19">
        <v>0</v>
      </c>
      <c r="DN47" s="19">
        <v>0</v>
      </c>
      <c r="DO47" s="19">
        <v>0</v>
      </c>
      <c r="DP47" s="19">
        <v>0</v>
      </c>
      <c r="DQ47" s="19">
        <v>0</v>
      </c>
      <c r="DR47" s="19">
        <v>0</v>
      </c>
      <c r="DS47" s="19">
        <v>0</v>
      </c>
      <c r="DT47" s="19">
        <v>0</v>
      </c>
      <c r="DU47" s="19">
        <v>0</v>
      </c>
      <c r="DV47" s="19">
        <v>0</v>
      </c>
      <c r="DW47" s="17" t="s">
        <v>218</v>
      </c>
      <c r="DX47" s="22" t="s">
        <v>218</v>
      </c>
      <c r="DY47" s="22" t="s">
        <v>218</v>
      </c>
      <c r="DZ47" s="22" t="s">
        <v>218</v>
      </c>
      <c r="EA47" s="22" t="s">
        <v>218</v>
      </c>
      <c r="EB47" s="22" t="s">
        <v>218</v>
      </c>
      <c r="EC47" s="22" t="s">
        <v>218</v>
      </c>
      <c r="ED47" s="22" t="s">
        <v>218</v>
      </c>
      <c r="EE47" s="22" t="s">
        <v>218</v>
      </c>
      <c r="EF47" s="22" t="s">
        <v>218</v>
      </c>
      <c r="EG47" s="22" t="s">
        <v>218</v>
      </c>
      <c r="EH47" s="22" t="s">
        <v>218</v>
      </c>
      <c r="EI47" s="22" t="s">
        <v>218</v>
      </c>
      <c r="EJ47" s="22" t="s">
        <v>218</v>
      </c>
      <c r="EK47" s="22" t="s">
        <v>218</v>
      </c>
      <c r="EL47" s="22" t="s">
        <v>218</v>
      </c>
      <c r="EM47" s="22" t="s">
        <v>218</v>
      </c>
      <c r="EN47" s="22" t="s">
        <v>218</v>
      </c>
      <c r="EO47" s="22" t="s">
        <v>218</v>
      </c>
      <c r="EP47" s="22" t="s">
        <v>218</v>
      </c>
      <c r="EQ47" s="22" t="s">
        <v>218</v>
      </c>
      <c r="ER47" s="22" t="s">
        <v>218</v>
      </c>
      <c r="ES47" s="22" t="s">
        <v>218</v>
      </c>
      <c r="ET47" s="22" t="s">
        <v>218</v>
      </c>
      <c r="EU47" s="22" t="s">
        <v>218</v>
      </c>
      <c r="EV47" s="22" t="s">
        <v>218</v>
      </c>
      <c r="EW47" s="22" t="s">
        <v>218</v>
      </c>
      <c r="EX47" s="22" t="s">
        <v>218</v>
      </c>
      <c r="EY47" s="22" t="s">
        <v>218</v>
      </c>
      <c r="EZ47" s="22" t="s">
        <v>218</v>
      </c>
      <c r="FA47" s="22" t="s">
        <v>218</v>
      </c>
      <c r="FB47" s="22" t="s">
        <v>218</v>
      </c>
      <c r="FC47" s="22" t="s">
        <v>218</v>
      </c>
      <c r="FD47" s="22" t="s">
        <v>218</v>
      </c>
      <c r="FE47" s="22" t="s">
        <v>218</v>
      </c>
      <c r="FF47" s="22" t="s">
        <v>218</v>
      </c>
      <c r="FG47" s="22" t="s">
        <v>218</v>
      </c>
      <c r="FH47" s="22" t="s">
        <v>218</v>
      </c>
      <c r="FI47" s="22" t="s">
        <v>218</v>
      </c>
      <c r="FJ47" s="22" t="s">
        <v>218</v>
      </c>
      <c r="FK47" s="22" t="s">
        <v>218</v>
      </c>
      <c r="FL47" s="22" t="s">
        <v>218</v>
      </c>
      <c r="FM47" s="22" t="s">
        <v>218</v>
      </c>
      <c r="FN47" s="22" t="s">
        <v>218</v>
      </c>
      <c r="FO47" s="22" t="s">
        <v>218</v>
      </c>
      <c r="FP47" s="22" t="s">
        <v>218</v>
      </c>
      <c r="FQ47" s="22" t="s">
        <v>218</v>
      </c>
      <c r="FR47" s="22" t="s">
        <v>218</v>
      </c>
      <c r="FS47" s="22" t="s">
        <v>218</v>
      </c>
      <c r="FT47" s="22" t="s">
        <v>218</v>
      </c>
      <c r="FU47" s="22" t="s">
        <v>218</v>
      </c>
      <c r="FV47" s="22" t="s">
        <v>218</v>
      </c>
      <c r="FW47" s="22" t="s">
        <v>218</v>
      </c>
      <c r="FX47" s="22" t="s">
        <v>218</v>
      </c>
      <c r="FY47" s="22" t="s">
        <v>218</v>
      </c>
      <c r="FZ47" s="22" t="s">
        <v>218</v>
      </c>
      <c r="GA47" s="22" t="s">
        <v>218</v>
      </c>
      <c r="GB47" s="22" t="s">
        <v>218</v>
      </c>
      <c r="GC47" s="22" t="s">
        <v>218</v>
      </c>
      <c r="GD47" s="22" t="s">
        <v>218</v>
      </c>
      <c r="GE47" s="22" t="s">
        <v>218</v>
      </c>
      <c r="GF47" s="22" t="s">
        <v>218</v>
      </c>
      <c r="GG47" s="22" t="s">
        <v>218</v>
      </c>
      <c r="GH47" s="22" t="s">
        <v>218</v>
      </c>
      <c r="GI47" s="22" t="s">
        <v>218</v>
      </c>
      <c r="GJ47" s="22" t="s">
        <v>218</v>
      </c>
      <c r="GK47" s="22" t="s">
        <v>218</v>
      </c>
      <c r="GL47" s="22" t="s">
        <v>218</v>
      </c>
      <c r="GM47" s="22" t="s">
        <v>218</v>
      </c>
      <c r="GN47" s="22" t="s">
        <v>218</v>
      </c>
      <c r="GO47" s="22" t="s">
        <v>218</v>
      </c>
      <c r="GP47" s="22" t="s">
        <v>218</v>
      </c>
      <c r="GQ47" s="22" t="s">
        <v>218</v>
      </c>
      <c r="GR47" s="22" t="s">
        <v>218</v>
      </c>
      <c r="GS47" s="22" t="s">
        <v>218</v>
      </c>
      <c r="GT47" s="22" t="s">
        <v>218</v>
      </c>
      <c r="GU47" s="22" t="s">
        <v>218</v>
      </c>
      <c r="GV47" s="22" t="s">
        <v>218</v>
      </c>
      <c r="GW47" s="22" t="s">
        <v>218</v>
      </c>
      <c r="GX47" s="22" t="s">
        <v>218</v>
      </c>
      <c r="GY47" s="22" t="s">
        <v>218</v>
      </c>
      <c r="GZ47" s="22" t="s">
        <v>218</v>
      </c>
      <c r="HA47" s="22" t="s">
        <v>218</v>
      </c>
      <c r="HB47" s="22" t="s">
        <v>218</v>
      </c>
      <c r="HC47" s="22" t="s">
        <v>218</v>
      </c>
      <c r="HD47" s="22" t="s">
        <v>218</v>
      </c>
      <c r="HE47" s="22" t="s">
        <v>218</v>
      </c>
      <c r="HF47" s="22" t="s">
        <v>218</v>
      </c>
      <c r="HG47" s="22" t="s">
        <v>218</v>
      </c>
      <c r="HH47" s="22" t="s">
        <v>218</v>
      </c>
      <c r="HI47" s="22" t="s">
        <v>218</v>
      </c>
      <c r="HJ47" s="22" t="s">
        <v>218</v>
      </c>
      <c r="HK47" s="22" t="s">
        <v>218</v>
      </c>
      <c r="HL47" s="22" t="s">
        <v>218</v>
      </c>
      <c r="HM47" s="860"/>
      <c r="HN47" s="860"/>
      <c r="HO47" s="860"/>
      <c r="HP47" s="860"/>
      <c r="HQ47" s="860"/>
      <c r="HR47" s="860"/>
      <c r="HS47" s="860"/>
      <c r="HT47" s="145"/>
      <c r="HU47" s="145" t="s">
        <v>1809</v>
      </c>
      <c r="HV47" s="22" t="s">
        <v>1926</v>
      </c>
      <c r="HW47" s="22">
        <v>0</v>
      </c>
      <c r="HX47" s="22">
        <v>0</v>
      </c>
      <c r="HY47" s="22">
        <v>0</v>
      </c>
      <c r="HZ47" s="19"/>
      <c r="IA47" s="19"/>
      <c r="IB47" s="621">
        <f>'background data'!$G$10</f>
        <v>0.47300000000000003</v>
      </c>
      <c r="IC47" s="621">
        <f>'background data'!$H$10</f>
        <v>0.13</v>
      </c>
      <c r="ID47" s="621">
        <f>'background data'!$J$10</f>
        <v>0.39100000000000001</v>
      </c>
      <c r="IE47" s="621">
        <f>'background data'!$L$10</f>
        <v>5.5E-2</v>
      </c>
      <c r="IF47" s="621">
        <f>'background data'!$M$10</f>
        <v>3.97</v>
      </c>
      <c r="IG47" s="621">
        <f>'background data'!$N$10</f>
        <v>4.5999999999999999E-3</v>
      </c>
      <c r="IH47" s="621">
        <f>'background data'!$O$10</f>
        <v>2.73</v>
      </c>
      <c r="II47" s="145"/>
      <c r="IJ47" s="145"/>
      <c r="IK47" s="145"/>
      <c r="IL47" s="145"/>
      <c r="IM47" s="145"/>
      <c r="IN47" s="145"/>
      <c r="IO47" s="145"/>
      <c r="IP47" s="145"/>
      <c r="IQ47" s="145"/>
      <c r="IR47" s="145"/>
      <c r="IS47" s="145"/>
      <c r="IT47" s="145"/>
      <c r="IU47" s="145"/>
      <c r="IV47" s="145"/>
      <c r="IW47" s="145"/>
      <c r="IX47" s="145"/>
      <c r="IY47" s="145"/>
      <c r="IZ47" s="145"/>
      <c r="JA47" s="145"/>
      <c r="JB47" s="145"/>
      <c r="JC47" s="145"/>
      <c r="JD47" s="145"/>
      <c r="JE47" s="145"/>
      <c r="JF47" s="145"/>
      <c r="JG47" s="145"/>
      <c r="JH47" s="145"/>
      <c r="JI47" s="145"/>
      <c r="JJ47" s="145"/>
      <c r="JK47" s="145"/>
      <c r="JL47" s="145"/>
      <c r="JM47" s="145"/>
      <c r="JN47" s="145"/>
      <c r="JO47" s="145"/>
      <c r="JP47" s="145"/>
      <c r="JQ47" s="145"/>
      <c r="JR47" s="145"/>
      <c r="JS47" s="145"/>
      <c r="JT47" s="145"/>
      <c r="JU47" s="145"/>
      <c r="JV47" s="145"/>
      <c r="JW47" s="145"/>
      <c r="JX47" s="145"/>
      <c r="JY47" s="145"/>
      <c r="JZ47" s="145"/>
      <c r="KA47" s="145"/>
      <c r="KB47" s="145"/>
      <c r="KC47" s="145"/>
      <c r="KD47" s="145"/>
      <c r="KE47" s="145"/>
      <c r="KF47" s="145"/>
      <c r="KG47" s="145"/>
      <c r="KH47" s="145"/>
      <c r="KI47" s="145"/>
      <c r="KJ47" s="145"/>
      <c r="KK47" s="145"/>
      <c r="KL47" s="145"/>
      <c r="KM47" s="145"/>
      <c r="KN47" s="145"/>
      <c r="KO47" s="145"/>
      <c r="KP47" s="145"/>
      <c r="KQ47" s="145"/>
      <c r="KR47" s="145"/>
      <c r="KS47" s="145"/>
      <c r="KT47" s="145"/>
      <c r="KU47" s="145"/>
      <c r="KV47" s="145"/>
      <c r="KW47" s="145"/>
      <c r="KX47" s="145"/>
      <c r="KY47" s="145"/>
      <c r="KZ47" s="145"/>
      <c r="LA47" s="145"/>
      <c r="LB47" s="145"/>
      <c r="LC47" s="145"/>
      <c r="LD47" s="145"/>
      <c r="LE47" s="145"/>
      <c r="LF47" s="145"/>
      <c r="LG47" s="145"/>
      <c r="LH47" s="145"/>
      <c r="LI47" s="145"/>
      <c r="LJ47" s="145"/>
      <c r="LK47" s="145"/>
      <c r="LL47" s="145"/>
      <c r="LM47" s="145"/>
      <c r="LN47" s="145"/>
      <c r="LO47" s="145"/>
      <c r="LP47" s="145"/>
      <c r="LQ47" s="145"/>
      <c r="LR47" s="145"/>
      <c r="LS47" s="145"/>
      <c r="LT47" s="145"/>
      <c r="LU47" s="145"/>
      <c r="LV47" s="145"/>
      <c r="LW47" s="145"/>
      <c r="LX47" s="145"/>
      <c r="LY47" s="145"/>
      <c r="LZ47" s="145"/>
      <c r="MA47" s="145"/>
      <c r="MB47" s="145"/>
      <c r="MC47" s="145"/>
      <c r="MD47" s="145"/>
      <c r="ME47" s="145"/>
      <c r="MF47" s="145"/>
      <c r="MG47" s="145"/>
      <c r="MH47" s="145"/>
      <c r="MI47" s="145"/>
      <c r="MJ47" s="145"/>
      <c r="MK47" s="145"/>
      <c r="ML47" s="145"/>
      <c r="MM47" s="145"/>
      <c r="MN47" s="145"/>
      <c r="MO47" s="145"/>
      <c r="MP47" s="145"/>
      <c r="MQ47" s="145"/>
      <c r="MR47" s="145"/>
      <c r="MS47" s="145"/>
      <c r="MT47" s="145"/>
      <c r="MU47" s="145"/>
      <c r="MV47" s="145"/>
      <c r="MW47" s="145"/>
      <c r="MX47" s="145"/>
      <c r="MY47" s="145"/>
      <c r="MZ47" s="145"/>
      <c r="NA47" s="145"/>
      <c r="NB47" s="145"/>
      <c r="NC47" s="145"/>
      <c r="ND47" s="145"/>
      <c r="NE47" s="145"/>
      <c r="NF47" s="145"/>
      <c r="NG47" s="145"/>
      <c r="NH47" s="145"/>
      <c r="NI47" s="145"/>
      <c r="NJ47" s="145"/>
      <c r="NK47" s="145"/>
      <c r="NL47" s="145"/>
      <c r="NM47" s="145"/>
      <c r="NN47" s="145"/>
      <c r="NO47" s="145"/>
      <c r="NP47" s="145"/>
      <c r="NQ47" s="145"/>
      <c r="NR47" s="145"/>
      <c r="NS47" s="145"/>
    </row>
    <row r="48" spans="1:383" s="16" customFormat="1" ht="15" customHeight="1" x14ac:dyDescent="0.2">
      <c r="A48" s="15">
        <v>46102</v>
      </c>
      <c r="B48" s="25">
        <v>461</v>
      </c>
      <c r="C48" s="26">
        <v>2</v>
      </c>
      <c r="D48" s="20" t="s">
        <v>278</v>
      </c>
      <c r="E48" s="14">
        <v>40310</v>
      </c>
      <c r="F48" s="18">
        <v>-0.112682926829268</v>
      </c>
      <c r="G48" s="18">
        <v>-0.108</v>
      </c>
      <c r="H48" s="21">
        <v>70</v>
      </c>
      <c r="I48" s="21">
        <v>70</v>
      </c>
      <c r="J48" s="21">
        <v>0</v>
      </c>
      <c r="K48" s="18">
        <v>1</v>
      </c>
      <c r="L48" s="18">
        <v>99</v>
      </c>
      <c r="M48" s="18">
        <v>0</v>
      </c>
      <c r="N48" s="18">
        <v>0</v>
      </c>
      <c r="O48" s="18">
        <v>99</v>
      </c>
      <c r="P48" s="18">
        <v>0</v>
      </c>
      <c r="Q48" s="19"/>
      <c r="R48" s="18">
        <v>0</v>
      </c>
      <c r="S48" s="18">
        <v>55</v>
      </c>
      <c r="T48" s="18">
        <v>55</v>
      </c>
      <c r="U48" s="18">
        <v>55</v>
      </c>
      <c r="V48" s="18">
        <v>55</v>
      </c>
      <c r="W48" s="18">
        <v>55</v>
      </c>
      <c r="X48" s="18"/>
      <c r="Y48" s="18">
        <v>252.52525000000102</v>
      </c>
      <c r="Z48" s="18">
        <v>183.83838</v>
      </c>
      <c r="AA48" s="18">
        <v>0</v>
      </c>
      <c r="AB48" s="18">
        <v>0</v>
      </c>
      <c r="AC48" s="18">
        <v>0</v>
      </c>
      <c r="AD48" s="18">
        <v>0</v>
      </c>
      <c r="AE48" s="18">
        <v>0</v>
      </c>
      <c r="AF48" s="18">
        <v>0</v>
      </c>
      <c r="AG48" s="18">
        <v>0</v>
      </c>
      <c r="AH48" s="18">
        <v>0</v>
      </c>
      <c r="AI48" s="18">
        <v>0</v>
      </c>
      <c r="AJ48" s="18">
        <v>0</v>
      </c>
      <c r="AK48" s="18">
        <v>0</v>
      </c>
      <c r="AL48" s="18"/>
      <c r="AM48" s="18">
        <v>0</v>
      </c>
      <c r="AN48" s="18">
        <v>0</v>
      </c>
      <c r="AO48" s="18">
        <v>0</v>
      </c>
      <c r="AP48" s="18">
        <v>0</v>
      </c>
      <c r="AQ48" s="18">
        <v>0</v>
      </c>
      <c r="AR48" s="18">
        <v>0</v>
      </c>
      <c r="AS48" s="18">
        <v>0</v>
      </c>
      <c r="AT48" s="18">
        <v>0</v>
      </c>
      <c r="AU48" s="18">
        <v>0</v>
      </c>
      <c r="AV48" s="18">
        <v>0</v>
      </c>
      <c r="AW48" s="18">
        <v>0</v>
      </c>
      <c r="AX48" s="18"/>
      <c r="AY48" s="18">
        <v>1</v>
      </c>
      <c r="AZ48" s="18">
        <v>1</v>
      </c>
      <c r="BA48" s="18">
        <v>1</v>
      </c>
      <c r="BB48" s="18">
        <v>1</v>
      </c>
      <c r="BC48" s="18">
        <v>1</v>
      </c>
      <c r="BD48" s="18">
        <v>1</v>
      </c>
      <c r="BE48" s="18">
        <v>1</v>
      </c>
      <c r="BF48" s="18">
        <v>1</v>
      </c>
      <c r="BG48" s="18">
        <v>1</v>
      </c>
      <c r="BH48" s="18">
        <v>1</v>
      </c>
      <c r="BI48" s="18">
        <v>1</v>
      </c>
      <c r="BJ48" s="19"/>
      <c r="BK48" s="18">
        <v>0</v>
      </c>
      <c r="BL48" s="18">
        <v>0</v>
      </c>
      <c r="BM48" s="18">
        <v>100</v>
      </c>
      <c r="BN48" s="18">
        <v>0</v>
      </c>
      <c r="BO48" s="18"/>
      <c r="BP48" s="18">
        <v>0</v>
      </c>
      <c r="BQ48" s="18">
        <v>0</v>
      </c>
      <c r="BR48" s="18">
        <v>-0.11382113821138182</v>
      </c>
      <c r="BS48" s="18">
        <v>-0.10909090909090909</v>
      </c>
      <c r="BT48" s="19"/>
      <c r="BU48" s="18">
        <v>0</v>
      </c>
      <c r="BV48" s="18">
        <v>0</v>
      </c>
      <c r="BW48" s="18">
        <v>0</v>
      </c>
      <c r="BX48" s="18" t="s">
        <v>217</v>
      </c>
      <c r="BY48" s="18" t="s">
        <v>217</v>
      </c>
      <c r="BZ48" s="18" t="s">
        <v>217</v>
      </c>
      <c r="CA48" s="18" t="s">
        <v>217</v>
      </c>
      <c r="CB48" s="19"/>
      <c r="CC48" s="19">
        <v>249.999997500001</v>
      </c>
      <c r="CD48" s="19">
        <v>181.9999962</v>
      </c>
      <c r="CE48" s="19">
        <v>0</v>
      </c>
      <c r="CF48" s="19">
        <v>0</v>
      </c>
      <c r="CG48" s="19">
        <v>0</v>
      </c>
      <c r="CH48" s="19">
        <v>0</v>
      </c>
      <c r="CI48" s="19">
        <v>0</v>
      </c>
      <c r="CJ48" s="19"/>
      <c r="CK48" s="19">
        <v>0</v>
      </c>
      <c r="CL48" s="19">
        <v>0</v>
      </c>
      <c r="CM48" s="19">
        <v>0</v>
      </c>
      <c r="CN48" s="19">
        <v>0</v>
      </c>
      <c r="CO48" s="19">
        <v>0</v>
      </c>
      <c r="CP48" s="19">
        <v>0</v>
      </c>
      <c r="CQ48" s="19">
        <v>0</v>
      </c>
      <c r="CR48" s="19">
        <v>0</v>
      </c>
      <c r="CS48" s="19">
        <v>0</v>
      </c>
      <c r="CT48" s="19">
        <v>0</v>
      </c>
      <c r="CU48" s="19">
        <v>0</v>
      </c>
      <c r="CV48" s="19">
        <v>0</v>
      </c>
      <c r="CW48" s="19">
        <v>0</v>
      </c>
      <c r="CX48" s="19">
        <v>0</v>
      </c>
      <c r="CY48" s="19">
        <v>0</v>
      </c>
      <c r="CZ48" s="19">
        <v>0</v>
      </c>
      <c r="DA48" s="19">
        <v>0</v>
      </c>
      <c r="DB48" s="19">
        <v>0</v>
      </c>
      <c r="DC48" s="19">
        <v>0</v>
      </c>
      <c r="DD48" s="19">
        <v>0</v>
      </c>
      <c r="DE48" s="19">
        <v>0</v>
      </c>
      <c r="DF48" s="23">
        <v>0</v>
      </c>
      <c r="DG48" s="23">
        <v>0</v>
      </c>
      <c r="DH48" s="23">
        <v>0</v>
      </c>
      <c r="DI48" s="19">
        <v>0</v>
      </c>
      <c r="DJ48" s="19">
        <v>0</v>
      </c>
      <c r="DK48" s="19">
        <v>0</v>
      </c>
      <c r="DL48" s="19">
        <v>0</v>
      </c>
      <c r="DM48" s="19">
        <v>0</v>
      </c>
      <c r="DN48" s="19">
        <v>0</v>
      </c>
      <c r="DO48" s="19">
        <v>0</v>
      </c>
      <c r="DP48" s="19">
        <v>0</v>
      </c>
      <c r="DQ48" s="19">
        <v>0</v>
      </c>
      <c r="DR48" s="19">
        <v>0</v>
      </c>
      <c r="DS48" s="19">
        <v>0</v>
      </c>
      <c r="DT48" s="19">
        <v>0</v>
      </c>
      <c r="DU48" s="19">
        <v>0</v>
      </c>
      <c r="DV48" s="19">
        <v>0</v>
      </c>
      <c r="DW48" s="17" t="s">
        <v>218</v>
      </c>
      <c r="DX48" s="22" t="s">
        <v>218</v>
      </c>
      <c r="DY48" s="22" t="s">
        <v>218</v>
      </c>
      <c r="DZ48" s="22" t="s">
        <v>218</v>
      </c>
      <c r="EA48" s="22" t="s">
        <v>218</v>
      </c>
      <c r="EB48" s="22" t="s">
        <v>218</v>
      </c>
      <c r="EC48" s="22" t="s">
        <v>218</v>
      </c>
      <c r="ED48" s="22" t="s">
        <v>218</v>
      </c>
      <c r="EE48" s="22" t="s">
        <v>218</v>
      </c>
      <c r="EF48" s="22" t="s">
        <v>218</v>
      </c>
      <c r="EG48" s="22" t="s">
        <v>218</v>
      </c>
      <c r="EH48" s="22" t="s">
        <v>218</v>
      </c>
      <c r="EI48" s="22" t="s">
        <v>218</v>
      </c>
      <c r="EJ48" s="22" t="s">
        <v>218</v>
      </c>
      <c r="EK48" s="22" t="s">
        <v>218</v>
      </c>
      <c r="EL48" s="22" t="s">
        <v>218</v>
      </c>
      <c r="EM48" s="22" t="s">
        <v>218</v>
      </c>
      <c r="EN48" s="22" t="s">
        <v>218</v>
      </c>
      <c r="EO48" s="22" t="s">
        <v>218</v>
      </c>
      <c r="EP48" s="22" t="s">
        <v>218</v>
      </c>
      <c r="EQ48" s="22" t="s">
        <v>218</v>
      </c>
      <c r="ER48" s="22" t="s">
        <v>218</v>
      </c>
      <c r="ES48" s="22" t="s">
        <v>218</v>
      </c>
      <c r="ET48" s="22" t="s">
        <v>218</v>
      </c>
      <c r="EU48" s="22" t="s">
        <v>218</v>
      </c>
      <c r="EV48" s="22" t="s">
        <v>218</v>
      </c>
      <c r="EW48" s="22" t="s">
        <v>218</v>
      </c>
      <c r="EX48" s="22" t="s">
        <v>218</v>
      </c>
      <c r="EY48" s="22" t="s">
        <v>218</v>
      </c>
      <c r="EZ48" s="22" t="s">
        <v>218</v>
      </c>
      <c r="FA48" s="22" t="s">
        <v>218</v>
      </c>
      <c r="FB48" s="22" t="s">
        <v>218</v>
      </c>
      <c r="FC48" s="22" t="s">
        <v>218</v>
      </c>
      <c r="FD48" s="22" t="s">
        <v>218</v>
      </c>
      <c r="FE48" s="22" t="s">
        <v>218</v>
      </c>
      <c r="FF48" s="22" t="s">
        <v>218</v>
      </c>
      <c r="FG48" s="22" t="s">
        <v>218</v>
      </c>
      <c r="FH48" s="22" t="s">
        <v>218</v>
      </c>
      <c r="FI48" s="22" t="s">
        <v>218</v>
      </c>
      <c r="FJ48" s="22" t="s">
        <v>218</v>
      </c>
      <c r="FK48" s="22" t="s">
        <v>218</v>
      </c>
      <c r="FL48" s="22" t="s">
        <v>218</v>
      </c>
      <c r="FM48" s="22" t="s">
        <v>218</v>
      </c>
      <c r="FN48" s="22" t="s">
        <v>218</v>
      </c>
      <c r="FO48" s="22" t="s">
        <v>218</v>
      </c>
      <c r="FP48" s="22" t="s">
        <v>218</v>
      </c>
      <c r="FQ48" s="22" t="s">
        <v>218</v>
      </c>
      <c r="FR48" s="22" t="s">
        <v>218</v>
      </c>
      <c r="FS48" s="22" t="s">
        <v>218</v>
      </c>
      <c r="FT48" s="22" t="s">
        <v>218</v>
      </c>
      <c r="FU48" s="22" t="s">
        <v>218</v>
      </c>
      <c r="FV48" s="22" t="s">
        <v>218</v>
      </c>
      <c r="FW48" s="22" t="s">
        <v>218</v>
      </c>
      <c r="FX48" s="22" t="s">
        <v>218</v>
      </c>
      <c r="FY48" s="22" t="s">
        <v>218</v>
      </c>
      <c r="FZ48" s="22" t="s">
        <v>218</v>
      </c>
      <c r="GA48" s="22" t="s">
        <v>218</v>
      </c>
      <c r="GB48" s="22" t="s">
        <v>218</v>
      </c>
      <c r="GC48" s="22" t="s">
        <v>218</v>
      </c>
      <c r="GD48" s="22" t="s">
        <v>218</v>
      </c>
      <c r="GE48" s="22" t="s">
        <v>218</v>
      </c>
      <c r="GF48" s="22" t="s">
        <v>218</v>
      </c>
      <c r="GG48" s="22" t="s">
        <v>218</v>
      </c>
      <c r="GH48" s="22" t="s">
        <v>218</v>
      </c>
      <c r="GI48" s="22" t="s">
        <v>218</v>
      </c>
      <c r="GJ48" s="22" t="s">
        <v>218</v>
      </c>
      <c r="GK48" s="22" t="s">
        <v>218</v>
      </c>
      <c r="GL48" s="22" t="s">
        <v>218</v>
      </c>
      <c r="GM48" s="22" t="s">
        <v>218</v>
      </c>
      <c r="GN48" s="22" t="s">
        <v>218</v>
      </c>
      <c r="GO48" s="22" t="s">
        <v>218</v>
      </c>
      <c r="GP48" s="22" t="s">
        <v>218</v>
      </c>
      <c r="GQ48" s="22" t="s">
        <v>218</v>
      </c>
      <c r="GR48" s="22" t="s">
        <v>218</v>
      </c>
      <c r="GS48" s="22" t="s">
        <v>218</v>
      </c>
      <c r="GT48" s="22" t="s">
        <v>218</v>
      </c>
      <c r="GU48" s="22" t="s">
        <v>218</v>
      </c>
      <c r="GV48" s="22" t="s">
        <v>218</v>
      </c>
      <c r="GW48" s="22" t="s">
        <v>218</v>
      </c>
      <c r="GX48" s="22" t="s">
        <v>218</v>
      </c>
      <c r="GY48" s="22" t="s">
        <v>218</v>
      </c>
      <c r="GZ48" s="22" t="s">
        <v>218</v>
      </c>
      <c r="HA48" s="22" t="s">
        <v>218</v>
      </c>
      <c r="HB48" s="22" t="s">
        <v>218</v>
      </c>
      <c r="HC48" s="22" t="s">
        <v>218</v>
      </c>
      <c r="HD48" s="22" t="s">
        <v>218</v>
      </c>
      <c r="HE48" s="22" t="s">
        <v>218</v>
      </c>
      <c r="HF48" s="22" t="s">
        <v>218</v>
      </c>
      <c r="HG48" s="22" t="s">
        <v>218</v>
      </c>
      <c r="HH48" s="22" t="s">
        <v>218</v>
      </c>
      <c r="HI48" s="22" t="s">
        <v>218</v>
      </c>
      <c r="HJ48" s="22" t="s">
        <v>218</v>
      </c>
      <c r="HK48" s="22" t="s">
        <v>218</v>
      </c>
      <c r="HL48" s="22" t="s">
        <v>218</v>
      </c>
      <c r="HM48" s="860"/>
      <c r="HN48" s="860"/>
      <c r="HO48" s="860"/>
      <c r="HP48" s="860"/>
      <c r="HQ48" s="860"/>
      <c r="HR48" s="860"/>
      <c r="HS48" s="860"/>
      <c r="HT48" s="145"/>
      <c r="HU48" s="145" t="s">
        <v>1809</v>
      </c>
      <c r="HV48" s="22" t="s">
        <v>1926</v>
      </c>
      <c r="HW48" s="22">
        <v>0</v>
      </c>
      <c r="HX48" s="22">
        <v>0</v>
      </c>
      <c r="HY48" s="22">
        <v>0</v>
      </c>
      <c r="HZ48" s="19"/>
      <c r="IA48" s="19"/>
      <c r="IB48" s="621">
        <f>'background data'!$G$10</f>
        <v>0.47300000000000003</v>
      </c>
      <c r="IC48" s="621">
        <f>'background data'!$H$10</f>
        <v>0.13</v>
      </c>
      <c r="ID48" s="621">
        <f>'background data'!$J$10</f>
        <v>0.39100000000000001</v>
      </c>
      <c r="IE48" s="621">
        <f>'background data'!$L$10</f>
        <v>5.5E-2</v>
      </c>
      <c r="IF48" s="621">
        <f>'background data'!$M$10</f>
        <v>3.97</v>
      </c>
      <c r="IG48" s="621">
        <f>'background data'!$N$10</f>
        <v>4.5999999999999999E-3</v>
      </c>
      <c r="IH48" s="621">
        <f>'background data'!$O$10</f>
        <v>2.73</v>
      </c>
      <c r="II48" s="145"/>
      <c r="IJ48" s="145"/>
      <c r="IK48" s="145"/>
      <c r="IL48" s="145"/>
      <c r="IM48" s="145"/>
      <c r="IN48" s="145"/>
      <c r="IO48" s="145"/>
      <c r="IP48" s="145"/>
      <c r="IQ48" s="145"/>
      <c r="IR48" s="145"/>
      <c r="IS48" s="145"/>
      <c r="IT48" s="145"/>
      <c r="IU48" s="145"/>
      <c r="IV48" s="145"/>
      <c r="IW48" s="145"/>
      <c r="IX48" s="145"/>
      <c r="IY48" s="145"/>
      <c r="IZ48" s="145"/>
      <c r="JA48" s="145"/>
      <c r="JB48" s="145"/>
      <c r="JC48" s="145"/>
      <c r="JD48" s="145"/>
      <c r="JE48" s="145"/>
      <c r="JF48" s="145"/>
      <c r="JG48" s="145"/>
      <c r="JH48" s="145"/>
      <c r="JI48" s="145"/>
      <c r="JJ48" s="145"/>
      <c r="JK48" s="145"/>
      <c r="JL48" s="145"/>
      <c r="JM48" s="145"/>
      <c r="JN48" s="145"/>
      <c r="JO48" s="145"/>
      <c r="JP48" s="145"/>
      <c r="JQ48" s="145"/>
      <c r="JR48" s="145"/>
      <c r="JS48" s="145"/>
      <c r="JT48" s="145"/>
      <c r="JU48" s="145"/>
      <c r="JV48" s="145"/>
      <c r="JW48" s="145"/>
      <c r="JX48" s="145"/>
      <c r="JY48" s="145"/>
      <c r="JZ48" s="145"/>
      <c r="KA48" s="145"/>
      <c r="KB48" s="145"/>
      <c r="KC48" s="145"/>
      <c r="KD48" s="145"/>
      <c r="KE48" s="145"/>
      <c r="KF48" s="145"/>
      <c r="KG48" s="145"/>
      <c r="KH48" s="145"/>
      <c r="KI48" s="145"/>
      <c r="KJ48" s="145"/>
      <c r="KK48" s="145"/>
      <c r="KL48" s="145"/>
      <c r="KM48" s="145"/>
      <c r="KN48" s="145"/>
      <c r="KO48" s="145"/>
      <c r="KP48" s="145"/>
      <c r="KQ48" s="145"/>
      <c r="KR48" s="145"/>
      <c r="KS48" s="145"/>
      <c r="KT48" s="145"/>
      <c r="KU48" s="145"/>
      <c r="KV48" s="145"/>
      <c r="KW48" s="145"/>
      <c r="KX48" s="145"/>
      <c r="KY48" s="145"/>
      <c r="KZ48" s="145"/>
      <c r="LA48" s="145"/>
      <c r="LB48" s="145"/>
      <c r="LC48" s="145"/>
      <c r="LD48" s="145"/>
      <c r="LE48" s="145"/>
      <c r="LF48" s="145"/>
      <c r="LG48" s="145"/>
      <c r="LH48" s="145"/>
      <c r="LI48" s="145"/>
      <c r="LJ48" s="145"/>
      <c r="LK48" s="145"/>
      <c r="LL48" s="145"/>
      <c r="LM48" s="145"/>
      <c r="LN48" s="145"/>
      <c r="LO48" s="145"/>
      <c r="LP48" s="145"/>
      <c r="LQ48" s="145"/>
      <c r="LR48" s="145"/>
      <c r="LS48" s="145"/>
      <c r="LT48" s="145"/>
      <c r="LU48" s="145"/>
      <c r="LV48" s="145"/>
      <c r="LW48" s="145"/>
      <c r="LX48" s="145"/>
      <c r="LY48" s="145"/>
      <c r="LZ48" s="145"/>
      <c r="MA48" s="145"/>
      <c r="MB48" s="145"/>
      <c r="MC48" s="145"/>
      <c r="MD48" s="145"/>
      <c r="ME48" s="145"/>
      <c r="MF48" s="145"/>
      <c r="MG48" s="145"/>
      <c r="MH48" s="145"/>
      <c r="MI48" s="145"/>
      <c r="MJ48" s="145"/>
      <c r="MK48" s="145"/>
      <c r="ML48" s="145"/>
      <c r="MM48" s="145"/>
      <c r="MN48" s="145"/>
      <c r="MO48" s="145"/>
      <c r="MP48" s="145"/>
      <c r="MQ48" s="145"/>
      <c r="MR48" s="145"/>
      <c r="MS48" s="145"/>
      <c r="MT48" s="145"/>
      <c r="MU48" s="145"/>
      <c r="MV48" s="145"/>
      <c r="MW48" s="145"/>
      <c r="MX48" s="145"/>
      <c r="MY48" s="145"/>
      <c r="MZ48" s="145"/>
      <c r="NA48" s="145"/>
      <c r="NB48" s="145"/>
      <c r="NC48" s="145"/>
      <c r="ND48" s="145"/>
      <c r="NE48" s="145"/>
      <c r="NF48" s="145"/>
      <c r="NG48" s="145"/>
      <c r="NH48" s="145"/>
      <c r="NI48" s="145"/>
      <c r="NJ48" s="145"/>
      <c r="NK48" s="145"/>
      <c r="NL48" s="145"/>
      <c r="NM48" s="145"/>
      <c r="NN48" s="145"/>
      <c r="NO48" s="145"/>
      <c r="NP48" s="145"/>
      <c r="NQ48" s="145"/>
      <c r="NR48" s="145"/>
      <c r="NS48" s="145"/>
    </row>
    <row r="49" spans="1:383" s="16" customFormat="1" ht="15" customHeight="1" x14ac:dyDescent="0.2">
      <c r="A49" s="15">
        <v>46100</v>
      </c>
      <c r="B49" s="25">
        <v>461</v>
      </c>
      <c r="C49" s="26">
        <v>0</v>
      </c>
      <c r="D49" s="20" t="s">
        <v>279</v>
      </c>
      <c r="E49" s="14">
        <v>40310</v>
      </c>
      <c r="F49" s="18">
        <v>-0.112682926829268</v>
      </c>
      <c r="G49" s="18">
        <v>-0.108</v>
      </c>
      <c r="H49" s="21">
        <v>70</v>
      </c>
      <c r="I49" s="21">
        <v>70</v>
      </c>
      <c r="J49" s="21">
        <v>0</v>
      </c>
      <c r="K49" s="18">
        <v>1</v>
      </c>
      <c r="L49" s="18">
        <v>99</v>
      </c>
      <c r="M49" s="18">
        <v>0</v>
      </c>
      <c r="N49" s="18">
        <v>0</v>
      </c>
      <c r="O49" s="18">
        <v>99</v>
      </c>
      <c r="P49" s="18">
        <v>0</v>
      </c>
      <c r="Q49" s="19"/>
      <c r="R49" s="18">
        <v>0</v>
      </c>
      <c r="S49" s="18">
        <v>50</v>
      </c>
      <c r="T49" s="18">
        <v>50</v>
      </c>
      <c r="U49" s="18">
        <v>50</v>
      </c>
      <c r="V49" s="18">
        <v>50</v>
      </c>
      <c r="W49" s="18">
        <v>50</v>
      </c>
      <c r="X49" s="18"/>
      <c r="Y49" s="18">
        <v>252.52525000000102</v>
      </c>
      <c r="Z49" s="18">
        <v>181.81817999999998</v>
      </c>
      <c r="AA49" s="18">
        <v>0</v>
      </c>
      <c r="AB49" s="18">
        <v>0</v>
      </c>
      <c r="AC49" s="18">
        <v>0</v>
      </c>
      <c r="AD49" s="18">
        <v>0</v>
      </c>
      <c r="AE49" s="18">
        <v>0</v>
      </c>
      <c r="AF49" s="18">
        <v>0</v>
      </c>
      <c r="AG49" s="18">
        <v>0</v>
      </c>
      <c r="AH49" s="18">
        <v>0</v>
      </c>
      <c r="AI49" s="18">
        <v>0</v>
      </c>
      <c r="AJ49" s="18">
        <v>0</v>
      </c>
      <c r="AK49" s="18">
        <v>0</v>
      </c>
      <c r="AL49" s="18"/>
      <c r="AM49" s="18">
        <v>0</v>
      </c>
      <c r="AN49" s="18">
        <v>0</v>
      </c>
      <c r="AO49" s="18">
        <v>0</v>
      </c>
      <c r="AP49" s="18">
        <v>0</v>
      </c>
      <c r="AQ49" s="18">
        <v>0</v>
      </c>
      <c r="AR49" s="18">
        <v>0</v>
      </c>
      <c r="AS49" s="18">
        <v>0</v>
      </c>
      <c r="AT49" s="18">
        <v>0</v>
      </c>
      <c r="AU49" s="18">
        <v>0</v>
      </c>
      <c r="AV49" s="18">
        <v>0</v>
      </c>
      <c r="AW49" s="18">
        <v>0</v>
      </c>
      <c r="AX49" s="18"/>
      <c r="AY49" s="18">
        <v>1</v>
      </c>
      <c r="AZ49" s="18">
        <v>1</v>
      </c>
      <c r="BA49" s="18">
        <v>1</v>
      </c>
      <c r="BB49" s="18">
        <v>1</v>
      </c>
      <c r="BC49" s="18">
        <v>1</v>
      </c>
      <c r="BD49" s="18">
        <v>1</v>
      </c>
      <c r="BE49" s="18">
        <v>1</v>
      </c>
      <c r="BF49" s="18">
        <v>1</v>
      </c>
      <c r="BG49" s="18">
        <v>1</v>
      </c>
      <c r="BH49" s="18">
        <v>1</v>
      </c>
      <c r="BI49" s="18">
        <v>1</v>
      </c>
      <c r="BJ49" s="19"/>
      <c r="BK49" s="18">
        <v>0</v>
      </c>
      <c r="BL49" s="18">
        <v>0</v>
      </c>
      <c r="BM49" s="18">
        <v>100</v>
      </c>
      <c r="BN49" s="18">
        <v>0</v>
      </c>
      <c r="BO49" s="18"/>
      <c r="BP49" s="18">
        <v>0</v>
      </c>
      <c r="BQ49" s="18">
        <v>0</v>
      </c>
      <c r="BR49" s="18">
        <v>-0.11382113821138182</v>
      </c>
      <c r="BS49" s="18">
        <v>-0.10909090909090909</v>
      </c>
      <c r="BT49" s="19"/>
      <c r="BU49" s="18">
        <v>0</v>
      </c>
      <c r="BV49" s="18">
        <v>0</v>
      </c>
      <c r="BW49" s="18">
        <v>0</v>
      </c>
      <c r="BX49" s="18" t="s">
        <v>217</v>
      </c>
      <c r="BY49" s="18" t="s">
        <v>217</v>
      </c>
      <c r="BZ49" s="18" t="s">
        <v>217</v>
      </c>
      <c r="CA49" s="18" t="s">
        <v>217</v>
      </c>
      <c r="CB49" s="19"/>
      <c r="CC49" s="19">
        <v>249.999997500001</v>
      </c>
      <c r="CD49" s="19">
        <v>179.99999819999999</v>
      </c>
      <c r="CE49" s="19">
        <v>0</v>
      </c>
      <c r="CF49" s="19">
        <v>0</v>
      </c>
      <c r="CG49" s="19">
        <v>0</v>
      </c>
      <c r="CH49" s="19">
        <v>0</v>
      </c>
      <c r="CI49" s="19">
        <v>0</v>
      </c>
      <c r="CJ49" s="19"/>
      <c r="CK49" s="19">
        <v>0</v>
      </c>
      <c r="CL49" s="19">
        <v>0</v>
      </c>
      <c r="CM49" s="19">
        <v>0</v>
      </c>
      <c r="CN49" s="19">
        <v>0</v>
      </c>
      <c r="CO49" s="19">
        <v>0</v>
      </c>
      <c r="CP49" s="19">
        <v>0</v>
      </c>
      <c r="CQ49" s="19">
        <v>0</v>
      </c>
      <c r="CR49" s="19">
        <v>0</v>
      </c>
      <c r="CS49" s="19">
        <v>0</v>
      </c>
      <c r="CT49" s="19">
        <v>0</v>
      </c>
      <c r="CU49" s="19">
        <v>0</v>
      </c>
      <c r="CV49" s="19">
        <v>0</v>
      </c>
      <c r="CW49" s="19">
        <v>0</v>
      </c>
      <c r="CX49" s="19">
        <v>0</v>
      </c>
      <c r="CY49" s="19">
        <v>0</v>
      </c>
      <c r="CZ49" s="19">
        <v>0</v>
      </c>
      <c r="DA49" s="19">
        <v>0</v>
      </c>
      <c r="DB49" s="19">
        <v>0</v>
      </c>
      <c r="DC49" s="19">
        <v>0</v>
      </c>
      <c r="DD49" s="19">
        <v>0</v>
      </c>
      <c r="DE49" s="19">
        <v>0</v>
      </c>
      <c r="DF49" s="23">
        <v>0</v>
      </c>
      <c r="DG49" s="23">
        <v>0</v>
      </c>
      <c r="DH49" s="23">
        <v>0</v>
      </c>
      <c r="DI49" s="19">
        <v>0</v>
      </c>
      <c r="DJ49" s="19">
        <v>0</v>
      </c>
      <c r="DK49" s="19">
        <v>0</v>
      </c>
      <c r="DL49" s="19">
        <v>0</v>
      </c>
      <c r="DM49" s="19">
        <v>0</v>
      </c>
      <c r="DN49" s="19">
        <v>0</v>
      </c>
      <c r="DO49" s="19">
        <v>0</v>
      </c>
      <c r="DP49" s="19">
        <v>0</v>
      </c>
      <c r="DQ49" s="19">
        <v>0</v>
      </c>
      <c r="DR49" s="19">
        <v>0</v>
      </c>
      <c r="DS49" s="19">
        <v>0</v>
      </c>
      <c r="DT49" s="19">
        <v>0</v>
      </c>
      <c r="DU49" s="19">
        <v>0</v>
      </c>
      <c r="DV49" s="19">
        <v>0</v>
      </c>
      <c r="DW49" s="17" t="s">
        <v>280</v>
      </c>
      <c r="DX49" s="22" t="s">
        <v>218</v>
      </c>
      <c r="DY49" s="22" t="s">
        <v>218</v>
      </c>
      <c r="DZ49" s="22" t="s">
        <v>218</v>
      </c>
      <c r="EA49" s="22" t="s">
        <v>218</v>
      </c>
      <c r="EB49" s="22" t="s">
        <v>218</v>
      </c>
      <c r="EC49" s="22" t="s">
        <v>218</v>
      </c>
      <c r="ED49" s="22" t="s">
        <v>218</v>
      </c>
      <c r="EE49" s="22" t="s">
        <v>218</v>
      </c>
      <c r="EF49" s="22" t="s">
        <v>218</v>
      </c>
      <c r="EG49" s="22" t="s">
        <v>218</v>
      </c>
      <c r="EH49" s="22" t="s">
        <v>218</v>
      </c>
      <c r="EI49" s="22" t="s">
        <v>218</v>
      </c>
      <c r="EJ49" s="22" t="s">
        <v>218</v>
      </c>
      <c r="EK49" s="22" t="s">
        <v>218</v>
      </c>
      <c r="EL49" s="22" t="s">
        <v>218</v>
      </c>
      <c r="EM49" s="22" t="s">
        <v>218</v>
      </c>
      <c r="EN49" s="22" t="s">
        <v>218</v>
      </c>
      <c r="EO49" s="22" t="s">
        <v>218</v>
      </c>
      <c r="EP49" s="22" t="s">
        <v>218</v>
      </c>
      <c r="EQ49" s="22" t="s">
        <v>218</v>
      </c>
      <c r="ER49" s="22" t="s">
        <v>218</v>
      </c>
      <c r="ES49" s="22" t="s">
        <v>218</v>
      </c>
      <c r="ET49" s="22" t="s">
        <v>218</v>
      </c>
      <c r="EU49" s="22" t="s">
        <v>218</v>
      </c>
      <c r="EV49" s="22" t="s">
        <v>218</v>
      </c>
      <c r="EW49" s="22" t="s">
        <v>218</v>
      </c>
      <c r="EX49" s="22" t="s">
        <v>218</v>
      </c>
      <c r="EY49" s="22" t="s">
        <v>218</v>
      </c>
      <c r="EZ49" s="22" t="s">
        <v>218</v>
      </c>
      <c r="FA49" s="22" t="s">
        <v>218</v>
      </c>
      <c r="FB49" s="22" t="s">
        <v>218</v>
      </c>
      <c r="FC49" s="22" t="s">
        <v>218</v>
      </c>
      <c r="FD49" s="22" t="s">
        <v>218</v>
      </c>
      <c r="FE49" s="22" t="s">
        <v>218</v>
      </c>
      <c r="FF49" s="22" t="s">
        <v>218</v>
      </c>
      <c r="FG49" s="22" t="s">
        <v>218</v>
      </c>
      <c r="FH49" s="22" t="s">
        <v>218</v>
      </c>
      <c r="FI49" s="22" t="s">
        <v>218</v>
      </c>
      <c r="FJ49" s="22" t="s">
        <v>218</v>
      </c>
      <c r="FK49" s="22" t="s">
        <v>218</v>
      </c>
      <c r="FL49" s="22" t="s">
        <v>218</v>
      </c>
      <c r="FM49" s="22" t="s">
        <v>218</v>
      </c>
      <c r="FN49" s="22" t="s">
        <v>218</v>
      </c>
      <c r="FO49" s="22" t="s">
        <v>218</v>
      </c>
      <c r="FP49" s="22" t="s">
        <v>218</v>
      </c>
      <c r="FQ49" s="22" t="s">
        <v>218</v>
      </c>
      <c r="FR49" s="22" t="s">
        <v>218</v>
      </c>
      <c r="FS49" s="22" t="s">
        <v>218</v>
      </c>
      <c r="FT49" s="22" t="s">
        <v>218</v>
      </c>
      <c r="FU49" s="22" t="s">
        <v>218</v>
      </c>
      <c r="FV49" s="22" t="s">
        <v>218</v>
      </c>
      <c r="FW49" s="22" t="s">
        <v>218</v>
      </c>
      <c r="FX49" s="22" t="s">
        <v>218</v>
      </c>
      <c r="FY49" s="22" t="s">
        <v>218</v>
      </c>
      <c r="FZ49" s="22" t="s">
        <v>218</v>
      </c>
      <c r="GA49" s="22" t="s">
        <v>218</v>
      </c>
      <c r="GB49" s="22" t="s">
        <v>218</v>
      </c>
      <c r="GC49" s="22" t="s">
        <v>218</v>
      </c>
      <c r="GD49" s="22" t="s">
        <v>218</v>
      </c>
      <c r="GE49" s="22" t="s">
        <v>218</v>
      </c>
      <c r="GF49" s="22" t="s">
        <v>218</v>
      </c>
      <c r="GG49" s="22" t="s">
        <v>218</v>
      </c>
      <c r="GH49" s="22" t="s">
        <v>218</v>
      </c>
      <c r="GI49" s="22" t="s">
        <v>218</v>
      </c>
      <c r="GJ49" s="22" t="s">
        <v>218</v>
      </c>
      <c r="GK49" s="22" t="s">
        <v>218</v>
      </c>
      <c r="GL49" s="22" t="s">
        <v>218</v>
      </c>
      <c r="GM49" s="22" t="s">
        <v>218</v>
      </c>
      <c r="GN49" s="22" t="s">
        <v>218</v>
      </c>
      <c r="GO49" s="22" t="s">
        <v>218</v>
      </c>
      <c r="GP49" s="22" t="s">
        <v>218</v>
      </c>
      <c r="GQ49" s="22" t="s">
        <v>218</v>
      </c>
      <c r="GR49" s="22" t="s">
        <v>218</v>
      </c>
      <c r="GS49" s="22" t="s">
        <v>218</v>
      </c>
      <c r="GT49" s="22" t="s">
        <v>218</v>
      </c>
      <c r="GU49" s="22" t="s">
        <v>218</v>
      </c>
      <c r="GV49" s="22" t="s">
        <v>218</v>
      </c>
      <c r="GW49" s="22" t="s">
        <v>218</v>
      </c>
      <c r="GX49" s="22" t="s">
        <v>218</v>
      </c>
      <c r="GY49" s="22" t="s">
        <v>218</v>
      </c>
      <c r="GZ49" s="22" t="s">
        <v>218</v>
      </c>
      <c r="HA49" s="22" t="s">
        <v>218</v>
      </c>
      <c r="HB49" s="22" t="s">
        <v>218</v>
      </c>
      <c r="HC49" s="22" t="s">
        <v>218</v>
      </c>
      <c r="HD49" s="22" t="s">
        <v>218</v>
      </c>
      <c r="HE49" s="22" t="s">
        <v>218</v>
      </c>
      <c r="HF49" s="22" t="s">
        <v>218</v>
      </c>
      <c r="HG49" s="22" t="s">
        <v>218</v>
      </c>
      <c r="HH49" s="22" t="s">
        <v>218</v>
      </c>
      <c r="HI49" s="22" t="s">
        <v>218</v>
      </c>
      <c r="HJ49" s="22" t="s">
        <v>218</v>
      </c>
      <c r="HK49" s="22" t="s">
        <v>218</v>
      </c>
      <c r="HL49" s="22" t="s">
        <v>218</v>
      </c>
      <c r="HM49" s="860"/>
      <c r="HN49" s="860"/>
      <c r="HO49" s="860"/>
      <c r="HP49" s="860"/>
      <c r="HQ49" s="860"/>
      <c r="HR49" s="860"/>
      <c r="HS49" s="860"/>
      <c r="HT49" s="145"/>
      <c r="HU49" s="145" t="s">
        <v>1809</v>
      </c>
      <c r="HV49" s="22" t="s">
        <v>1926</v>
      </c>
      <c r="HW49" s="22">
        <v>0</v>
      </c>
      <c r="HX49" s="22">
        <v>0</v>
      </c>
      <c r="HY49" s="22">
        <v>0</v>
      </c>
      <c r="HZ49" s="19"/>
      <c r="IA49" s="19"/>
      <c r="IB49" s="621">
        <f>'background data'!$G$10</f>
        <v>0.47300000000000003</v>
      </c>
      <c r="IC49" s="621">
        <f>'background data'!$H$10</f>
        <v>0.13</v>
      </c>
      <c r="ID49" s="621">
        <f>'background data'!$J$10</f>
        <v>0.39100000000000001</v>
      </c>
      <c r="IE49" s="621">
        <f>'background data'!$L$10</f>
        <v>5.5E-2</v>
      </c>
      <c r="IF49" s="621">
        <f>'background data'!$M$10</f>
        <v>3.97</v>
      </c>
      <c r="IG49" s="621">
        <f>'background data'!$N$10</f>
        <v>4.5999999999999999E-3</v>
      </c>
      <c r="IH49" s="621">
        <f>'background data'!$O$10</f>
        <v>2.73</v>
      </c>
      <c r="II49" s="145"/>
      <c r="IJ49" s="145"/>
      <c r="IK49" s="145"/>
      <c r="IL49" s="145"/>
      <c r="IM49" s="145"/>
      <c r="IN49" s="145"/>
      <c r="IO49" s="145"/>
      <c r="IP49" s="145"/>
      <c r="IQ49" s="145"/>
      <c r="IR49" s="145"/>
      <c r="IS49" s="145"/>
      <c r="IT49" s="145"/>
      <c r="IU49" s="145"/>
      <c r="IV49" s="145"/>
      <c r="IW49" s="145"/>
      <c r="IX49" s="145"/>
      <c r="IY49" s="145"/>
      <c r="IZ49" s="145"/>
      <c r="JA49" s="145"/>
      <c r="JB49" s="145"/>
      <c r="JC49" s="145"/>
      <c r="JD49" s="145"/>
      <c r="JE49" s="145"/>
      <c r="JF49" s="145"/>
      <c r="JG49" s="145"/>
      <c r="JH49" s="145"/>
      <c r="JI49" s="145"/>
      <c r="JJ49" s="145"/>
      <c r="JK49" s="145"/>
      <c r="JL49" s="145"/>
      <c r="JM49" s="145"/>
      <c r="JN49" s="145"/>
      <c r="JO49" s="145"/>
      <c r="JP49" s="145"/>
      <c r="JQ49" s="145"/>
      <c r="JR49" s="145"/>
      <c r="JS49" s="145"/>
      <c r="JT49" s="145"/>
      <c r="JU49" s="145"/>
      <c r="JV49" s="145"/>
      <c r="JW49" s="145"/>
      <c r="JX49" s="145"/>
      <c r="JY49" s="145"/>
      <c r="JZ49" s="145"/>
      <c r="KA49" s="145"/>
      <c r="KB49" s="145"/>
      <c r="KC49" s="145"/>
      <c r="KD49" s="145"/>
      <c r="KE49" s="145"/>
      <c r="KF49" s="145"/>
      <c r="KG49" s="145"/>
      <c r="KH49" s="145"/>
      <c r="KI49" s="145"/>
      <c r="KJ49" s="145"/>
      <c r="KK49" s="145"/>
      <c r="KL49" s="145"/>
      <c r="KM49" s="145"/>
      <c r="KN49" s="145"/>
      <c r="KO49" s="145"/>
      <c r="KP49" s="145"/>
      <c r="KQ49" s="145"/>
      <c r="KR49" s="145"/>
      <c r="KS49" s="145"/>
      <c r="KT49" s="145"/>
      <c r="KU49" s="145"/>
      <c r="KV49" s="145"/>
      <c r="KW49" s="145"/>
      <c r="KX49" s="145"/>
      <c r="KY49" s="145"/>
      <c r="KZ49" s="145"/>
      <c r="LA49" s="145"/>
      <c r="LB49" s="145"/>
      <c r="LC49" s="145"/>
      <c r="LD49" s="145"/>
      <c r="LE49" s="145"/>
      <c r="LF49" s="145"/>
      <c r="LG49" s="145"/>
      <c r="LH49" s="145"/>
      <c r="LI49" s="145"/>
      <c r="LJ49" s="145"/>
      <c r="LK49" s="145"/>
      <c r="LL49" s="145"/>
      <c r="LM49" s="145"/>
      <c r="LN49" s="145"/>
      <c r="LO49" s="145"/>
      <c r="LP49" s="145"/>
      <c r="LQ49" s="145"/>
      <c r="LR49" s="145"/>
      <c r="LS49" s="145"/>
      <c r="LT49" s="145"/>
      <c r="LU49" s="145"/>
      <c r="LV49" s="145"/>
      <c r="LW49" s="145"/>
      <c r="LX49" s="145"/>
      <c r="LY49" s="145"/>
      <c r="LZ49" s="145"/>
      <c r="MA49" s="145"/>
      <c r="MB49" s="145"/>
      <c r="MC49" s="145"/>
      <c r="MD49" s="145"/>
      <c r="ME49" s="145"/>
      <c r="MF49" s="145"/>
      <c r="MG49" s="145"/>
      <c r="MH49" s="145"/>
      <c r="MI49" s="145"/>
      <c r="MJ49" s="145"/>
      <c r="MK49" s="145"/>
      <c r="ML49" s="145"/>
      <c r="MM49" s="145"/>
      <c r="MN49" s="145"/>
      <c r="MO49" s="145"/>
      <c r="MP49" s="145"/>
      <c r="MQ49" s="145"/>
      <c r="MR49" s="145"/>
      <c r="MS49" s="145"/>
      <c r="MT49" s="145"/>
      <c r="MU49" s="145"/>
      <c r="MV49" s="145"/>
      <c r="MW49" s="145"/>
      <c r="MX49" s="145"/>
      <c r="MY49" s="145"/>
      <c r="MZ49" s="145"/>
      <c r="NA49" s="145"/>
      <c r="NB49" s="145"/>
      <c r="NC49" s="145"/>
      <c r="ND49" s="145"/>
      <c r="NE49" s="145"/>
      <c r="NF49" s="145"/>
      <c r="NG49" s="145"/>
      <c r="NH49" s="145"/>
      <c r="NI49" s="145"/>
      <c r="NJ49" s="145"/>
      <c r="NK49" s="145"/>
      <c r="NL49" s="145"/>
      <c r="NM49" s="145"/>
      <c r="NN49" s="145"/>
      <c r="NO49" s="145"/>
      <c r="NP49" s="145"/>
      <c r="NQ49" s="145"/>
      <c r="NR49" s="145"/>
      <c r="NS49" s="145"/>
    </row>
    <row r="50" spans="1:383" s="16" customFormat="1" ht="15" customHeight="1" x14ac:dyDescent="0.2">
      <c r="A50" s="15">
        <v>39012</v>
      </c>
      <c r="B50" s="25">
        <v>390</v>
      </c>
      <c r="C50" s="26">
        <v>12</v>
      </c>
      <c r="D50" s="20" t="s">
        <v>281</v>
      </c>
      <c r="E50" s="14">
        <v>40310</v>
      </c>
      <c r="F50" s="18">
        <v>0.400229055361982</v>
      </c>
      <c r="G50" s="18">
        <v>0.40812811354360001</v>
      </c>
      <c r="H50" s="21">
        <v>64.2</v>
      </c>
      <c r="I50" s="21">
        <v>70</v>
      </c>
      <c r="J50" s="21">
        <v>30</v>
      </c>
      <c r="K50" s="18">
        <v>1</v>
      </c>
      <c r="L50" s="18">
        <v>97.3</v>
      </c>
      <c r="M50" s="18">
        <v>1</v>
      </c>
      <c r="N50" s="18">
        <v>0.9</v>
      </c>
      <c r="O50" s="18">
        <v>51.7</v>
      </c>
      <c r="P50" s="18">
        <v>18.2</v>
      </c>
      <c r="Q50" s="19"/>
      <c r="R50" s="18">
        <v>0</v>
      </c>
      <c r="S50" s="18">
        <v>0</v>
      </c>
      <c r="T50" s="18">
        <v>0</v>
      </c>
      <c r="U50" s="18">
        <v>0</v>
      </c>
      <c r="V50" s="18">
        <v>0</v>
      </c>
      <c r="W50" s="18">
        <v>0</v>
      </c>
      <c r="X50" s="18"/>
      <c r="Y50" s="18">
        <v>0</v>
      </c>
      <c r="Z50" s="18">
        <v>0</v>
      </c>
      <c r="AA50" s="18">
        <v>0</v>
      </c>
      <c r="AB50" s="18">
        <v>0</v>
      </c>
      <c r="AC50" s="18">
        <v>0</v>
      </c>
      <c r="AD50" s="18">
        <v>0</v>
      </c>
      <c r="AE50" s="18">
        <v>0</v>
      </c>
      <c r="AF50" s="18">
        <v>0</v>
      </c>
      <c r="AG50" s="18">
        <v>0</v>
      </c>
      <c r="AH50" s="18">
        <v>0</v>
      </c>
      <c r="AI50" s="18">
        <v>0</v>
      </c>
      <c r="AJ50" s="18">
        <v>0</v>
      </c>
      <c r="AK50" s="18">
        <v>0</v>
      </c>
      <c r="AL50" s="18"/>
      <c r="AM50" s="18">
        <v>0</v>
      </c>
      <c r="AN50" s="18">
        <v>0</v>
      </c>
      <c r="AO50" s="18">
        <v>0</v>
      </c>
      <c r="AP50" s="18">
        <v>0</v>
      </c>
      <c r="AQ50" s="18">
        <v>0</v>
      </c>
      <c r="AR50" s="18">
        <v>0</v>
      </c>
      <c r="AS50" s="18">
        <v>0</v>
      </c>
      <c r="AT50" s="18">
        <v>0</v>
      </c>
      <c r="AU50" s="18">
        <v>0</v>
      </c>
      <c r="AV50" s="18">
        <v>0</v>
      </c>
      <c r="AW50" s="18">
        <v>0</v>
      </c>
      <c r="AX50" s="18"/>
      <c r="AY50" s="18">
        <v>1</v>
      </c>
      <c r="AZ50" s="18">
        <v>1</v>
      </c>
      <c r="BA50" s="18">
        <v>1</v>
      </c>
      <c r="BB50" s="18">
        <v>1</v>
      </c>
      <c r="BC50" s="18">
        <v>1</v>
      </c>
      <c r="BD50" s="18">
        <v>1</v>
      </c>
      <c r="BE50" s="18">
        <v>1</v>
      </c>
      <c r="BF50" s="18">
        <v>1</v>
      </c>
      <c r="BG50" s="18">
        <v>1</v>
      </c>
      <c r="BH50" s="18">
        <v>1</v>
      </c>
      <c r="BI50" s="18">
        <v>1</v>
      </c>
      <c r="BJ50" s="19"/>
      <c r="BK50" s="18">
        <v>1.0277492291880781</v>
      </c>
      <c r="BL50" s="18">
        <v>0.92497430626927035</v>
      </c>
      <c r="BM50" s="18">
        <v>53.134635149023644</v>
      </c>
      <c r="BN50" s="18">
        <v>18.705035971223023</v>
      </c>
      <c r="BO50" s="18"/>
      <c r="BP50" s="18">
        <v>0</v>
      </c>
      <c r="BQ50" s="18">
        <v>0</v>
      </c>
      <c r="BR50" s="18">
        <v>0.41133510314694965</v>
      </c>
      <c r="BS50" s="18">
        <v>0.41945335410441936</v>
      </c>
      <c r="BT50" s="19"/>
      <c r="BU50" s="18">
        <v>468.65364850976363</v>
      </c>
      <c r="BV50" s="18">
        <v>321.38217589194039</v>
      </c>
      <c r="BW50" s="18">
        <v>-38.831302305094653</v>
      </c>
      <c r="BX50" s="18">
        <v>0</v>
      </c>
      <c r="BY50" s="18">
        <v>0</v>
      </c>
      <c r="BZ50" s="18" t="s">
        <v>217</v>
      </c>
      <c r="CA50" s="18" t="s">
        <v>217</v>
      </c>
      <c r="CB50" s="19"/>
      <c r="CC50" s="19">
        <v>0</v>
      </c>
      <c r="CD50" s="19">
        <v>0</v>
      </c>
      <c r="CE50" s="19">
        <v>0</v>
      </c>
      <c r="CF50" s="19">
        <v>0</v>
      </c>
      <c r="CG50" s="19">
        <v>0</v>
      </c>
      <c r="CH50" s="19">
        <v>0</v>
      </c>
      <c r="CI50" s="19">
        <v>0</v>
      </c>
      <c r="CJ50" s="19"/>
      <c r="CK50" s="19">
        <v>0</v>
      </c>
      <c r="CL50" s="19">
        <v>0</v>
      </c>
      <c r="CM50" s="19">
        <v>0</v>
      </c>
      <c r="CN50" s="19">
        <v>0</v>
      </c>
      <c r="CO50" s="19">
        <v>0</v>
      </c>
      <c r="CP50" s="19">
        <v>0</v>
      </c>
      <c r="CQ50" s="19">
        <v>0</v>
      </c>
      <c r="CR50" s="19">
        <v>0</v>
      </c>
      <c r="CS50" s="19">
        <v>0</v>
      </c>
      <c r="CT50" s="19">
        <v>0</v>
      </c>
      <c r="CU50" s="19">
        <v>0</v>
      </c>
      <c r="CV50" s="19">
        <v>0</v>
      </c>
      <c r="CW50" s="19">
        <v>0</v>
      </c>
      <c r="CX50" s="19">
        <v>0</v>
      </c>
      <c r="CY50" s="19">
        <v>0</v>
      </c>
      <c r="CZ50" s="19">
        <v>0</v>
      </c>
      <c r="DA50" s="19">
        <v>0</v>
      </c>
      <c r="DB50" s="19">
        <v>0</v>
      </c>
      <c r="DC50" s="19">
        <v>0</v>
      </c>
      <c r="DD50" s="19">
        <v>0</v>
      </c>
      <c r="DE50" s="19">
        <v>0</v>
      </c>
      <c r="DF50" s="23">
        <v>0</v>
      </c>
      <c r="DG50" s="23">
        <v>0</v>
      </c>
      <c r="DH50" s="23">
        <v>0</v>
      </c>
      <c r="DI50" s="19">
        <v>0</v>
      </c>
      <c r="DJ50" s="19">
        <v>0</v>
      </c>
      <c r="DK50" s="19">
        <v>9100</v>
      </c>
      <c r="DL50" s="19">
        <v>0</v>
      </c>
      <c r="DM50" s="19">
        <v>0</v>
      </c>
      <c r="DN50" s="19">
        <v>0</v>
      </c>
      <c r="DO50" s="19">
        <v>0</v>
      </c>
      <c r="DP50" s="19">
        <v>0</v>
      </c>
      <c r="DQ50" s="19">
        <v>0</v>
      </c>
      <c r="DR50" s="19">
        <v>0</v>
      </c>
      <c r="DS50" s="19">
        <v>0</v>
      </c>
      <c r="DT50" s="19">
        <v>0</v>
      </c>
      <c r="DU50" s="19">
        <v>0</v>
      </c>
      <c r="DV50" s="19">
        <v>0</v>
      </c>
      <c r="DW50" s="17" t="s">
        <v>218</v>
      </c>
      <c r="DX50" s="22" t="s">
        <v>218</v>
      </c>
      <c r="DY50" s="22" t="s">
        <v>218</v>
      </c>
      <c r="DZ50" s="22" t="s">
        <v>218</v>
      </c>
      <c r="EA50" s="22" t="s">
        <v>218</v>
      </c>
      <c r="EB50" s="22" t="s">
        <v>218</v>
      </c>
      <c r="EC50" s="22" t="s">
        <v>218</v>
      </c>
      <c r="ED50" s="22" t="s">
        <v>218</v>
      </c>
      <c r="EE50" s="22" t="s">
        <v>218</v>
      </c>
      <c r="EF50" s="22" t="s">
        <v>218</v>
      </c>
      <c r="EG50" s="22" t="s">
        <v>218</v>
      </c>
      <c r="EH50" s="22" t="s">
        <v>218</v>
      </c>
      <c r="EI50" s="22" t="s">
        <v>218</v>
      </c>
      <c r="EJ50" s="22" t="s">
        <v>218</v>
      </c>
      <c r="EK50" s="22" t="s">
        <v>218</v>
      </c>
      <c r="EL50" s="22" t="s">
        <v>218</v>
      </c>
      <c r="EM50" s="22" t="s">
        <v>218</v>
      </c>
      <c r="EN50" s="22" t="s">
        <v>218</v>
      </c>
      <c r="EO50" s="22" t="s">
        <v>218</v>
      </c>
      <c r="EP50" s="22" t="s">
        <v>218</v>
      </c>
      <c r="EQ50" s="22" t="s">
        <v>218</v>
      </c>
      <c r="ER50" s="22" t="s">
        <v>218</v>
      </c>
      <c r="ES50" s="22" t="s">
        <v>218</v>
      </c>
      <c r="ET50" s="22" t="s">
        <v>218</v>
      </c>
      <c r="EU50" s="22" t="s">
        <v>218</v>
      </c>
      <c r="EV50" s="22" t="s">
        <v>218</v>
      </c>
      <c r="EW50" s="22" t="s">
        <v>218</v>
      </c>
      <c r="EX50" s="22" t="s">
        <v>218</v>
      </c>
      <c r="EY50" s="22" t="s">
        <v>218</v>
      </c>
      <c r="EZ50" s="22" t="s">
        <v>218</v>
      </c>
      <c r="FA50" s="22" t="s">
        <v>218</v>
      </c>
      <c r="FB50" s="22" t="s">
        <v>218</v>
      </c>
      <c r="FC50" s="22" t="s">
        <v>218</v>
      </c>
      <c r="FD50" s="22" t="s">
        <v>218</v>
      </c>
      <c r="FE50" s="22" t="s">
        <v>218</v>
      </c>
      <c r="FF50" s="22" t="s">
        <v>218</v>
      </c>
      <c r="FG50" s="22" t="s">
        <v>218</v>
      </c>
      <c r="FH50" s="22" t="s">
        <v>218</v>
      </c>
      <c r="FI50" s="22" t="s">
        <v>218</v>
      </c>
      <c r="FJ50" s="22" t="s">
        <v>218</v>
      </c>
      <c r="FK50" s="22" t="s">
        <v>218</v>
      </c>
      <c r="FL50" s="22" t="s">
        <v>218</v>
      </c>
      <c r="FM50" s="22" t="s">
        <v>218</v>
      </c>
      <c r="FN50" s="22" t="s">
        <v>218</v>
      </c>
      <c r="FO50" s="22" t="s">
        <v>218</v>
      </c>
      <c r="FP50" s="22" t="s">
        <v>218</v>
      </c>
      <c r="FQ50" s="22" t="s">
        <v>218</v>
      </c>
      <c r="FR50" s="22" t="s">
        <v>218</v>
      </c>
      <c r="FS50" s="22" t="s">
        <v>218</v>
      </c>
      <c r="FT50" s="22" t="s">
        <v>218</v>
      </c>
      <c r="FU50" s="22" t="s">
        <v>218</v>
      </c>
      <c r="FV50" s="22" t="s">
        <v>218</v>
      </c>
      <c r="FW50" s="22" t="s">
        <v>218</v>
      </c>
      <c r="FX50" s="22" t="s">
        <v>218</v>
      </c>
      <c r="FY50" s="22" t="s">
        <v>218</v>
      </c>
      <c r="FZ50" s="22" t="s">
        <v>218</v>
      </c>
      <c r="GA50" s="22" t="s">
        <v>218</v>
      </c>
      <c r="GB50" s="22" t="s">
        <v>218</v>
      </c>
      <c r="GC50" s="22" t="s">
        <v>218</v>
      </c>
      <c r="GD50" s="22" t="s">
        <v>218</v>
      </c>
      <c r="GE50" s="22" t="s">
        <v>218</v>
      </c>
      <c r="GF50" s="22" t="s">
        <v>218</v>
      </c>
      <c r="GG50" s="22" t="s">
        <v>218</v>
      </c>
      <c r="GH50" s="22" t="s">
        <v>218</v>
      </c>
      <c r="GI50" s="22" t="s">
        <v>218</v>
      </c>
      <c r="GJ50" s="22" t="s">
        <v>218</v>
      </c>
      <c r="GK50" s="22" t="s">
        <v>218</v>
      </c>
      <c r="GL50" s="22" t="s">
        <v>218</v>
      </c>
      <c r="GM50" s="22" t="s">
        <v>218</v>
      </c>
      <c r="GN50" s="22" t="s">
        <v>218</v>
      </c>
      <c r="GO50" s="22" t="s">
        <v>218</v>
      </c>
      <c r="GP50" s="22" t="s">
        <v>218</v>
      </c>
      <c r="GQ50" s="22" t="s">
        <v>218</v>
      </c>
      <c r="GR50" s="22" t="s">
        <v>218</v>
      </c>
      <c r="GS50" s="22" t="s">
        <v>218</v>
      </c>
      <c r="GT50" s="22" t="s">
        <v>218</v>
      </c>
      <c r="GU50" s="22" t="s">
        <v>218</v>
      </c>
      <c r="GV50" s="22" t="s">
        <v>218</v>
      </c>
      <c r="GW50" s="22" t="s">
        <v>218</v>
      </c>
      <c r="GX50" s="22" t="s">
        <v>218</v>
      </c>
      <c r="GY50" s="22" t="s">
        <v>218</v>
      </c>
      <c r="GZ50" s="22" t="s">
        <v>218</v>
      </c>
      <c r="HA50" s="22" t="s">
        <v>218</v>
      </c>
      <c r="HB50" s="22" t="s">
        <v>218</v>
      </c>
      <c r="HC50" s="22" t="s">
        <v>218</v>
      </c>
      <c r="HD50" s="22" t="s">
        <v>218</v>
      </c>
      <c r="HE50" s="22" t="s">
        <v>218</v>
      </c>
      <c r="HF50" s="22" t="s">
        <v>218</v>
      </c>
      <c r="HG50" s="22" t="s">
        <v>218</v>
      </c>
      <c r="HH50" s="22" t="s">
        <v>218</v>
      </c>
      <c r="HI50" s="22" t="s">
        <v>218</v>
      </c>
      <c r="HJ50" s="22" t="s">
        <v>218</v>
      </c>
      <c r="HK50" s="22" t="s">
        <v>218</v>
      </c>
      <c r="HL50" s="22" t="s">
        <v>218</v>
      </c>
      <c r="HM50" s="860"/>
      <c r="HN50" s="860"/>
      <c r="HO50" s="860"/>
      <c r="HP50" s="860"/>
      <c r="HQ50" s="860"/>
      <c r="HR50" s="860"/>
      <c r="HS50" s="860"/>
      <c r="HT50" s="145"/>
      <c r="HU50" s="145" t="s">
        <v>1809</v>
      </c>
      <c r="HV50" s="22" t="s">
        <v>1926</v>
      </c>
      <c r="HW50" s="22">
        <v>0</v>
      </c>
      <c r="HX50" s="22">
        <v>0</v>
      </c>
      <c r="HY50" s="22">
        <v>0</v>
      </c>
      <c r="HZ50" s="19"/>
      <c r="IA50" s="19"/>
      <c r="IB50" s="621">
        <f>'background data'!$G$10</f>
        <v>0.47300000000000003</v>
      </c>
      <c r="IC50" s="621">
        <f>'background data'!$H$10</f>
        <v>0.13</v>
      </c>
      <c r="ID50" s="621">
        <f>'background data'!$J$10</f>
        <v>0.39100000000000001</v>
      </c>
      <c r="IE50" s="621">
        <f>'background data'!$L$10</f>
        <v>5.5E-2</v>
      </c>
      <c r="IF50" s="621">
        <f>'background data'!$M$10</f>
        <v>3.97</v>
      </c>
      <c r="IG50" s="621">
        <f>'background data'!$N$10</f>
        <v>4.5999999999999999E-3</v>
      </c>
      <c r="IH50" s="621">
        <f>'background data'!$O$10</f>
        <v>2.73</v>
      </c>
      <c r="II50" s="145"/>
      <c r="IJ50" s="145"/>
      <c r="IK50" s="145"/>
      <c r="IL50" s="145"/>
      <c r="IM50" s="145"/>
      <c r="IN50" s="145"/>
      <c r="IO50" s="145"/>
      <c r="IP50" s="145"/>
      <c r="IQ50" s="145"/>
      <c r="IR50" s="145"/>
      <c r="IS50" s="145"/>
      <c r="IT50" s="145"/>
      <c r="IU50" s="145"/>
      <c r="IV50" s="145"/>
      <c r="IW50" s="145"/>
      <c r="IX50" s="145"/>
      <c r="IY50" s="145"/>
      <c r="IZ50" s="145"/>
      <c r="JA50" s="145"/>
      <c r="JB50" s="145"/>
      <c r="JC50" s="145"/>
      <c r="JD50" s="145"/>
      <c r="JE50" s="145"/>
      <c r="JF50" s="145"/>
      <c r="JG50" s="145"/>
      <c r="JH50" s="145"/>
      <c r="JI50" s="145"/>
      <c r="JJ50" s="145"/>
      <c r="JK50" s="145"/>
      <c r="JL50" s="145"/>
      <c r="JM50" s="145"/>
      <c r="JN50" s="145"/>
      <c r="JO50" s="145"/>
      <c r="JP50" s="145"/>
      <c r="JQ50" s="145"/>
      <c r="JR50" s="145"/>
      <c r="JS50" s="145"/>
      <c r="JT50" s="145"/>
      <c r="JU50" s="145"/>
      <c r="JV50" s="145"/>
      <c r="JW50" s="145"/>
      <c r="JX50" s="145"/>
      <c r="JY50" s="145"/>
      <c r="JZ50" s="145"/>
      <c r="KA50" s="145"/>
      <c r="KB50" s="145"/>
      <c r="KC50" s="145"/>
      <c r="KD50" s="145"/>
      <c r="KE50" s="145"/>
      <c r="KF50" s="145"/>
      <c r="KG50" s="145"/>
      <c r="KH50" s="145"/>
      <c r="KI50" s="145"/>
      <c r="KJ50" s="145"/>
      <c r="KK50" s="145"/>
      <c r="KL50" s="145"/>
      <c r="KM50" s="145"/>
      <c r="KN50" s="145"/>
      <c r="KO50" s="145"/>
      <c r="KP50" s="145"/>
      <c r="KQ50" s="145"/>
      <c r="KR50" s="145"/>
      <c r="KS50" s="145"/>
      <c r="KT50" s="145"/>
      <c r="KU50" s="145"/>
      <c r="KV50" s="145"/>
      <c r="KW50" s="145"/>
      <c r="KX50" s="145"/>
      <c r="KY50" s="145"/>
      <c r="KZ50" s="145"/>
      <c r="LA50" s="145"/>
      <c r="LB50" s="145"/>
      <c r="LC50" s="145"/>
      <c r="LD50" s="145"/>
      <c r="LE50" s="145"/>
      <c r="LF50" s="145"/>
      <c r="LG50" s="145"/>
      <c r="LH50" s="145"/>
      <c r="LI50" s="145"/>
      <c r="LJ50" s="145"/>
      <c r="LK50" s="145"/>
      <c r="LL50" s="145"/>
      <c r="LM50" s="145"/>
      <c r="LN50" s="145"/>
      <c r="LO50" s="145"/>
      <c r="LP50" s="145"/>
      <c r="LQ50" s="145"/>
      <c r="LR50" s="145"/>
      <c r="LS50" s="145"/>
      <c r="LT50" s="145"/>
      <c r="LU50" s="145"/>
      <c r="LV50" s="145"/>
      <c r="LW50" s="145"/>
      <c r="LX50" s="145"/>
      <c r="LY50" s="145"/>
      <c r="LZ50" s="145"/>
      <c r="MA50" s="145"/>
      <c r="MB50" s="145"/>
      <c r="MC50" s="145"/>
      <c r="MD50" s="145"/>
      <c r="ME50" s="145"/>
      <c r="MF50" s="145"/>
      <c r="MG50" s="145"/>
      <c r="MH50" s="145"/>
      <c r="MI50" s="145"/>
      <c r="MJ50" s="145"/>
      <c r="MK50" s="145"/>
      <c r="ML50" s="145"/>
      <c r="MM50" s="145"/>
      <c r="MN50" s="145"/>
      <c r="MO50" s="145"/>
      <c r="MP50" s="145"/>
      <c r="MQ50" s="145"/>
      <c r="MR50" s="145"/>
      <c r="MS50" s="145"/>
      <c r="MT50" s="145"/>
      <c r="MU50" s="145"/>
      <c r="MV50" s="145"/>
      <c r="MW50" s="145"/>
      <c r="MX50" s="145"/>
      <c r="MY50" s="145"/>
      <c r="MZ50" s="145"/>
      <c r="NA50" s="145"/>
      <c r="NB50" s="145"/>
      <c r="NC50" s="145"/>
      <c r="ND50" s="145"/>
      <c r="NE50" s="145"/>
      <c r="NF50" s="145"/>
      <c r="NG50" s="145"/>
      <c r="NH50" s="145"/>
      <c r="NI50" s="145"/>
      <c r="NJ50" s="145"/>
      <c r="NK50" s="145"/>
      <c r="NL50" s="145"/>
      <c r="NM50" s="145"/>
      <c r="NN50" s="145"/>
      <c r="NO50" s="145"/>
      <c r="NP50" s="145"/>
      <c r="NQ50" s="145"/>
      <c r="NR50" s="145"/>
      <c r="NS50" s="145"/>
    </row>
    <row r="51" spans="1:383" s="16" customFormat="1" ht="15" customHeight="1" x14ac:dyDescent="0.2">
      <c r="A51" s="15">
        <v>39013</v>
      </c>
      <c r="B51" s="25">
        <v>390</v>
      </c>
      <c r="C51" s="26">
        <v>13</v>
      </c>
      <c r="D51" s="20" t="s">
        <v>282</v>
      </c>
      <c r="E51" s="14">
        <v>40310</v>
      </c>
      <c r="F51" s="18">
        <v>0.39516743128145598</v>
      </c>
      <c r="G51" s="18">
        <v>0.40159457291280098</v>
      </c>
      <c r="H51" s="21">
        <v>61.7</v>
      </c>
      <c r="I51" s="21">
        <v>70</v>
      </c>
      <c r="J51" s="21">
        <v>30</v>
      </c>
      <c r="K51" s="18">
        <v>1</v>
      </c>
      <c r="L51" s="18">
        <v>97.4</v>
      </c>
      <c r="M51" s="18">
        <v>1</v>
      </c>
      <c r="N51" s="18">
        <v>0.8</v>
      </c>
      <c r="O51" s="18">
        <v>51.5</v>
      </c>
      <c r="P51" s="18">
        <v>17.100000000000001</v>
      </c>
      <c r="Q51" s="19"/>
      <c r="R51" s="18">
        <v>0</v>
      </c>
      <c r="S51" s="18">
        <v>0</v>
      </c>
      <c r="T51" s="18">
        <v>0</v>
      </c>
      <c r="U51" s="18">
        <v>0</v>
      </c>
      <c r="V51" s="18">
        <v>0</v>
      </c>
      <c r="W51" s="18">
        <v>0</v>
      </c>
      <c r="X51" s="18"/>
      <c r="Y51" s="18">
        <v>0</v>
      </c>
      <c r="Z51" s="18">
        <v>0</v>
      </c>
      <c r="AA51" s="18">
        <v>0</v>
      </c>
      <c r="AB51" s="18">
        <v>0</v>
      </c>
      <c r="AC51" s="18">
        <v>0</v>
      </c>
      <c r="AD51" s="18">
        <v>0</v>
      </c>
      <c r="AE51" s="18">
        <v>0</v>
      </c>
      <c r="AF51" s="18">
        <v>0</v>
      </c>
      <c r="AG51" s="18">
        <v>0</v>
      </c>
      <c r="AH51" s="18">
        <v>0</v>
      </c>
      <c r="AI51" s="18">
        <v>0</v>
      </c>
      <c r="AJ51" s="18">
        <v>0</v>
      </c>
      <c r="AK51" s="18">
        <v>0</v>
      </c>
      <c r="AL51" s="18"/>
      <c r="AM51" s="18">
        <v>0</v>
      </c>
      <c r="AN51" s="18">
        <v>0</v>
      </c>
      <c r="AO51" s="18">
        <v>0</v>
      </c>
      <c r="AP51" s="18">
        <v>0</v>
      </c>
      <c r="AQ51" s="18">
        <v>0</v>
      </c>
      <c r="AR51" s="18">
        <v>0</v>
      </c>
      <c r="AS51" s="18">
        <v>0</v>
      </c>
      <c r="AT51" s="18">
        <v>0</v>
      </c>
      <c r="AU51" s="18">
        <v>0</v>
      </c>
      <c r="AV51" s="18">
        <v>0</v>
      </c>
      <c r="AW51" s="18">
        <v>0</v>
      </c>
      <c r="AX51" s="18"/>
      <c r="AY51" s="18">
        <v>1</v>
      </c>
      <c r="AZ51" s="18">
        <v>1</v>
      </c>
      <c r="BA51" s="18">
        <v>1</v>
      </c>
      <c r="BB51" s="18">
        <v>1</v>
      </c>
      <c r="BC51" s="18">
        <v>1</v>
      </c>
      <c r="BD51" s="18">
        <v>1</v>
      </c>
      <c r="BE51" s="18">
        <v>1</v>
      </c>
      <c r="BF51" s="18">
        <v>1</v>
      </c>
      <c r="BG51" s="18">
        <v>1</v>
      </c>
      <c r="BH51" s="18">
        <v>1</v>
      </c>
      <c r="BI51" s="18">
        <v>1</v>
      </c>
      <c r="BJ51" s="19"/>
      <c r="BK51" s="18">
        <v>1.0266940451745379</v>
      </c>
      <c r="BL51" s="18">
        <v>0.82135523613963035</v>
      </c>
      <c r="BM51" s="18">
        <v>52.874743326488705</v>
      </c>
      <c r="BN51" s="18">
        <v>17.5564681724846</v>
      </c>
      <c r="BO51" s="18"/>
      <c r="BP51" s="18">
        <v>59</v>
      </c>
      <c r="BQ51" s="18">
        <v>4.8459958932238187</v>
      </c>
      <c r="BR51" s="18">
        <v>0.40571604854358928</v>
      </c>
      <c r="BS51" s="18">
        <v>0.41231475658398453</v>
      </c>
      <c r="BT51" s="19"/>
      <c r="BU51" s="18">
        <v>471.25256673511291</v>
      </c>
      <c r="BV51" s="18">
        <v>329.32986212965704</v>
      </c>
      <c r="BW51" s="18">
        <v>-55.877090055734804</v>
      </c>
      <c r="BX51" s="18">
        <v>0</v>
      </c>
      <c r="BY51" s="18">
        <v>0</v>
      </c>
      <c r="BZ51" s="18" t="s">
        <v>217</v>
      </c>
      <c r="CA51" s="18" t="s">
        <v>217</v>
      </c>
      <c r="CB51" s="19"/>
      <c r="CC51" s="19">
        <v>0</v>
      </c>
      <c r="CD51" s="19">
        <v>0</v>
      </c>
      <c r="CE51" s="19">
        <v>0</v>
      </c>
      <c r="CF51" s="19">
        <v>0</v>
      </c>
      <c r="CG51" s="19">
        <v>0</v>
      </c>
      <c r="CH51" s="19">
        <v>0</v>
      </c>
      <c r="CI51" s="19">
        <v>0</v>
      </c>
      <c r="CJ51" s="19"/>
      <c r="CK51" s="19">
        <v>0</v>
      </c>
      <c r="CL51" s="19">
        <v>0</v>
      </c>
      <c r="CM51" s="19">
        <v>0</v>
      </c>
      <c r="CN51" s="19">
        <v>0</v>
      </c>
      <c r="CO51" s="19">
        <v>0</v>
      </c>
      <c r="CP51" s="19">
        <v>0</v>
      </c>
      <c r="CQ51" s="19">
        <v>0</v>
      </c>
      <c r="CR51" s="19">
        <v>0</v>
      </c>
      <c r="CS51" s="19">
        <v>0</v>
      </c>
      <c r="CT51" s="19">
        <v>0</v>
      </c>
      <c r="CU51" s="19">
        <v>0</v>
      </c>
      <c r="CV51" s="19">
        <v>0</v>
      </c>
      <c r="CW51" s="19">
        <v>0</v>
      </c>
      <c r="CX51" s="19">
        <v>0</v>
      </c>
      <c r="CY51" s="19">
        <v>0</v>
      </c>
      <c r="CZ51" s="19">
        <v>0</v>
      </c>
      <c r="DA51" s="19">
        <v>0</v>
      </c>
      <c r="DB51" s="19">
        <v>0</v>
      </c>
      <c r="DC51" s="19">
        <v>0</v>
      </c>
      <c r="DD51" s="19">
        <v>0</v>
      </c>
      <c r="DE51" s="19">
        <v>0</v>
      </c>
      <c r="DF51" s="23">
        <v>0</v>
      </c>
      <c r="DG51" s="23">
        <v>0</v>
      </c>
      <c r="DH51" s="23">
        <v>0</v>
      </c>
      <c r="DI51" s="19">
        <v>0</v>
      </c>
      <c r="DJ51" s="19">
        <v>0</v>
      </c>
      <c r="DK51" s="19">
        <v>22750</v>
      </c>
      <c r="DL51" s="19">
        <v>0</v>
      </c>
      <c r="DM51" s="19">
        <v>0</v>
      </c>
      <c r="DN51" s="19">
        <v>0</v>
      </c>
      <c r="DO51" s="19">
        <v>0</v>
      </c>
      <c r="DP51" s="19">
        <v>0</v>
      </c>
      <c r="DQ51" s="19">
        <v>0</v>
      </c>
      <c r="DR51" s="19">
        <v>0</v>
      </c>
      <c r="DS51" s="19">
        <v>0</v>
      </c>
      <c r="DT51" s="19">
        <v>0</v>
      </c>
      <c r="DU51" s="19">
        <v>0</v>
      </c>
      <c r="DV51" s="19">
        <v>0</v>
      </c>
      <c r="DW51" s="17" t="s">
        <v>218</v>
      </c>
      <c r="DX51" s="22" t="s">
        <v>218</v>
      </c>
      <c r="DY51" s="22" t="s">
        <v>218</v>
      </c>
      <c r="DZ51" s="22" t="s">
        <v>218</v>
      </c>
      <c r="EA51" s="22" t="s">
        <v>218</v>
      </c>
      <c r="EB51" s="22" t="s">
        <v>218</v>
      </c>
      <c r="EC51" s="22" t="s">
        <v>218</v>
      </c>
      <c r="ED51" s="22" t="s">
        <v>218</v>
      </c>
      <c r="EE51" s="22" t="s">
        <v>218</v>
      </c>
      <c r="EF51" s="22" t="s">
        <v>218</v>
      </c>
      <c r="EG51" s="22" t="s">
        <v>218</v>
      </c>
      <c r="EH51" s="22" t="s">
        <v>218</v>
      </c>
      <c r="EI51" s="22" t="s">
        <v>218</v>
      </c>
      <c r="EJ51" s="22" t="s">
        <v>218</v>
      </c>
      <c r="EK51" s="22" t="s">
        <v>218</v>
      </c>
      <c r="EL51" s="22" t="s">
        <v>218</v>
      </c>
      <c r="EM51" s="22" t="s">
        <v>218</v>
      </c>
      <c r="EN51" s="22" t="s">
        <v>218</v>
      </c>
      <c r="EO51" s="22" t="s">
        <v>218</v>
      </c>
      <c r="EP51" s="22" t="s">
        <v>218</v>
      </c>
      <c r="EQ51" s="22" t="s">
        <v>218</v>
      </c>
      <c r="ER51" s="22" t="s">
        <v>218</v>
      </c>
      <c r="ES51" s="22" t="s">
        <v>218</v>
      </c>
      <c r="ET51" s="22" t="s">
        <v>218</v>
      </c>
      <c r="EU51" s="22" t="s">
        <v>218</v>
      </c>
      <c r="EV51" s="22" t="s">
        <v>218</v>
      </c>
      <c r="EW51" s="22" t="s">
        <v>218</v>
      </c>
      <c r="EX51" s="22" t="s">
        <v>218</v>
      </c>
      <c r="EY51" s="22" t="s">
        <v>218</v>
      </c>
      <c r="EZ51" s="22" t="s">
        <v>218</v>
      </c>
      <c r="FA51" s="22" t="s">
        <v>218</v>
      </c>
      <c r="FB51" s="22" t="s">
        <v>218</v>
      </c>
      <c r="FC51" s="22" t="s">
        <v>218</v>
      </c>
      <c r="FD51" s="22" t="s">
        <v>218</v>
      </c>
      <c r="FE51" s="22" t="s">
        <v>218</v>
      </c>
      <c r="FF51" s="22" t="s">
        <v>218</v>
      </c>
      <c r="FG51" s="22" t="s">
        <v>218</v>
      </c>
      <c r="FH51" s="22" t="s">
        <v>218</v>
      </c>
      <c r="FI51" s="22" t="s">
        <v>218</v>
      </c>
      <c r="FJ51" s="22" t="s">
        <v>218</v>
      </c>
      <c r="FK51" s="22" t="s">
        <v>218</v>
      </c>
      <c r="FL51" s="22" t="s">
        <v>218</v>
      </c>
      <c r="FM51" s="22" t="s">
        <v>218</v>
      </c>
      <c r="FN51" s="22" t="s">
        <v>218</v>
      </c>
      <c r="FO51" s="22" t="s">
        <v>218</v>
      </c>
      <c r="FP51" s="22" t="s">
        <v>218</v>
      </c>
      <c r="FQ51" s="22" t="s">
        <v>218</v>
      </c>
      <c r="FR51" s="22" t="s">
        <v>218</v>
      </c>
      <c r="FS51" s="22" t="s">
        <v>218</v>
      </c>
      <c r="FT51" s="22" t="s">
        <v>218</v>
      </c>
      <c r="FU51" s="22" t="s">
        <v>218</v>
      </c>
      <c r="FV51" s="22" t="s">
        <v>218</v>
      </c>
      <c r="FW51" s="22" t="s">
        <v>218</v>
      </c>
      <c r="FX51" s="22" t="s">
        <v>218</v>
      </c>
      <c r="FY51" s="22" t="s">
        <v>218</v>
      </c>
      <c r="FZ51" s="22" t="s">
        <v>218</v>
      </c>
      <c r="GA51" s="22" t="s">
        <v>218</v>
      </c>
      <c r="GB51" s="22" t="s">
        <v>218</v>
      </c>
      <c r="GC51" s="22" t="s">
        <v>218</v>
      </c>
      <c r="GD51" s="22" t="s">
        <v>218</v>
      </c>
      <c r="GE51" s="22" t="s">
        <v>218</v>
      </c>
      <c r="GF51" s="22" t="s">
        <v>218</v>
      </c>
      <c r="GG51" s="22" t="s">
        <v>218</v>
      </c>
      <c r="GH51" s="22" t="s">
        <v>218</v>
      </c>
      <c r="GI51" s="22" t="s">
        <v>218</v>
      </c>
      <c r="GJ51" s="22" t="s">
        <v>218</v>
      </c>
      <c r="GK51" s="22" t="s">
        <v>218</v>
      </c>
      <c r="GL51" s="22" t="s">
        <v>218</v>
      </c>
      <c r="GM51" s="22" t="s">
        <v>218</v>
      </c>
      <c r="GN51" s="22" t="s">
        <v>218</v>
      </c>
      <c r="GO51" s="22" t="s">
        <v>218</v>
      </c>
      <c r="GP51" s="22" t="s">
        <v>218</v>
      </c>
      <c r="GQ51" s="22" t="s">
        <v>218</v>
      </c>
      <c r="GR51" s="22" t="s">
        <v>218</v>
      </c>
      <c r="GS51" s="22" t="s">
        <v>218</v>
      </c>
      <c r="GT51" s="22" t="s">
        <v>218</v>
      </c>
      <c r="GU51" s="22" t="s">
        <v>218</v>
      </c>
      <c r="GV51" s="22" t="s">
        <v>218</v>
      </c>
      <c r="GW51" s="22" t="s">
        <v>218</v>
      </c>
      <c r="GX51" s="22" t="s">
        <v>218</v>
      </c>
      <c r="GY51" s="22" t="s">
        <v>218</v>
      </c>
      <c r="GZ51" s="22" t="s">
        <v>218</v>
      </c>
      <c r="HA51" s="22" t="s">
        <v>218</v>
      </c>
      <c r="HB51" s="22" t="s">
        <v>218</v>
      </c>
      <c r="HC51" s="22" t="s">
        <v>218</v>
      </c>
      <c r="HD51" s="22" t="s">
        <v>218</v>
      </c>
      <c r="HE51" s="22" t="s">
        <v>218</v>
      </c>
      <c r="HF51" s="22" t="s">
        <v>218</v>
      </c>
      <c r="HG51" s="22" t="s">
        <v>218</v>
      </c>
      <c r="HH51" s="22" t="s">
        <v>218</v>
      </c>
      <c r="HI51" s="22" t="s">
        <v>218</v>
      </c>
      <c r="HJ51" s="22" t="s">
        <v>218</v>
      </c>
      <c r="HK51" s="22" t="s">
        <v>218</v>
      </c>
      <c r="HL51" s="22" t="s">
        <v>218</v>
      </c>
      <c r="HM51" s="860"/>
      <c r="HN51" s="860"/>
      <c r="HO51" s="860"/>
      <c r="HP51" s="860"/>
      <c r="HQ51" s="860"/>
      <c r="HR51" s="860"/>
      <c r="HS51" s="860"/>
      <c r="HT51" s="145"/>
      <c r="HU51" s="145" t="s">
        <v>1809</v>
      </c>
      <c r="HV51" s="22" t="s">
        <v>1926</v>
      </c>
      <c r="HW51" s="22">
        <v>0</v>
      </c>
      <c r="HX51" s="22">
        <v>0</v>
      </c>
      <c r="HY51" s="22">
        <v>0</v>
      </c>
      <c r="HZ51" s="19"/>
      <c r="IA51" s="19"/>
      <c r="IB51" s="621">
        <f>'background data'!$G$10</f>
        <v>0.47300000000000003</v>
      </c>
      <c r="IC51" s="621">
        <f>'background data'!$H$10</f>
        <v>0.13</v>
      </c>
      <c r="ID51" s="621">
        <f>'background data'!$J$10</f>
        <v>0.39100000000000001</v>
      </c>
      <c r="IE51" s="621">
        <f>'background data'!$L$10</f>
        <v>5.5E-2</v>
      </c>
      <c r="IF51" s="621">
        <f>'background data'!$M$10</f>
        <v>3.97</v>
      </c>
      <c r="IG51" s="621">
        <f>'background data'!$N$10</f>
        <v>4.5999999999999999E-3</v>
      </c>
      <c r="IH51" s="621">
        <f>'background data'!$O$10</f>
        <v>2.73</v>
      </c>
      <c r="II51" s="145"/>
      <c r="IJ51" s="145"/>
      <c r="IK51" s="145"/>
      <c r="IL51" s="145"/>
      <c r="IM51" s="145"/>
      <c r="IN51" s="145"/>
      <c r="IO51" s="145"/>
      <c r="IP51" s="145"/>
      <c r="IQ51" s="145"/>
      <c r="IR51" s="145"/>
      <c r="IS51" s="145"/>
      <c r="IT51" s="145"/>
      <c r="IU51" s="145"/>
      <c r="IV51" s="145"/>
      <c r="IW51" s="145"/>
      <c r="IX51" s="145"/>
      <c r="IY51" s="145"/>
      <c r="IZ51" s="145"/>
      <c r="JA51" s="145"/>
      <c r="JB51" s="145"/>
      <c r="JC51" s="145"/>
      <c r="JD51" s="145"/>
      <c r="JE51" s="145"/>
      <c r="JF51" s="145"/>
      <c r="JG51" s="145"/>
      <c r="JH51" s="145"/>
      <c r="JI51" s="145"/>
      <c r="JJ51" s="145"/>
      <c r="JK51" s="145"/>
      <c r="JL51" s="145"/>
      <c r="JM51" s="145"/>
      <c r="JN51" s="145"/>
      <c r="JO51" s="145"/>
      <c r="JP51" s="145"/>
      <c r="JQ51" s="145"/>
      <c r="JR51" s="145"/>
      <c r="JS51" s="145"/>
      <c r="JT51" s="145"/>
      <c r="JU51" s="145"/>
      <c r="JV51" s="145"/>
      <c r="JW51" s="145"/>
      <c r="JX51" s="145"/>
      <c r="JY51" s="145"/>
      <c r="JZ51" s="145"/>
      <c r="KA51" s="145"/>
      <c r="KB51" s="145"/>
      <c r="KC51" s="145"/>
      <c r="KD51" s="145"/>
      <c r="KE51" s="145"/>
      <c r="KF51" s="145"/>
      <c r="KG51" s="145"/>
      <c r="KH51" s="145"/>
      <c r="KI51" s="145"/>
      <c r="KJ51" s="145"/>
      <c r="KK51" s="145"/>
      <c r="KL51" s="145"/>
      <c r="KM51" s="145"/>
      <c r="KN51" s="145"/>
      <c r="KO51" s="145"/>
      <c r="KP51" s="145"/>
      <c r="KQ51" s="145"/>
      <c r="KR51" s="145"/>
      <c r="KS51" s="145"/>
      <c r="KT51" s="145"/>
      <c r="KU51" s="145"/>
      <c r="KV51" s="145"/>
      <c r="KW51" s="145"/>
      <c r="KX51" s="145"/>
      <c r="KY51" s="145"/>
      <c r="KZ51" s="145"/>
      <c r="LA51" s="145"/>
      <c r="LB51" s="145"/>
      <c r="LC51" s="145"/>
      <c r="LD51" s="145"/>
      <c r="LE51" s="145"/>
      <c r="LF51" s="145"/>
      <c r="LG51" s="145"/>
      <c r="LH51" s="145"/>
      <c r="LI51" s="145"/>
      <c r="LJ51" s="145"/>
      <c r="LK51" s="145"/>
      <c r="LL51" s="145"/>
      <c r="LM51" s="145"/>
      <c r="LN51" s="145"/>
      <c r="LO51" s="145"/>
      <c r="LP51" s="145"/>
      <c r="LQ51" s="145"/>
      <c r="LR51" s="145"/>
      <c r="LS51" s="145"/>
      <c r="LT51" s="145"/>
      <c r="LU51" s="145"/>
      <c r="LV51" s="145"/>
      <c r="LW51" s="145"/>
      <c r="LX51" s="145"/>
      <c r="LY51" s="145"/>
      <c r="LZ51" s="145"/>
      <c r="MA51" s="145"/>
      <c r="MB51" s="145"/>
      <c r="MC51" s="145"/>
      <c r="MD51" s="145"/>
      <c r="ME51" s="145"/>
      <c r="MF51" s="145"/>
      <c r="MG51" s="145"/>
      <c r="MH51" s="145"/>
      <c r="MI51" s="145"/>
      <c r="MJ51" s="145"/>
      <c r="MK51" s="145"/>
      <c r="ML51" s="145"/>
      <c r="MM51" s="145"/>
      <c r="MN51" s="145"/>
      <c r="MO51" s="145"/>
      <c r="MP51" s="145"/>
      <c r="MQ51" s="145"/>
      <c r="MR51" s="145"/>
      <c r="MS51" s="145"/>
      <c r="MT51" s="145"/>
      <c r="MU51" s="145"/>
      <c r="MV51" s="145"/>
      <c r="MW51" s="145"/>
      <c r="MX51" s="145"/>
      <c r="MY51" s="145"/>
      <c r="MZ51" s="145"/>
      <c r="NA51" s="145"/>
      <c r="NB51" s="145"/>
      <c r="NC51" s="145"/>
      <c r="ND51" s="145"/>
      <c r="NE51" s="145"/>
      <c r="NF51" s="145"/>
      <c r="NG51" s="145"/>
      <c r="NH51" s="145"/>
      <c r="NI51" s="145"/>
      <c r="NJ51" s="145"/>
      <c r="NK51" s="145"/>
      <c r="NL51" s="145"/>
      <c r="NM51" s="145"/>
      <c r="NN51" s="145"/>
      <c r="NO51" s="145"/>
      <c r="NP51" s="145"/>
      <c r="NQ51" s="145"/>
      <c r="NR51" s="145"/>
      <c r="NS51" s="145"/>
    </row>
    <row r="52" spans="1:383" s="16" customFormat="1" ht="15" customHeight="1" x14ac:dyDescent="0.2">
      <c r="A52" s="15">
        <v>58600</v>
      </c>
      <c r="B52" s="25">
        <v>586</v>
      </c>
      <c r="C52" s="26">
        <v>0</v>
      </c>
      <c r="D52" s="20" t="s">
        <v>283</v>
      </c>
      <c r="E52" s="14">
        <v>42698</v>
      </c>
      <c r="F52" s="18">
        <v>0.816414869054648</v>
      </c>
      <c r="G52" s="18">
        <v>0.86143758411910198</v>
      </c>
      <c r="H52" s="21">
        <v>78.900000000000006</v>
      </c>
      <c r="I52" s="21">
        <v>64.699972500000001</v>
      </c>
      <c r="J52" s="21">
        <v>86</v>
      </c>
      <c r="K52" s="18">
        <v>1</v>
      </c>
      <c r="L52" s="18">
        <v>88.3</v>
      </c>
      <c r="M52" s="18">
        <v>29.668800000000001</v>
      </c>
      <c r="N52" s="18">
        <v>4.5915999999999997</v>
      </c>
      <c r="O52" s="18">
        <v>6.9756999999999998</v>
      </c>
      <c r="P52" s="18" t="s">
        <v>217</v>
      </c>
      <c r="Q52" s="19"/>
      <c r="R52" s="18">
        <v>72.5</v>
      </c>
      <c r="S52" s="18">
        <v>27</v>
      </c>
      <c r="T52" s="18">
        <v>40</v>
      </c>
      <c r="U52" s="18">
        <v>45</v>
      </c>
      <c r="V52" s="18">
        <v>50</v>
      </c>
      <c r="W52" s="18">
        <v>53</v>
      </c>
      <c r="X52" s="18"/>
      <c r="Y52" s="18">
        <v>7.0000000000000009</v>
      </c>
      <c r="Z52" s="18">
        <v>10.4</v>
      </c>
      <c r="AA52" s="18">
        <v>1.1000000000000001</v>
      </c>
      <c r="AB52" s="18" t="s">
        <v>217</v>
      </c>
      <c r="AC52" s="18">
        <v>15.799999999999999</v>
      </c>
      <c r="AD52" s="18">
        <v>5.3000000000000007</v>
      </c>
      <c r="AE52" s="18">
        <v>6.2</v>
      </c>
      <c r="AF52" s="18">
        <v>481.00000000000006</v>
      </c>
      <c r="AG52" s="18">
        <v>12.999999999999998</v>
      </c>
      <c r="AH52" s="18">
        <v>69</v>
      </c>
      <c r="AI52" s="18">
        <v>79.000000000000014</v>
      </c>
      <c r="AJ52" s="18">
        <v>0</v>
      </c>
      <c r="AK52" s="18">
        <v>7.9999999999999988E-2</v>
      </c>
      <c r="AL52" s="18"/>
      <c r="AM52" s="18">
        <v>4.9404761904761898</v>
      </c>
      <c r="AN52" s="18">
        <v>1.9047619047619</v>
      </c>
      <c r="AO52" s="18">
        <v>2.2023809523809499</v>
      </c>
      <c r="AP52" s="18">
        <v>4.375</v>
      </c>
      <c r="AQ52" s="18">
        <v>1.36904761904762</v>
      </c>
      <c r="AR52" s="18">
        <v>3.8095238095238102</v>
      </c>
      <c r="AS52" s="18">
        <v>6.7559523809523796</v>
      </c>
      <c r="AT52" s="18">
        <v>2.6488095238095202</v>
      </c>
      <c r="AU52" s="18">
        <v>4.0178571428571397</v>
      </c>
      <c r="AV52" s="18">
        <v>3.3630952380952399</v>
      </c>
      <c r="AW52" s="18">
        <v>4.8214285714285703</v>
      </c>
      <c r="AX52" s="18"/>
      <c r="AY52" s="18">
        <v>0.91</v>
      </c>
      <c r="AZ52" s="18">
        <v>1.19</v>
      </c>
      <c r="BA52" s="18">
        <v>0.99</v>
      </c>
      <c r="BB52" s="18">
        <v>1</v>
      </c>
      <c r="BC52" s="18">
        <v>1.21</v>
      </c>
      <c r="BD52" s="18">
        <v>1.05</v>
      </c>
      <c r="BE52" s="18">
        <v>1.1100000000000001</v>
      </c>
      <c r="BF52" s="18">
        <v>1.1299999999999999</v>
      </c>
      <c r="BG52" s="18">
        <v>1.1299999999999999</v>
      </c>
      <c r="BH52" s="18">
        <v>1.0900000000000001</v>
      </c>
      <c r="BI52" s="18">
        <v>1.01</v>
      </c>
      <c r="BJ52" s="19"/>
      <c r="BK52" s="18">
        <v>33.6</v>
      </c>
      <c r="BL52" s="18">
        <v>5.2</v>
      </c>
      <c r="BM52" s="18">
        <v>7.8999999999999995</v>
      </c>
      <c r="BN52" s="18" t="s">
        <v>217</v>
      </c>
      <c r="BO52" s="18"/>
      <c r="BP52" s="18">
        <v>116</v>
      </c>
      <c r="BQ52" s="18">
        <v>60.320000000000007</v>
      </c>
      <c r="BR52" s="18">
        <v>0.92459215068476563</v>
      </c>
      <c r="BS52" s="18">
        <v>0.97558050296614041</v>
      </c>
      <c r="BT52" s="19"/>
      <c r="BU52" s="18">
        <v>921.00000000000011</v>
      </c>
      <c r="BV52" s="18">
        <v>183.63720960714272</v>
      </c>
      <c r="BW52" s="18">
        <v>186.8317903928573</v>
      </c>
      <c r="BX52" s="18" t="s">
        <v>217</v>
      </c>
      <c r="BY52" s="18" t="s">
        <v>217</v>
      </c>
      <c r="BZ52" s="18">
        <v>49.884418558928537</v>
      </c>
      <c r="CA52" s="18">
        <v>282.67837183392754</v>
      </c>
      <c r="CB52" s="19"/>
      <c r="CC52" s="19">
        <v>6.1810000000000009</v>
      </c>
      <c r="CD52" s="19">
        <v>9.1832000000000011</v>
      </c>
      <c r="CE52" s="19">
        <v>0.97130000000000005</v>
      </c>
      <c r="CF52" s="19" t="s">
        <v>217</v>
      </c>
      <c r="CG52" s="19">
        <v>13.9514</v>
      </c>
      <c r="CH52" s="19">
        <v>4.6799000000000008</v>
      </c>
      <c r="CI52" s="19">
        <v>5.4746000000000006</v>
      </c>
      <c r="CJ52" s="19"/>
      <c r="CK52" s="19">
        <v>424.72300000000007</v>
      </c>
      <c r="CL52" s="19">
        <v>11.478999999999999</v>
      </c>
      <c r="CM52" s="19">
        <v>60.927</v>
      </c>
      <c r="CN52" s="19">
        <v>69.757000000000019</v>
      </c>
      <c r="CO52" s="19">
        <v>0</v>
      </c>
      <c r="CP52" s="19">
        <v>7.0639999999999994E-2</v>
      </c>
      <c r="CQ52" s="19">
        <v>215.09880000000001</v>
      </c>
      <c r="CR52" s="19">
        <v>263.46751896994425</v>
      </c>
      <c r="CS52" s="19">
        <v>11.845060540357077</v>
      </c>
      <c r="CT52" s="19">
        <v>5.9719304299853899</v>
      </c>
      <c r="CU52" s="19">
        <v>5.7445328689696646</v>
      </c>
      <c r="CV52" s="19">
        <v>11.716463298955055</v>
      </c>
      <c r="CW52" s="19">
        <v>11.52670395493506</v>
      </c>
      <c r="CX52" s="19">
        <v>4.3644649124604449</v>
      </c>
      <c r="CY52" s="19">
        <v>10.538700758797768</v>
      </c>
      <c r="CZ52" s="19">
        <v>19.757711534183585</v>
      </c>
      <c r="DA52" s="19">
        <v>7.8859905901212057</v>
      </c>
      <c r="DB52" s="19">
        <v>11.961895838947902</v>
      </c>
      <c r="DC52" s="19">
        <v>9.6581233070023895</v>
      </c>
      <c r="DD52" s="19">
        <v>21.620019145950302</v>
      </c>
      <c r="DE52" s="19">
        <v>12.82992721841139</v>
      </c>
      <c r="DF52" s="23">
        <v>0</v>
      </c>
      <c r="DG52" s="23">
        <v>0</v>
      </c>
      <c r="DH52" s="23">
        <v>0</v>
      </c>
      <c r="DI52" s="19">
        <v>0</v>
      </c>
      <c r="DJ52" s="19">
        <v>0</v>
      </c>
      <c r="DK52" s="19">
        <v>0</v>
      </c>
      <c r="DL52" s="19">
        <v>0</v>
      </c>
      <c r="DM52" s="19">
        <v>0</v>
      </c>
      <c r="DN52" s="19">
        <v>0</v>
      </c>
      <c r="DO52" s="19">
        <v>0</v>
      </c>
      <c r="DP52" s="19">
        <v>0</v>
      </c>
      <c r="DQ52" s="19">
        <v>0</v>
      </c>
      <c r="DR52" s="19">
        <v>0</v>
      </c>
      <c r="DS52" s="19">
        <v>0</v>
      </c>
      <c r="DT52" s="19">
        <v>0</v>
      </c>
      <c r="DU52" s="19">
        <v>0</v>
      </c>
      <c r="DV52" s="19">
        <v>0</v>
      </c>
      <c r="DW52" s="17" t="s">
        <v>218</v>
      </c>
      <c r="DX52" s="22">
        <v>8</v>
      </c>
      <c r="DY52" s="22">
        <v>8</v>
      </c>
      <c r="DZ52" s="22">
        <v>8</v>
      </c>
      <c r="EA52" s="22">
        <v>8</v>
      </c>
      <c r="EB52" s="22" t="s">
        <v>218</v>
      </c>
      <c r="EC52" s="22">
        <v>8</v>
      </c>
      <c r="ED52" s="22">
        <v>8</v>
      </c>
      <c r="EE52" s="22" t="s">
        <v>218</v>
      </c>
      <c r="EF52" s="22">
        <v>8</v>
      </c>
      <c r="EG52" s="22">
        <v>8</v>
      </c>
      <c r="EH52" s="22">
        <v>4</v>
      </c>
      <c r="EI52" s="22">
        <v>4</v>
      </c>
      <c r="EJ52" s="22">
        <v>4</v>
      </c>
      <c r="EK52" s="22">
        <v>4</v>
      </c>
      <c r="EL52" s="22">
        <v>4</v>
      </c>
      <c r="EM52" s="22">
        <v>4</v>
      </c>
      <c r="EN52" s="22">
        <v>4</v>
      </c>
      <c r="EO52" s="22">
        <v>4</v>
      </c>
      <c r="EP52" s="22">
        <v>4</v>
      </c>
      <c r="EQ52" s="22">
        <v>4</v>
      </c>
      <c r="ER52" s="22">
        <v>4</v>
      </c>
      <c r="ES52" s="22">
        <v>4</v>
      </c>
      <c r="ET52" s="22">
        <v>4</v>
      </c>
      <c r="EU52" s="22">
        <v>4</v>
      </c>
      <c r="EV52" s="22" t="s">
        <v>218</v>
      </c>
      <c r="EW52" s="22">
        <v>4</v>
      </c>
      <c r="EX52" s="22">
        <v>4</v>
      </c>
      <c r="EY52" s="22">
        <v>4</v>
      </c>
      <c r="EZ52" s="22">
        <v>4</v>
      </c>
      <c r="FA52" s="22">
        <v>4</v>
      </c>
      <c r="FB52" s="22">
        <v>4</v>
      </c>
      <c r="FC52" s="22">
        <v>4</v>
      </c>
      <c r="FD52" s="22" t="s">
        <v>218</v>
      </c>
      <c r="FE52" s="22">
        <v>4</v>
      </c>
      <c r="FF52" s="22">
        <v>2.7</v>
      </c>
      <c r="FG52" s="22">
        <v>1.4</v>
      </c>
      <c r="FH52" s="22">
        <v>0.1</v>
      </c>
      <c r="FI52" s="22">
        <v>0.1</v>
      </c>
      <c r="FJ52" s="22" t="s">
        <v>218</v>
      </c>
      <c r="FK52" s="22">
        <v>0.6</v>
      </c>
      <c r="FL52" s="22">
        <v>1.3</v>
      </c>
      <c r="FM52" s="22" t="s">
        <v>218</v>
      </c>
      <c r="FN52" s="22">
        <v>2.1</v>
      </c>
      <c r="FO52" s="22">
        <v>1.6</v>
      </c>
      <c r="FP52" s="22">
        <v>9.8000000000000007</v>
      </c>
      <c r="FQ52" s="22">
        <v>6.7</v>
      </c>
      <c r="FR52" s="22">
        <v>4.9000000000000004</v>
      </c>
      <c r="FS52" s="22">
        <v>5.4</v>
      </c>
      <c r="FT52" s="22">
        <v>6</v>
      </c>
      <c r="FU52" s="22">
        <v>4.4000000000000004</v>
      </c>
      <c r="FV52" s="22">
        <v>4.5</v>
      </c>
      <c r="FW52" s="22">
        <v>6.3</v>
      </c>
      <c r="FX52" s="22">
        <v>4.5999999999999996</v>
      </c>
      <c r="FY52" s="22">
        <v>4.5</v>
      </c>
      <c r="FZ52" s="22">
        <v>4.5</v>
      </c>
      <c r="GA52" s="22">
        <v>0.6</v>
      </c>
      <c r="GB52" s="22">
        <v>0.9</v>
      </c>
      <c r="GC52" s="22">
        <v>0.2</v>
      </c>
      <c r="GD52" s="22" t="s">
        <v>218</v>
      </c>
      <c r="GE52" s="22">
        <v>1.2</v>
      </c>
      <c r="GF52" s="22">
        <v>0.4</v>
      </c>
      <c r="GG52" s="22">
        <v>0.8</v>
      </c>
      <c r="GH52" s="22">
        <v>56</v>
      </c>
      <c r="GI52" s="22">
        <v>2.6</v>
      </c>
      <c r="GJ52" s="22">
        <v>7.4</v>
      </c>
      <c r="GK52" s="22">
        <v>7.8</v>
      </c>
      <c r="GL52" s="22" t="s">
        <v>218</v>
      </c>
      <c r="GM52" s="22">
        <v>0.02</v>
      </c>
      <c r="GN52" s="22">
        <v>2013</v>
      </c>
      <c r="GO52" s="22">
        <v>2013</v>
      </c>
      <c r="GP52" s="22">
        <v>2013</v>
      </c>
      <c r="GQ52" s="22">
        <v>2013</v>
      </c>
      <c r="GR52" s="22" t="s">
        <v>218</v>
      </c>
      <c r="GS52" s="22">
        <v>2013</v>
      </c>
      <c r="GT52" s="22">
        <v>2013</v>
      </c>
      <c r="GU52" s="22" t="s">
        <v>218</v>
      </c>
      <c r="GV52" s="22">
        <v>2013</v>
      </c>
      <c r="GW52" s="22">
        <v>2013</v>
      </c>
      <c r="GX52" s="22">
        <v>2013</v>
      </c>
      <c r="GY52" s="22">
        <v>2013</v>
      </c>
      <c r="GZ52" s="22">
        <v>2013</v>
      </c>
      <c r="HA52" s="22">
        <v>2013</v>
      </c>
      <c r="HB52" s="22">
        <v>2013</v>
      </c>
      <c r="HC52" s="22">
        <v>2013</v>
      </c>
      <c r="HD52" s="22">
        <v>2013</v>
      </c>
      <c r="HE52" s="22">
        <v>2013</v>
      </c>
      <c r="HF52" s="22">
        <v>2013</v>
      </c>
      <c r="HG52" s="22">
        <v>2013</v>
      </c>
      <c r="HH52" s="22">
        <v>2013</v>
      </c>
      <c r="HI52" s="22">
        <v>2013</v>
      </c>
      <c r="HJ52" s="22">
        <v>2013</v>
      </c>
      <c r="HK52" s="22">
        <v>2013</v>
      </c>
      <c r="HL52" s="22" t="s">
        <v>218</v>
      </c>
      <c r="HM52" s="860"/>
      <c r="HN52" s="860"/>
      <c r="HO52" s="860"/>
      <c r="HP52" s="860"/>
      <c r="HQ52" s="860"/>
      <c r="HR52" s="860"/>
      <c r="HS52" s="860"/>
      <c r="HT52" s="145"/>
      <c r="HU52" s="145" t="s">
        <v>1809</v>
      </c>
      <c r="HV52" s="22" t="s">
        <v>1926</v>
      </c>
      <c r="HW52" s="22" t="s">
        <v>284</v>
      </c>
      <c r="HX52" s="22" t="s">
        <v>285</v>
      </c>
      <c r="HY52" s="22">
        <v>0</v>
      </c>
      <c r="HZ52" s="19"/>
      <c r="IA52" s="19"/>
      <c r="IB52" s="621">
        <f>'background data'!$G$10</f>
        <v>0.47300000000000003</v>
      </c>
      <c r="IC52" s="621">
        <f>'background data'!$H$10</f>
        <v>0.13</v>
      </c>
      <c r="ID52" s="621">
        <f>'background data'!$J$10</f>
        <v>0.39100000000000001</v>
      </c>
      <c r="IE52" s="621">
        <f>'background data'!$L$10</f>
        <v>5.5E-2</v>
      </c>
      <c r="IF52" s="621">
        <f>'background data'!$M$10</f>
        <v>3.97</v>
      </c>
      <c r="IG52" s="621">
        <f>'background data'!$N$10</f>
        <v>4.5999999999999999E-3</v>
      </c>
      <c r="IH52" s="621">
        <f>'background data'!$O$10</f>
        <v>2.73</v>
      </c>
      <c r="II52" s="145"/>
      <c r="IJ52" s="145"/>
      <c r="IK52" s="145"/>
      <c r="IL52" s="145"/>
      <c r="IM52" s="145"/>
      <c r="IN52" s="145"/>
      <c r="IO52" s="145"/>
      <c r="IP52" s="145"/>
      <c r="IQ52" s="145"/>
      <c r="IR52" s="145"/>
      <c r="IS52" s="145"/>
      <c r="IT52" s="145"/>
      <c r="IU52" s="145"/>
      <c r="IV52" s="145"/>
      <c r="IW52" s="145"/>
      <c r="IX52" s="145"/>
      <c r="IY52" s="145"/>
      <c r="IZ52" s="145"/>
      <c r="JA52" s="145"/>
      <c r="JB52" s="145"/>
      <c r="JC52" s="145"/>
      <c r="JD52" s="145"/>
      <c r="JE52" s="145"/>
      <c r="JF52" s="145"/>
      <c r="JG52" s="145"/>
      <c r="JH52" s="145"/>
      <c r="JI52" s="145"/>
      <c r="JJ52" s="145"/>
      <c r="JK52" s="145"/>
      <c r="JL52" s="145"/>
      <c r="JM52" s="145"/>
      <c r="JN52" s="145"/>
      <c r="JO52" s="145"/>
      <c r="JP52" s="145"/>
      <c r="JQ52" s="145"/>
      <c r="JR52" s="145"/>
      <c r="JS52" s="145"/>
      <c r="JT52" s="145"/>
      <c r="JU52" s="145"/>
      <c r="JV52" s="145"/>
      <c r="JW52" s="145"/>
      <c r="JX52" s="145"/>
      <c r="JY52" s="145"/>
      <c r="JZ52" s="145"/>
      <c r="KA52" s="145"/>
      <c r="KB52" s="145"/>
      <c r="KC52" s="145"/>
      <c r="KD52" s="145"/>
      <c r="KE52" s="145"/>
      <c r="KF52" s="145"/>
      <c r="KG52" s="145"/>
      <c r="KH52" s="145"/>
      <c r="KI52" s="145"/>
      <c r="KJ52" s="145"/>
      <c r="KK52" s="145"/>
      <c r="KL52" s="145"/>
      <c r="KM52" s="145"/>
      <c r="KN52" s="145"/>
      <c r="KO52" s="145"/>
      <c r="KP52" s="145"/>
      <c r="KQ52" s="145"/>
      <c r="KR52" s="145"/>
      <c r="KS52" s="145"/>
      <c r="KT52" s="145"/>
      <c r="KU52" s="145"/>
      <c r="KV52" s="145"/>
      <c r="KW52" s="145"/>
      <c r="KX52" s="145"/>
      <c r="KY52" s="145"/>
      <c r="KZ52" s="145"/>
      <c r="LA52" s="145"/>
      <c r="LB52" s="145"/>
      <c r="LC52" s="145"/>
      <c r="LD52" s="145"/>
      <c r="LE52" s="145"/>
      <c r="LF52" s="145"/>
      <c r="LG52" s="145"/>
      <c r="LH52" s="145"/>
      <c r="LI52" s="145"/>
      <c r="LJ52" s="145"/>
      <c r="LK52" s="145"/>
      <c r="LL52" s="145"/>
      <c r="LM52" s="145"/>
      <c r="LN52" s="145"/>
      <c r="LO52" s="145"/>
      <c r="LP52" s="145"/>
      <c r="LQ52" s="145"/>
      <c r="LR52" s="145"/>
      <c r="LS52" s="145"/>
      <c r="LT52" s="145"/>
      <c r="LU52" s="145"/>
      <c r="LV52" s="145"/>
      <c r="LW52" s="145"/>
      <c r="LX52" s="145"/>
      <c r="LY52" s="145"/>
      <c r="LZ52" s="145"/>
      <c r="MA52" s="145"/>
      <c r="MB52" s="145"/>
      <c r="MC52" s="145"/>
      <c r="MD52" s="145"/>
      <c r="ME52" s="145"/>
      <c r="MF52" s="145"/>
      <c r="MG52" s="145"/>
      <c r="MH52" s="145"/>
      <c r="MI52" s="145"/>
      <c r="MJ52" s="145"/>
      <c r="MK52" s="145"/>
      <c r="ML52" s="145"/>
      <c r="MM52" s="145"/>
      <c r="MN52" s="145"/>
      <c r="MO52" s="145"/>
      <c r="MP52" s="145"/>
      <c r="MQ52" s="145"/>
      <c r="MR52" s="145"/>
      <c r="MS52" s="145"/>
      <c r="MT52" s="145"/>
      <c r="MU52" s="145"/>
      <c r="MV52" s="145"/>
      <c r="MW52" s="145"/>
      <c r="MX52" s="145"/>
      <c r="MY52" s="145"/>
      <c r="MZ52" s="145"/>
      <c r="NA52" s="145"/>
      <c r="NB52" s="145"/>
      <c r="NC52" s="145"/>
      <c r="ND52" s="145"/>
      <c r="NE52" s="145"/>
      <c r="NF52" s="145"/>
      <c r="NG52" s="145"/>
      <c r="NH52" s="145"/>
      <c r="NI52" s="145"/>
      <c r="NJ52" s="145"/>
      <c r="NK52" s="145"/>
      <c r="NL52" s="145"/>
      <c r="NM52" s="145"/>
      <c r="NN52" s="145"/>
      <c r="NO52" s="145"/>
      <c r="NP52" s="145"/>
      <c r="NQ52" s="145"/>
      <c r="NR52" s="145"/>
      <c r="NS52" s="145"/>
    </row>
    <row r="53" spans="1:383" s="16" customFormat="1" ht="15" customHeight="1" x14ac:dyDescent="0.2">
      <c r="A53" s="15">
        <v>99920</v>
      </c>
      <c r="B53" s="25">
        <v>999</v>
      </c>
      <c r="C53" s="26">
        <v>20</v>
      </c>
      <c r="D53" s="20" t="s">
        <v>286</v>
      </c>
      <c r="E53" s="14">
        <v>40310</v>
      </c>
      <c r="F53" s="18">
        <v>1.1974318292682899</v>
      </c>
      <c r="G53" s="18">
        <v>1.14766842857143</v>
      </c>
      <c r="H53" s="21">
        <v>100</v>
      </c>
      <c r="I53" s="21">
        <v>100</v>
      </c>
      <c r="J53" s="21">
        <v>100</v>
      </c>
      <c r="K53" s="18">
        <v>1</v>
      </c>
      <c r="L53" s="18">
        <v>99</v>
      </c>
      <c r="M53" s="18">
        <v>52.47</v>
      </c>
      <c r="N53" s="18">
        <v>0</v>
      </c>
      <c r="O53" s="18">
        <v>15.048</v>
      </c>
      <c r="P53" s="18">
        <v>0</v>
      </c>
      <c r="Q53" s="19"/>
      <c r="R53" s="18">
        <v>100</v>
      </c>
      <c r="S53" s="18">
        <v>0</v>
      </c>
      <c r="T53" s="18">
        <v>0</v>
      </c>
      <c r="U53" s="18">
        <v>0</v>
      </c>
      <c r="V53" s="18">
        <v>0</v>
      </c>
      <c r="W53" s="18">
        <v>0</v>
      </c>
      <c r="X53" s="18"/>
      <c r="Y53" s="18">
        <v>0</v>
      </c>
      <c r="Z53" s="18">
        <v>0</v>
      </c>
      <c r="AA53" s="18">
        <v>0</v>
      </c>
      <c r="AB53" s="18">
        <v>0</v>
      </c>
      <c r="AC53" s="18">
        <v>0</v>
      </c>
      <c r="AD53" s="18">
        <v>0</v>
      </c>
      <c r="AE53" s="18">
        <v>0</v>
      </c>
      <c r="AF53" s="18">
        <v>0</v>
      </c>
      <c r="AG53" s="18">
        <v>0</v>
      </c>
      <c r="AH53" s="18">
        <v>0</v>
      </c>
      <c r="AI53" s="18">
        <v>0</v>
      </c>
      <c r="AJ53" s="18">
        <v>0</v>
      </c>
      <c r="AK53" s="18">
        <v>0</v>
      </c>
      <c r="AL53" s="18"/>
      <c r="AM53" s="18">
        <v>0</v>
      </c>
      <c r="AN53" s="18">
        <v>0</v>
      </c>
      <c r="AO53" s="18">
        <v>0</v>
      </c>
      <c r="AP53" s="18">
        <v>0</v>
      </c>
      <c r="AQ53" s="18">
        <v>0</v>
      </c>
      <c r="AR53" s="18">
        <v>0</v>
      </c>
      <c r="AS53" s="18">
        <v>0</v>
      </c>
      <c r="AT53" s="18">
        <v>0</v>
      </c>
      <c r="AU53" s="18">
        <v>188.67924500000001</v>
      </c>
      <c r="AV53" s="18">
        <v>0</v>
      </c>
      <c r="AW53" s="18">
        <v>0</v>
      </c>
      <c r="AX53" s="18"/>
      <c r="AY53" s="18">
        <v>1</v>
      </c>
      <c r="AZ53" s="18">
        <v>1</v>
      </c>
      <c r="BA53" s="18">
        <v>1</v>
      </c>
      <c r="BB53" s="18">
        <v>1</v>
      </c>
      <c r="BC53" s="18">
        <v>1</v>
      </c>
      <c r="BD53" s="18">
        <v>1</v>
      </c>
      <c r="BE53" s="18">
        <v>1</v>
      </c>
      <c r="BF53" s="18">
        <v>1</v>
      </c>
      <c r="BG53" s="18">
        <v>1</v>
      </c>
      <c r="BH53" s="18">
        <v>1</v>
      </c>
      <c r="BI53" s="18">
        <v>1</v>
      </c>
      <c r="BJ53" s="19"/>
      <c r="BK53" s="18">
        <v>53</v>
      </c>
      <c r="BL53" s="18">
        <v>0</v>
      </c>
      <c r="BM53" s="18">
        <v>15.2</v>
      </c>
      <c r="BN53" s="18">
        <v>0</v>
      </c>
      <c r="BO53" s="18"/>
      <c r="BP53" s="18">
        <v>0</v>
      </c>
      <c r="BQ53" s="18">
        <v>0</v>
      </c>
      <c r="BR53" s="18">
        <v>1.209527100271</v>
      </c>
      <c r="BS53" s="18">
        <v>1.1592610389610405</v>
      </c>
      <c r="BT53" s="19"/>
      <c r="BU53" s="18">
        <v>848</v>
      </c>
      <c r="BV53" s="18">
        <v>365.7</v>
      </c>
      <c r="BW53" s="18">
        <v>0</v>
      </c>
      <c r="BX53" s="18">
        <v>0</v>
      </c>
      <c r="BY53" s="18">
        <v>0</v>
      </c>
      <c r="BZ53" s="18" t="s">
        <v>217</v>
      </c>
      <c r="CA53" s="18" t="s">
        <v>217</v>
      </c>
      <c r="CB53" s="19"/>
      <c r="CC53" s="19">
        <v>0</v>
      </c>
      <c r="CD53" s="19">
        <v>0</v>
      </c>
      <c r="CE53" s="19">
        <v>0</v>
      </c>
      <c r="CF53" s="19">
        <v>0</v>
      </c>
      <c r="CG53" s="19">
        <v>0</v>
      </c>
      <c r="CH53" s="19">
        <v>0</v>
      </c>
      <c r="CI53" s="19">
        <v>0</v>
      </c>
      <c r="CJ53" s="19"/>
      <c r="CK53" s="19">
        <v>0</v>
      </c>
      <c r="CL53" s="19">
        <v>0</v>
      </c>
      <c r="CM53" s="19">
        <v>0</v>
      </c>
      <c r="CN53" s="19">
        <v>0</v>
      </c>
      <c r="CO53" s="19">
        <v>0</v>
      </c>
      <c r="CP53" s="19">
        <v>0</v>
      </c>
      <c r="CQ53" s="19">
        <v>524.70000000000005</v>
      </c>
      <c r="CR53" s="19">
        <v>438.18778420198373</v>
      </c>
      <c r="CS53" s="19">
        <v>0</v>
      </c>
      <c r="CT53" s="19">
        <v>0</v>
      </c>
      <c r="CU53" s="19">
        <v>0</v>
      </c>
      <c r="CV53" s="19">
        <v>0</v>
      </c>
      <c r="CW53" s="19">
        <v>0</v>
      </c>
      <c r="CX53" s="19">
        <v>0</v>
      </c>
      <c r="CY53" s="19">
        <v>0</v>
      </c>
      <c r="CZ53" s="19">
        <v>0</v>
      </c>
      <c r="DA53" s="19">
        <v>0</v>
      </c>
      <c r="DB53" s="19">
        <v>826.76940291453207</v>
      </c>
      <c r="DC53" s="19">
        <v>0</v>
      </c>
      <c r="DD53" s="19">
        <v>826.76940291453207</v>
      </c>
      <c r="DE53" s="19">
        <v>0</v>
      </c>
      <c r="DF53" s="23">
        <v>0</v>
      </c>
      <c r="DG53" s="23">
        <v>0</v>
      </c>
      <c r="DH53" s="23">
        <v>0</v>
      </c>
      <c r="DI53" s="19">
        <v>0</v>
      </c>
      <c r="DJ53" s="19">
        <v>0</v>
      </c>
      <c r="DK53" s="19">
        <v>0</v>
      </c>
      <c r="DL53" s="19">
        <v>0</v>
      </c>
      <c r="DM53" s="19">
        <v>0</v>
      </c>
      <c r="DN53" s="19">
        <v>0</v>
      </c>
      <c r="DO53" s="19">
        <v>0</v>
      </c>
      <c r="DP53" s="19">
        <v>0</v>
      </c>
      <c r="DQ53" s="19">
        <v>0</v>
      </c>
      <c r="DR53" s="19">
        <v>0</v>
      </c>
      <c r="DS53" s="19">
        <v>0</v>
      </c>
      <c r="DT53" s="19">
        <v>0</v>
      </c>
      <c r="DU53" s="19">
        <v>0</v>
      </c>
      <c r="DV53" s="19">
        <v>0</v>
      </c>
      <c r="DW53" s="17" t="s">
        <v>218</v>
      </c>
      <c r="DX53" s="22" t="s">
        <v>218</v>
      </c>
      <c r="DY53" s="22" t="s">
        <v>218</v>
      </c>
      <c r="DZ53" s="22" t="s">
        <v>218</v>
      </c>
      <c r="EA53" s="22" t="s">
        <v>218</v>
      </c>
      <c r="EB53" s="22" t="s">
        <v>218</v>
      </c>
      <c r="EC53" s="22" t="s">
        <v>218</v>
      </c>
      <c r="ED53" s="22" t="s">
        <v>218</v>
      </c>
      <c r="EE53" s="22" t="s">
        <v>218</v>
      </c>
      <c r="EF53" s="22" t="s">
        <v>218</v>
      </c>
      <c r="EG53" s="22" t="s">
        <v>218</v>
      </c>
      <c r="EH53" s="22" t="s">
        <v>218</v>
      </c>
      <c r="EI53" s="22" t="s">
        <v>218</v>
      </c>
      <c r="EJ53" s="22" t="s">
        <v>218</v>
      </c>
      <c r="EK53" s="22" t="s">
        <v>218</v>
      </c>
      <c r="EL53" s="22" t="s">
        <v>218</v>
      </c>
      <c r="EM53" s="22" t="s">
        <v>218</v>
      </c>
      <c r="EN53" s="22" t="s">
        <v>218</v>
      </c>
      <c r="EO53" s="22" t="s">
        <v>218</v>
      </c>
      <c r="EP53" s="22" t="s">
        <v>218</v>
      </c>
      <c r="EQ53" s="22" t="s">
        <v>218</v>
      </c>
      <c r="ER53" s="22" t="s">
        <v>218</v>
      </c>
      <c r="ES53" s="22" t="s">
        <v>218</v>
      </c>
      <c r="ET53" s="22" t="s">
        <v>218</v>
      </c>
      <c r="EU53" s="22" t="s">
        <v>218</v>
      </c>
      <c r="EV53" s="22" t="s">
        <v>218</v>
      </c>
      <c r="EW53" s="22" t="s">
        <v>218</v>
      </c>
      <c r="EX53" s="22" t="s">
        <v>218</v>
      </c>
      <c r="EY53" s="22" t="s">
        <v>218</v>
      </c>
      <c r="EZ53" s="22" t="s">
        <v>218</v>
      </c>
      <c r="FA53" s="22" t="s">
        <v>218</v>
      </c>
      <c r="FB53" s="22" t="s">
        <v>218</v>
      </c>
      <c r="FC53" s="22" t="s">
        <v>218</v>
      </c>
      <c r="FD53" s="22" t="s">
        <v>218</v>
      </c>
      <c r="FE53" s="22" t="s">
        <v>218</v>
      </c>
      <c r="FF53" s="22" t="s">
        <v>218</v>
      </c>
      <c r="FG53" s="22" t="s">
        <v>218</v>
      </c>
      <c r="FH53" s="22" t="s">
        <v>218</v>
      </c>
      <c r="FI53" s="22" t="s">
        <v>218</v>
      </c>
      <c r="FJ53" s="22" t="s">
        <v>218</v>
      </c>
      <c r="FK53" s="22" t="s">
        <v>218</v>
      </c>
      <c r="FL53" s="22" t="s">
        <v>218</v>
      </c>
      <c r="FM53" s="22" t="s">
        <v>218</v>
      </c>
      <c r="FN53" s="22" t="s">
        <v>218</v>
      </c>
      <c r="FO53" s="22" t="s">
        <v>218</v>
      </c>
      <c r="FP53" s="22" t="s">
        <v>218</v>
      </c>
      <c r="FQ53" s="22" t="s">
        <v>218</v>
      </c>
      <c r="FR53" s="22" t="s">
        <v>218</v>
      </c>
      <c r="FS53" s="22" t="s">
        <v>218</v>
      </c>
      <c r="FT53" s="22" t="s">
        <v>218</v>
      </c>
      <c r="FU53" s="22" t="s">
        <v>218</v>
      </c>
      <c r="FV53" s="22" t="s">
        <v>218</v>
      </c>
      <c r="FW53" s="22" t="s">
        <v>218</v>
      </c>
      <c r="FX53" s="22" t="s">
        <v>218</v>
      </c>
      <c r="FY53" s="22" t="s">
        <v>218</v>
      </c>
      <c r="FZ53" s="22" t="s">
        <v>218</v>
      </c>
      <c r="GA53" s="22" t="s">
        <v>218</v>
      </c>
      <c r="GB53" s="22" t="s">
        <v>218</v>
      </c>
      <c r="GC53" s="22" t="s">
        <v>218</v>
      </c>
      <c r="GD53" s="22" t="s">
        <v>218</v>
      </c>
      <c r="GE53" s="22" t="s">
        <v>218</v>
      </c>
      <c r="GF53" s="22" t="s">
        <v>218</v>
      </c>
      <c r="GG53" s="22" t="s">
        <v>218</v>
      </c>
      <c r="GH53" s="22" t="s">
        <v>218</v>
      </c>
      <c r="GI53" s="22" t="s">
        <v>218</v>
      </c>
      <c r="GJ53" s="22" t="s">
        <v>218</v>
      </c>
      <c r="GK53" s="22" t="s">
        <v>218</v>
      </c>
      <c r="GL53" s="22" t="s">
        <v>218</v>
      </c>
      <c r="GM53" s="22" t="s">
        <v>218</v>
      </c>
      <c r="GN53" s="22" t="s">
        <v>218</v>
      </c>
      <c r="GO53" s="22" t="s">
        <v>218</v>
      </c>
      <c r="GP53" s="22" t="s">
        <v>218</v>
      </c>
      <c r="GQ53" s="22" t="s">
        <v>218</v>
      </c>
      <c r="GR53" s="22" t="s">
        <v>218</v>
      </c>
      <c r="GS53" s="22" t="s">
        <v>218</v>
      </c>
      <c r="GT53" s="22" t="s">
        <v>218</v>
      </c>
      <c r="GU53" s="22" t="s">
        <v>218</v>
      </c>
      <c r="GV53" s="22" t="s">
        <v>218</v>
      </c>
      <c r="GW53" s="22" t="s">
        <v>218</v>
      </c>
      <c r="GX53" s="22" t="s">
        <v>218</v>
      </c>
      <c r="GY53" s="22" t="s">
        <v>218</v>
      </c>
      <c r="GZ53" s="22" t="s">
        <v>218</v>
      </c>
      <c r="HA53" s="22" t="s">
        <v>218</v>
      </c>
      <c r="HB53" s="22" t="s">
        <v>218</v>
      </c>
      <c r="HC53" s="22" t="s">
        <v>218</v>
      </c>
      <c r="HD53" s="22" t="s">
        <v>218</v>
      </c>
      <c r="HE53" s="22" t="s">
        <v>218</v>
      </c>
      <c r="HF53" s="22" t="s">
        <v>218</v>
      </c>
      <c r="HG53" s="22" t="s">
        <v>218</v>
      </c>
      <c r="HH53" s="22" t="s">
        <v>218</v>
      </c>
      <c r="HI53" s="22" t="s">
        <v>218</v>
      </c>
      <c r="HJ53" s="22" t="s">
        <v>218</v>
      </c>
      <c r="HK53" s="22" t="s">
        <v>218</v>
      </c>
      <c r="HL53" s="22" t="s">
        <v>218</v>
      </c>
      <c r="HM53" s="860"/>
      <c r="HN53" s="860"/>
      <c r="HO53" s="860"/>
      <c r="HP53" s="860"/>
      <c r="HQ53" s="860"/>
      <c r="HR53" s="860"/>
      <c r="HS53" s="860"/>
      <c r="HT53" s="145"/>
      <c r="HU53" s="145" t="s">
        <v>1809</v>
      </c>
      <c r="HV53" s="22" t="s">
        <v>1926</v>
      </c>
      <c r="HW53" s="22" t="s">
        <v>218</v>
      </c>
      <c r="HX53" s="22" t="s">
        <v>218</v>
      </c>
      <c r="HY53" s="22" t="s">
        <v>218</v>
      </c>
      <c r="HZ53" s="19"/>
      <c r="IA53" s="19"/>
      <c r="IB53" s="621">
        <f>'background data'!$G$10</f>
        <v>0.47300000000000003</v>
      </c>
      <c r="IC53" s="621">
        <f>'background data'!$H$10</f>
        <v>0.13</v>
      </c>
      <c r="ID53" s="621">
        <f>'background data'!$J$10</f>
        <v>0.39100000000000001</v>
      </c>
      <c r="IE53" s="621">
        <f>'background data'!$L$10</f>
        <v>5.5E-2</v>
      </c>
      <c r="IF53" s="621">
        <f>'background data'!$M$10</f>
        <v>3.97</v>
      </c>
      <c r="IG53" s="621">
        <f>'background data'!$N$10</f>
        <v>4.5999999999999999E-3</v>
      </c>
      <c r="IH53" s="621">
        <f>'background data'!$O$10</f>
        <v>2.73</v>
      </c>
      <c r="II53" s="145"/>
      <c r="IJ53" s="145"/>
      <c r="IK53" s="145"/>
      <c r="IL53" s="145"/>
      <c r="IM53" s="145"/>
      <c r="IN53" s="145"/>
      <c r="IO53" s="145"/>
      <c r="IP53" s="145"/>
      <c r="IQ53" s="145"/>
      <c r="IR53" s="145"/>
      <c r="IS53" s="145"/>
      <c r="IT53" s="145"/>
      <c r="IU53" s="145"/>
      <c r="IV53" s="145"/>
      <c r="IW53" s="145"/>
      <c r="IX53" s="145"/>
      <c r="IY53" s="145"/>
      <c r="IZ53" s="145"/>
      <c r="JA53" s="145"/>
      <c r="JB53" s="145"/>
      <c r="JC53" s="145"/>
      <c r="JD53" s="145"/>
      <c r="JE53" s="145"/>
      <c r="JF53" s="145"/>
      <c r="JG53" s="145"/>
      <c r="JH53" s="145"/>
      <c r="JI53" s="145"/>
      <c r="JJ53" s="145"/>
      <c r="JK53" s="145"/>
      <c r="JL53" s="145"/>
      <c r="JM53" s="145"/>
      <c r="JN53" s="145"/>
      <c r="JO53" s="145"/>
      <c r="JP53" s="145"/>
      <c r="JQ53" s="145"/>
      <c r="JR53" s="145"/>
      <c r="JS53" s="145"/>
      <c r="JT53" s="145"/>
      <c r="JU53" s="145"/>
      <c r="JV53" s="145"/>
      <c r="JW53" s="145"/>
      <c r="JX53" s="145"/>
      <c r="JY53" s="145"/>
      <c r="JZ53" s="145"/>
      <c r="KA53" s="145"/>
      <c r="KB53" s="145"/>
      <c r="KC53" s="145"/>
      <c r="KD53" s="145"/>
      <c r="KE53" s="145"/>
      <c r="KF53" s="145"/>
      <c r="KG53" s="145"/>
      <c r="KH53" s="145"/>
      <c r="KI53" s="145"/>
      <c r="KJ53" s="145"/>
      <c r="KK53" s="145"/>
      <c r="KL53" s="145"/>
      <c r="KM53" s="145"/>
      <c r="KN53" s="145"/>
      <c r="KO53" s="145"/>
      <c r="KP53" s="145"/>
      <c r="KQ53" s="145"/>
      <c r="KR53" s="145"/>
      <c r="KS53" s="145"/>
      <c r="KT53" s="145"/>
      <c r="KU53" s="145"/>
      <c r="KV53" s="145"/>
      <c r="KW53" s="145"/>
      <c r="KX53" s="145"/>
      <c r="KY53" s="145"/>
      <c r="KZ53" s="145"/>
      <c r="LA53" s="145"/>
      <c r="LB53" s="145"/>
      <c r="LC53" s="145"/>
      <c r="LD53" s="145"/>
      <c r="LE53" s="145"/>
      <c r="LF53" s="145"/>
      <c r="LG53" s="145"/>
      <c r="LH53" s="145"/>
      <c r="LI53" s="145"/>
      <c r="LJ53" s="145"/>
      <c r="LK53" s="145"/>
      <c r="LL53" s="145"/>
      <c r="LM53" s="145"/>
      <c r="LN53" s="145"/>
      <c r="LO53" s="145"/>
      <c r="LP53" s="145"/>
      <c r="LQ53" s="145"/>
      <c r="LR53" s="145"/>
      <c r="LS53" s="145"/>
      <c r="LT53" s="145"/>
      <c r="LU53" s="145"/>
      <c r="LV53" s="145"/>
      <c r="LW53" s="145"/>
      <c r="LX53" s="145"/>
      <c r="LY53" s="145"/>
      <c r="LZ53" s="145"/>
      <c r="MA53" s="145"/>
      <c r="MB53" s="145"/>
      <c r="MC53" s="145"/>
      <c r="MD53" s="145"/>
      <c r="ME53" s="145"/>
      <c r="MF53" s="145"/>
      <c r="MG53" s="145"/>
      <c r="MH53" s="145"/>
      <c r="MI53" s="145"/>
      <c r="MJ53" s="145"/>
      <c r="MK53" s="145"/>
      <c r="ML53" s="145"/>
      <c r="MM53" s="145"/>
      <c r="MN53" s="145"/>
      <c r="MO53" s="145"/>
      <c r="MP53" s="145"/>
      <c r="MQ53" s="145"/>
      <c r="MR53" s="145"/>
      <c r="MS53" s="145"/>
      <c r="MT53" s="145"/>
      <c r="MU53" s="145"/>
      <c r="MV53" s="145"/>
      <c r="MW53" s="145"/>
      <c r="MX53" s="145"/>
      <c r="MY53" s="145"/>
      <c r="MZ53" s="145"/>
      <c r="NA53" s="145"/>
      <c r="NB53" s="145"/>
      <c r="NC53" s="145"/>
      <c r="ND53" s="145"/>
      <c r="NE53" s="145"/>
      <c r="NF53" s="145"/>
      <c r="NG53" s="145"/>
      <c r="NH53" s="145"/>
      <c r="NI53" s="145"/>
      <c r="NJ53" s="145"/>
      <c r="NK53" s="145"/>
      <c r="NL53" s="145"/>
      <c r="NM53" s="145"/>
      <c r="NN53" s="145"/>
      <c r="NO53" s="145"/>
      <c r="NP53" s="145"/>
      <c r="NQ53" s="145"/>
      <c r="NR53" s="145"/>
      <c r="NS53" s="145"/>
    </row>
    <row r="54" spans="1:383" s="16" customFormat="1" ht="15" customHeight="1" x14ac:dyDescent="0.2">
      <c r="A54" s="15">
        <v>83000</v>
      </c>
      <c r="B54" s="25">
        <v>830</v>
      </c>
      <c r="C54" s="26">
        <v>0</v>
      </c>
      <c r="D54" s="20" t="s">
        <v>287</v>
      </c>
      <c r="E54" s="14">
        <v>42695</v>
      </c>
      <c r="F54" s="18">
        <v>1.14322762119628</v>
      </c>
      <c r="G54" s="18">
        <v>1.10549164563043</v>
      </c>
      <c r="H54" s="21">
        <v>94.1</v>
      </c>
      <c r="I54" s="21">
        <v>93.999971700000003</v>
      </c>
      <c r="J54" s="21">
        <v>95</v>
      </c>
      <c r="K54" s="18">
        <v>1</v>
      </c>
      <c r="L54" s="18">
        <v>91.9</v>
      </c>
      <c r="M54" s="18">
        <v>69.476399999999998</v>
      </c>
      <c r="N54" s="18">
        <v>8.3628999999999998</v>
      </c>
      <c r="O54" s="18">
        <v>15.4392</v>
      </c>
      <c r="P54" s="18">
        <v>0</v>
      </c>
      <c r="Q54" s="19"/>
      <c r="R54" s="18">
        <v>91.1</v>
      </c>
      <c r="S54" s="18">
        <v>70</v>
      </c>
      <c r="T54" s="18">
        <v>70</v>
      </c>
      <c r="U54" s="18">
        <v>70</v>
      </c>
      <c r="V54" s="18">
        <v>70</v>
      </c>
      <c r="W54" s="18">
        <v>70</v>
      </c>
      <c r="X54" s="18"/>
      <c r="Y54" s="18">
        <v>31.447225244831337</v>
      </c>
      <c r="Z54" s="18">
        <v>23.068552774755169</v>
      </c>
      <c r="AA54" s="18">
        <v>10</v>
      </c>
      <c r="AB54" s="18">
        <v>11.999999999999998</v>
      </c>
      <c r="AC54" s="18">
        <v>11.999999999999998</v>
      </c>
      <c r="AD54" s="18">
        <v>2.2999999999999998</v>
      </c>
      <c r="AE54" s="18">
        <v>9.3000000000000007</v>
      </c>
      <c r="AF54" s="18">
        <v>140</v>
      </c>
      <c r="AG54" s="18">
        <v>4.5999999999999996</v>
      </c>
      <c r="AH54" s="18">
        <v>5.9</v>
      </c>
      <c r="AI54" s="18">
        <v>83.999999999999986</v>
      </c>
      <c r="AJ54" s="18">
        <v>0</v>
      </c>
      <c r="AK54" s="18">
        <v>2.3799999999999994</v>
      </c>
      <c r="AL54" s="18"/>
      <c r="AM54" s="18">
        <v>7.52</v>
      </c>
      <c r="AN54" s="18">
        <v>2.79</v>
      </c>
      <c r="AO54" s="18">
        <v>0.94</v>
      </c>
      <c r="AP54" s="18">
        <v>4.1900000000000004</v>
      </c>
      <c r="AQ54" s="18">
        <v>0.97</v>
      </c>
      <c r="AR54" s="18">
        <v>4.07</v>
      </c>
      <c r="AS54" s="18">
        <v>7.32</v>
      </c>
      <c r="AT54" s="18">
        <v>2.54</v>
      </c>
      <c r="AU54" s="18">
        <v>3.82</v>
      </c>
      <c r="AV54" s="18">
        <v>3.11</v>
      </c>
      <c r="AW54" s="18">
        <v>4.93</v>
      </c>
      <c r="AX54" s="18"/>
      <c r="AY54" s="18">
        <v>1.02</v>
      </c>
      <c r="AZ54" s="18">
        <v>1.05</v>
      </c>
      <c r="BA54" s="18">
        <v>0.98</v>
      </c>
      <c r="BB54" s="18">
        <v>1.03</v>
      </c>
      <c r="BC54" s="18">
        <v>1</v>
      </c>
      <c r="BD54" s="18">
        <v>1.02</v>
      </c>
      <c r="BE54" s="18">
        <v>1.03</v>
      </c>
      <c r="BF54" s="18">
        <v>1</v>
      </c>
      <c r="BG54" s="18">
        <v>1.02</v>
      </c>
      <c r="BH54" s="18">
        <v>0.95</v>
      </c>
      <c r="BI54" s="18">
        <v>1.02</v>
      </c>
      <c r="BJ54" s="19"/>
      <c r="BK54" s="18">
        <v>75.599999999999994</v>
      </c>
      <c r="BL54" s="18">
        <v>9.1</v>
      </c>
      <c r="BM54" s="18">
        <v>16.8</v>
      </c>
      <c r="BN54" s="18">
        <v>0</v>
      </c>
      <c r="BO54" s="18"/>
      <c r="BP54" s="18">
        <v>159</v>
      </c>
      <c r="BQ54" s="18">
        <v>144.69</v>
      </c>
      <c r="BR54" s="18">
        <v>1.2439908826945374</v>
      </c>
      <c r="BS54" s="18">
        <v>1.2029288853432318</v>
      </c>
      <c r="BT54" s="19"/>
      <c r="BU54" s="18">
        <v>831.99999999999977</v>
      </c>
      <c r="BV54" s="18">
        <v>5.4934285714286615</v>
      </c>
      <c r="BW54" s="18">
        <v>1.1889077942857778</v>
      </c>
      <c r="BX54" s="18">
        <v>0</v>
      </c>
      <c r="BY54" s="18">
        <v>0</v>
      </c>
      <c r="BZ54" s="18">
        <v>0</v>
      </c>
      <c r="CA54" s="18">
        <v>0</v>
      </c>
      <c r="CB54" s="19"/>
      <c r="CC54" s="19">
        <v>28.9</v>
      </c>
      <c r="CD54" s="19">
        <v>21.200000000000003</v>
      </c>
      <c r="CE54" s="19">
        <v>9.1900000000000013</v>
      </c>
      <c r="CF54" s="19">
        <v>11.027999999999999</v>
      </c>
      <c r="CG54" s="19">
        <v>11.027999999999999</v>
      </c>
      <c r="CH54" s="19">
        <v>2.1137000000000001</v>
      </c>
      <c r="CI54" s="19">
        <v>8.5467000000000013</v>
      </c>
      <c r="CJ54" s="19"/>
      <c r="CK54" s="19">
        <v>128.66</v>
      </c>
      <c r="CL54" s="19">
        <v>4.2274000000000003</v>
      </c>
      <c r="CM54" s="19">
        <v>5.4221000000000004</v>
      </c>
      <c r="CN54" s="19">
        <v>77.195999999999984</v>
      </c>
      <c r="CO54" s="19">
        <v>0</v>
      </c>
      <c r="CP54" s="19">
        <v>2.1872199999999995</v>
      </c>
      <c r="CQ54" s="19">
        <v>632.93000400000005</v>
      </c>
      <c r="CR54" s="19">
        <v>553.63428267915572</v>
      </c>
      <c r="CS54" s="19">
        <v>42.46596401862196</v>
      </c>
      <c r="CT54" s="19">
        <v>16.218716311085867</v>
      </c>
      <c r="CU54" s="19">
        <v>5.1000790120403821</v>
      </c>
      <c r="CV54" s="19">
        <v>21.318795323126249</v>
      </c>
      <c r="CW54" s="19">
        <v>23.893194737584324</v>
      </c>
      <c r="CX54" s="19">
        <v>5.3702525419878109</v>
      </c>
      <c r="CY54" s="19">
        <v>22.983573611142472</v>
      </c>
      <c r="CZ54" s="19">
        <v>41.741810376877623</v>
      </c>
      <c r="DA54" s="19">
        <v>14.062310780050554</v>
      </c>
      <c r="DB54" s="19">
        <v>21.571806190310621</v>
      </c>
      <c r="DC54" s="19">
        <v>16.357124881755652</v>
      </c>
      <c r="DD54" s="19">
        <v>37.928931072066277</v>
      </c>
      <c r="DE54" s="19">
        <v>27.840053538804025</v>
      </c>
      <c r="DF54" s="23">
        <v>0</v>
      </c>
      <c r="DG54" s="23">
        <v>0</v>
      </c>
      <c r="DH54" s="23">
        <v>0</v>
      </c>
      <c r="DI54" s="19">
        <v>0</v>
      </c>
      <c r="DJ54" s="19">
        <v>0</v>
      </c>
      <c r="DK54" s="19">
        <v>0</v>
      </c>
      <c r="DL54" s="19">
        <v>0</v>
      </c>
      <c r="DM54" s="19">
        <v>0</v>
      </c>
      <c r="DN54" s="19">
        <v>0</v>
      </c>
      <c r="DO54" s="19">
        <v>0</v>
      </c>
      <c r="DP54" s="19">
        <v>0</v>
      </c>
      <c r="DQ54" s="19">
        <v>0</v>
      </c>
      <c r="DR54" s="19">
        <v>0</v>
      </c>
      <c r="DS54" s="19">
        <v>0</v>
      </c>
      <c r="DT54" s="19">
        <v>0</v>
      </c>
      <c r="DU54" s="19">
        <v>0</v>
      </c>
      <c r="DV54" s="19">
        <v>0</v>
      </c>
      <c r="DW54" s="17" t="s">
        <v>288</v>
      </c>
      <c r="DX54" s="22">
        <v>8</v>
      </c>
      <c r="DY54" s="22">
        <v>8</v>
      </c>
      <c r="DZ54" s="22">
        <v>8</v>
      </c>
      <c r="EA54" s="22">
        <v>8</v>
      </c>
      <c r="EB54" s="22" t="s">
        <v>218</v>
      </c>
      <c r="EC54" s="22">
        <v>8</v>
      </c>
      <c r="ED54" s="22">
        <v>8</v>
      </c>
      <c r="EE54" s="22" t="s">
        <v>218</v>
      </c>
      <c r="EF54" s="22">
        <v>8</v>
      </c>
      <c r="EG54" s="22">
        <v>8</v>
      </c>
      <c r="EH54" s="22" t="s">
        <v>218</v>
      </c>
      <c r="EI54" s="22" t="s">
        <v>218</v>
      </c>
      <c r="EJ54" s="22" t="s">
        <v>218</v>
      </c>
      <c r="EK54" s="22" t="s">
        <v>218</v>
      </c>
      <c r="EL54" s="22" t="s">
        <v>218</v>
      </c>
      <c r="EM54" s="22" t="s">
        <v>218</v>
      </c>
      <c r="EN54" s="22" t="s">
        <v>218</v>
      </c>
      <c r="EO54" s="22" t="s">
        <v>218</v>
      </c>
      <c r="EP54" s="22" t="s">
        <v>218</v>
      </c>
      <c r="EQ54" s="22" t="s">
        <v>218</v>
      </c>
      <c r="ER54" s="22" t="s">
        <v>218</v>
      </c>
      <c r="ES54" s="22">
        <v>8</v>
      </c>
      <c r="ET54" s="22">
        <v>8</v>
      </c>
      <c r="EU54" s="22" t="s">
        <v>218</v>
      </c>
      <c r="EV54" s="22" t="s">
        <v>218</v>
      </c>
      <c r="EW54" s="22" t="s">
        <v>218</v>
      </c>
      <c r="EX54" s="22" t="s">
        <v>218</v>
      </c>
      <c r="EY54" s="22" t="s">
        <v>218</v>
      </c>
      <c r="EZ54" s="22" t="s">
        <v>218</v>
      </c>
      <c r="FA54" s="22" t="s">
        <v>218</v>
      </c>
      <c r="FB54" s="22" t="s">
        <v>218</v>
      </c>
      <c r="FC54" s="22" t="s">
        <v>218</v>
      </c>
      <c r="FD54" s="22" t="s">
        <v>218</v>
      </c>
      <c r="FE54" s="22" t="s">
        <v>218</v>
      </c>
      <c r="FF54" s="22">
        <v>0.7</v>
      </c>
      <c r="FG54" s="22">
        <v>1.8</v>
      </c>
      <c r="FH54" s="22">
        <v>2.2000000000000002</v>
      </c>
      <c r="FI54" s="22">
        <v>1.6</v>
      </c>
      <c r="FJ54" s="22" t="s">
        <v>218</v>
      </c>
      <c r="FK54" s="22">
        <v>1.3</v>
      </c>
      <c r="FL54" s="22">
        <v>1</v>
      </c>
      <c r="FM54" s="22" t="s">
        <v>218</v>
      </c>
      <c r="FN54" s="22">
        <v>6.1</v>
      </c>
      <c r="FO54" s="22">
        <v>5.6</v>
      </c>
      <c r="FP54" s="22" t="s">
        <v>218</v>
      </c>
      <c r="FQ54" s="22" t="s">
        <v>218</v>
      </c>
      <c r="FR54" s="22" t="s">
        <v>218</v>
      </c>
      <c r="FS54" s="22" t="s">
        <v>218</v>
      </c>
      <c r="FT54" s="22" t="s">
        <v>218</v>
      </c>
      <c r="FU54" s="22" t="s">
        <v>218</v>
      </c>
      <c r="FV54" s="22" t="s">
        <v>218</v>
      </c>
      <c r="FW54" s="22" t="s">
        <v>218</v>
      </c>
      <c r="FX54" s="22" t="s">
        <v>218</v>
      </c>
      <c r="FY54" s="22" t="s">
        <v>218</v>
      </c>
      <c r="FZ54" s="22" t="s">
        <v>218</v>
      </c>
      <c r="GA54" s="22">
        <v>9</v>
      </c>
      <c r="GB54" s="22">
        <v>3.1</v>
      </c>
      <c r="GC54" s="22" t="s">
        <v>218</v>
      </c>
      <c r="GD54" s="22" t="s">
        <v>218</v>
      </c>
      <c r="GE54" s="22" t="s">
        <v>218</v>
      </c>
      <c r="GF54" s="22" t="s">
        <v>218</v>
      </c>
      <c r="GG54" s="22" t="s">
        <v>218</v>
      </c>
      <c r="GH54" s="22" t="s">
        <v>218</v>
      </c>
      <c r="GI54" s="22" t="s">
        <v>218</v>
      </c>
      <c r="GJ54" s="22" t="s">
        <v>218</v>
      </c>
      <c r="GK54" s="22" t="s">
        <v>218</v>
      </c>
      <c r="GL54" s="22" t="s">
        <v>218</v>
      </c>
      <c r="GM54" s="22" t="s">
        <v>218</v>
      </c>
      <c r="GN54" s="22">
        <v>2016</v>
      </c>
      <c r="GO54" s="22">
        <v>2016</v>
      </c>
      <c r="GP54" s="22">
        <v>2016</v>
      </c>
      <c r="GQ54" s="22">
        <v>2016</v>
      </c>
      <c r="GR54" s="22" t="s">
        <v>218</v>
      </c>
      <c r="GS54" s="22">
        <v>2016</v>
      </c>
      <c r="GT54" s="22">
        <v>2016</v>
      </c>
      <c r="GU54" s="22" t="s">
        <v>218</v>
      </c>
      <c r="GV54" s="22">
        <v>2016</v>
      </c>
      <c r="GW54" s="22">
        <v>2016</v>
      </c>
      <c r="GX54" s="22" t="s">
        <v>218</v>
      </c>
      <c r="GY54" s="22" t="s">
        <v>218</v>
      </c>
      <c r="GZ54" s="22" t="s">
        <v>218</v>
      </c>
      <c r="HA54" s="22" t="s">
        <v>218</v>
      </c>
      <c r="HB54" s="22" t="s">
        <v>218</v>
      </c>
      <c r="HC54" s="22" t="s">
        <v>218</v>
      </c>
      <c r="HD54" s="22" t="s">
        <v>218</v>
      </c>
      <c r="HE54" s="22" t="s">
        <v>218</v>
      </c>
      <c r="HF54" s="22" t="s">
        <v>218</v>
      </c>
      <c r="HG54" s="22" t="s">
        <v>218</v>
      </c>
      <c r="HH54" s="22" t="s">
        <v>218</v>
      </c>
      <c r="HI54" s="22">
        <v>2016</v>
      </c>
      <c r="HJ54" s="22">
        <v>2016</v>
      </c>
      <c r="HK54" s="22" t="s">
        <v>218</v>
      </c>
      <c r="HL54" s="22" t="s">
        <v>218</v>
      </c>
      <c r="HM54" s="622">
        <f>'background data'!$G$18</f>
        <v>0.54099999999999993</v>
      </c>
      <c r="HN54" s="622">
        <f>'background data'!$H$18</f>
        <v>0.11600000000000001</v>
      </c>
      <c r="HO54" s="622">
        <f>'background data'!$J$18</f>
        <v>0.25</v>
      </c>
      <c r="HP54" s="622">
        <f>'background data'!$L$18</f>
        <v>1.2999999999999999E-2</v>
      </c>
      <c r="HQ54" s="622">
        <f>'background data'!$M$18</f>
        <v>8.86</v>
      </c>
      <c r="HR54" s="622">
        <f>'background data'!$N$18</f>
        <v>6.9299999999999995E-3</v>
      </c>
      <c r="HS54" s="622">
        <f>'background data'!$O$18</f>
        <v>1.75</v>
      </c>
      <c r="HT54" s="145" t="s">
        <v>1794</v>
      </c>
      <c r="HU54" s="145" t="s">
        <v>1809</v>
      </c>
      <c r="HV54" s="22" t="s">
        <v>1929</v>
      </c>
      <c r="HW54" s="22" t="s">
        <v>289</v>
      </c>
      <c r="HX54" s="22" t="s">
        <v>290</v>
      </c>
      <c r="HY54" s="22" t="s">
        <v>291</v>
      </c>
      <c r="HZ54" s="19"/>
      <c r="IA54" s="19"/>
      <c r="IB54" s="622">
        <f>'background data'!$G$18</f>
        <v>0.54099999999999993</v>
      </c>
      <c r="IC54" s="622">
        <f>'background data'!$H$18</f>
        <v>0.11600000000000001</v>
      </c>
      <c r="ID54" s="622">
        <f>'background data'!$J$18</f>
        <v>0.25</v>
      </c>
      <c r="IE54" s="622">
        <f>'background data'!$L$18</f>
        <v>1.2999999999999999E-2</v>
      </c>
      <c r="IF54" s="622">
        <f>'background data'!$M$18</f>
        <v>8.86</v>
      </c>
      <c r="IG54" s="622">
        <f>'background data'!$N$18</f>
        <v>6.9299999999999995E-3</v>
      </c>
      <c r="IH54" s="622">
        <f>'background data'!$O$18</f>
        <v>1.75</v>
      </c>
      <c r="II54" s="145" t="s">
        <v>1794</v>
      </c>
      <c r="IJ54" s="145"/>
      <c r="IK54" s="145"/>
      <c r="IL54" s="145"/>
      <c r="IM54" s="145"/>
      <c r="IN54" s="145"/>
      <c r="IO54" s="145"/>
      <c r="IP54" s="145"/>
      <c r="IQ54" s="145"/>
      <c r="IR54" s="145"/>
      <c r="IS54" s="145"/>
      <c r="IT54" s="145"/>
      <c r="IU54" s="145"/>
      <c r="IV54" s="145"/>
      <c r="IW54" s="145"/>
      <c r="IX54" s="145"/>
      <c r="IY54" s="145"/>
      <c r="IZ54" s="145"/>
      <c r="JA54" s="145"/>
      <c r="JB54" s="145"/>
      <c r="JC54" s="145"/>
      <c r="JD54" s="145"/>
      <c r="JE54" s="145"/>
      <c r="JF54" s="145"/>
      <c r="JG54" s="145"/>
      <c r="JH54" s="145"/>
      <c r="JI54" s="145"/>
      <c r="JJ54" s="145"/>
      <c r="JK54" s="145"/>
      <c r="JL54" s="145"/>
      <c r="JM54" s="145"/>
      <c r="JN54" s="145"/>
      <c r="JO54" s="145"/>
      <c r="JP54" s="145"/>
      <c r="JQ54" s="145"/>
      <c r="JR54" s="145"/>
      <c r="JS54" s="145"/>
      <c r="JT54" s="145"/>
      <c r="JU54" s="145"/>
      <c r="JV54" s="145"/>
      <c r="JW54" s="145"/>
      <c r="JX54" s="145"/>
      <c r="JY54" s="145"/>
      <c r="JZ54" s="145"/>
      <c r="KA54" s="145"/>
      <c r="KB54" s="145"/>
      <c r="KC54" s="145"/>
      <c r="KD54" s="145"/>
      <c r="KE54" s="145"/>
      <c r="KF54" s="145"/>
      <c r="KG54" s="145"/>
      <c r="KH54" s="145"/>
      <c r="KI54" s="145"/>
      <c r="KJ54" s="145"/>
      <c r="KK54" s="145"/>
      <c r="KL54" s="145"/>
      <c r="KM54" s="145"/>
      <c r="KN54" s="145"/>
      <c r="KO54" s="145"/>
      <c r="KP54" s="145"/>
      <c r="KQ54" s="145"/>
      <c r="KR54" s="145"/>
      <c r="KS54" s="145"/>
      <c r="KT54" s="145"/>
      <c r="KU54" s="145"/>
      <c r="KV54" s="145"/>
      <c r="KW54" s="145"/>
      <c r="KX54" s="145"/>
      <c r="KY54" s="145"/>
      <c r="KZ54" s="145"/>
      <c r="LA54" s="145"/>
      <c r="LB54" s="145"/>
      <c r="LC54" s="145"/>
      <c r="LD54" s="145"/>
      <c r="LE54" s="145"/>
      <c r="LF54" s="145"/>
      <c r="LG54" s="145"/>
      <c r="LH54" s="145"/>
      <c r="LI54" s="145"/>
      <c r="LJ54" s="145"/>
      <c r="LK54" s="145"/>
      <c r="LL54" s="145"/>
      <c r="LM54" s="145"/>
      <c r="LN54" s="145"/>
      <c r="LO54" s="145"/>
      <c r="LP54" s="145"/>
      <c r="LQ54" s="145"/>
      <c r="LR54" s="145"/>
      <c r="LS54" s="145"/>
      <c r="LT54" s="145"/>
      <c r="LU54" s="145"/>
      <c r="LV54" s="145"/>
      <c r="LW54" s="145"/>
      <c r="LX54" s="145"/>
      <c r="LY54" s="145"/>
      <c r="LZ54" s="145"/>
      <c r="MA54" s="145"/>
      <c r="MB54" s="145"/>
      <c r="MC54" s="145"/>
      <c r="MD54" s="145"/>
      <c r="ME54" s="145"/>
      <c r="MF54" s="145"/>
      <c r="MG54" s="145"/>
      <c r="MH54" s="145"/>
      <c r="MI54" s="145"/>
      <c r="MJ54" s="145"/>
      <c r="MK54" s="145"/>
      <c r="ML54" s="145"/>
      <c r="MM54" s="145"/>
      <c r="MN54" s="145"/>
      <c r="MO54" s="145"/>
      <c r="MP54" s="145"/>
      <c r="MQ54" s="145"/>
      <c r="MR54" s="145"/>
      <c r="MS54" s="145"/>
      <c r="MT54" s="145"/>
      <c r="MU54" s="145"/>
      <c r="MV54" s="145"/>
      <c r="MW54" s="145"/>
      <c r="MX54" s="145"/>
      <c r="MY54" s="145"/>
      <c r="MZ54" s="145"/>
      <c r="NA54" s="145"/>
      <c r="NB54" s="145"/>
      <c r="NC54" s="145"/>
      <c r="ND54" s="145"/>
      <c r="NE54" s="145"/>
      <c r="NF54" s="145"/>
      <c r="NG54" s="145"/>
      <c r="NH54" s="145"/>
      <c r="NI54" s="145"/>
      <c r="NJ54" s="145"/>
      <c r="NK54" s="145"/>
      <c r="NL54" s="145"/>
      <c r="NM54" s="145"/>
      <c r="NN54" s="145"/>
      <c r="NO54" s="145"/>
      <c r="NP54" s="145"/>
      <c r="NQ54" s="145"/>
      <c r="NR54" s="145"/>
      <c r="NS54" s="145"/>
    </row>
    <row r="55" spans="1:383" s="16" customFormat="1" ht="15" customHeight="1" x14ac:dyDescent="0.2">
      <c r="A55" s="15">
        <v>83300</v>
      </c>
      <c r="B55" s="25">
        <v>833</v>
      </c>
      <c r="C55" s="26">
        <v>0</v>
      </c>
      <c r="D55" s="20" t="s">
        <v>292</v>
      </c>
      <c r="E55" s="14">
        <v>41498</v>
      </c>
      <c r="F55" s="18">
        <v>1.17361420162601</v>
      </c>
      <c r="G55" s="18">
        <v>1.13877048623377</v>
      </c>
      <c r="H55" s="21">
        <v>95.2</v>
      </c>
      <c r="I55" s="21">
        <v>93.1</v>
      </c>
      <c r="J55" s="21">
        <v>96</v>
      </c>
      <c r="K55" s="18">
        <v>1</v>
      </c>
      <c r="L55" s="18">
        <v>91.6</v>
      </c>
      <c r="M55" s="18">
        <v>70.623599999999996</v>
      </c>
      <c r="N55" s="18">
        <v>9.0684000000000005</v>
      </c>
      <c r="O55" s="18">
        <v>13.74</v>
      </c>
      <c r="P55" s="18">
        <v>0</v>
      </c>
      <c r="Q55" s="19"/>
      <c r="R55" s="18">
        <v>92</v>
      </c>
      <c r="S55" s="18">
        <v>70</v>
      </c>
      <c r="T55" s="18">
        <v>70</v>
      </c>
      <c r="U55" s="18">
        <v>70</v>
      </c>
      <c r="V55" s="18">
        <v>70</v>
      </c>
      <c r="W55" s="18">
        <v>70</v>
      </c>
      <c r="X55" s="18"/>
      <c r="Y55" s="18">
        <v>35.200000000000003</v>
      </c>
      <c r="Z55" s="18">
        <v>23.9</v>
      </c>
      <c r="AA55" s="18">
        <v>7.2999828331707102</v>
      </c>
      <c r="AB55" s="18">
        <v>18</v>
      </c>
      <c r="AC55" s="18">
        <v>13</v>
      </c>
      <c r="AD55" s="18">
        <v>2.2000000000000002</v>
      </c>
      <c r="AE55" s="18">
        <v>10</v>
      </c>
      <c r="AF55" s="18">
        <v>332.00000000000006</v>
      </c>
      <c r="AG55" s="18">
        <v>5</v>
      </c>
      <c r="AH55" s="18">
        <v>15.000000000000002</v>
      </c>
      <c r="AI55" s="18">
        <v>106.00000000000001</v>
      </c>
      <c r="AJ55" s="18">
        <v>0</v>
      </c>
      <c r="AK55" s="18">
        <v>2.38</v>
      </c>
      <c r="AL55" s="18"/>
      <c r="AM55" s="18">
        <v>8.5706874189364495</v>
      </c>
      <c r="AN55" s="18">
        <v>3.38132295719844</v>
      </c>
      <c r="AO55" s="18">
        <v>1.06874189364462</v>
      </c>
      <c r="AP55" s="18">
        <v>4.6549935149156898</v>
      </c>
      <c r="AQ55" s="18">
        <v>1.2075226977950699</v>
      </c>
      <c r="AR55" s="18">
        <v>5.0259403372243803</v>
      </c>
      <c r="AS55" s="18">
        <v>8.1024643320363197</v>
      </c>
      <c r="AT55" s="18">
        <v>2.6796368352788602</v>
      </c>
      <c r="AU55" s="18">
        <v>4.4643320363164696</v>
      </c>
      <c r="AV55" s="18">
        <v>3.7626459143968898</v>
      </c>
      <c r="AW55" s="18">
        <v>6.0648508430609596</v>
      </c>
      <c r="AX55" s="18"/>
      <c r="AY55" s="18">
        <v>1.02</v>
      </c>
      <c r="AZ55" s="18">
        <v>1.05</v>
      </c>
      <c r="BA55" s="18">
        <v>0.98</v>
      </c>
      <c r="BB55" s="18">
        <v>1.03</v>
      </c>
      <c r="BC55" s="18">
        <v>1</v>
      </c>
      <c r="BD55" s="18">
        <v>1.02</v>
      </c>
      <c r="BE55" s="18">
        <v>1.03</v>
      </c>
      <c r="BF55" s="18">
        <v>1</v>
      </c>
      <c r="BG55" s="18">
        <v>1.02</v>
      </c>
      <c r="BH55" s="18">
        <v>0.95</v>
      </c>
      <c r="BI55" s="18">
        <v>1.02</v>
      </c>
      <c r="BJ55" s="19"/>
      <c r="BK55" s="18">
        <v>77.099999999999994</v>
      </c>
      <c r="BL55" s="18">
        <v>9.9</v>
      </c>
      <c r="BM55" s="18">
        <v>15.000000000000002</v>
      </c>
      <c r="BN55" s="18">
        <v>0</v>
      </c>
      <c r="BO55" s="18"/>
      <c r="BP55" s="18">
        <v>159</v>
      </c>
      <c r="BQ55" s="18">
        <v>157.41</v>
      </c>
      <c r="BR55" s="18">
        <v>1.281238211382107</v>
      </c>
      <c r="BS55" s="18">
        <v>1.2431992207792248</v>
      </c>
      <c r="BT55" s="19"/>
      <c r="BU55" s="18">
        <v>850.00000000000011</v>
      </c>
      <c r="BV55" s="18">
        <v>-13.939999999999891</v>
      </c>
      <c r="BW55" s="18">
        <v>25.50000000000011</v>
      </c>
      <c r="BX55" s="18">
        <v>0</v>
      </c>
      <c r="BY55" s="18">
        <v>0</v>
      </c>
      <c r="BZ55" s="18">
        <v>0</v>
      </c>
      <c r="CA55" s="18">
        <v>0</v>
      </c>
      <c r="CB55" s="19"/>
      <c r="CC55" s="19">
        <v>32.243200000000002</v>
      </c>
      <c r="CD55" s="19">
        <v>21.892399999999999</v>
      </c>
      <c r="CE55" s="19">
        <v>6.6867842751843698</v>
      </c>
      <c r="CF55" s="19">
        <v>16.488</v>
      </c>
      <c r="CG55" s="19">
        <v>11.907999999999999</v>
      </c>
      <c r="CH55" s="19">
        <v>2.0152000000000001</v>
      </c>
      <c r="CI55" s="19">
        <v>9.16</v>
      </c>
      <c r="CJ55" s="19"/>
      <c r="CK55" s="19">
        <v>304.11200000000002</v>
      </c>
      <c r="CL55" s="19">
        <v>4.58</v>
      </c>
      <c r="CM55" s="19">
        <v>13.74</v>
      </c>
      <c r="CN55" s="19">
        <v>97.096000000000004</v>
      </c>
      <c r="CO55" s="19">
        <v>0</v>
      </c>
      <c r="CP55" s="19">
        <v>2.1800799999999998</v>
      </c>
      <c r="CQ55" s="19">
        <v>649.73712</v>
      </c>
      <c r="CR55" s="19">
        <v>553.62070354960531</v>
      </c>
      <c r="CS55" s="19">
        <v>48.398081987508533</v>
      </c>
      <c r="CT55" s="19">
        <v>19.655689142172662</v>
      </c>
      <c r="CU55" s="19">
        <v>5.7984408629102111</v>
      </c>
      <c r="CV55" s="19">
        <v>25.45413000508287</v>
      </c>
      <c r="CW55" s="19">
        <v>26.544138082888708</v>
      </c>
      <c r="CX55" s="19">
        <v>6.6850956550542735</v>
      </c>
      <c r="CY55" s="19">
        <v>28.381139180023542</v>
      </c>
      <c r="CZ55" s="19">
        <v>46.202627641071537</v>
      </c>
      <c r="DA55" s="19">
        <v>14.835024300045195</v>
      </c>
      <c r="DB55" s="19">
        <v>25.20977575681059</v>
      </c>
      <c r="DC55" s="19">
        <v>19.789247444196299</v>
      </c>
      <c r="DD55" s="19">
        <v>44.999023201006885</v>
      </c>
      <c r="DE55" s="19">
        <v>34.247795304720015</v>
      </c>
      <c r="DF55" s="23">
        <v>0</v>
      </c>
      <c r="DG55" s="23">
        <v>0</v>
      </c>
      <c r="DH55" s="23">
        <v>0</v>
      </c>
      <c r="DI55" s="19">
        <v>0</v>
      </c>
      <c r="DJ55" s="19">
        <v>0</v>
      </c>
      <c r="DK55" s="19">
        <v>0</v>
      </c>
      <c r="DL55" s="19">
        <v>0</v>
      </c>
      <c r="DM55" s="19">
        <v>0</v>
      </c>
      <c r="DN55" s="19">
        <v>0</v>
      </c>
      <c r="DO55" s="19">
        <v>0</v>
      </c>
      <c r="DP55" s="19">
        <v>0</v>
      </c>
      <c r="DQ55" s="19">
        <v>0</v>
      </c>
      <c r="DR55" s="19">
        <v>0</v>
      </c>
      <c r="DS55" s="19">
        <v>0</v>
      </c>
      <c r="DT55" s="19">
        <v>0</v>
      </c>
      <c r="DU55" s="19">
        <v>0</v>
      </c>
      <c r="DV55" s="19">
        <v>0</v>
      </c>
      <c r="DW55" s="17" t="s">
        <v>288</v>
      </c>
      <c r="DX55" s="22" t="s">
        <v>218</v>
      </c>
      <c r="DY55" s="22" t="s">
        <v>218</v>
      </c>
      <c r="DZ55" s="22" t="s">
        <v>218</v>
      </c>
      <c r="EA55" s="22" t="s">
        <v>218</v>
      </c>
      <c r="EB55" s="22" t="s">
        <v>218</v>
      </c>
      <c r="EC55" s="22" t="s">
        <v>218</v>
      </c>
      <c r="ED55" s="22" t="s">
        <v>218</v>
      </c>
      <c r="EE55" s="22" t="s">
        <v>218</v>
      </c>
      <c r="EF55" s="22" t="s">
        <v>218</v>
      </c>
      <c r="EG55" s="22" t="s">
        <v>218</v>
      </c>
      <c r="EH55" s="22">
        <v>8</v>
      </c>
      <c r="EI55" s="22">
        <v>8</v>
      </c>
      <c r="EJ55" s="22">
        <v>8</v>
      </c>
      <c r="EK55" s="22">
        <v>8</v>
      </c>
      <c r="EL55" s="22">
        <v>8</v>
      </c>
      <c r="EM55" s="22">
        <v>8</v>
      </c>
      <c r="EN55" s="22">
        <v>8</v>
      </c>
      <c r="EO55" s="22">
        <v>8</v>
      </c>
      <c r="EP55" s="22">
        <v>8</v>
      </c>
      <c r="EQ55" s="22">
        <v>8</v>
      </c>
      <c r="ER55" s="22">
        <v>8</v>
      </c>
      <c r="ES55" s="22">
        <v>8</v>
      </c>
      <c r="ET55" s="22">
        <v>8</v>
      </c>
      <c r="EU55" s="22">
        <v>8</v>
      </c>
      <c r="EV55" s="22" t="s">
        <v>218</v>
      </c>
      <c r="EW55" s="22">
        <v>8</v>
      </c>
      <c r="EX55" s="22">
        <v>8</v>
      </c>
      <c r="EY55" s="22" t="s">
        <v>218</v>
      </c>
      <c r="EZ55" s="22">
        <v>8</v>
      </c>
      <c r="FA55" s="22">
        <v>8</v>
      </c>
      <c r="FB55" s="22">
        <v>8</v>
      </c>
      <c r="FC55" s="22">
        <v>8</v>
      </c>
      <c r="FD55" s="22" t="s">
        <v>218</v>
      </c>
      <c r="FE55" s="22">
        <v>8</v>
      </c>
      <c r="FF55" s="22" t="s">
        <v>218</v>
      </c>
      <c r="FG55" s="22" t="s">
        <v>218</v>
      </c>
      <c r="FH55" s="22" t="s">
        <v>218</v>
      </c>
      <c r="FI55" s="22" t="s">
        <v>218</v>
      </c>
      <c r="FJ55" s="22" t="s">
        <v>218</v>
      </c>
      <c r="FK55" s="22" t="s">
        <v>218</v>
      </c>
      <c r="FL55" s="22" t="s">
        <v>218</v>
      </c>
      <c r="FM55" s="22" t="s">
        <v>218</v>
      </c>
      <c r="FN55" s="22" t="s">
        <v>218</v>
      </c>
      <c r="FO55" s="22" t="s">
        <v>218</v>
      </c>
      <c r="FP55" s="22" t="s">
        <v>218</v>
      </c>
      <c r="FQ55" s="22" t="s">
        <v>218</v>
      </c>
      <c r="FR55" s="22" t="s">
        <v>218</v>
      </c>
      <c r="FS55" s="22" t="s">
        <v>218</v>
      </c>
      <c r="FT55" s="22" t="s">
        <v>218</v>
      </c>
      <c r="FU55" s="22" t="s">
        <v>218</v>
      </c>
      <c r="FV55" s="22" t="s">
        <v>218</v>
      </c>
      <c r="FW55" s="22" t="s">
        <v>218</v>
      </c>
      <c r="FX55" s="22" t="s">
        <v>218</v>
      </c>
      <c r="FY55" s="22" t="s">
        <v>218</v>
      </c>
      <c r="FZ55" s="22" t="s">
        <v>218</v>
      </c>
      <c r="GA55" s="22" t="s">
        <v>218</v>
      </c>
      <c r="GB55" s="22" t="s">
        <v>218</v>
      </c>
      <c r="GC55" s="22" t="s">
        <v>218</v>
      </c>
      <c r="GD55" s="22" t="s">
        <v>218</v>
      </c>
      <c r="GE55" s="22" t="s">
        <v>218</v>
      </c>
      <c r="GF55" s="22" t="s">
        <v>218</v>
      </c>
      <c r="GG55" s="22" t="s">
        <v>218</v>
      </c>
      <c r="GH55" s="22" t="s">
        <v>218</v>
      </c>
      <c r="GI55" s="22" t="s">
        <v>218</v>
      </c>
      <c r="GJ55" s="22" t="s">
        <v>218</v>
      </c>
      <c r="GK55" s="22" t="s">
        <v>218</v>
      </c>
      <c r="GL55" s="22" t="s">
        <v>218</v>
      </c>
      <c r="GM55" s="22" t="s">
        <v>218</v>
      </c>
      <c r="GN55" s="22" t="s">
        <v>218</v>
      </c>
      <c r="GO55" s="22" t="s">
        <v>218</v>
      </c>
      <c r="GP55" s="22" t="s">
        <v>218</v>
      </c>
      <c r="GQ55" s="22" t="s">
        <v>218</v>
      </c>
      <c r="GR55" s="22" t="s">
        <v>218</v>
      </c>
      <c r="GS55" s="22" t="s">
        <v>218</v>
      </c>
      <c r="GT55" s="22" t="s">
        <v>218</v>
      </c>
      <c r="GU55" s="22" t="s">
        <v>218</v>
      </c>
      <c r="GV55" s="22" t="s">
        <v>218</v>
      </c>
      <c r="GW55" s="22" t="s">
        <v>218</v>
      </c>
      <c r="GX55" s="22">
        <v>2013</v>
      </c>
      <c r="GY55" s="22">
        <v>2013</v>
      </c>
      <c r="GZ55" s="22">
        <v>2013</v>
      </c>
      <c r="HA55" s="22">
        <v>2013</v>
      </c>
      <c r="HB55" s="22">
        <v>2013</v>
      </c>
      <c r="HC55" s="22">
        <v>2013</v>
      </c>
      <c r="HD55" s="22">
        <v>2013</v>
      </c>
      <c r="HE55" s="22">
        <v>2013</v>
      </c>
      <c r="HF55" s="22">
        <v>2013</v>
      </c>
      <c r="HG55" s="22">
        <v>2013</v>
      </c>
      <c r="HH55" s="22">
        <v>2013</v>
      </c>
      <c r="HI55" s="22">
        <v>2013</v>
      </c>
      <c r="HJ55" s="22">
        <v>2013</v>
      </c>
      <c r="HK55" s="22">
        <v>2013</v>
      </c>
      <c r="HL55" s="22" t="s">
        <v>218</v>
      </c>
      <c r="HM55" s="622">
        <f>'background data'!$G$18</f>
        <v>0.54099999999999993</v>
      </c>
      <c r="HN55" s="622">
        <f>'background data'!$H$18</f>
        <v>0.11600000000000001</v>
      </c>
      <c r="HO55" s="622">
        <f>'background data'!$J$18</f>
        <v>0.25</v>
      </c>
      <c r="HP55" s="622">
        <f>'background data'!$L$18</f>
        <v>1.2999999999999999E-2</v>
      </c>
      <c r="HQ55" s="622">
        <f>'background data'!$M$18</f>
        <v>8.86</v>
      </c>
      <c r="HR55" s="622">
        <f>'background data'!$N$18</f>
        <v>6.9299999999999995E-3</v>
      </c>
      <c r="HS55" s="622">
        <f>'background data'!$O$18</f>
        <v>1.75</v>
      </c>
      <c r="HT55" s="145"/>
      <c r="HU55" s="145" t="s">
        <v>1809</v>
      </c>
      <c r="HV55" s="22" t="s">
        <v>1929</v>
      </c>
      <c r="HW55" s="22" t="s">
        <v>289</v>
      </c>
      <c r="HX55" s="22" t="s">
        <v>290</v>
      </c>
      <c r="HY55" s="22" t="s">
        <v>291</v>
      </c>
      <c r="HZ55" s="19"/>
      <c r="IA55" s="19"/>
      <c r="IB55" s="622">
        <f>'background data'!$G$18</f>
        <v>0.54099999999999993</v>
      </c>
      <c r="IC55" s="622">
        <f>'background data'!$H$18</f>
        <v>0.11600000000000001</v>
      </c>
      <c r="ID55" s="622">
        <f>'background data'!$J$18</f>
        <v>0.25</v>
      </c>
      <c r="IE55" s="622">
        <f>'background data'!$L$18</f>
        <v>1.2999999999999999E-2</v>
      </c>
      <c r="IF55" s="622">
        <f>'background data'!$M$18</f>
        <v>8.86</v>
      </c>
      <c r="IG55" s="622">
        <f>'background data'!$N$18</f>
        <v>6.9299999999999995E-3</v>
      </c>
      <c r="IH55" s="622">
        <f>'background data'!$O$18</f>
        <v>1.75</v>
      </c>
      <c r="II55" s="145"/>
      <c r="IJ55" s="145"/>
      <c r="IK55" s="145"/>
      <c r="IL55" s="145"/>
      <c r="IM55" s="145"/>
      <c r="IN55" s="145"/>
      <c r="IO55" s="145"/>
      <c r="IP55" s="145"/>
      <c r="IQ55" s="145"/>
      <c r="IR55" s="145"/>
      <c r="IS55" s="145"/>
      <c r="IT55" s="145"/>
      <c r="IU55" s="145"/>
      <c r="IV55" s="145"/>
      <c r="IW55" s="145"/>
      <c r="IX55" s="145"/>
      <c r="IY55" s="145"/>
      <c r="IZ55" s="145"/>
      <c r="JA55" s="145"/>
      <c r="JB55" s="145"/>
      <c r="JC55" s="145"/>
      <c r="JD55" s="145"/>
      <c r="JE55" s="145"/>
      <c r="JF55" s="145"/>
      <c r="JG55" s="145"/>
      <c r="JH55" s="145"/>
      <c r="JI55" s="145"/>
      <c r="JJ55" s="145"/>
      <c r="JK55" s="145"/>
      <c r="JL55" s="145"/>
      <c r="JM55" s="145"/>
      <c r="JN55" s="145"/>
      <c r="JO55" s="145"/>
      <c r="JP55" s="145"/>
      <c r="JQ55" s="145"/>
      <c r="JR55" s="145"/>
      <c r="JS55" s="145"/>
      <c r="JT55" s="145"/>
      <c r="JU55" s="145"/>
      <c r="JV55" s="145"/>
      <c r="JW55" s="145"/>
      <c r="JX55" s="145"/>
      <c r="JY55" s="145"/>
      <c r="JZ55" s="145"/>
      <c r="KA55" s="145"/>
      <c r="KB55" s="145"/>
      <c r="KC55" s="145"/>
      <c r="KD55" s="145"/>
      <c r="KE55" s="145"/>
      <c r="KF55" s="145"/>
      <c r="KG55" s="145"/>
      <c r="KH55" s="145"/>
      <c r="KI55" s="145"/>
      <c r="KJ55" s="145"/>
      <c r="KK55" s="145"/>
      <c r="KL55" s="145"/>
      <c r="KM55" s="145"/>
      <c r="KN55" s="145"/>
      <c r="KO55" s="145"/>
      <c r="KP55" s="145"/>
      <c r="KQ55" s="145"/>
      <c r="KR55" s="145"/>
      <c r="KS55" s="145"/>
      <c r="KT55" s="145"/>
      <c r="KU55" s="145"/>
      <c r="KV55" s="145"/>
      <c r="KW55" s="145"/>
      <c r="KX55" s="145"/>
      <c r="KY55" s="145"/>
      <c r="KZ55" s="145"/>
      <c r="LA55" s="145"/>
      <c r="LB55" s="145"/>
      <c r="LC55" s="145"/>
      <c r="LD55" s="145"/>
      <c r="LE55" s="145"/>
      <c r="LF55" s="145"/>
      <c r="LG55" s="145"/>
      <c r="LH55" s="145"/>
      <c r="LI55" s="145"/>
      <c r="LJ55" s="145"/>
      <c r="LK55" s="145"/>
      <c r="LL55" s="145"/>
      <c r="LM55" s="145"/>
      <c r="LN55" s="145"/>
      <c r="LO55" s="145"/>
      <c r="LP55" s="145"/>
      <c r="LQ55" s="145"/>
      <c r="LR55" s="145"/>
      <c r="LS55" s="145"/>
      <c r="LT55" s="145"/>
      <c r="LU55" s="145"/>
      <c r="LV55" s="145"/>
      <c r="LW55" s="145"/>
      <c r="LX55" s="145"/>
      <c r="LY55" s="145"/>
      <c r="LZ55" s="145"/>
      <c r="MA55" s="145"/>
      <c r="MB55" s="145"/>
      <c r="MC55" s="145"/>
      <c r="MD55" s="145"/>
      <c r="ME55" s="145"/>
      <c r="MF55" s="145"/>
      <c r="MG55" s="145"/>
      <c r="MH55" s="145"/>
      <c r="MI55" s="145"/>
      <c r="MJ55" s="145"/>
      <c r="MK55" s="145"/>
      <c r="ML55" s="145"/>
      <c r="MM55" s="145"/>
      <c r="MN55" s="145"/>
      <c r="MO55" s="145"/>
      <c r="MP55" s="145"/>
      <c r="MQ55" s="145"/>
      <c r="MR55" s="145"/>
      <c r="MS55" s="145"/>
      <c r="MT55" s="145"/>
      <c r="MU55" s="145"/>
      <c r="MV55" s="145"/>
      <c r="MW55" s="145"/>
      <c r="MX55" s="145"/>
      <c r="MY55" s="145"/>
      <c r="MZ55" s="145"/>
      <c r="NA55" s="145"/>
      <c r="NB55" s="145"/>
      <c r="NC55" s="145"/>
      <c r="ND55" s="145"/>
      <c r="NE55" s="145"/>
      <c r="NF55" s="145"/>
      <c r="NG55" s="145"/>
      <c r="NH55" s="145"/>
      <c r="NI55" s="145"/>
      <c r="NJ55" s="145"/>
      <c r="NK55" s="145"/>
      <c r="NL55" s="145"/>
      <c r="NM55" s="145"/>
      <c r="NN55" s="145"/>
      <c r="NO55" s="145"/>
      <c r="NP55" s="145"/>
      <c r="NQ55" s="145"/>
      <c r="NR55" s="145"/>
      <c r="NS55" s="145"/>
    </row>
    <row r="56" spans="1:383" s="16" customFormat="1" ht="15" customHeight="1" x14ac:dyDescent="0.2">
      <c r="A56" s="15">
        <v>83500</v>
      </c>
      <c r="B56" s="25">
        <v>835</v>
      </c>
      <c r="C56" s="26">
        <v>0</v>
      </c>
      <c r="D56" s="20" t="s">
        <v>293</v>
      </c>
      <c r="E56" s="14">
        <v>40310</v>
      </c>
      <c r="F56" s="18">
        <v>1.3382661088207599</v>
      </c>
      <c r="G56" s="18">
        <v>1.2933860367168299</v>
      </c>
      <c r="H56" s="21">
        <v>93.7</v>
      </c>
      <c r="I56" s="21">
        <v>93.7</v>
      </c>
      <c r="J56" s="21">
        <v>93.7</v>
      </c>
      <c r="K56" s="18">
        <v>1</v>
      </c>
      <c r="L56" s="18">
        <v>91.3</v>
      </c>
      <c r="M56" s="18">
        <v>68.3</v>
      </c>
      <c r="N56" s="18">
        <v>13.799999565</v>
      </c>
      <c r="O56" s="18">
        <v>10.300000369999999</v>
      </c>
      <c r="P56" s="18">
        <v>0</v>
      </c>
      <c r="Q56" s="19"/>
      <c r="R56" s="18">
        <v>91</v>
      </c>
      <c r="S56" s="18">
        <v>70</v>
      </c>
      <c r="T56" s="18">
        <v>70</v>
      </c>
      <c r="U56" s="18">
        <v>70</v>
      </c>
      <c r="V56" s="18">
        <v>70</v>
      </c>
      <c r="W56" s="18">
        <v>70</v>
      </c>
      <c r="X56" s="18"/>
      <c r="Y56" s="18">
        <v>16.648410000000002</v>
      </c>
      <c r="Z56" s="18">
        <v>18.181820000000002</v>
      </c>
      <c r="AA56" s="18">
        <v>8.3423600000000011</v>
      </c>
      <c r="AB56" s="18">
        <v>0</v>
      </c>
      <c r="AC56" s="18">
        <v>15.92633</v>
      </c>
      <c r="AD56" s="18">
        <v>2.2000000000000002</v>
      </c>
      <c r="AE56" s="18">
        <v>0</v>
      </c>
      <c r="AF56" s="18">
        <v>332</v>
      </c>
      <c r="AG56" s="18">
        <v>5.0000000000000009</v>
      </c>
      <c r="AH56" s="18">
        <v>15</v>
      </c>
      <c r="AI56" s="18">
        <v>106.00000000000001</v>
      </c>
      <c r="AJ56" s="18">
        <v>0</v>
      </c>
      <c r="AK56" s="18">
        <v>2.3800000000000003</v>
      </c>
      <c r="AL56" s="18"/>
      <c r="AM56" s="18">
        <v>7.22</v>
      </c>
      <c r="AN56" s="18">
        <v>2.79</v>
      </c>
      <c r="AO56" s="18">
        <v>0.91</v>
      </c>
      <c r="AP56" s="18">
        <v>4.09</v>
      </c>
      <c r="AQ56" s="18">
        <v>1.1599999999999999</v>
      </c>
      <c r="AR56" s="18">
        <v>4.51</v>
      </c>
      <c r="AS56" s="18">
        <v>7.59</v>
      </c>
      <c r="AT56" s="18">
        <v>2.0499999999999998</v>
      </c>
      <c r="AU56" s="18">
        <v>3.77</v>
      </c>
      <c r="AV56" s="18">
        <v>3.3</v>
      </c>
      <c r="AW56" s="18">
        <v>5.46</v>
      </c>
      <c r="AX56" s="18"/>
      <c r="AY56" s="18">
        <v>1.02</v>
      </c>
      <c r="AZ56" s="18">
        <v>1.05</v>
      </c>
      <c r="BA56" s="18">
        <v>0.98</v>
      </c>
      <c r="BB56" s="18">
        <v>1.03</v>
      </c>
      <c r="BC56" s="18">
        <v>1</v>
      </c>
      <c r="BD56" s="18">
        <v>1.02</v>
      </c>
      <c r="BE56" s="18">
        <v>1.03</v>
      </c>
      <c r="BF56" s="18">
        <v>1</v>
      </c>
      <c r="BG56" s="18">
        <v>1.02</v>
      </c>
      <c r="BH56" s="18">
        <v>0.95</v>
      </c>
      <c r="BI56" s="18">
        <v>1.02</v>
      </c>
      <c r="BJ56" s="19"/>
      <c r="BK56" s="18">
        <v>74.808324205914573</v>
      </c>
      <c r="BL56" s="18">
        <v>15.115005</v>
      </c>
      <c r="BM56" s="18">
        <v>11.28149</v>
      </c>
      <c r="BN56" s="18">
        <v>0</v>
      </c>
      <c r="BO56" s="18"/>
      <c r="BP56" s="18">
        <v>159</v>
      </c>
      <c r="BQ56" s="18">
        <v>240.32857950000002</v>
      </c>
      <c r="BR56" s="18">
        <v>1.4657898234619495</v>
      </c>
      <c r="BS56" s="18">
        <v>1.416633117981194</v>
      </c>
      <c r="BT56" s="19"/>
      <c r="BU56" s="18">
        <v>887.18510000000003</v>
      </c>
      <c r="BV56" s="18">
        <v>3.9211399261770317</v>
      </c>
      <c r="BW56" s="18">
        <v>0</v>
      </c>
      <c r="BX56" s="18">
        <v>0</v>
      </c>
      <c r="BY56" s="18">
        <v>0</v>
      </c>
      <c r="BZ56" s="18">
        <v>0</v>
      </c>
      <c r="CA56" s="18" t="s">
        <v>217</v>
      </c>
      <c r="CB56" s="19"/>
      <c r="CC56" s="19">
        <v>15.19999833</v>
      </c>
      <c r="CD56" s="19">
        <v>16.60000166</v>
      </c>
      <c r="CE56" s="19">
        <v>7.6165746800000003</v>
      </c>
      <c r="CF56" s="19">
        <v>0</v>
      </c>
      <c r="CG56" s="19">
        <v>14.540739289999999</v>
      </c>
      <c r="CH56" s="19">
        <v>2.0085999999999999</v>
      </c>
      <c r="CI56" s="19">
        <v>0</v>
      </c>
      <c r="CJ56" s="19"/>
      <c r="CK56" s="19">
        <v>303.11599999999999</v>
      </c>
      <c r="CL56" s="19">
        <v>4.5650000000000004</v>
      </c>
      <c r="CM56" s="19">
        <v>13.694999999999999</v>
      </c>
      <c r="CN56" s="19">
        <v>96.778000000000006</v>
      </c>
      <c r="CO56" s="19">
        <v>0</v>
      </c>
      <c r="CP56" s="19">
        <v>2.1729400000000001</v>
      </c>
      <c r="CQ56" s="19">
        <v>621.53</v>
      </c>
      <c r="CR56" s="19">
        <v>464.42930587824094</v>
      </c>
      <c r="CS56" s="19">
        <v>34.20243180209718</v>
      </c>
      <c r="CT56" s="19">
        <v>13.605456515703068</v>
      </c>
      <c r="CU56" s="19">
        <v>4.1417805498221529</v>
      </c>
      <c r="CV56" s="19">
        <v>17.747237065525219</v>
      </c>
      <c r="CW56" s="19">
        <v>19.565013368732657</v>
      </c>
      <c r="CX56" s="19">
        <v>5.3873799481875952</v>
      </c>
      <c r="CY56" s="19">
        <v>21.364676929010841</v>
      </c>
      <c r="CZ56" s="19">
        <v>36.307689845643239</v>
      </c>
      <c r="DA56" s="19">
        <v>9.5208007705039392</v>
      </c>
      <c r="DB56" s="19">
        <v>17.859164528241877</v>
      </c>
      <c r="DC56" s="19">
        <v>14.559858739282856</v>
      </c>
      <c r="DD56" s="19">
        <v>32.419023267524729</v>
      </c>
      <c r="DE56" s="19">
        <v>25.864996902970997</v>
      </c>
      <c r="DF56" s="23">
        <v>0</v>
      </c>
      <c r="DG56" s="23">
        <v>0</v>
      </c>
      <c r="DH56" s="23">
        <v>0</v>
      </c>
      <c r="DI56" s="19">
        <v>0</v>
      </c>
      <c r="DJ56" s="19">
        <v>0</v>
      </c>
      <c r="DK56" s="19">
        <v>0</v>
      </c>
      <c r="DL56" s="19">
        <v>0</v>
      </c>
      <c r="DM56" s="19">
        <v>0</v>
      </c>
      <c r="DN56" s="19">
        <v>0</v>
      </c>
      <c r="DO56" s="19">
        <v>0</v>
      </c>
      <c r="DP56" s="19">
        <v>0</v>
      </c>
      <c r="DQ56" s="19">
        <v>0</v>
      </c>
      <c r="DR56" s="19">
        <v>0</v>
      </c>
      <c r="DS56" s="19">
        <v>0</v>
      </c>
      <c r="DT56" s="19">
        <v>0</v>
      </c>
      <c r="DU56" s="19">
        <v>0</v>
      </c>
      <c r="DV56" s="19">
        <v>0</v>
      </c>
      <c r="DW56" s="17" t="s">
        <v>288</v>
      </c>
      <c r="DX56" s="22" t="s">
        <v>218</v>
      </c>
      <c r="DY56" s="22" t="s">
        <v>218</v>
      </c>
      <c r="DZ56" s="22" t="s">
        <v>218</v>
      </c>
      <c r="EA56" s="22" t="s">
        <v>218</v>
      </c>
      <c r="EB56" s="22" t="s">
        <v>218</v>
      </c>
      <c r="EC56" s="22" t="s">
        <v>218</v>
      </c>
      <c r="ED56" s="22" t="s">
        <v>218</v>
      </c>
      <c r="EE56" s="22" t="s">
        <v>218</v>
      </c>
      <c r="EF56" s="22" t="s">
        <v>218</v>
      </c>
      <c r="EG56" s="22" t="s">
        <v>218</v>
      </c>
      <c r="EH56" s="22" t="s">
        <v>218</v>
      </c>
      <c r="EI56" s="22" t="s">
        <v>218</v>
      </c>
      <c r="EJ56" s="22" t="s">
        <v>218</v>
      </c>
      <c r="EK56" s="22" t="s">
        <v>218</v>
      </c>
      <c r="EL56" s="22" t="s">
        <v>218</v>
      </c>
      <c r="EM56" s="22" t="s">
        <v>218</v>
      </c>
      <c r="EN56" s="22" t="s">
        <v>218</v>
      </c>
      <c r="EO56" s="22" t="s">
        <v>218</v>
      </c>
      <c r="EP56" s="22" t="s">
        <v>218</v>
      </c>
      <c r="EQ56" s="22" t="s">
        <v>218</v>
      </c>
      <c r="ER56" s="22" t="s">
        <v>218</v>
      </c>
      <c r="ES56" s="22" t="s">
        <v>218</v>
      </c>
      <c r="ET56" s="22" t="s">
        <v>218</v>
      </c>
      <c r="EU56" s="22" t="s">
        <v>218</v>
      </c>
      <c r="EV56" s="22" t="s">
        <v>218</v>
      </c>
      <c r="EW56" s="22" t="s">
        <v>218</v>
      </c>
      <c r="EX56" s="22" t="s">
        <v>218</v>
      </c>
      <c r="EY56" s="22" t="s">
        <v>218</v>
      </c>
      <c r="EZ56" s="22" t="s">
        <v>218</v>
      </c>
      <c r="FA56" s="22" t="s">
        <v>218</v>
      </c>
      <c r="FB56" s="22" t="s">
        <v>218</v>
      </c>
      <c r="FC56" s="22" t="s">
        <v>218</v>
      </c>
      <c r="FD56" s="22" t="s">
        <v>218</v>
      </c>
      <c r="FE56" s="22" t="s">
        <v>218</v>
      </c>
      <c r="FF56" s="22" t="s">
        <v>218</v>
      </c>
      <c r="FG56" s="22" t="s">
        <v>218</v>
      </c>
      <c r="FH56" s="22" t="s">
        <v>218</v>
      </c>
      <c r="FI56" s="22" t="s">
        <v>218</v>
      </c>
      <c r="FJ56" s="22" t="s">
        <v>218</v>
      </c>
      <c r="FK56" s="22" t="s">
        <v>218</v>
      </c>
      <c r="FL56" s="22" t="s">
        <v>218</v>
      </c>
      <c r="FM56" s="22" t="s">
        <v>218</v>
      </c>
      <c r="FN56" s="22" t="s">
        <v>218</v>
      </c>
      <c r="FO56" s="22" t="s">
        <v>218</v>
      </c>
      <c r="FP56" s="22" t="s">
        <v>218</v>
      </c>
      <c r="FQ56" s="22" t="s">
        <v>218</v>
      </c>
      <c r="FR56" s="22" t="s">
        <v>218</v>
      </c>
      <c r="FS56" s="22" t="s">
        <v>218</v>
      </c>
      <c r="FT56" s="22" t="s">
        <v>218</v>
      </c>
      <c r="FU56" s="22" t="s">
        <v>218</v>
      </c>
      <c r="FV56" s="22" t="s">
        <v>218</v>
      </c>
      <c r="FW56" s="22" t="s">
        <v>218</v>
      </c>
      <c r="FX56" s="22" t="s">
        <v>218</v>
      </c>
      <c r="FY56" s="22" t="s">
        <v>218</v>
      </c>
      <c r="FZ56" s="22" t="s">
        <v>218</v>
      </c>
      <c r="GA56" s="22" t="s">
        <v>218</v>
      </c>
      <c r="GB56" s="22" t="s">
        <v>218</v>
      </c>
      <c r="GC56" s="22" t="s">
        <v>218</v>
      </c>
      <c r="GD56" s="22" t="s">
        <v>218</v>
      </c>
      <c r="GE56" s="22" t="s">
        <v>218</v>
      </c>
      <c r="GF56" s="22" t="s">
        <v>218</v>
      </c>
      <c r="GG56" s="22" t="s">
        <v>218</v>
      </c>
      <c r="GH56" s="22" t="s">
        <v>218</v>
      </c>
      <c r="GI56" s="22" t="s">
        <v>218</v>
      </c>
      <c r="GJ56" s="22" t="s">
        <v>218</v>
      </c>
      <c r="GK56" s="22" t="s">
        <v>218</v>
      </c>
      <c r="GL56" s="22" t="s">
        <v>218</v>
      </c>
      <c r="GM56" s="22" t="s">
        <v>218</v>
      </c>
      <c r="GN56" s="22" t="s">
        <v>218</v>
      </c>
      <c r="GO56" s="22" t="s">
        <v>218</v>
      </c>
      <c r="GP56" s="22" t="s">
        <v>218</v>
      </c>
      <c r="GQ56" s="22" t="s">
        <v>218</v>
      </c>
      <c r="GR56" s="22" t="s">
        <v>218</v>
      </c>
      <c r="GS56" s="22" t="s">
        <v>218</v>
      </c>
      <c r="GT56" s="22" t="s">
        <v>218</v>
      </c>
      <c r="GU56" s="22" t="s">
        <v>218</v>
      </c>
      <c r="GV56" s="22" t="s">
        <v>218</v>
      </c>
      <c r="GW56" s="22" t="s">
        <v>218</v>
      </c>
      <c r="GX56" s="22" t="s">
        <v>218</v>
      </c>
      <c r="GY56" s="22" t="s">
        <v>218</v>
      </c>
      <c r="GZ56" s="22" t="s">
        <v>218</v>
      </c>
      <c r="HA56" s="22" t="s">
        <v>218</v>
      </c>
      <c r="HB56" s="22" t="s">
        <v>218</v>
      </c>
      <c r="HC56" s="22" t="s">
        <v>218</v>
      </c>
      <c r="HD56" s="22" t="s">
        <v>218</v>
      </c>
      <c r="HE56" s="22" t="s">
        <v>218</v>
      </c>
      <c r="HF56" s="22" t="s">
        <v>218</v>
      </c>
      <c r="HG56" s="22" t="s">
        <v>218</v>
      </c>
      <c r="HH56" s="22" t="s">
        <v>218</v>
      </c>
      <c r="HI56" s="22" t="s">
        <v>218</v>
      </c>
      <c r="HJ56" s="22" t="s">
        <v>218</v>
      </c>
      <c r="HK56" s="22" t="s">
        <v>218</v>
      </c>
      <c r="HL56" s="22" t="s">
        <v>218</v>
      </c>
      <c r="HM56" s="622">
        <f>'background data'!$G$18</f>
        <v>0.54099999999999993</v>
      </c>
      <c r="HN56" s="622">
        <f>'background data'!$H$18</f>
        <v>0.11600000000000001</v>
      </c>
      <c r="HO56" s="622">
        <f>'background data'!$J$18</f>
        <v>0.25</v>
      </c>
      <c r="HP56" s="622">
        <f>'background data'!$L$18</f>
        <v>1.2999999999999999E-2</v>
      </c>
      <c r="HQ56" s="622">
        <f>'background data'!$M$18</f>
        <v>8.86</v>
      </c>
      <c r="HR56" s="622">
        <f>'background data'!$N$18</f>
        <v>6.9299999999999995E-3</v>
      </c>
      <c r="HS56" s="622">
        <f>'background data'!$O$18</f>
        <v>1.75</v>
      </c>
      <c r="HT56" s="145"/>
      <c r="HU56" s="145" t="s">
        <v>1809</v>
      </c>
      <c r="HV56" s="22" t="s">
        <v>1929</v>
      </c>
      <c r="HW56" s="22" t="s">
        <v>294</v>
      </c>
      <c r="HX56" s="22" t="s">
        <v>290</v>
      </c>
      <c r="HY56" s="22" t="s">
        <v>291</v>
      </c>
      <c r="HZ56" s="19"/>
      <c r="IA56" s="19"/>
      <c r="IB56" s="622">
        <f>'background data'!$G$18</f>
        <v>0.54099999999999993</v>
      </c>
      <c r="IC56" s="622">
        <f>'background data'!$H$18</f>
        <v>0.11600000000000001</v>
      </c>
      <c r="ID56" s="622">
        <f>'background data'!$J$18</f>
        <v>0.25</v>
      </c>
      <c r="IE56" s="622">
        <f>'background data'!$L$18</f>
        <v>1.2999999999999999E-2</v>
      </c>
      <c r="IF56" s="622">
        <f>'background data'!$M$18</f>
        <v>8.86</v>
      </c>
      <c r="IG56" s="622">
        <f>'background data'!$N$18</f>
        <v>6.9299999999999995E-3</v>
      </c>
      <c r="IH56" s="622">
        <f>'background data'!$O$18</f>
        <v>1.75</v>
      </c>
      <c r="II56" s="145"/>
      <c r="IJ56" s="145"/>
      <c r="IK56" s="145"/>
      <c r="IL56" s="145"/>
      <c r="IM56" s="145"/>
      <c r="IN56" s="145"/>
      <c r="IO56" s="145"/>
      <c r="IP56" s="145"/>
      <c r="IQ56" s="145"/>
      <c r="IR56" s="145"/>
      <c r="IS56" s="145"/>
      <c r="IT56" s="145"/>
      <c r="IU56" s="145"/>
      <c r="IV56" s="145"/>
      <c r="IW56" s="145"/>
      <c r="IX56" s="145"/>
      <c r="IY56" s="145"/>
      <c r="IZ56" s="145"/>
      <c r="JA56" s="145"/>
      <c r="JB56" s="145"/>
      <c r="JC56" s="145"/>
      <c r="JD56" s="145"/>
      <c r="JE56" s="145"/>
      <c r="JF56" s="145"/>
      <c r="JG56" s="145"/>
      <c r="JH56" s="145"/>
      <c r="JI56" s="145"/>
      <c r="JJ56" s="145"/>
      <c r="JK56" s="145"/>
      <c r="JL56" s="145"/>
      <c r="JM56" s="145"/>
      <c r="JN56" s="145"/>
      <c r="JO56" s="145"/>
      <c r="JP56" s="145"/>
      <c r="JQ56" s="145"/>
      <c r="JR56" s="145"/>
      <c r="JS56" s="145"/>
      <c r="JT56" s="145"/>
      <c r="JU56" s="145"/>
      <c r="JV56" s="145"/>
      <c r="JW56" s="145"/>
      <c r="JX56" s="145"/>
      <c r="JY56" s="145"/>
      <c r="JZ56" s="145"/>
      <c r="KA56" s="145"/>
      <c r="KB56" s="145"/>
      <c r="KC56" s="145"/>
      <c r="KD56" s="145"/>
      <c r="KE56" s="145"/>
      <c r="KF56" s="145"/>
      <c r="KG56" s="145"/>
      <c r="KH56" s="145"/>
      <c r="KI56" s="145"/>
      <c r="KJ56" s="145"/>
      <c r="KK56" s="145"/>
      <c r="KL56" s="145"/>
      <c r="KM56" s="145"/>
      <c r="KN56" s="145"/>
      <c r="KO56" s="145"/>
      <c r="KP56" s="145"/>
      <c r="KQ56" s="145"/>
      <c r="KR56" s="145"/>
      <c r="KS56" s="145"/>
      <c r="KT56" s="145"/>
      <c r="KU56" s="145"/>
      <c r="KV56" s="145"/>
      <c r="KW56" s="145"/>
      <c r="KX56" s="145"/>
      <c r="KY56" s="145"/>
      <c r="KZ56" s="145"/>
      <c r="LA56" s="145"/>
      <c r="LB56" s="145"/>
      <c r="LC56" s="145"/>
      <c r="LD56" s="145"/>
      <c r="LE56" s="145"/>
      <c r="LF56" s="145"/>
      <c r="LG56" s="145"/>
      <c r="LH56" s="145"/>
      <c r="LI56" s="145"/>
      <c r="LJ56" s="145"/>
      <c r="LK56" s="145"/>
      <c r="LL56" s="145"/>
      <c r="LM56" s="145"/>
      <c r="LN56" s="145"/>
      <c r="LO56" s="145"/>
      <c r="LP56" s="145"/>
      <c r="LQ56" s="145"/>
      <c r="LR56" s="145"/>
      <c r="LS56" s="145"/>
      <c r="LT56" s="145"/>
      <c r="LU56" s="145"/>
      <c r="LV56" s="145"/>
      <c r="LW56" s="145"/>
      <c r="LX56" s="145"/>
      <c r="LY56" s="145"/>
      <c r="LZ56" s="145"/>
      <c r="MA56" s="145"/>
      <c r="MB56" s="145"/>
      <c r="MC56" s="145"/>
      <c r="MD56" s="145"/>
      <c r="ME56" s="145"/>
      <c r="MF56" s="145"/>
      <c r="MG56" s="145"/>
      <c r="MH56" s="145"/>
      <c r="MI56" s="145"/>
      <c r="MJ56" s="145"/>
      <c r="MK56" s="145"/>
      <c r="ML56" s="145"/>
      <c r="MM56" s="145"/>
      <c r="MN56" s="145"/>
      <c r="MO56" s="145"/>
      <c r="MP56" s="145"/>
      <c r="MQ56" s="145"/>
      <c r="MR56" s="145"/>
      <c r="MS56" s="145"/>
      <c r="MT56" s="145"/>
      <c r="MU56" s="145"/>
      <c r="MV56" s="145"/>
      <c r="MW56" s="145"/>
      <c r="MX56" s="145"/>
      <c r="MY56" s="145"/>
      <c r="MZ56" s="145"/>
      <c r="NA56" s="145"/>
      <c r="NB56" s="145"/>
      <c r="NC56" s="145"/>
      <c r="ND56" s="145"/>
      <c r="NE56" s="145"/>
      <c r="NF56" s="145"/>
      <c r="NG56" s="145"/>
      <c r="NH56" s="145"/>
      <c r="NI56" s="145"/>
      <c r="NJ56" s="145"/>
      <c r="NK56" s="145"/>
      <c r="NL56" s="145"/>
      <c r="NM56" s="145"/>
      <c r="NN56" s="145"/>
      <c r="NO56" s="145"/>
      <c r="NP56" s="145"/>
      <c r="NQ56" s="145"/>
      <c r="NR56" s="145"/>
      <c r="NS56" s="145"/>
    </row>
    <row r="57" spans="1:383" s="16" customFormat="1" ht="15" customHeight="1" x14ac:dyDescent="0.2">
      <c r="A57" s="15">
        <v>83600</v>
      </c>
      <c r="B57" s="25">
        <v>836</v>
      </c>
      <c r="C57" s="26">
        <v>0</v>
      </c>
      <c r="D57" s="20" t="s">
        <v>295</v>
      </c>
      <c r="E57" s="14">
        <v>41505</v>
      </c>
      <c r="F57" s="18">
        <v>0.73852807039743495</v>
      </c>
      <c r="G57" s="18">
        <v>0.71244586487442496</v>
      </c>
      <c r="H57" s="21">
        <v>97.6</v>
      </c>
      <c r="I57" s="21">
        <v>96.2</v>
      </c>
      <c r="J57" s="21">
        <v>97.7</v>
      </c>
      <c r="K57" s="18">
        <v>1</v>
      </c>
      <c r="L57" s="18">
        <v>50</v>
      </c>
      <c r="M57" s="18">
        <v>35</v>
      </c>
      <c r="N57" s="18">
        <v>6.0311284046692499</v>
      </c>
      <c r="O57" s="18">
        <v>5</v>
      </c>
      <c r="P57" s="18">
        <v>0</v>
      </c>
      <c r="Q57" s="19"/>
      <c r="R57" s="18">
        <v>92</v>
      </c>
      <c r="S57" s="18">
        <v>70</v>
      </c>
      <c r="T57" s="18">
        <v>70</v>
      </c>
      <c r="U57" s="18">
        <v>70</v>
      </c>
      <c r="V57" s="18">
        <v>70</v>
      </c>
      <c r="W57" s="18">
        <v>70</v>
      </c>
      <c r="X57" s="18"/>
      <c r="Y57" s="18">
        <v>13.999981219296</v>
      </c>
      <c r="Z57" s="18">
        <v>15</v>
      </c>
      <c r="AA57" s="18">
        <v>10</v>
      </c>
      <c r="AB57" s="18">
        <v>13</v>
      </c>
      <c r="AC57" s="18">
        <v>10</v>
      </c>
      <c r="AD57" s="18">
        <v>2</v>
      </c>
      <c r="AE57" s="18">
        <v>0</v>
      </c>
      <c r="AF57" s="18">
        <v>700</v>
      </c>
      <c r="AG57" s="18">
        <v>100</v>
      </c>
      <c r="AH57" s="18">
        <v>9</v>
      </c>
      <c r="AI57" s="18">
        <v>1000</v>
      </c>
      <c r="AJ57" s="18">
        <v>0</v>
      </c>
      <c r="AK57" s="18">
        <v>2.38</v>
      </c>
      <c r="AL57" s="18"/>
      <c r="AM57" s="18">
        <v>6.4</v>
      </c>
      <c r="AN57" s="18">
        <v>2.5</v>
      </c>
      <c r="AO57" s="18">
        <v>0.8</v>
      </c>
      <c r="AP57" s="18">
        <v>3.8</v>
      </c>
      <c r="AQ57" s="18">
        <v>0.66</v>
      </c>
      <c r="AR57" s="18">
        <v>4.0999999999999996</v>
      </c>
      <c r="AS57" s="18">
        <v>6.5</v>
      </c>
      <c r="AT57" s="18">
        <v>2.2999999999999998</v>
      </c>
      <c r="AU57" s="18">
        <v>3.3</v>
      </c>
      <c r="AV57" s="18">
        <v>2.7</v>
      </c>
      <c r="AW57" s="18">
        <v>4.9000000000000004</v>
      </c>
      <c r="AX57" s="18"/>
      <c r="AY57" s="18">
        <v>1.02</v>
      </c>
      <c r="AZ57" s="18">
        <v>1.05</v>
      </c>
      <c r="BA57" s="18">
        <v>0.98</v>
      </c>
      <c r="BB57" s="18">
        <v>1.03</v>
      </c>
      <c r="BC57" s="18">
        <v>1</v>
      </c>
      <c r="BD57" s="18">
        <v>1.02</v>
      </c>
      <c r="BE57" s="18">
        <v>1.03</v>
      </c>
      <c r="BF57" s="18">
        <v>1</v>
      </c>
      <c r="BG57" s="18">
        <v>1.02</v>
      </c>
      <c r="BH57" s="18">
        <v>0.95</v>
      </c>
      <c r="BI57" s="18">
        <v>1.02</v>
      </c>
      <c r="BJ57" s="19"/>
      <c r="BK57" s="18">
        <v>70</v>
      </c>
      <c r="BL57" s="18">
        <v>12.0622568093385</v>
      </c>
      <c r="BM57" s="18">
        <v>10</v>
      </c>
      <c r="BN57" s="18">
        <v>0</v>
      </c>
      <c r="BO57" s="18"/>
      <c r="BP57" s="18">
        <v>159</v>
      </c>
      <c r="BQ57" s="18">
        <v>191.78988326848199</v>
      </c>
      <c r="BR57" s="18">
        <v>1.4770561407948699</v>
      </c>
      <c r="BS57" s="18">
        <v>1.4248917297488499</v>
      </c>
      <c r="BT57" s="19"/>
      <c r="BU57" s="18">
        <v>900</v>
      </c>
      <c r="BV57" s="18">
        <v>106.396108949417</v>
      </c>
      <c r="BW57" s="18">
        <v>17.999999999999901</v>
      </c>
      <c r="BX57" s="18">
        <v>0</v>
      </c>
      <c r="BY57" s="18">
        <v>0</v>
      </c>
      <c r="BZ57" s="18">
        <v>0</v>
      </c>
      <c r="CA57" s="18" t="s">
        <v>217</v>
      </c>
      <c r="CB57" s="19"/>
      <c r="CC57" s="19">
        <v>6.999990609648</v>
      </c>
      <c r="CD57" s="19">
        <v>7.5</v>
      </c>
      <c r="CE57" s="19">
        <v>5</v>
      </c>
      <c r="CF57" s="19">
        <v>6.5</v>
      </c>
      <c r="CG57" s="19">
        <v>5</v>
      </c>
      <c r="CH57" s="19">
        <v>1</v>
      </c>
      <c r="CI57" s="19">
        <v>0</v>
      </c>
      <c r="CJ57" s="19"/>
      <c r="CK57" s="19">
        <v>350</v>
      </c>
      <c r="CL57" s="19">
        <v>50</v>
      </c>
      <c r="CM57" s="19">
        <v>4.5</v>
      </c>
      <c r="CN57" s="19">
        <v>500</v>
      </c>
      <c r="CO57" s="19">
        <v>0</v>
      </c>
      <c r="CP57" s="19">
        <v>1.19</v>
      </c>
      <c r="CQ57" s="19">
        <v>322</v>
      </c>
      <c r="CR57" s="19">
        <v>436.0023848879805</v>
      </c>
      <c r="CS57" s="19">
        <v>28.462235685487368</v>
      </c>
      <c r="CT57" s="19">
        <v>11.44506260330949</v>
      </c>
      <c r="CU57" s="19">
        <v>3.4182586975217673</v>
      </c>
      <c r="CV57" s="19">
        <v>14.863321300831254</v>
      </c>
      <c r="CW57" s="19">
        <v>17.065133344515559</v>
      </c>
      <c r="CX57" s="19">
        <v>2.8776157402606715</v>
      </c>
      <c r="CY57" s="19">
        <v>18.233619736015346</v>
      </c>
      <c r="CZ57" s="19">
        <v>29.190359668250295</v>
      </c>
      <c r="DA57" s="19">
        <v>10.028054852423551</v>
      </c>
      <c r="DB57" s="19">
        <v>14.675840275329426</v>
      </c>
      <c r="DC57" s="19">
        <v>11.183461172376699</v>
      </c>
      <c r="DD57" s="19">
        <v>25.859301447706123</v>
      </c>
      <c r="DE57" s="19">
        <v>21.791399196701267</v>
      </c>
      <c r="DF57" s="23">
        <v>0</v>
      </c>
      <c r="DG57" s="23">
        <v>0</v>
      </c>
      <c r="DH57" s="23">
        <v>0</v>
      </c>
      <c r="DI57" s="19">
        <v>0</v>
      </c>
      <c r="DJ57" s="19">
        <v>0</v>
      </c>
      <c r="DK57" s="19">
        <v>0</v>
      </c>
      <c r="DL57" s="19">
        <v>0</v>
      </c>
      <c r="DM57" s="19">
        <v>0</v>
      </c>
      <c r="DN57" s="19">
        <v>0</v>
      </c>
      <c r="DO57" s="19">
        <v>0</v>
      </c>
      <c r="DP57" s="19">
        <v>0</v>
      </c>
      <c r="DQ57" s="19">
        <v>0</v>
      </c>
      <c r="DR57" s="19">
        <v>0</v>
      </c>
      <c r="DS57" s="19">
        <v>0</v>
      </c>
      <c r="DT57" s="19">
        <v>0</v>
      </c>
      <c r="DU57" s="19">
        <v>0</v>
      </c>
      <c r="DV57" s="19">
        <v>0</v>
      </c>
      <c r="DW57" s="17" t="s">
        <v>296</v>
      </c>
      <c r="DX57" s="22" t="s">
        <v>218</v>
      </c>
      <c r="DY57" s="22" t="s">
        <v>218</v>
      </c>
      <c r="DZ57" s="22" t="s">
        <v>218</v>
      </c>
      <c r="EA57" s="22" t="s">
        <v>218</v>
      </c>
      <c r="EB57" s="22" t="s">
        <v>218</v>
      </c>
      <c r="EC57" s="22" t="s">
        <v>218</v>
      </c>
      <c r="ED57" s="22" t="s">
        <v>218</v>
      </c>
      <c r="EE57" s="22" t="s">
        <v>218</v>
      </c>
      <c r="EF57" s="22" t="s">
        <v>218</v>
      </c>
      <c r="EG57" s="22" t="s">
        <v>218</v>
      </c>
      <c r="EH57" s="22" t="s">
        <v>218</v>
      </c>
      <c r="EI57" s="22" t="s">
        <v>218</v>
      </c>
      <c r="EJ57" s="22" t="s">
        <v>218</v>
      </c>
      <c r="EK57" s="22" t="s">
        <v>218</v>
      </c>
      <c r="EL57" s="22" t="s">
        <v>218</v>
      </c>
      <c r="EM57" s="22" t="s">
        <v>218</v>
      </c>
      <c r="EN57" s="22" t="s">
        <v>218</v>
      </c>
      <c r="EO57" s="22" t="s">
        <v>218</v>
      </c>
      <c r="EP57" s="22" t="s">
        <v>218</v>
      </c>
      <c r="EQ57" s="22" t="s">
        <v>218</v>
      </c>
      <c r="ER57" s="22" t="s">
        <v>218</v>
      </c>
      <c r="ES57" s="22" t="s">
        <v>218</v>
      </c>
      <c r="ET57" s="22" t="s">
        <v>218</v>
      </c>
      <c r="EU57" s="22" t="s">
        <v>218</v>
      </c>
      <c r="EV57" s="22" t="s">
        <v>218</v>
      </c>
      <c r="EW57" s="22" t="s">
        <v>218</v>
      </c>
      <c r="EX57" s="22" t="s">
        <v>218</v>
      </c>
      <c r="EY57" s="22" t="s">
        <v>218</v>
      </c>
      <c r="EZ57" s="22" t="s">
        <v>218</v>
      </c>
      <c r="FA57" s="22" t="s">
        <v>218</v>
      </c>
      <c r="FB57" s="22" t="s">
        <v>218</v>
      </c>
      <c r="FC57" s="22" t="s">
        <v>218</v>
      </c>
      <c r="FD57" s="22" t="s">
        <v>218</v>
      </c>
      <c r="FE57" s="22" t="s">
        <v>218</v>
      </c>
      <c r="FF57" s="22" t="s">
        <v>218</v>
      </c>
      <c r="FG57" s="22" t="s">
        <v>218</v>
      </c>
      <c r="FH57" s="22" t="s">
        <v>218</v>
      </c>
      <c r="FI57" s="22" t="s">
        <v>218</v>
      </c>
      <c r="FJ57" s="22" t="s">
        <v>218</v>
      </c>
      <c r="FK57" s="22" t="s">
        <v>218</v>
      </c>
      <c r="FL57" s="22" t="s">
        <v>218</v>
      </c>
      <c r="FM57" s="22" t="s">
        <v>218</v>
      </c>
      <c r="FN57" s="22" t="s">
        <v>218</v>
      </c>
      <c r="FO57" s="22" t="s">
        <v>218</v>
      </c>
      <c r="FP57" s="22" t="s">
        <v>218</v>
      </c>
      <c r="FQ57" s="22" t="s">
        <v>218</v>
      </c>
      <c r="FR57" s="22" t="s">
        <v>218</v>
      </c>
      <c r="FS57" s="22" t="s">
        <v>218</v>
      </c>
      <c r="FT57" s="22" t="s">
        <v>218</v>
      </c>
      <c r="FU57" s="22" t="s">
        <v>218</v>
      </c>
      <c r="FV57" s="22" t="s">
        <v>218</v>
      </c>
      <c r="FW57" s="22" t="s">
        <v>218</v>
      </c>
      <c r="FX57" s="22" t="s">
        <v>218</v>
      </c>
      <c r="FY57" s="22" t="s">
        <v>218</v>
      </c>
      <c r="FZ57" s="22" t="s">
        <v>218</v>
      </c>
      <c r="GA57" s="22" t="s">
        <v>218</v>
      </c>
      <c r="GB57" s="22" t="s">
        <v>218</v>
      </c>
      <c r="GC57" s="22" t="s">
        <v>218</v>
      </c>
      <c r="GD57" s="22" t="s">
        <v>218</v>
      </c>
      <c r="GE57" s="22" t="s">
        <v>218</v>
      </c>
      <c r="GF57" s="22" t="s">
        <v>218</v>
      </c>
      <c r="GG57" s="22" t="s">
        <v>218</v>
      </c>
      <c r="GH57" s="22" t="s">
        <v>218</v>
      </c>
      <c r="GI57" s="22" t="s">
        <v>218</v>
      </c>
      <c r="GJ57" s="22" t="s">
        <v>218</v>
      </c>
      <c r="GK57" s="22" t="s">
        <v>218</v>
      </c>
      <c r="GL57" s="22" t="s">
        <v>218</v>
      </c>
      <c r="GM57" s="22" t="s">
        <v>218</v>
      </c>
      <c r="GN57" s="22" t="s">
        <v>218</v>
      </c>
      <c r="GO57" s="22" t="s">
        <v>218</v>
      </c>
      <c r="GP57" s="22" t="s">
        <v>218</v>
      </c>
      <c r="GQ57" s="22" t="s">
        <v>218</v>
      </c>
      <c r="GR57" s="22" t="s">
        <v>218</v>
      </c>
      <c r="GS57" s="22" t="s">
        <v>218</v>
      </c>
      <c r="GT57" s="22" t="s">
        <v>218</v>
      </c>
      <c r="GU57" s="22" t="s">
        <v>218</v>
      </c>
      <c r="GV57" s="22" t="s">
        <v>218</v>
      </c>
      <c r="GW57" s="22" t="s">
        <v>218</v>
      </c>
      <c r="GX57" s="22" t="s">
        <v>218</v>
      </c>
      <c r="GY57" s="22" t="s">
        <v>218</v>
      </c>
      <c r="GZ57" s="22" t="s">
        <v>218</v>
      </c>
      <c r="HA57" s="22" t="s">
        <v>218</v>
      </c>
      <c r="HB57" s="22" t="s">
        <v>218</v>
      </c>
      <c r="HC57" s="22" t="s">
        <v>218</v>
      </c>
      <c r="HD57" s="22" t="s">
        <v>218</v>
      </c>
      <c r="HE57" s="22" t="s">
        <v>218</v>
      </c>
      <c r="HF57" s="22" t="s">
        <v>218</v>
      </c>
      <c r="HG57" s="22" t="s">
        <v>218</v>
      </c>
      <c r="HH57" s="22" t="s">
        <v>218</v>
      </c>
      <c r="HI57" s="22" t="s">
        <v>218</v>
      </c>
      <c r="HJ57" s="22" t="s">
        <v>218</v>
      </c>
      <c r="HK57" s="22" t="s">
        <v>218</v>
      </c>
      <c r="HL57" s="22" t="s">
        <v>218</v>
      </c>
      <c r="HM57" s="622">
        <f>'background data'!$G$18</f>
        <v>0.54099999999999993</v>
      </c>
      <c r="HN57" s="622">
        <f>'background data'!$H$18</f>
        <v>0.11600000000000001</v>
      </c>
      <c r="HO57" s="622">
        <f>'background data'!$J$18</f>
        <v>0.25</v>
      </c>
      <c r="HP57" s="622">
        <f>'background data'!$L$18</f>
        <v>1.2999999999999999E-2</v>
      </c>
      <c r="HQ57" s="622">
        <f>'background data'!$M$18</f>
        <v>8.86</v>
      </c>
      <c r="HR57" s="622">
        <f>'background data'!$N$18</f>
        <v>6.9299999999999995E-3</v>
      </c>
      <c r="HS57" s="622">
        <f>'background data'!$O$18</f>
        <v>1.75</v>
      </c>
      <c r="HT57" s="145"/>
      <c r="HU57" s="145" t="s">
        <v>1809</v>
      </c>
      <c r="HV57" s="22" t="s">
        <v>1930</v>
      </c>
      <c r="HW57" s="22" t="s">
        <v>297</v>
      </c>
      <c r="HX57" s="22" t="s">
        <v>298</v>
      </c>
      <c r="HY57" s="22">
        <v>0</v>
      </c>
      <c r="HZ57" s="19"/>
      <c r="IA57" s="19"/>
      <c r="IB57" s="622">
        <f>'background data'!$G$18</f>
        <v>0.54099999999999993</v>
      </c>
      <c r="IC57" s="622">
        <f>'background data'!$H$18</f>
        <v>0.11600000000000001</v>
      </c>
      <c r="ID57" s="622">
        <f>'background data'!$J$18</f>
        <v>0.25</v>
      </c>
      <c r="IE57" s="622">
        <f>'background data'!$L$18</f>
        <v>1.2999999999999999E-2</v>
      </c>
      <c r="IF57" s="622">
        <f>'background data'!$M$18</f>
        <v>8.86</v>
      </c>
      <c r="IG57" s="622">
        <f>'background data'!$N$18</f>
        <v>6.9299999999999995E-3</v>
      </c>
      <c r="IH57" s="622">
        <f>'background data'!$O$18</f>
        <v>1.75</v>
      </c>
      <c r="II57" s="145"/>
      <c r="IJ57" s="145"/>
      <c r="IK57" s="145"/>
      <c r="IL57" s="145"/>
      <c r="IM57" s="145"/>
      <c r="IN57" s="145"/>
      <c r="IO57" s="145"/>
      <c r="IP57" s="145"/>
      <c r="IQ57" s="145"/>
      <c r="IR57" s="145"/>
      <c r="IS57" s="145"/>
      <c r="IT57" s="145"/>
      <c r="IU57" s="145"/>
      <c r="IV57" s="145"/>
      <c r="IW57" s="145"/>
      <c r="IX57" s="145"/>
      <c r="IY57" s="145"/>
      <c r="IZ57" s="145"/>
      <c r="JA57" s="145"/>
      <c r="JB57" s="145"/>
      <c r="JC57" s="145"/>
      <c r="JD57" s="145"/>
      <c r="JE57" s="145"/>
      <c r="JF57" s="145"/>
      <c r="JG57" s="145"/>
      <c r="JH57" s="145"/>
      <c r="JI57" s="145"/>
      <c r="JJ57" s="145"/>
      <c r="JK57" s="145"/>
      <c r="JL57" s="145"/>
      <c r="JM57" s="145"/>
      <c r="JN57" s="145"/>
      <c r="JO57" s="145"/>
      <c r="JP57" s="145"/>
      <c r="JQ57" s="145"/>
      <c r="JR57" s="145"/>
      <c r="JS57" s="145"/>
      <c r="JT57" s="145"/>
      <c r="JU57" s="145"/>
      <c r="JV57" s="145"/>
      <c r="JW57" s="145"/>
      <c r="JX57" s="145"/>
      <c r="JY57" s="145"/>
      <c r="JZ57" s="145"/>
      <c r="KA57" s="145"/>
      <c r="KB57" s="145"/>
      <c r="KC57" s="145"/>
      <c r="KD57" s="145"/>
      <c r="KE57" s="145"/>
      <c r="KF57" s="145"/>
      <c r="KG57" s="145"/>
      <c r="KH57" s="145"/>
      <c r="KI57" s="145"/>
      <c r="KJ57" s="145"/>
      <c r="KK57" s="145"/>
      <c r="KL57" s="145"/>
      <c r="KM57" s="145"/>
      <c r="KN57" s="145"/>
      <c r="KO57" s="145"/>
      <c r="KP57" s="145"/>
      <c r="KQ57" s="145"/>
      <c r="KR57" s="145"/>
      <c r="KS57" s="145"/>
      <c r="KT57" s="145"/>
      <c r="KU57" s="145"/>
      <c r="KV57" s="145"/>
      <c r="KW57" s="145"/>
      <c r="KX57" s="145"/>
      <c r="KY57" s="145"/>
      <c r="KZ57" s="145"/>
      <c r="LA57" s="145"/>
      <c r="LB57" s="145"/>
      <c r="LC57" s="145"/>
      <c r="LD57" s="145"/>
      <c r="LE57" s="145"/>
      <c r="LF57" s="145"/>
      <c r="LG57" s="145"/>
      <c r="LH57" s="145"/>
      <c r="LI57" s="145"/>
      <c r="LJ57" s="145"/>
      <c r="LK57" s="145"/>
      <c r="LL57" s="145"/>
      <c r="LM57" s="145"/>
      <c r="LN57" s="145"/>
      <c r="LO57" s="145"/>
      <c r="LP57" s="145"/>
      <c r="LQ57" s="145"/>
      <c r="LR57" s="145"/>
      <c r="LS57" s="145"/>
      <c r="LT57" s="145"/>
      <c r="LU57" s="145"/>
      <c r="LV57" s="145"/>
      <c r="LW57" s="145"/>
      <c r="LX57" s="145"/>
      <c r="LY57" s="145"/>
      <c r="LZ57" s="145"/>
      <c r="MA57" s="145"/>
      <c r="MB57" s="145"/>
      <c r="MC57" s="145"/>
      <c r="MD57" s="145"/>
      <c r="ME57" s="145"/>
      <c r="MF57" s="145"/>
      <c r="MG57" s="145"/>
      <c r="MH57" s="145"/>
      <c r="MI57" s="145"/>
      <c r="MJ57" s="145"/>
      <c r="MK57" s="145"/>
      <c r="ML57" s="145"/>
      <c r="MM57" s="145"/>
      <c r="MN57" s="145"/>
      <c r="MO57" s="145"/>
      <c r="MP57" s="145"/>
      <c r="MQ57" s="145"/>
      <c r="MR57" s="145"/>
      <c r="MS57" s="145"/>
      <c r="MT57" s="145"/>
      <c r="MU57" s="145"/>
      <c r="MV57" s="145"/>
      <c r="MW57" s="145"/>
      <c r="MX57" s="145"/>
      <c r="MY57" s="145"/>
      <c r="MZ57" s="145"/>
      <c r="NA57" s="145"/>
      <c r="NB57" s="145"/>
      <c r="NC57" s="145"/>
      <c r="ND57" s="145"/>
      <c r="NE57" s="145"/>
      <c r="NF57" s="145"/>
      <c r="NG57" s="145"/>
      <c r="NH57" s="145"/>
      <c r="NI57" s="145"/>
      <c r="NJ57" s="145"/>
      <c r="NK57" s="145"/>
      <c r="NL57" s="145"/>
      <c r="NM57" s="145"/>
      <c r="NN57" s="145"/>
      <c r="NO57" s="145"/>
      <c r="NP57" s="145"/>
      <c r="NQ57" s="145"/>
      <c r="NR57" s="145"/>
      <c r="NS57" s="145"/>
    </row>
    <row r="58" spans="1:383" s="16" customFormat="1" ht="15" customHeight="1" x14ac:dyDescent="0.2">
      <c r="A58" s="15">
        <v>83900</v>
      </c>
      <c r="B58" s="25">
        <v>839</v>
      </c>
      <c r="C58" s="26">
        <v>0</v>
      </c>
      <c r="D58" s="20" t="s">
        <v>299</v>
      </c>
      <c r="E58" s="14">
        <v>41505</v>
      </c>
      <c r="F58" s="18">
        <v>0.63652148229347505</v>
      </c>
      <c r="G58" s="18">
        <v>0.614063862250111</v>
      </c>
      <c r="H58" s="21">
        <v>97.6</v>
      </c>
      <c r="I58" s="21">
        <v>96.2</v>
      </c>
      <c r="J58" s="21">
        <v>97.7</v>
      </c>
      <c r="K58" s="18">
        <v>1</v>
      </c>
      <c r="L58" s="18">
        <v>43</v>
      </c>
      <c r="M58" s="18">
        <v>30</v>
      </c>
      <c r="N58" s="18">
        <v>5.0247191011236101</v>
      </c>
      <c r="O58" s="18">
        <v>4</v>
      </c>
      <c r="P58" s="18">
        <v>0</v>
      </c>
      <c r="Q58" s="19"/>
      <c r="R58" s="18">
        <v>92</v>
      </c>
      <c r="S58" s="18">
        <v>70</v>
      </c>
      <c r="T58" s="18">
        <v>70</v>
      </c>
      <c r="U58" s="18">
        <v>70</v>
      </c>
      <c r="V58" s="18">
        <v>70</v>
      </c>
      <c r="W58" s="18">
        <v>70</v>
      </c>
      <c r="X58" s="18"/>
      <c r="Y58" s="18">
        <v>13.999999999999998</v>
      </c>
      <c r="Z58" s="18">
        <v>15</v>
      </c>
      <c r="AA58" s="18">
        <v>10</v>
      </c>
      <c r="AB58" s="18">
        <v>13</v>
      </c>
      <c r="AC58" s="18">
        <v>10</v>
      </c>
      <c r="AD58" s="18">
        <v>2</v>
      </c>
      <c r="AE58" s="18">
        <v>0</v>
      </c>
      <c r="AF58" s="18">
        <v>700</v>
      </c>
      <c r="AG58" s="18">
        <v>100</v>
      </c>
      <c r="AH58" s="18">
        <v>9</v>
      </c>
      <c r="AI58" s="18">
        <v>1000</v>
      </c>
      <c r="AJ58" s="18">
        <v>0</v>
      </c>
      <c r="AK58" s="18">
        <v>2.3800000000000003</v>
      </c>
      <c r="AL58" s="18"/>
      <c r="AM58" s="18">
        <v>7</v>
      </c>
      <c r="AN58" s="18">
        <v>2.6</v>
      </c>
      <c r="AO58" s="18">
        <v>0.9</v>
      </c>
      <c r="AP58" s="18">
        <v>4.2</v>
      </c>
      <c r="AQ58" s="18">
        <v>0.8</v>
      </c>
      <c r="AR58" s="18">
        <v>4</v>
      </c>
      <c r="AS58" s="18">
        <v>6.6</v>
      </c>
      <c r="AT58" s="18">
        <v>2.2999999999999998</v>
      </c>
      <c r="AU58" s="18">
        <v>3.5</v>
      </c>
      <c r="AV58" s="18">
        <v>3</v>
      </c>
      <c r="AW58" s="18">
        <v>4.9000000000000004</v>
      </c>
      <c r="AX58" s="18"/>
      <c r="AY58" s="18">
        <v>1.02</v>
      </c>
      <c r="AZ58" s="18">
        <v>1.05</v>
      </c>
      <c r="BA58" s="18">
        <v>0.98</v>
      </c>
      <c r="BB58" s="18">
        <v>1.03</v>
      </c>
      <c r="BC58" s="18">
        <v>1</v>
      </c>
      <c r="BD58" s="18">
        <v>1.02</v>
      </c>
      <c r="BE58" s="18">
        <v>1.03</v>
      </c>
      <c r="BF58" s="18">
        <v>1</v>
      </c>
      <c r="BG58" s="18">
        <v>1.02</v>
      </c>
      <c r="BH58" s="18">
        <v>0.95</v>
      </c>
      <c r="BI58" s="18">
        <v>1.02</v>
      </c>
      <c r="BJ58" s="19"/>
      <c r="BK58" s="18">
        <v>69.767441860465112</v>
      </c>
      <c r="BL58" s="18">
        <v>11.685393258427</v>
      </c>
      <c r="BM58" s="18">
        <v>9.3023255813953494</v>
      </c>
      <c r="BN58" s="18">
        <v>0</v>
      </c>
      <c r="BO58" s="18"/>
      <c r="BP58" s="18">
        <v>159</v>
      </c>
      <c r="BQ58" s="18">
        <v>185.79775280898906</v>
      </c>
      <c r="BR58" s="18">
        <v>1.4802825169615699</v>
      </c>
      <c r="BS58" s="18">
        <v>1.4280554936049092</v>
      </c>
      <c r="BT58" s="19"/>
      <c r="BU58" s="18">
        <v>906.97674418604652</v>
      </c>
      <c r="BV58" s="18">
        <v>118.83773190488604</v>
      </c>
      <c r="BW58" s="18">
        <v>18.139534883720792</v>
      </c>
      <c r="BX58" s="18">
        <v>0</v>
      </c>
      <c r="BY58" s="18">
        <v>0</v>
      </c>
      <c r="BZ58" s="18">
        <v>0</v>
      </c>
      <c r="CA58" s="18">
        <v>0</v>
      </c>
      <c r="CB58" s="19"/>
      <c r="CC58" s="19">
        <v>6.02</v>
      </c>
      <c r="CD58" s="19">
        <v>6.45</v>
      </c>
      <c r="CE58" s="19">
        <v>4.3</v>
      </c>
      <c r="CF58" s="19">
        <v>5.59</v>
      </c>
      <c r="CG58" s="19">
        <v>4.3</v>
      </c>
      <c r="CH58" s="19">
        <v>0.86</v>
      </c>
      <c r="CI58" s="19">
        <v>0</v>
      </c>
      <c r="CJ58" s="19"/>
      <c r="CK58" s="19">
        <v>301</v>
      </c>
      <c r="CL58" s="19">
        <v>43</v>
      </c>
      <c r="CM58" s="19">
        <v>3.87</v>
      </c>
      <c r="CN58" s="19">
        <v>430</v>
      </c>
      <c r="CO58" s="19">
        <v>0</v>
      </c>
      <c r="CP58" s="19">
        <v>1.0234000000000001</v>
      </c>
      <c r="CQ58" s="19">
        <v>276</v>
      </c>
      <c r="CR58" s="19">
        <v>433.60673233766403</v>
      </c>
      <c r="CS58" s="19">
        <v>30.959520688909212</v>
      </c>
      <c r="CT58" s="19">
        <v>11.837463792818228</v>
      </c>
      <c r="CU58" s="19">
        <v>3.8244113792181968</v>
      </c>
      <c r="CV58" s="19">
        <v>15.661875172036426</v>
      </c>
      <c r="CW58" s="19">
        <v>18.757827240927345</v>
      </c>
      <c r="CX58" s="19">
        <v>3.4688538587013125</v>
      </c>
      <c r="CY58" s="19">
        <v>17.691154679376691</v>
      </c>
      <c r="CZ58" s="19">
        <v>29.476585664314403</v>
      </c>
      <c r="DA58" s="19">
        <v>9.9729548437662725</v>
      </c>
      <c r="DB58" s="19">
        <v>15.479760344454606</v>
      </c>
      <c r="DC58" s="19">
        <v>12.357791871623425</v>
      </c>
      <c r="DD58" s="19">
        <v>27.837552216078034</v>
      </c>
      <c r="DE58" s="19">
        <v>21.671664482236448</v>
      </c>
      <c r="DF58" s="23">
        <v>0</v>
      </c>
      <c r="DG58" s="23">
        <v>0</v>
      </c>
      <c r="DH58" s="23">
        <v>0</v>
      </c>
      <c r="DI58" s="19">
        <v>0</v>
      </c>
      <c r="DJ58" s="19">
        <v>0</v>
      </c>
      <c r="DK58" s="19">
        <v>0</v>
      </c>
      <c r="DL58" s="19">
        <v>0</v>
      </c>
      <c r="DM58" s="19">
        <v>0</v>
      </c>
      <c r="DN58" s="19">
        <v>0</v>
      </c>
      <c r="DO58" s="19">
        <v>0</v>
      </c>
      <c r="DP58" s="19">
        <v>0</v>
      </c>
      <c r="DQ58" s="19">
        <v>0</v>
      </c>
      <c r="DR58" s="19">
        <v>0</v>
      </c>
      <c r="DS58" s="19">
        <v>0</v>
      </c>
      <c r="DT58" s="19">
        <v>0</v>
      </c>
      <c r="DU58" s="19">
        <v>0</v>
      </c>
      <c r="DV58" s="19">
        <v>0</v>
      </c>
      <c r="DW58" s="17" t="s">
        <v>296</v>
      </c>
      <c r="DX58" s="22" t="s">
        <v>218</v>
      </c>
      <c r="DY58" s="22" t="s">
        <v>218</v>
      </c>
      <c r="DZ58" s="22" t="s">
        <v>218</v>
      </c>
      <c r="EA58" s="22" t="s">
        <v>218</v>
      </c>
      <c r="EB58" s="22" t="s">
        <v>218</v>
      </c>
      <c r="EC58" s="22" t="s">
        <v>218</v>
      </c>
      <c r="ED58" s="22" t="s">
        <v>218</v>
      </c>
      <c r="EE58" s="22" t="s">
        <v>218</v>
      </c>
      <c r="EF58" s="22" t="s">
        <v>218</v>
      </c>
      <c r="EG58" s="22" t="s">
        <v>218</v>
      </c>
      <c r="EH58" s="22" t="s">
        <v>218</v>
      </c>
      <c r="EI58" s="22" t="s">
        <v>218</v>
      </c>
      <c r="EJ58" s="22" t="s">
        <v>218</v>
      </c>
      <c r="EK58" s="22" t="s">
        <v>218</v>
      </c>
      <c r="EL58" s="22" t="s">
        <v>218</v>
      </c>
      <c r="EM58" s="22" t="s">
        <v>218</v>
      </c>
      <c r="EN58" s="22" t="s">
        <v>218</v>
      </c>
      <c r="EO58" s="22" t="s">
        <v>218</v>
      </c>
      <c r="EP58" s="22" t="s">
        <v>218</v>
      </c>
      <c r="EQ58" s="22" t="s">
        <v>218</v>
      </c>
      <c r="ER58" s="22" t="s">
        <v>218</v>
      </c>
      <c r="ES58" s="22" t="s">
        <v>218</v>
      </c>
      <c r="ET58" s="22" t="s">
        <v>218</v>
      </c>
      <c r="EU58" s="22" t="s">
        <v>218</v>
      </c>
      <c r="EV58" s="22" t="s">
        <v>218</v>
      </c>
      <c r="EW58" s="22" t="s">
        <v>218</v>
      </c>
      <c r="EX58" s="22" t="s">
        <v>218</v>
      </c>
      <c r="EY58" s="22" t="s">
        <v>218</v>
      </c>
      <c r="EZ58" s="22" t="s">
        <v>218</v>
      </c>
      <c r="FA58" s="22" t="s">
        <v>218</v>
      </c>
      <c r="FB58" s="22" t="s">
        <v>218</v>
      </c>
      <c r="FC58" s="22" t="s">
        <v>218</v>
      </c>
      <c r="FD58" s="22" t="s">
        <v>218</v>
      </c>
      <c r="FE58" s="22" t="s">
        <v>218</v>
      </c>
      <c r="FF58" s="22" t="s">
        <v>218</v>
      </c>
      <c r="FG58" s="22" t="s">
        <v>218</v>
      </c>
      <c r="FH58" s="22" t="s">
        <v>218</v>
      </c>
      <c r="FI58" s="22" t="s">
        <v>218</v>
      </c>
      <c r="FJ58" s="22" t="s">
        <v>218</v>
      </c>
      <c r="FK58" s="22" t="s">
        <v>218</v>
      </c>
      <c r="FL58" s="22" t="s">
        <v>218</v>
      </c>
      <c r="FM58" s="22" t="s">
        <v>218</v>
      </c>
      <c r="FN58" s="22" t="s">
        <v>218</v>
      </c>
      <c r="FO58" s="22" t="s">
        <v>218</v>
      </c>
      <c r="FP58" s="22" t="s">
        <v>218</v>
      </c>
      <c r="FQ58" s="22" t="s">
        <v>218</v>
      </c>
      <c r="FR58" s="22" t="s">
        <v>218</v>
      </c>
      <c r="FS58" s="22" t="s">
        <v>218</v>
      </c>
      <c r="FT58" s="22" t="s">
        <v>218</v>
      </c>
      <c r="FU58" s="22" t="s">
        <v>218</v>
      </c>
      <c r="FV58" s="22" t="s">
        <v>218</v>
      </c>
      <c r="FW58" s="22" t="s">
        <v>218</v>
      </c>
      <c r="FX58" s="22" t="s">
        <v>218</v>
      </c>
      <c r="FY58" s="22" t="s">
        <v>218</v>
      </c>
      <c r="FZ58" s="22" t="s">
        <v>218</v>
      </c>
      <c r="GA58" s="22" t="s">
        <v>218</v>
      </c>
      <c r="GB58" s="22" t="s">
        <v>218</v>
      </c>
      <c r="GC58" s="22" t="s">
        <v>218</v>
      </c>
      <c r="GD58" s="22" t="s">
        <v>218</v>
      </c>
      <c r="GE58" s="22" t="s">
        <v>218</v>
      </c>
      <c r="GF58" s="22" t="s">
        <v>218</v>
      </c>
      <c r="GG58" s="22" t="s">
        <v>218</v>
      </c>
      <c r="GH58" s="22" t="s">
        <v>218</v>
      </c>
      <c r="GI58" s="22" t="s">
        <v>218</v>
      </c>
      <c r="GJ58" s="22" t="s">
        <v>218</v>
      </c>
      <c r="GK58" s="22" t="s">
        <v>218</v>
      </c>
      <c r="GL58" s="22" t="s">
        <v>218</v>
      </c>
      <c r="GM58" s="22" t="s">
        <v>218</v>
      </c>
      <c r="GN58" s="22" t="s">
        <v>218</v>
      </c>
      <c r="GO58" s="22" t="s">
        <v>218</v>
      </c>
      <c r="GP58" s="22" t="s">
        <v>218</v>
      </c>
      <c r="GQ58" s="22" t="s">
        <v>218</v>
      </c>
      <c r="GR58" s="22" t="s">
        <v>218</v>
      </c>
      <c r="GS58" s="22" t="s">
        <v>218</v>
      </c>
      <c r="GT58" s="22" t="s">
        <v>218</v>
      </c>
      <c r="GU58" s="22" t="s">
        <v>218</v>
      </c>
      <c r="GV58" s="22" t="s">
        <v>218</v>
      </c>
      <c r="GW58" s="22" t="s">
        <v>218</v>
      </c>
      <c r="GX58" s="22" t="s">
        <v>218</v>
      </c>
      <c r="GY58" s="22" t="s">
        <v>218</v>
      </c>
      <c r="GZ58" s="22" t="s">
        <v>218</v>
      </c>
      <c r="HA58" s="22" t="s">
        <v>218</v>
      </c>
      <c r="HB58" s="22" t="s">
        <v>218</v>
      </c>
      <c r="HC58" s="22" t="s">
        <v>218</v>
      </c>
      <c r="HD58" s="22" t="s">
        <v>218</v>
      </c>
      <c r="HE58" s="22" t="s">
        <v>218</v>
      </c>
      <c r="HF58" s="22" t="s">
        <v>218</v>
      </c>
      <c r="HG58" s="22" t="s">
        <v>218</v>
      </c>
      <c r="HH58" s="22" t="s">
        <v>218</v>
      </c>
      <c r="HI58" s="22" t="s">
        <v>218</v>
      </c>
      <c r="HJ58" s="22" t="s">
        <v>218</v>
      </c>
      <c r="HK58" s="22" t="s">
        <v>218</v>
      </c>
      <c r="HL58" s="22" t="s">
        <v>218</v>
      </c>
      <c r="HM58" s="622">
        <f>'background data'!$G$18</f>
        <v>0.54099999999999993</v>
      </c>
      <c r="HN58" s="622">
        <f>'background data'!$H$18</f>
        <v>0.11600000000000001</v>
      </c>
      <c r="HO58" s="622">
        <f>'background data'!$J$18</f>
        <v>0.25</v>
      </c>
      <c r="HP58" s="622">
        <f>'background data'!$L$18</f>
        <v>1.2999999999999999E-2</v>
      </c>
      <c r="HQ58" s="622">
        <f>'background data'!$M$18</f>
        <v>8.86</v>
      </c>
      <c r="HR58" s="622">
        <f>'background data'!$N$18</f>
        <v>6.9299999999999995E-3</v>
      </c>
      <c r="HS58" s="622">
        <f>'background data'!$O$18</f>
        <v>1.75</v>
      </c>
      <c r="HT58" s="145"/>
      <c r="HU58" s="145" t="s">
        <v>1809</v>
      </c>
      <c r="HV58" s="22" t="s">
        <v>1930</v>
      </c>
      <c r="HW58" s="22" t="s">
        <v>297</v>
      </c>
      <c r="HX58" s="22" t="s">
        <v>298</v>
      </c>
      <c r="HY58" s="22">
        <v>0</v>
      </c>
      <c r="HZ58" s="19"/>
      <c r="IA58" s="19"/>
      <c r="IB58" s="622">
        <f>'background data'!$G$18</f>
        <v>0.54099999999999993</v>
      </c>
      <c r="IC58" s="622">
        <f>'background data'!$H$18</f>
        <v>0.11600000000000001</v>
      </c>
      <c r="ID58" s="622">
        <f>'background data'!$J$18</f>
        <v>0.25</v>
      </c>
      <c r="IE58" s="622">
        <f>'background data'!$L$18</f>
        <v>1.2999999999999999E-2</v>
      </c>
      <c r="IF58" s="622">
        <f>'background data'!$M$18</f>
        <v>8.86</v>
      </c>
      <c r="IG58" s="622">
        <f>'background data'!$N$18</f>
        <v>6.9299999999999995E-3</v>
      </c>
      <c r="IH58" s="622">
        <f>'background data'!$O$18</f>
        <v>1.75</v>
      </c>
      <c r="II58" s="145"/>
      <c r="IJ58" s="145"/>
      <c r="IK58" s="145"/>
      <c r="IL58" s="145"/>
      <c r="IM58" s="145"/>
      <c r="IN58" s="145"/>
      <c r="IO58" s="145"/>
      <c r="IP58" s="145"/>
      <c r="IQ58" s="145"/>
      <c r="IR58" s="145"/>
      <c r="IS58" s="145"/>
      <c r="IT58" s="145"/>
      <c r="IU58" s="145"/>
      <c r="IV58" s="145"/>
      <c r="IW58" s="145"/>
      <c r="IX58" s="145"/>
      <c r="IY58" s="145"/>
      <c r="IZ58" s="145"/>
      <c r="JA58" s="145"/>
      <c r="JB58" s="145"/>
      <c r="JC58" s="145"/>
      <c r="JD58" s="145"/>
      <c r="JE58" s="145"/>
      <c r="JF58" s="145"/>
      <c r="JG58" s="145"/>
      <c r="JH58" s="145"/>
      <c r="JI58" s="145"/>
      <c r="JJ58" s="145"/>
      <c r="JK58" s="145"/>
      <c r="JL58" s="145"/>
      <c r="JM58" s="145"/>
      <c r="JN58" s="145"/>
      <c r="JO58" s="145"/>
      <c r="JP58" s="145"/>
      <c r="JQ58" s="145"/>
      <c r="JR58" s="145"/>
      <c r="JS58" s="145"/>
      <c r="JT58" s="145"/>
      <c r="JU58" s="145"/>
      <c r="JV58" s="145"/>
      <c r="JW58" s="145"/>
      <c r="JX58" s="145"/>
      <c r="JY58" s="145"/>
      <c r="JZ58" s="145"/>
      <c r="KA58" s="145"/>
      <c r="KB58" s="145"/>
      <c r="KC58" s="145"/>
      <c r="KD58" s="145"/>
      <c r="KE58" s="145"/>
      <c r="KF58" s="145"/>
      <c r="KG58" s="145"/>
      <c r="KH58" s="145"/>
      <c r="KI58" s="145"/>
      <c r="KJ58" s="145"/>
      <c r="KK58" s="145"/>
      <c r="KL58" s="145"/>
      <c r="KM58" s="145"/>
      <c r="KN58" s="145"/>
      <c r="KO58" s="145"/>
      <c r="KP58" s="145"/>
      <c r="KQ58" s="145"/>
      <c r="KR58" s="145"/>
      <c r="KS58" s="145"/>
      <c r="KT58" s="145"/>
      <c r="KU58" s="145"/>
      <c r="KV58" s="145"/>
      <c r="KW58" s="145"/>
      <c r="KX58" s="145"/>
      <c r="KY58" s="145"/>
      <c r="KZ58" s="145"/>
      <c r="LA58" s="145"/>
      <c r="LB58" s="145"/>
      <c r="LC58" s="145"/>
      <c r="LD58" s="145"/>
      <c r="LE58" s="145"/>
      <c r="LF58" s="145"/>
      <c r="LG58" s="145"/>
      <c r="LH58" s="145"/>
      <c r="LI58" s="145"/>
      <c r="LJ58" s="145"/>
      <c r="LK58" s="145"/>
      <c r="LL58" s="145"/>
      <c r="LM58" s="145"/>
      <c r="LN58" s="145"/>
      <c r="LO58" s="145"/>
      <c r="LP58" s="145"/>
      <c r="LQ58" s="145"/>
      <c r="LR58" s="145"/>
      <c r="LS58" s="145"/>
      <c r="LT58" s="145"/>
      <c r="LU58" s="145"/>
      <c r="LV58" s="145"/>
      <c r="LW58" s="145"/>
      <c r="LX58" s="145"/>
      <c r="LY58" s="145"/>
      <c r="LZ58" s="145"/>
      <c r="MA58" s="145"/>
      <c r="MB58" s="145"/>
      <c r="MC58" s="145"/>
      <c r="MD58" s="145"/>
      <c r="ME58" s="145"/>
      <c r="MF58" s="145"/>
      <c r="MG58" s="145"/>
      <c r="MH58" s="145"/>
      <c r="MI58" s="145"/>
      <c r="MJ58" s="145"/>
      <c r="MK58" s="145"/>
      <c r="ML58" s="145"/>
      <c r="MM58" s="145"/>
      <c r="MN58" s="145"/>
      <c r="MO58" s="145"/>
      <c r="MP58" s="145"/>
      <c r="MQ58" s="145"/>
      <c r="MR58" s="145"/>
      <c r="MS58" s="145"/>
      <c r="MT58" s="145"/>
      <c r="MU58" s="145"/>
      <c r="MV58" s="145"/>
      <c r="MW58" s="145"/>
      <c r="MX58" s="145"/>
      <c r="MY58" s="145"/>
      <c r="MZ58" s="145"/>
      <c r="NA58" s="145"/>
      <c r="NB58" s="145"/>
      <c r="NC58" s="145"/>
      <c r="ND58" s="145"/>
      <c r="NE58" s="145"/>
      <c r="NF58" s="145"/>
      <c r="NG58" s="145"/>
      <c r="NH58" s="145"/>
      <c r="NI58" s="145"/>
      <c r="NJ58" s="145"/>
      <c r="NK58" s="145"/>
      <c r="NL58" s="145"/>
      <c r="NM58" s="145"/>
      <c r="NN58" s="145"/>
      <c r="NO58" s="145"/>
      <c r="NP58" s="145"/>
      <c r="NQ58" s="145"/>
      <c r="NR58" s="145"/>
      <c r="NS58" s="145"/>
    </row>
    <row r="59" spans="1:383" s="16" customFormat="1" ht="15" customHeight="1" x14ac:dyDescent="0.2">
      <c r="A59" s="15">
        <v>46000</v>
      </c>
      <c r="B59" s="25">
        <v>460</v>
      </c>
      <c r="C59" s="26">
        <v>0</v>
      </c>
      <c r="D59" s="20" t="s">
        <v>300</v>
      </c>
      <c r="E59" s="14">
        <v>41582</v>
      </c>
      <c r="F59" s="18">
        <v>-0.112682926829268</v>
      </c>
      <c r="G59" s="18">
        <v>-0.108</v>
      </c>
      <c r="H59" s="21">
        <v>70</v>
      </c>
      <c r="I59" s="21">
        <v>70</v>
      </c>
      <c r="J59" s="21">
        <v>0</v>
      </c>
      <c r="K59" s="18">
        <v>1</v>
      </c>
      <c r="L59" s="18">
        <v>99</v>
      </c>
      <c r="M59" s="18">
        <v>0</v>
      </c>
      <c r="N59" s="18">
        <v>0</v>
      </c>
      <c r="O59" s="18">
        <v>99</v>
      </c>
      <c r="P59" s="18">
        <v>0</v>
      </c>
      <c r="Q59" s="19"/>
      <c r="R59" s="18">
        <v>0</v>
      </c>
      <c r="S59" s="18">
        <v>0</v>
      </c>
      <c r="T59" s="18">
        <v>0</v>
      </c>
      <c r="U59" s="18">
        <v>0</v>
      </c>
      <c r="V59" s="18">
        <v>0</v>
      </c>
      <c r="W59" s="18">
        <v>0</v>
      </c>
      <c r="X59" s="18"/>
      <c r="Y59" s="18">
        <v>363.63636363636363</v>
      </c>
      <c r="Z59" s="18">
        <v>0</v>
      </c>
      <c r="AA59" s="18">
        <v>0</v>
      </c>
      <c r="AB59" s="18">
        <v>0</v>
      </c>
      <c r="AC59" s="18">
        <v>0</v>
      </c>
      <c r="AD59" s="18">
        <v>0</v>
      </c>
      <c r="AE59" s="18">
        <v>0</v>
      </c>
      <c r="AF59" s="18">
        <v>0</v>
      </c>
      <c r="AG59" s="18">
        <v>0</v>
      </c>
      <c r="AH59" s="18">
        <v>0</v>
      </c>
      <c r="AI59" s="18">
        <v>0</v>
      </c>
      <c r="AJ59" s="18">
        <v>0</v>
      </c>
      <c r="AK59" s="18">
        <v>0</v>
      </c>
      <c r="AL59" s="18"/>
      <c r="AM59" s="18">
        <v>0</v>
      </c>
      <c r="AN59" s="18">
        <v>0</v>
      </c>
      <c r="AO59" s="18">
        <v>0</v>
      </c>
      <c r="AP59" s="18">
        <v>0</v>
      </c>
      <c r="AQ59" s="18">
        <v>0</v>
      </c>
      <c r="AR59" s="18">
        <v>0</v>
      </c>
      <c r="AS59" s="18">
        <v>0</v>
      </c>
      <c r="AT59" s="18">
        <v>0</v>
      </c>
      <c r="AU59" s="18">
        <v>0</v>
      </c>
      <c r="AV59" s="18">
        <v>0</v>
      </c>
      <c r="AW59" s="18">
        <v>0</v>
      </c>
      <c r="AX59" s="18"/>
      <c r="AY59" s="18">
        <v>1</v>
      </c>
      <c r="AZ59" s="18">
        <v>1</v>
      </c>
      <c r="BA59" s="18">
        <v>1</v>
      </c>
      <c r="BB59" s="18">
        <v>1</v>
      </c>
      <c r="BC59" s="18">
        <v>1</v>
      </c>
      <c r="BD59" s="18">
        <v>1</v>
      </c>
      <c r="BE59" s="18">
        <v>1</v>
      </c>
      <c r="BF59" s="18">
        <v>1</v>
      </c>
      <c r="BG59" s="18">
        <v>1</v>
      </c>
      <c r="BH59" s="18">
        <v>1</v>
      </c>
      <c r="BI59" s="18">
        <v>1</v>
      </c>
      <c r="BJ59" s="19"/>
      <c r="BK59" s="18">
        <v>0</v>
      </c>
      <c r="BL59" s="18">
        <v>0</v>
      </c>
      <c r="BM59" s="18">
        <v>100</v>
      </c>
      <c r="BN59" s="18">
        <v>0</v>
      </c>
      <c r="BO59" s="18"/>
      <c r="BP59" s="18">
        <v>0</v>
      </c>
      <c r="BQ59" s="18">
        <v>0</v>
      </c>
      <c r="BR59" s="18">
        <v>-0.11382113821138182</v>
      </c>
      <c r="BS59" s="18">
        <v>-0.10909090909090909</v>
      </c>
      <c r="BT59" s="19"/>
      <c r="BU59" s="18">
        <v>0</v>
      </c>
      <c r="BV59" s="18">
        <v>0</v>
      </c>
      <c r="BW59" s="18">
        <v>0</v>
      </c>
      <c r="BX59" s="18" t="s">
        <v>217</v>
      </c>
      <c r="BY59" s="18" t="s">
        <v>217</v>
      </c>
      <c r="BZ59" s="18" t="s">
        <v>217</v>
      </c>
      <c r="CA59" s="18" t="s">
        <v>217</v>
      </c>
      <c r="CB59" s="19"/>
      <c r="CC59" s="19">
        <v>360</v>
      </c>
      <c r="CD59" s="19">
        <v>0</v>
      </c>
      <c r="CE59" s="19">
        <v>0</v>
      </c>
      <c r="CF59" s="19">
        <v>0</v>
      </c>
      <c r="CG59" s="19">
        <v>0</v>
      </c>
      <c r="CH59" s="19">
        <v>0</v>
      </c>
      <c r="CI59" s="19">
        <v>0</v>
      </c>
      <c r="CJ59" s="19"/>
      <c r="CK59" s="19">
        <v>0</v>
      </c>
      <c r="CL59" s="19">
        <v>0</v>
      </c>
      <c r="CM59" s="19">
        <v>0</v>
      </c>
      <c r="CN59" s="19">
        <v>0</v>
      </c>
      <c r="CO59" s="19">
        <v>0</v>
      </c>
      <c r="CP59" s="19">
        <v>0</v>
      </c>
      <c r="CQ59" s="19">
        <v>0</v>
      </c>
      <c r="CR59" s="19">
        <v>0</v>
      </c>
      <c r="CS59" s="19">
        <v>0</v>
      </c>
      <c r="CT59" s="19">
        <v>0</v>
      </c>
      <c r="CU59" s="19">
        <v>0</v>
      </c>
      <c r="CV59" s="19">
        <v>0</v>
      </c>
      <c r="CW59" s="19">
        <v>0</v>
      </c>
      <c r="CX59" s="19">
        <v>0</v>
      </c>
      <c r="CY59" s="19">
        <v>0</v>
      </c>
      <c r="CZ59" s="19">
        <v>0</v>
      </c>
      <c r="DA59" s="19">
        <v>0</v>
      </c>
      <c r="DB59" s="19">
        <v>0</v>
      </c>
      <c r="DC59" s="19">
        <v>0</v>
      </c>
      <c r="DD59" s="19">
        <v>0</v>
      </c>
      <c r="DE59" s="19">
        <v>0</v>
      </c>
      <c r="DF59" s="23">
        <v>0</v>
      </c>
      <c r="DG59" s="23">
        <v>0</v>
      </c>
      <c r="DH59" s="23">
        <v>0</v>
      </c>
      <c r="DI59" s="19">
        <v>0</v>
      </c>
      <c r="DJ59" s="19">
        <v>0</v>
      </c>
      <c r="DK59" s="19">
        <v>0</v>
      </c>
      <c r="DL59" s="19">
        <v>0</v>
      </c>
      <c r="DM59" s="19">
        <v>0</v>
      </c>
      <c r="DN59" s="19">
        <v>0</v>
      </c>
      <c r="DO59" s="19">
        <v>0</v>
      </c>
      <c r="DP59" s="19">
        <v>0</v>
      </c>
      <c r="DQ59" s="19">
        <v>0</v>
      </c>
      <c r="DR59" s="19">
        <v>0</v>
      </c>
      <c r="DS59" s="19">
        <v>0</v>
      </c>
      <c r="DT59" s="19">
        <v>0</v>
      </c>
      <c r="DU59" s="19">
        <v>0</v>
      </c>
      <c r="DV59" s="19">
        <v>0</v>
      </c>
      <c r="DW59" s="17" t="s">
        <v>301</v>
      </c>
      <c r="DX59" s="22" t="s">
        <v>218</v>
      </c>
      <c r="DY59" s="22" t="s">
        <v>218</v>
      </c>
      <c r="DZ59" s="22" t="s">
        <v>218</v>
      </c>
      <c r="EA59" s="22" t="s">
        <v>218</v>
      </c>
      <c r="EB59" s="22" t="s">
        <v>218</v>
      </c>
      <c r="EC59" s="22" t="s">
        <v>218</v>
      </c>
      <c r="ED59" s="22" t="s">
        <v>218</v>
      </c>
      <c r="EE59" s="22" t="s">
        <v>218</v>
      </c>
      <c r="EF59" s="22" t="s">
        <v>218</v>
      </c>
      <c r="EG59" s="22" t="s">
        <v>218</v>
      </c>
      <c r="EH59" s="22" t="s">
        <v>218</v>
      </c>
      <c r="EI59" s="22" t="s">
        <v>218</v>
      </c>
      <c r="EJ59" s="22" t="s">
        <v>218</v>
      </c>
      <c r="EK59" s="22" t="s">
        <v>218</v>
      </c>
      <c r="EL59" s="22" t="s">
        <v>218</v>
      </c>
      <c r="EM59" s="22" t="s">
        <v>218</v>
      </c>
      <c r="EN59" s="22" t="s">
        <v>218</v>
      </c>
      <c r="EO59" s="22" t="s">
        <v>218</v>
      </c>
      <c r="EP59" s="22" t="s">
        <v>218</v>
      </c>
      <c r="EQ59" s="22" t="s">
        <v>218</v>
      </c>
      <c r="ER59" s="22" t="s">
        <v>218</v>
      </c>
      <c r="ES59" s="22" t="s">
        <v>218</v>
      </c>
      <c r="ET59" s="22" t="s">
        <v>218</v>
      </c>
      <c r="EU59" s="22" t="s">
        <v>218</v>
      </c>
      <c r="EV59" s="22" t="s">
        <v>218</v>
      </c>
      <c r="EW59" s="22" t="s">
        <v>218</v>
      </c>
      <c r="EX59" s="22" t="s">
        <v>218</v>
      </c>
      <c r="EY59" s="22" t="s">
        <v>218</v>
      </c>
      <c r="EZ59" s="22" t="s">
        <v>218</v>
      </c>
      <c r="FA59" s="22" t="s">
        <v>218</v>
      </c>
      <c r="FB59" s="22" t="s">
        <v>218</v>
      </c>
      <c r="FC59" s="22" t="s">
        <v>218</v>
      </c>
      <c r="FD59" s="22" t="s">
        <v>218</v>
      </c>
      <c r="FE59" s="22" t="s">
        <v>218</v>
      </c>
      <c r="FF59" s="22" t="s">
        <v>218</v>
      </c>
      <c r="FG59" s="22" t="s">
        <v>218</v>
      </c>
      <c r="FH59" s="22" t="s">
        <v>218</v>
      </c>
      <c r="FI59" s="22" t="s">
        <v>218</v>
      </c>
      <c r="FJ59" s="22" t="s">
        <v>218</v>
      </c>
      <c r="FK59" s="22" t="s">
        <v>218</v>
      </c>
      <c r="FL59" s="22" t="s">
        <v>218</v>
      </c>
      <c r="FM59" s="22" t="s">
        <v>218</v>
      </c>
      <c r="FN59" s="22" t="s">
        <v>218</v>
      </c>
      <c r="FO59" s="22" t="s">
        <v>218</v>
      </c>
      <c r="FP59" s="22" t="s">
        <v>218</v>
      </c>
      <c r="FQ59" s="22" t="s">
        <v>218</v>
      </c>
      <c r="FR59" s="22" t="s">
        <v>218</v>
      </c>
      <c r="FS59" s="22" t="s">
        <v>218</v>
      </c>
      <c r="FT59" s="22" t="s">
        <v>218</v>
      </c>
      <c r="FU59" s="22" t="s">
        <v>218</v>
      </c>
      <c r="FV59" s="22" t="s">
        <v>218</v>
      </c>
      <c r="FW59" s="22" t="s">
        <v>218</v>
      </c>
      <c r="FX59" s="22" t="s">
        <v>218</v>
      </c>
      <c r="FY59" s="22" t="s">
        <v>218</v>
      </c>
      <c r="FZ59" s="22" t="s">
        <v>218</v>
      </c>
      <c r="GA59" s="22" t="s">
        <v>218</v>
      </c>
      <c r="GB59" s="22" t="s">
        <v>218</v>
      </c>
      <c r="GC59" s="22" t="s">
        <v>218</v>
      </c>
      <c r="GD59" s="22" t="s">
        <v>218</v>
      </c>
      <c r="GE59" s="22" t="s">
        <v>218</v>
      </c>
      <c r="GF59" s="22" t="s">
        <v>218</v>
      </c>
      <c r="GG59" s="22" t="s">
        <v>218</v>
      </c>
      <c r="GH59" s="22" t="s">
        <v>218</v>
      </c>
      <c r="GI59" s="22" t="s">
        <v>218</v>
      </c>
      <c r="GJ59" s="22" t="s">
        <v>218</v>
      </c>
      <c r="GK59" s="22" t="s">
        <v>218</v>
      </c>
      <c r="GL59" s="22" t="s">
        <v>218</v>
      </c>
      <c r="GM59" s="22" t="s">
        <v>218</v>
      </c>
      <c r="GN59" s="22" t="s">
        <v>218</v>
      </c>
      <c r="GO59" s="22" t="s">
        <v>218</v>
      </c>
      <c r="GP59" s="22" t="s">
        <v>218</v>
      </c>
      <c r="GQ59" s="22" t="s">
        <v>218</v>
      </c>
      <c r="GR59" s="22" t="s">
        <v>218</v>
      </c>
      <c r="GS59" s="22" t="s">
        <v>218</v>
      </c>
      <c r="GT59" s="22" t="s">
        <v>218</v>
      </c>
      <c r="GU59" s="22" t="s">
        <v>218</v>
      </c>
      <c r="GV59" s="22" t="s">
        <v>218</v>
      </c>
      <c r="GW59" s="22" t="s">
        <v>218</v>
      </c>
      <c r="GX59" s="22" t="s">
        <v>218</v>
      </c>
      <c r="GY59" s="22" t="s">
        <v>218</v>
      </c>
      <c r="GZ59" s="22" t="s">
        <v>218</v>
      </c>
      <c r="HA59" s="22" t="s">
        <v>218</v>
      </c>
      <c r="HB59" s="22" t="s">
        <v>218</v>
      </c>
      <c r="HC59" s="22" t="s">
        <v>218</v>
      </c>
      <c r="HD59" s="22" t="s">
        <v>218</v>
      </c>
      <c r="HE59" s="22" t="s">
        <v>218</v>
      </c>
      <c r="HF59" s="22" t="s">
        <v>218</v>
      </c>
      <c r="HG59" s="22" t="s">
        <v>218</v>
      </c>
      <c r="HH59" s="22" t="s">
        <v>218</v>
      </c>
      <c r="HI59" s="22" t="s">
        <v>218</v>
      </c>
      <c r="HJ59" s="22" t="s">
        <v>218</v>
      </c>
      <c r="HK59" s="22" t="s">
        <v>218</v>
      </c>
      <c r="HL59" s="22" t="s">
        <v>218</v>
      </c>
      <c r="HM59" s="860"/>
      <c r="HN59" s="860"/>
      <c r="HO59" s="860"/>
      <c r="HP59" s="860"/>
      <c r="HQ59" s="860"/>
      <c r="HR59" s="860"/>
      <c r="HS59" s="860"/>
      <c r="HT59" s="145"/>
      <c r="HU59" s="145" t="s">
        <v>1809</v>
      </c>
      <c r="HV59" s="22" t="s">
        <v>1931</v>
      </c>
      <c r="HW59" s="22">
        <v>0</v>
      </c>
      <c r="HX59" s="22">
        <v>0</v>
      </c>
      <c r="HY59" s="22">
        <v>0</v>
      </c>
      <c r="HZ59" s="19"/>
      <c r="IA59" s="19"/>
      <c r="IB59" s="621">
        <f>'background data'!$G$10</f>
        <v>0.47300000000000003</v>
      </c>
      <c r="IC59" s="621">
        <f>'background data'!$H$10</f>
        <v>0.13</v>
      </c>
      <c r="ID59" s="621">
        <f>'background data'!$J$10</f>
        <v>0.39100000000000001</v>
      </c>
      <c r="IE59" s="621">
        <f>'background data'!$L$10</f>
        <v>5.5E-2</v>
      </c>
      <c r="IF59" s="621">
        <f>'background data'!$M$10</f>
        <v>3.97</v>
      </c>
      <c r="IG59" s="621">
        <f>'background data'!$N$10</f>
        <v>4.5999999999999999E-3</v>
      </c>
      <c r="IH59" s="621">
        <f>'background data'!$O$10</f>
        <v>2.73</v>
      </c>
      <c r="II59" s="145"/>
      <c r="IJ59" s="145"/>
      <c r="IK59" s="145"/>
      <c r="IL59" s="145"/>
      <c r="IM59" s="145"/>
      <c r="IN59" s="145"/>
      <c r="IO59" s="145"/>
      <c r="IP59" s="145"/>
      <c r="IQ59" s="145"/>
      <c r="IR59" s="145"/>
      <c r="IS59" s="145"/>
      <c r="IT59" s="145"/>
      <c r="IU59" s="145"/>
      <c r="IV59" s="145"/>
      <c r="IW59" s="145"/>
      <c r="IX59" s="145"/>
      <c r="IY59" s="145"/>
      <c r="IZ59" s="145"/>
      <c r="JA59" s="145"/>
      <c r="JB59" s="145"/>
      <c r="JC59" s="145"/>
      <c r="JD59" s="145"/>
      <c r="JE59" s="145"/>
      <c r="JF59" s="145"/>
      <c r="JG59" s="145"/>
      <c r="JH59" s="145"/>
      <c r="JI59" s="145"/>
      <c r="JJ59" s="145"/>
      <c r="JK59" s="145"/>
      <c r="JL59" s="145"/>
      <c r="JM59" s="145"/>
      <c r="JN59" s="145"/>
      <c r="JO59" s="145"/>
      <c r="JP59" s="145"/>
      <c r="JQ59" s="145"/>
      <c r="JR59" s="145"/>
      <c r="JS59" s="145"/>
      <c r="JT59" s="145"/>
      <c r="JU59" s="145"/>
      <c r="JV59" s="145"/>
      <c r="JW59" s="145"/>
      <c r="JX59" s="145"/>
      <c r="JY59" s="145"/>
      <c r="JZ59" s="145"/>
      <c r="KA59" s="145"/>
      <c r="KB59" s="145"/>
      <c r="KC59" s="145"/>
      <c r="KD59" s="145"/>
      <c r="KE59" s="145"/>
      <c r="KF59" s="145"/>
      <c r="KG59" s="145"/>
      <c r="KH59" s="145"/>
      <c r="KI59" s="145"/>
      <c r="KJ59" s="145"/>
      <c r="KK59" s="145"/>
      <c r="KL59" s="145"/>
      <c r="KM59" s="145"/>
      <c r="KN59" s="145"/>
      <c r="KO59" s="145"/>
      <c r="KP59" s="145"/>
      <c r="KQ59" s="145"/>
      <c r="KR59" s="145"/>
      <c r="KS59" s="145"/>
      <c r="KT59" s="145"/>
      <c r="KU59" s="145"/>
      <c r="KV59" s="145"/>
      <c r="KW59" s="145"/>
      <c r="KX59" s="145"/>
      <c r="KY59" s="145"/>
      <c r="KZ59" s="145"/>
      <c r="LA59" s="145"/>
      <c r="LB59" s="145"/>
      <c r="LC59" s="145"/>
      <c r="LD59" s="145"/>
      <c r="LE59" s="145"/>
      <c r="LF59" s="145"/>
      <c r="LG59" s="145"/>
      <c r="LH59" s="145"/>
      <c r="LI59" s="145"/>
      <c r="LJ59" s="145"/>
      <c r="LK59" s="145"/>
      <c r="LL59" s="145"/>
      <c r="LM59" s="145"/>
      <c r="LN59" s="145"/>
      <c r="LO59" s="145"/>
      <c r="LP59" s="145"/>
      <c r="LQ59" s="145"/>
      <c r="LR59" s="145"/>
      <c r="LS59" s="145"/>
      <c r="LT59" s="145"/>
      <c r="LU59" s="145"/>
      <c r="LV59" s="145"/>
      <c r="LW59" s="145"/>
      <c r="LX59" s="145"/>
      <c r="LY59" s="145"/>
      <c r="LZ59" s="145"/>
      <c r="MA59" s="145"/>
      <c r="MB59" s="145"/>
      <c r="MC59" s="145"/>
      <c r="MD59" s="145"/>
      <c r="ME59" s="145"/>
      <c r="MF59" s="145"/>
      <c r="MG59" s="145"/>
      <c r="MH59" s="145"/>
      <c r="MI59" s="145"/>
      <c r="MJ59" s="145"/>
      <c r="MK59" s="145"/>
      <c r="ML59" s="145"/>
      <c r="MM59" s="145"/>
      <c r="MN59" s="145"/>
      <c r="MO59" s="145"/>
      <c r="MP59" s="145"/>
      <c r="MQ59" s="145"/>
      <c r="MR59" s="145"/>
      <c r="MS59" s="145"/>
      <c r="MT59" s="145"/>
      <c r="MU59" s="145"/>
      <c r="MV59" s="145"/>
      <c r="MW59" s="145"/>
      <c r="MX59" s="145"/>
      <c r="MY59" s="145"/>
      <c r="MZ59" s="145"/>
      <c r="NA59" s="145"/>
      <c r="NB59" s="145"/>
      <c r="NC59" s="145"/>
      <c r="ND59" s="145"/>
      <c r="NE59" s="145"/>
      <c r="NF59" s="145"/>
      <c r="NG59" s="145"/>
      <c r="NH59" s="145"/>
      <c r="NI59" s="145"/>
      <c r="NJ59" s="145"/>
      <c r="NK59" s="145"/>
      <c r="NL59" s="145"/>
      <c r="NM59" s="145"/>
      <c r="NN59" s="145"/>
      <c r="NO59" s="145"/>
      <c r="NP59" s="145"/>
      <c r="NQ59" s="145"/>
      <c r="NR59" s="145"/>
      <c r="NS59" s="145"/>
    </row>
    <row r="60" spans="1:383" s="16" customFormat="1" ht="15" customHeight="1" x14ac:dyDescent="0.2">
      <c r="A60" s="15">
        <v>55900</v>
      </c>
      <c r="B60" s="25">
        <v>559</v>
      </c>
      <c r="C60" s="26">
        <v>0</v>
      </c>
      <c r="D60" s="20" t="s">
        <v>302</v>
      </c>
      <c r="E60" s="14">
        <v>40310</v>
      </c>
      <c r="F60" s="18">
        <v>1.34595729318622</v>
      </c>
      <c r="G60" s="18">
        <v>1.29708708379963</v>
      </c>
      <c r="H60" s="21">
        <v>97.9</v>
      </c>
      <c r="I60" s="21">
        <v>96.9</v>
      </c>
      <c r="J60" s="21">
        <v>93</v>
      </c>
      <c r="K60" s="18">
        <v>1</v>
      </c>
      <c r="L60" s="18">
        <v>87.8</v>
      </c>
      <c r="M60" s="18">
        <v>7.6386000000000003</v>
      </c>
      <c r="N60" s="18">
        <v>1.4925999999999999</v>
      </c>
      <c r="O60" s="18">
        <v>0.878</v>
      </c>
      <c r="P60" s="18">
        <v>0.96579999999999999</v>
      </c>
      <c r="Q60" s="19"/>
      <c r="R60" s="18">
        <v>90.244305882352904</v>
      </c>
      <c r="S60" s="18">
        <v>28</v>
      </c>
      <c r="T60" s="18">
        <v>45</v>
      </c>
      <c r="U60" s="18">
        <v>52</v>
      </c>
      <c r="V60" s="18">
        <v>58</v>
      </c>
      <c r="W60" s="18">
        <v>61</v>
      </c>
      <c r="X60" s="18"/>
      <c r="Y60" s="18">
        <v>0.5</v>
      </c>
      <c r="Z60" s="18">
        <v>2.3000000000000003</v>
      </c>
      <c r="AA60" s="18">
        <v>0.4</v>
      </c>
      <c r="AB60" s="18">
        <v>0.8</v>
      </c>
      <c r="AC60" s="18">
        <v>2.5</v>
      </c>
      <c r="AD60" s="18">
        <v>1.5</v>
      </c>
      <c r="AE60" s="18">
        <v>0.70000000000000007</v>
      </c>
      <c r="AF60" s="18">
        <v>20</v>
      </c>
      <c r="AG60" s="18">
        <v>24</v>
      </c>
      <c r="AH60" s="18">
        <v>13</v>
      </c>
      <c r="AI60" s="18">
        <v>19</v>
      </c>
      <c r="AJ60" s="18">
        <v>0</v>
      </c>
      <c r="AK60" s="18">
        <v>0.30000000000000004</v>
      </c>
      <c r="AL60" s="18"/>
      <c r="AM60" s="18">
        <v>3.9</v>
      </c>
      <c r="AN60" s="18">
        <v>2.7</v>
      </c>
      <c r="AO60" s="18">
        <v>2.2000000000000002</v>
      </c>
      <c r="AP60" s="18">
        <v>3.5</v>
      </c>
      <c r="AQ60" s="18">
        <v>1.3</v>
      </c>
      <c r="AR60" s="18">
        <v>4.5</v>
      </c>
      <c r="AS60" s="18">
        <v>8.6999999999999993</v>
      </c>
      <c r="AT60" s="18">
        <v>2.5</v>
      </c>
      <c r="AU60" s="18">
        <v>5.2</v>
      </c>
      <c r="AV60" s="18">
        <v>4.9000000000000004</v>
      </c>
      <c r="AW60" s="18">
        <v>6.3</v>
      </c>
      <c r="AX60" s="18"/>
      <c r="AY60" s="18">
        <v>1</v>
      </c>
      <c r="AZ60" s="18">
        <v>1</v>
      </c>
      <c r="BA60" s="18">
        <v>1</v>
      </c>
      <c r="BB60" s="18">
        <v>1</v>
      </c>
      <c r="BC60" s="18">
        <v>1</v>
      </c>
      <c r="BD60" s="18">
        <v>1</v>
      </c>
      <c r="BE60" s="18">
        <v>1</v>
      </c>
      <c r="BF60" s="18">
        <v>1</v>
      </c>
      <c r="BG60" s="18">
        <v>1</v>
      </c>
      <c r="BH60" s="18">
        <v>1</v>
      </c>
      <c r="BI60" s="18">
        <v>1</v>
      </c>
      <c r="BJ60" s="19"/>
      <c r="BK60" s="18">
        <v>8.7000000000000011</v>
      </c>
      <c r="BL60" s="18">
        <v>1.7</v>
      </c>
      <c r="BM60" s="18">
        <v>1</v>
      </c>
      <c r="BN60" s="18">
        <v>1.1000000000000001</v>
      </c>
      <c r="BO60" s="18"/>
      <c r="BP60" s="18">
        <v>92</v>
      </c>
      <c r="BQ60" s="18">
        <v>15.64</v>
      </c>
      <c r="BR60" s="18">
        <v>1.5329809717382916</v>
      </c>
      <c r="BS60" s="18">
        <v>1.4773201410018566</v>
      </c>
      <c r="BT60" s="19"/>
      <c r="BU60" s="18">
        <v>990.00000000000011</v>
      </c>
      <c r="BV60" s="18">
        <v>859.40714285714353</v>
      </c>
      <c r="BW60" s="18">
        <v>14.142857142857062</v>
      </c>
      <c r="BX60" s="18" t="s">
        <v>217</v>
      </c>
      <c r="BY60" s="18" t="s">
        <v>217</v>
      </c>
      <c r="BZ60" s="18" t="s">
        <v>217</v>
      </c>
      <c r="CA60" s="18" t="s">
        <v>217</v>
      </c>
      <c r="CB60" s="19"/>
      <c r="CC60" s="19">
        <v>0.439</v>
      </c>
      <c r="CD60" s="19">
        <v>2.0194000000000001</v>
      </c>
      <c r="CE60" s="19">
        <v>0.35120000000000001</v>
      </c>
      <c r="CF60" s="19">
        <v>0.70240000000000002</v>
      </c>
      <c r="CG60" s="19">
        <v>2.1949999999999998</v>
      </c>
      <c r="CH60" s="19">
        <v>1.3169999999999999</v>
      </c>
      <c r="CI60" s="19">
        <v>0.61460000000000004</v>
      </c>
      <c r="CJ60" s="19"/>
      <c r="CK60" s="19">
        <v>17.559999999999999</v>
      </c>
      <c r="CL60" s="19">
        <v>21.071999999999999</v>
      </c>
      <c r="CM60" s="19">
        <v>11.414</v>
      </c>
      <c r="CN60" s="19">
        <v>16.681999999999999</v>
      </c>
      <c r="CO60" s="19">
        <v>0</v>
      </c>
      <c r="CP60" s="19">
        <v>0.26340000000000002</v>
      </c>
      <c r="CQ60" s="19">
        <v>68.934015491294105</v>
      </c>
      <c r="CR60" s="19">
        <v>51.215603823587834</v>
      </c>
      <c r="CS60" s="19">
        <v>1.9974085491199254</v>
      </c>
      <c r="CT60" s="19">
        <v>1.382821303236871</v>
      </c>
      <c r="CU60" s="19">
        <v>1.126743284118932</v>
      </c>
      <c r="CV60" s="19">
        <v>2.5095645873558032</v>
      </c>
      <c r="CW60" s="19">
        <v>1.7925461338255715</v>
      </c>
      <c r="CX60" s="19">
        <v>0.66580284970664305</v>
      </c>
      <c r="CY60" s="19">
        <v>2.3047021720614489</v>
      </c>
      <c r="CZ60" s="19">
        <v>4.4557575326521368</v>
      </c>
      <c r="DA60" s="19">
        <v>1.2803900955896939</v>
      </c>
      <c r="DB60" s="19">
        <v>2.6632113988265651</v>
      </c>
      <c r="DC60" s="19">
        <v>2.5095645873558032</v>
      </c>
      <c r="DD60" s="19">
        <v>5.1727759861823683</v>
      </c>
      <c r="DE60" s="19">
        <v>3.2265830408860348</v>
      </c>
      <c r="DF60" s="23">
        <v>0</v>
      </c>
      <c r="DG60" s="23">
        <v>0</v>
      </c>
      <c r="DH60" s="23">
        <v>0</v>
      </c>
      <c r="DI60" s="19">
        <v>0</v>
      </c>
      <c r="DJ60" s="19">
        <v>0</v>
      </c>
      <c r="DK60" s="19">
        <v>0</v>
      </c>
      <c r="DL60" s="19">
        <v>0</v>
      </c>
      <c r="DM60" s="19">
        <v>0</v>
      </c>
      <c r="DN60" s="19">
        <v>0</v>
      </c>
      <c r="DO60" s="19">
        <v>0</v>
      </c>
      <c r="DP60" s="19">
        <v>0</v>
      </c>
      <c r="DQ60" s="19">
        <v>0</v>
      </c>
      <c r="DR60" s="19">
        <v>0</v>
      </c>
      <c r="DS60" s="19">
        <v>0</v>
      </c>
      <c r="DT60" s="19">
        <v>0</v>
      </c>
      <c r="DU60" s="19">
        <v>0</v>
      </c>
      <c r="DV60" s="19">
        <v>0</v>
      </c>
      <c r="DW60" s="17" t="s">
        <v>303</v>
      </c>
      <c r="DX60" s="22" t="s">
        <v>218</v>
      </c>
      <c r="DY60" s="22" t="s">
        <v>218</v>
      </c>
      <c r="DZ60" s="22" t="s">
        <v>218</v>
      </c>
      <c r="EA60" s="22" t="s">
        <v>218</v>
      </c>
      <c r="EB60" s="22" t="s">
        <v>218</v>
      </c>
      <c r="EC60" s="22" t="s">
        <v>218</v>
      </c>
      <c r="ED60" s="22" t="s">
        <v>218</v>
      </c>
      <c r="EE60" s="22" t="s">
        <v>218</v>
      </c>
      <c r="EF60" s="22" t="s">
        <v>218</v>
      </c>
      <c r="EG60" s="22" t="s">
        <v>218</v>
      </c>
      <c r="EH60" s="22" t="s">
        <v>218</v>
      </c>
      <c r="EI60" s="22" t="s">
        <v>218</v>
      </c>
      <c r="EJ60" s="22" t="s">
        <v>218</v>
      </c>
      <c r="EK60" s="22" t="s">
        <v>218</v>
      </c>
      <c r="EL60" s="22" t="s">
        <v>218</v>
      </c>
      <c r="EM60" s="22" t="s">
        <v>218</v>
      </c>
      <c r="EN60" s="22" t="s">
        <v>218</v>
      </c>
      <c r="EO60" s="22" t="s">
        <v>218</v>
      </c>
      <c r="EP60" s="22" t="s">
        <v>218</v>
      </c>
      <c r="EQ60" s="22" t="s">
        <v>218</v>
      </c>
      <c r="ER60" s="22" t="s">
        <v>218</v>
      </c>
      <c r="ES60" s="22" t="s">
        <v>218</v>
      </c>
      <c r="ET60" s="22" t="s">
        <v>218</v>
      </c>
      <c r="EU60" s="22" t="s">
        <v>218</v>
      </c>
      <c r="EV60" s="22" t="s">
        <v>218</v>
      </c>
      <c r="EW60" s="22" t="s">
        <v>218</v>
      </c>
      <c r="EX60" s="22" t="s">
        <v>218</v>
      </c>
      <c r="EY60" s="22" t="s">
        <v>218</v>
      </c>
      <c r="EZ60" s="22" t="s">
        <v>218</v>
      </c>
      <c r="FA60" s="22" t="s">
        <v>218</v>
      </c>
      <c r="FB60" s="22" t="s">
        <v>218</v>
      </c>
      <c r="FC60" s="22" t="s">
        <v>218</v>
      </c>
      <c r="FD60" s="22" t="s">
        <v>218</v>
      </c>
      <c r="FE60" s="22" t="s">
        <v>218</v>
      </c>
      <c r="FF60" s="22" t="s">
        <v>218</v>
      </c>
      <c r="FG60" s="22" t="s">
        <v>218</v>
      </c>
      <c r="FH60" s="22" t="s">
        <v>218</v>
      </c>
      <c r="FI60" s="22" t="s">
        <v>218</v>
      </c>
      <c r="FJ60" s="22" t="s">
        <v>218</v>
      </c>
      <c r="FK60" s="22" t="s">
        <v>218</v>
      </c>
      <c r="FL60" s="22" t="s">
        <v>218</v>
      </c>
      <c r="FM60" s="22" t="s">
        <v>218</v>
      </c>
      <c r="FN60" s="22" t="s">
        <v>218</v>
      </c>
      <c r="FO60" s="22" t="s">
        <v>218</v>
      </c>
      <c r="FP60" s="22" t="s">
        <v>218</v>
      </c>
      <c r="FQ60" s="22" t="s">
        <v>218</v>
      </c>
      <c r="FR60" s="22" t="s">
        <v>218</v>
      </c>
      <c r="FS60" s="22" t="s">
        <v>218</v>
      </c>
      <c r="FT60" s="22" t="s">
        <v>218</v>
      </c>
      <c r="FU60" s="22" t="s">
        <v>218</v>
      </c>
      <c r="FV60" s="22" t="s">
        <v>218</v>
      </c>
      <c r="FW60" s="22" t="s">
        <v>218</v>
      </c>
      <c r="FX60" s="22" t="s">
        <v>218</v>
      </c>
      <c r="FY60" s="22" t="s">
        <v>218</v>
      </c>
      <c r="FZ60" s="22" t="s">
        <v>218</v>
      </c>
      <c r="GA60" s="22" t="s">
        <v>218</v>
      </c>
      <c r="GB60" s="22" t="s">
        <v>218</v>
      </c>
      <c r="GC60" s="22" t="s">
        <v>218</v>
      </c>
      <c r="GD60" s="22" t="s">
        <v>218</v>
      </c>
      <c r="GE60" s="22" t="s">
        <v>218</v>
      </c>
      <c r="GF60" s="22" t="s">
        <v>218</v>
      </c>
      <c r="GG60" s="22" t="s">
        <v>218</v>
      </c>
      <c r="GH60" s="22" t="s">
        <v>218</v>
      </c>
      <c r="GI60" s="22" t="s">
        <v>218</v>
      </c>
      <c r="GJ60" s="22" t="s">
        <v>218</v>
      </c>
      <c r="GK60" s="22" t="s">
        <v>218</v>
      </c>
      <c r="GL60" s="22" t="s">
        <v>218</v>
      </c>
      <c r="GM60" s="22" t="s">
        <v>218</v>
      </c>
      <c r="GN60" s="22" t="s">
        <v>218</v>
      </c>
      <c r="GO60" s="22" t="s">
        <v>218</v>
      </c>
      <c r="GP60" s="22" t="s">
        <v>218</v>
      </c>
      <c r="GQ60" s="22" t="s">
        <v>218</v>
      </c>
      <c r="GR60" s="22" t="s">
        <v>218</v>
      </c>
      <c r="GS60" s="22" t="s">
        <v>218</v>
      </c>
      <c r="GT60" s="22" t="s">
        <v>218</v>
      </c>
      <c r="GU60" s="22" t="s">
        <v>218</v>
      </c>
      <c r="GV60" s="22" t="s">
        <v>218</v>
      </c>
      <c r="GW60" s="22" t="s">
        <v>218</v>
      </c>
      <c r="GX60" s="22" t="s">
        <v>218</v>
      </c>
      <c r="GY60" s="22" t="s">
        <v>218</v>
      </c>
      <c r="GZ60" s="22" t="s">
        <v>218</v>
      </c>
      <c r="HA60" s="22" t="s">
        <v>218</v>
      </c>
      <c r="HB60" s="22" t="s">
        <v>218</v>
      </c>
      <c r="HC60" s="22" t="s">
        <v>218</v>
      </c>
      <c r="HD60" s="22" t="s">
        <v>218</v>
      </c>
      <c r="HE60" s="22" t="s">
        <v>218</v>
      </c>
      <c r="HF60" s="22" t="s">
        <v>218</v>
      </c>
      <c r="HG60" s="22" t="s">
        <v>218</v>
      </c>
      <c r="HH60" s="22" t="s">
        <v>218</v>
      </c>
      <c r="HI60" s="22" t="s">
        <v>218</v>
      </c>
      <c r="HJ60" s="22" t="s">
        <v>218</v>
      </c>
      <c r="HK60" s="22" t="s">
        <v>218</v>
      </c>
      <c r="HL60" s="22" t="s">
        <v>218</v>
      </c>
      <c r="HM60" s="860"/>
      <c r="HN60" s="860"/>
      <c r="HO60" s="860"/>
      <c r="HP60" s="860"/>
      <c r="HQ60" s="860"/>
      <c r="HR60" s="860"/>
      <c r="HS60" s="860"/>
      <c r="HT60" s="145"/>
      <c r="HU60" s="145" t="s">
        <v>1809</v>
      </c>
      <c r="HV60" s="22" t="s">
        <v>1932</v>
      </c>
      <c r="HW60" s="22" t="s">
        <v>304</v>
      </c>
      <c r="HX60" s="22" t="s">
        <v>305</v>
      </c>
      <c r="HY60" s="22" t="s">
        <v>306</v>
      </c>
      <c r="HZ60" s="19"/>
      <c r="IA60" s="19"/>
      <c r="IB60" s="621">
        <f>'background data'!$G$10</f>
        <v>0.47300000000000003</v>
      </c>
      <c r="IC60" s="621">
        <f>'background data'!$H$10</f>
        <v>0.13</v>
      </c>
      <c r="ID60" s="621">
        <f>'background data'!$J$10</f>
        <v>0.39100000000000001</v>
      </c>
      <c r="IE60" s="621">
        <f>'background data'!$L$10</f>
        <v>5.5E-2</v>
      </c>
      <c r="IF60" s="621">
        <f>'background data'!$M$10</f>
        <v>3.97</v>
      </c>
      <c r="IG60" s="621">
        <f>'background data'!$N$10</f>
        <v>4.5999999999999999E-3</v>
      </c>
      <c r="IH60" s="621">
        <f>'background data'!$O$10</f>
        <v>2.73</v>
      </c>
      <c r="II60" s="145"/>
      <c r="IJ60" s="145"/>
      <c r="IK60" s="145"/>
      <c r="IL60" s="145"/>
      <c r="IM60" s="145"/>
      <c r="IN60" s="145"/>
      <c r="IO60" s="145"/>
      <c r="IP60" s="145"/>
      <c r="IQ60" s="145"/>
      <c r="IR60" s="145"/>
      <c r="IS60" s="145"/>
      <c r="IT60" s="145"/>
      <c r="IU60" s="145"/>
      <c r="IV60" s="145"/>
      <c r="IW60" s="145"/>
      <c r="IX60" s="145"/>
      <c r="IY60" s="145"/>
      <c r="IZ60" s="145"/>
      <c r="JA60" s="145"/>
      <c r="JB60" s="145"/>
      <c r="JC60" s="145"/>
      <c r="JD60" s="145"/>
      <c r="JE60" s="145"/>
      <c r="JF60" s="145"/>
      <c r="JG60" s="145"/>
      <c r="JH60" s="145"/>
      <c r="JI60" s="145"/>
      <c r="JJ60" s="145"/>
      <c r="JK60" s="145"/>
      <c r="JL60" s="145"/>
      <c r="JM60" s="145"/>
      <c r="JN60" s="145"/>
      <c r="JO60" s="145"/>
      <c r="JP60" s="145"/>
      <c r="JQ60" s="145"/>
      <c r="JR60" s="145"/>
      <c r="JS60" s="145"/>
      <c r="JT60" s="145"/>
      <c r="JU60" s="145"/>
      <c r="JV60" s="145"/>
      <c r="JW60" s="145"/>
      <c r="JX60" s="145"/>
      <c r="JY60" s="145"/>
      <c r="JZ60" s="145"/>
      <c r="KA60" s="145"/>
      <c r="KB60" s="145"/>
      <c r="KC60" s="145"/>
      <c r="KD60" s="145"/>
      <c r="KE60" s="145"/>
      <c r="KF60" s="145"/>
      <c r="KG60" s="145"/>
      <c r="KH60" s="145"/>
      <c r="KI60" s="145"/>
      <c r="KJ60" s="145"/>
      <c r="KK60" s="145"/>
      <c r="KL60" s="145"/>
      <c r="KM60" s="145"/>
      <c r="KN60" s="145"/>
      <c r="KO60" s="145"/>
      <c r="KP60" s="145"/>
      <c r="KQ60" s="145"/>
      <c r="KR60" s="145"/>
      <c r="KS60" s="145"/>
      <c r="KT60" s="145"/>
      <c r="KU60" s="145"/>
      <c r="KV60" s="145"/>
      <c r="KW60" s="145"/>
      <c r="KX60" s="145"/>
      <c r="KY60" s="145"/>
      <c r="KZ60" s="145"/>
      <c r="LA60" s="145"/>
      <c r="LB60" s="145"/>
      <c r="LC60" s="145"/>
      <c r="LD60" s="145"/>
      <c r="LE60" s="145"/>
      <c r="LF60" s="145"/>
      <c r="LG60" s="145"/>
      <c r="LH60" s="145"/>
      <c r="LI60" s="145"/>
      <c r="LJ60" s="145"/>
      <c r="LK60" s="145"/>
      <c r="LL60" s="145"/>
      <c r="LM60" s="145"/>
      <c r="LN60" s="145"/>
      <c r="LO60" s="145"/>
      <c r="LP60" s="145"/>
      <c r="LQ60" s="145"/>
      <c r="LR60" s="145"/>
      <c r="LS60" s="145"/>
      <c r="LT60" s="145"/>
      <c r="LU60" s="145"/>
      <c r="LV60" s="145"/>
      <c r="LW60" s="145"/>
      <c r="LX60" s="145"/>
      <c r="LY60" s="145"/>
      <c r="LZ60" s="145"/>
      <c r="MA60" s="145"/>
      <c r="MB60" s="145"/>
      <c r="MC60" s="145"/>
      <c r="MD60" s="145"/>
      <c r="ME60" s="145"/>
      <c r="MF60" s="145"/>
      <c r="MG60" s="145"/>
      <c r="MH60" s="145"/>
      <c r="MI60" s="145"/>
      <c r="MJ60" s="145"/>
      <c r="MK60" s="145"/>
      <c r="ML60" s="145"/>
      <c r="MM60" s="145"/>
      <c r="MN60" s="145"/>
      <c r="MO60" s="145"/>
      <c r="MP60" s="145"/>
      <c r="MQ60" s="145"/>
      <c r="MR60" s="145"/>
      <c r="MS60" s="145"/>
      <c r="MT60" s="145"/>
      <c r="MU60" s="145"/>
      <c r="MV60" s="145"/>
      <c r="MW60" s="145"/>
      <c r="MX60" s="145"/>
      <c r="MY60" s="145"/>
      <c r="MZ60" s="145"/>
      <c r="NA60" s="145"/>
      <c r="NB60" s="145"/>
      <c r="NC60" s="145"/>
      <c r="ND60" s="145"/>
      <c r="NE60" s="145"/>
      <c r="NF60" s="145"/>
      <c r="NG60" s="145"/>
      <c r="NH60" s="145"/>
      <c r="NI60" s="145"/>
      <c r="NJ60" s="145"/>
      <c r="NK60" s="145"/>
      <c r="NL60" s="145"/>
      <c r="NM60" s="145"/>
      <c r="NN60" s="145"/>
      <c r="NO60" s="145"/>
      <c r="NP60" s="145"/>
      <c r="NQ60" s="145"/>
      <c r="NR60" s="145"/>
      <c r="NS60" s="145"/>
    </row>
    <row r="61" spans="1:383" s="16" customFormat="1" ht="15" customHeight="1" x14ac:dyDescent="0.2">
      <c r="A61" s="15">
        <v>67600</v>
      </c>
      <c r="B61" s="25">
        <v>676</v>
      </c>
      <c r="C61" s="26">
        <v>0</v>
      </c>
      <c r="D61" s="20" t="s">
        <v>307</v>
      </c>
      <c r="E61" s="14">
        <v>40310</v>
      </c>
      <c r="F61" s="18">
        <v>1.4423562926829301</v>
      </c>
      <c r="G61" s="18">
        <v>1.3843612425973999</v>
      </c>
      <c r="H61" s="21">
        <v>99</v>
      </c>
      <c r="I61" s="21">
        <v>99</v>
      </c>
      <c r="J61" s="21">
        <v>90</v>
      </c>
      <c r="K61" s="18">
        <v>1</v>
      </c>
      <c r="L61" s="18">
        <v>96</v>
      </c>
      <c r="M61" s="18">
        <v>2.2080000000000002</v>
      </c>
      <c r="N61" s="18">
        <v>9.6000000000000002E-2</v>
      </c>
      <c r="O61" s="18">
        <v>3.456</v>
      </c>
      <c r="P61" s="18">
        <v>0.38400000000000001</v>
      </c>
      <c r="Q61" s="19"/>
      <c r="R61" s="18" t="s">
        <v>217</v>
      </c>
      <c r="S61" s="18">
        <v>0</v>
      </c>
      <c r="T61" s="18">
        <v>0</v>
      </c>
      <c r="U61" s="18">
        <v>0</v>
      </c>
      <c r="V61" s="18">
        <v>0</v>
      </c>
      <c r="W61" s="18">
        <v>0</v>
      </c>
      <c r="X61" s="18"/>
      <c r="Y61" s="18">
        <v>0</v>
      </c>
      <c r="Z61" s="18">
        <v>0</v>
      </c>
      <c r="AA61" s="18">
        <v>0</v>
      </c>
      <c r="AB61" s="18">
        <v>0</v>
      </c>
      <c r="AC61" s="18">
        <v>0</v>
      </c>
      <c r="AD61" s="18">
        <v>0</v>
      </c>
      <c r="AE61" s="18">
        <v>0</v>
      </c>
      <c r="AF61" s="18">
        <v>0</v>
      </c>
      <c r="AG61" s="18">
        <v>0</v>
      </c>
      <c r="AH61" s="18">
        <v>0</v>
      </c>
      <c r="AI61" s="18">
        <v>0</v>
      </c>
      <c r="AJ61" s="18">
        <v>0</v>
      </c>
      <c r="AK61" s="18">
        <v>0</v>
      </c>
      <c r="AL61" s="18"/>
      <c r="AM61" s="18">
        <v>0</v>
      </c>
      <c r="AN61" s="18">
        <v>0</v>
      </c>
      <c r="AO61" s="18">
        <v>0</v>
      </c>
      <c r="AP61" s="18">
        <v>0</v>
      </c>
      <c r="AQ61" s="18">
        <v>0</v>
      </c>
      <c r="AR61" s="18">
        <v>0</v>
      </c>
      <c r="AS61" s="18">
        <v>0</v>
      </c>
      <c r="AT61" s="18">
        <v>0</v>
      </c>
      <c r="AU61" s="18">
        <v>0</v>
      </c>
      <c r="AV61" s="18">
        <v>0</v>
      </c>
      <c r="AW61" s="18">
        <v>0</v>
      </c>
      <c r="AX61" s="18"/>
      <c r="AY61" s="18">
        <v>1</v>
      </c>
      <c r="AZ61" s="18">
        <v>1</v>
      </c>
      <c r="BA61" s="18">
        <v>1</v>
      </c>
      <c r="BB61" s="18">
        <v>1</v>
      </c>
      <c r="BC61" s="18">
        <v>1</v>
      </c>
      <c r="BD61" s="18">
        <v>1</v>
      </c>
      <c r="BE61" s="18">
        <v>1</v>
      </c>
      <c r="BF61" s="18">
        <v>1</v>
      </c>
      <c r="BG61" s="18">
        <v>1</v>
      </c>
      <c r="BH61" s="18">
        <v>1</v>
      </c>
      <c r="BI61" s="18">
        <v>1</v>
      </c>
      <c r="BJ61" s="19"/>
      <c r="BK61" s="18">
        <v>2.3000000000000003</v>
      </c>
      <c r="BL61" s="18">
        <v>0.1</v>
      </c>
      <c r="BM61" s="18">
        <v>3.6</v>
      </c>
      <c r="BN61" s="18">
        <v>0.4</v>
      </c>
      <c r="BO61" s="18"/>
      <c r="BP61" s="18">
        <v>0</v>
      </c>
      <c r="BQ61" s="18">
        <v>0</v>
      </c>
      <c r="BR61" s="18">
        <v>1.5024544715447188</v>
      </c>
      <c r="BS61" s="18">
        <v>1.4420429610389582</v>
      </c>
      <c r="BT61" s="19"/>
      <c r="BU61" s="18">
        <v>964</v>
      </c>
      <c r="BV61" s="18">
        <v>932.46</v>
      </c>
      <c r="BW61" s="18">
        <v>0</v>
      </c>
      <c r="BX61" s="18" t="s">
        <v>217</v>
      </c>
      <c r="BY61" s="18" t="s">
        <v>217</v>
      </c>
      <c r="BZ61" s="18" t="s">
        <v>217</v>
      </c>
      <c r="CA61" s="18" t="s">
        <v>217</v>
      </c>
      <c r="CB61" s="19"/>
      <c r="CC61" s="19">
        <v>0</v>
      </c>
      <c r="CD61" s="19">
        <v>0</v>
      </c>
      <c r="CE61" s="19">
        <v>0</v>
      </c>
      <c r="CF61" s="19">
        <v>0</v>
      </c>
      <c r="CG61" s="19">
        <v>0</v>
      </c>
      <c r="CH61" s="19">
        <v>0</v>
      </c>
      <c r="CI61" s="19">
        <v>0</v>
      </c>
      <c r="CJ61" s="19"/>
      <c r="CK61" s="19">
        <v>0</v>
      </c>
      <c r="CL61" s="19">
        <v>0</v>
      </c>
      <c r="CM61" s="19">
        <v>0</v>
      </c>
      <c r="CN61" s="19">
        <v>0</v>
      </c>
      <c r="CO61" s="19">
        <v>0</v>
      </c>
      <c r="CP61" s="19">
        <v>0</v>
      </c>
      <c r="CQ61" s="19">
        <v>0</v>
      </c>
      <c r="CR61" s="19">
        <v>0</v>
      </c>
      <c r="CS61" s="19">
        <v>0</v>
      </c>
      <c r="CT61" s="19">
        <v>0</v>
      </c>
      <c r="CU61" s="19">
        <v>0</v>
      </c>
      <c r="CV61" s="19">
        <v>0</v>
      </c>
      <c r="CW61" s="19">
        <v>0</v>
      </c>
      <c r="CX61" s="19">
        <v>0</v>
      </c>
      <c r="CY61" s="19">
        <v>0</v>
      </c>
      <c r="CZ61" s="19">
        <v>0</v>
      </c>
      <c r="DA61" s="19">
        <v>0</v>
      </c>
      <c r="DB61" s="19">
        <v>0</v>
      </c>
      <c r="DC61" s="19">
        <v>0</v>
      </c>
      <c r="DD61" s="19">
        <v>0</v>
      </c>
      <c r="DE61" s="19">
        <v>0</v>
      </c>
      <c r="DF61" s="23">
        <v>0</v>
      </c>
      <c r="DG61" s="23">
        <v>0</v>
      </c>
      <c r="DH61" s="23">
        <v>0</v>
      </c>
      <c r="DI61" s="19">
        <v>0</v>
      </c>
      <c r="DJ61" s="19">
        <v>0</v>
      </c>
      <c r="DK61" s="19">
        <v>0</v>
      </c>
      <c r="DL61" s="19">
        <v>0</v>
      </c>
      <c r="DM61" s="19">
        <v>0</v>
      </c>
      <c r="DN61" s="19">
        <v>0</v>
      </c>
      <c r="DO61" s="19">
        <v>0</v>
      </c>
      <c r="DP61" s="19">
        <v>0</v>
      </c>
      <c r="DQ61" s="19">
        <v>0</v>
      </c>
      <c r="DR61" s="19">
        <v>0</v>
      </c>
      <c r="DS61" s="19">
        <v>0</v>
      </c>
      <c r="DT61" s="19">
        <v>0</v>
      </c>
      <c r="DU61" s="19">
        <v>0</v>
      </c>
      <c r="DV61" s="19">
        <v>0</v>
      </c>
      <c r="DW61" s="17" t="s">
        <v>308</v>
      </c>
      <c r="DX61" s="22" t="s">
        <v>218</v>
      </c>
      <c r="DY61" s="22" t="s">
        <v>218</v>
      </c>
      <c r="DZ61" s="22" t="s">
        <v>218</v>
      </c>
      <c r="EA61" s="22" t="s">
        <v>218</v>
      </c>
      <c r="EB61" s="22" t="s">
        <v>218</v>
      </c>
      <c r="EC61" s="22" t="s">
        <v>218</v>
      </c>
      <c r="ED61" s="22" t="s">
        <v>218</v>
      </c>
      <c r="EE61" s="22" t="s">
        <v>218</v>
      </c>
      <c r="EF61" s="22" t="s">
        <v>218</v>
      </c>
      <c r="EG61" s="22" t="s">
        <v>218</v>
      </c>
      <c r="EH61" s="22" t="s">
        <v>218</v>
      </c>
      <c r="EI61" s="22" t="s">
        <v>218</v>
      </c>
      <c r="EJ61" s="22" t="s">
        <v>218</v>
      </c>
      <c r="EK61" s="22" t="s">
        <v>218</v>
      </c>
      <c r="EL61" s="22" t="s">
        <v>218</v>
      </c>
      <c r="EM61" s="22" t="s">
        <v>218</v>
      </c>
      <c r="EN61" s="22" t="s">
        <v>218</v>
      </c>
      <c r="EO61" s="22" t="s">
        <v>218</v>
      </c>
      <c r="EP61" s="22" t="s">
        <v>218</v>
      </c>
      <c r="EQ61" s="22" t="s">
        <v>218</v>
      </c>
      <c r="ER61" s="22" t="s">
        <v>218</v>
      </c>
      <c r="ES61" s="22" t="s">
        <v>218</v>
      </c>
      <c r="ET61" s="22" t="s">
        <v>218</v>
      </c>
      <c r="EU61" s="22" t="s">
        <v>218</v>
      </c>
      <c r="EV61" s="22" t="s">
        <v>218</v>
      </c>
      <c r="EW61" s="22" t="s">
        <v>218</v>
      </c>
      <c r="EX61" s="22" t="s">
        <v>218</v>
      </c>
      <c r="EY61" s="22" t="s">
        <v>218</v>
      </c>
      <c r="EZ61" s="22" t="s">
        <v>218</v>
      </c>
      <c r="FA61" s="22" t="s">
        <v>218</v>
      </c>
      <c r="FB61" s="22" t="s">
        <v>218</v>
      </c>
      <c r="FC61" s="22" t="s">
        <v>218</v>
      </c>
      <c r="FD61" s="22" t="s">
        <v>218</v>
      </c>
      <c r="FE61" s="22" t="s">
        <v>218</v>
      </c>
      <c r="FF61" s="22" t="s">
        <v>218</v>
      </c>
      <c r="FG61" s="22" t="s">
        <v>218</v>
      </c>
      <c r="FH61" s="22" t="s">
        <v>218</v>
      </c>
      <c r="FI61" s="22" t="s">
        <v>218</v>
      </c>
      <c r="FJ61" s="22" t="s">
        <v>218</v>
      </c>
      <c r="FK61" s="22" t="s">
        <v>218</v>
      </c>
      <c r="FL61" s="22" t="s">
        <v>218</v>
      </c>
      <c r="FM61" s="22" t="s">
        <v>218</v>
      </c>
      <c r="FN61" s="22" t="s">
        <v>218</v>
      </c>
      <c r="FO61" s="22" t="s">
        <v>218</v>
      </c>
      <c r="FP61" s="22" t="s">
        <v>218</v>
      </c>
      <c r="FQ61" s="22" t="s">
        <v>218</v>
      </c>
      <c r="FR61" s="22" t="s">
        <v>218</v>
      </c>
      <c r="FS61" s="22" t="s">
        <v>218</v>
      </c>
      <c r="FT61" s="22" t="s">
        <v>218</v>
      </c>
      <c r="FU61" s="22" t="s">
        <v>218</v>
      </c>
      <c r="FV61" s="22" t="s">
        <v>218</v>
      </c>
      <c r="FW61" s="22" t="s">
        <v>218</v>
      </c>
      <c r="FX61" s="22" t="s">
        <v>218</v>
      </c>
      <c r="FY61" s="22" t="s">
        <v>218</v>
      </c>
      <c r="FZ61" s="22" t="s">
        <v>218</v>
      </c>
      <c r="GA61" s="22" t="s">
        <v>218</v>
      </c>
      <c r="GB61" s="22" t="s">
        <v>218</v>
      </c>
      <c r="GC61" s="22" t="s">
        <v>218</v>
      </c>
      <c r="GD61" s="22" t="s">
        <v>218</v>
      </c>
      <c r="GE61" s="22" t="s">
        <v>218</v>
      </c>
      <c r="GF61" s="22" t="s">
        <v>218</v>
      </c>
      <c r="GG61" s="22" t="s">
        <v>218</v>
      </c>
      <c r="GH61" s="22" t="s">
        <v>218</v>
      </c>
      <c r="GI61" s="22" t="s">
        <v>218</v>
      </c>
      <c r="GJ61" s="22" t="s">
        <v>218</v>
      </c>
      <c r="GK61" s="22" t="s">
        <v>218</v>
      </c>
      <c r="GL61" s="22" t="s">
        <v>218</v>
      </c>
      <c r="GM61" s="22" t="s">
        <v>218</v>
      </c>
      <c r="GN61" s="22" t="s">
        <v>218</v>
      </c>
      <c r="GO61" s="22" t="s">
        <v>218</v>
      </c>
      <c r="GP61" s="22" t="s">
        <v>218</v>
      </c>
      <c r="GQ61" s="22" t="s">
        <v>218</v>
      </c>
      <c r="GR61" s="22" t="s">
        <v>218</v>
      </c>
      <c r="GS61" s="22" t="s">
        <v>218</v>
      </c>
      <c r="GT61" s="22" t="s">
        <v>218</v>
      </c>
      <c r="GU61" s="22" t="s">
        <v>218</v>
      </c>
      <c r="GV61" s="22" t="s">
        <v>218</v>
      </c>
      <c r="GW61" s="22" t="s">
        <v>218</v>
      </c>
      <c r="GX61" s="22" t="s">
        <v>218</v>
      </c>
      <c r="GY61" s="22" t="s">
        <v>218</v>
      </c>
      <c r="GZ61" s="22" t="s">
        <v>218</v>
      </c>
      <c r="HA61" s="22" t="s">
        <v>218</v>
      </c>
      <c r="HB61" s="22" t="s">
        <v>218</v>
      </c>
      <c r="HC61" s="22" t="s">
        <v>218</v>
      </c>
      <c r="HD61" s="22" t="s">
        <v>218</v>
      </c>
      <c r="HE61" s="22" t="s">
        <v>218</v>
      </c>
      <c r="HF61" s="22" t="s">
        <v>218</v>
      </c>
      <c r="HG61" s="22" t="s">
        <v>218</v>
      </c>
      <c r="HH61" s="22" t="s">
        <v>218</v>
      </c>
      <c r="HI61" s="22" t="s">
        <v>218</v>
      </c>
      <c r="HJ61" s="22" t="s">
        <v>218</v>
      </c>
      <c r="HK61" s="22" t="s">
        <v>218</v>
      </c>
      <c r="HL61" s="22" t="s">
        <v>218</v>
      </c>
      <c r="HM61" s="860">
        <f>256/1000</f>
        <v>0.25600000000000001</v>
      </c>
      <c r="HN61" s="860">
        <f>38/1000</f>
        <v>3.7999999999999999E-2</v>
      </c>
      <c r="HO61" s="860">
        <f>118/1000</f>
        <v>0.11799999999999999</v>
      </c>
      <c r="HP61" s="860">
        <f>16/1000</f>
        <v>1.6E-2</v>
      </c>
      <c r="HQ61" s="860">
        <f>1.3</f>
        <v>1.3</v>
      </c>
      <c r="HR61" s="860"/>
      <c r="HS61" s="860">
        <f>0.82</f>
        <v>0.82</v>
      </c>
      <c r="HT61" s="145" t="s">
        <v>2086</v>
      </c>
      <c r="HU61" s="145" t="s">
        <v>1809</v>
      </c>
      <c r="HV61" s="22" t="s">
        <v>1933</v>
      </c>
      <c r="HW61" s="22" t="s">
        <v>309</v>
      </c>
      <c r="HX61" s="22">
        <v>0</v>
      </c>
      <c r="HY61" s="22">
        <v>0</v>
      </c>
      <c r="HZ61" s="19"/>
      <c r="IA61" s="19"/>
      <c r="IB61" s="621">
        <f>'background data'!$G$10</f>
        <v>0.47300000000000003</v>
      </c>
      <c r="IC61" s="621">
        <f>'background data'!$H$10</f>
        <v>0.13</v>
      </c>
      <c r="ID61" s="621">
        <f>'background data'!$J$10</f>
        <v>0.39100000000000001</v>
      </c>
      <c r="IE61" s="621">
        <f>'background data'!$L$10</f>
        <v>5.5E-2</v>
      </c>
      <c r="IF61" s="621">
        <f>'background data'!$M$10</f>
        <v>3.97</v>
      </c>
      <c r="IG61" s="621">
        <f>'background data'!$N$10</f>
        <v>4.5999999999999999E-3</v>
      </c>
      <c r="IH61" s="621">
        <f>'background data'!$O$10</f>
        <v>2.73</v>
      </c>
      <c r="II61" s="145"/>
      <c r="IJ61" s="145"/>
      <c r="IK61" s="145"/>
      <c r="IL61" s="145"/>
      <c r="IM61" s="145"/>
      <c r="IN61" s="145"/>
      <c r="IO61" s="145"/>
      <c r="IP61" s="145"/>
      <c r="IQ61" s="145"/>
      <c r="IR61" s="145"/>
      <c r="IS61" s="145"/>
      <c r="IT61" s="145"/>
      <c r="IU61" s="145"/>
      <c r="IV61" s="145"/>
      <c r="IW61" s="145"/>
      <c r="IX61" s="145"/>
      <c r="IY61" s="145"/>
      <c r="IZ61" s="145"/>
      <c r="JA61" s="145"/>
      <c r="JB61" s="145"/>
      <c r="JC61" s="145"/>
      <c r="JD61" s="145"/>
      <c r="JE61" s="145"/>
      <c r="JF61" s="145"/>
      <c r="JG61" s="145"/>
      <c r="JH61" s="145"/>
      <c r="JI61" s="145"/>
      <c r="JJ61" s="145"/>
      <c r="JK61" s="145"/>
      <c r="JL61" s="145"/>
      <c r="JM61" s="145"/>
      <c r="JN61" s="145"/>
      <c r="JO61" s="145"/>
      <c r="JP61" s="145"/>
      <c r="JQ61" s="145"/>
      <c r="JR61" s="145"/>
      <c r="JS61" s="145"/>
      <c r="JT61" s="145"/>
      <c r="JU61" s="145"/>
      <c r="JV61" s="145"/>
      <c r="JW61" s="145"/>
      <c r="JX61" s="145"/>
      <c r="JY61" s="145"/>
      <c r="JZ61" s="145"/>
      <c r="KA61" s="145"/>
      <c r="KB61" s="145"/>
      <c r="KC61" s="145"/>
      <c r="KD61" s="145"/>
      <c r="KE61" s="145"/>
      <c r="KF61" s="145"/>
      <c r="KG61" s="145"/>
      <c r="KH61" s="145"/>
      <c r="KI61" s="145"/>
      <c r="KJ61" s="145"/>
      <c r="KK61" s="145"/>
      <c r="KL61" s="145"/>
      <c r="KM61" s="145"/>
      <c r="KN61" s="145"/>
      <c r="KO61" s="145"/>
      <c r="KP61" s="145"/>
      <c r="KQ61" s="145"/>
      <c r="KR61" s="145"/>
      <c r="KS61" s="145"/>
      <c r="KT61" s="145"/>
      <c r="KU61" s="145"/>
      <c r="KV61" s="145"/>
      <c r="KW61" s="145"/>
      <c r="KX61" s="145"/>
      <c r="KY61" s="145"/>
      <c r="KZ61" s="145"/>
      <c r="LA61" s="145"/>
      <c r="LB61" s="145"/>
      <c r="LC61" s="145"/>
      <c r="LD61" s="145"/>
      <c r="LE61" s="145"/>
      <c r="LF61" s="145"/>
      <c r="LG61" s="145"/>
      <c r="LH61" s="145"/>
      <c r="LI61" s="145"/>
      <c r="LJ61" s="145"/>
      <c r="LK61" s="145"/>
      <c r="LL61" s="145"/>
      <c r="LM61" s="145"/>
      <c r="LN61" s="145"/>
      <c r="LO61" s="145"/>
      <c r="LP61" s="145"/>
      <c r="LQ61" s="145"/>
      <c r="LR61" s="145"/>
      <c r="LS61" s="145"/>
      <c r="LT61" s="145"/>
      <c r="LU61" s="145"/>
      <c r="LV61" s="145"/>
      <c r="LW61" s="145"/>
      <c r="LX61" s="145"/>
      <c r="LY61" s="145"/>
      <c r="LZ61" s="145"/>
      <c r="MA61" s="145"/>
      <c r="MB61" s="145"/>
      <c r="MC61" s="145"/>
      <c r="MD61" s="145"/>
      <c r="ME61" s="145"/>
      <c r="MF61" s="145"/>
      <c r="MG61" s="145"/>
      <c r="MH61" s="145"/>
      <c r="MI61" s="145"/>
      <c r="MJ61" s="145"/>
      <c r="MK61" s="145"/>
      <c r="ML61" s="145"/>
      <c r="MM61" s="145"/>
      <c r="MN61" s="145"/>
      <c r="MO61" s="145"/>
      <c r="MP61" s="145"/>
      <c r="MQ61" s="145"/>
      <c r="MR61" s="145"/>
      <c r="MS61" s="145"/>
      <c r="MT61" s="145"/>
      <c r="MU61" s="145"/>
      <c r="MV61" s="145"/>
      <c r="MW61" s="145"/>
      <c r="MX61" s="145"/>
      <c r="MY61" s="145"/>
      <c r="MZ61" s="145"/>
      <c r="NA61" s="145"/>
      <c r="NB61" s="145"/>
      <c r="NC61" s="145"/>
      <c r="ND61" s="145"/>
      <c r="NE61" s="145"/>
      <c r="NF61" s="145"/>
      <c r="NG61" s="145"/>
      <c r="NH61" s="145"/>
      <c r="NI61" s="145"/>
      <c r="NJ61" s="145"/>
      <c r="NK61" s="145"/>
      <c r="NL61" s="145"/>
      <c r="NM61" s="145"/>
      <c r="NN61" s="145"/>
      <c r="NO61" s="145"/>
      <c r="NP61" s="145"/>
      <c r="NQ61" s="145"/>
      <c r="NR61" s="145"/>
      <c r="NS61" s="145"/>
    </row>
    <row r="62" spans="1:383" s="16" customFormat="1" ht="15" customHeight="1" x14ac:dyDescent="0.2">
      <c r="A62" s="15">
        <v>39004</v>
      </c>
      <c r="B62" s="25">
        <v>390</v>
      </c>
      <c r="C62" s="26">
        <v>4</v>
      </c>
      <c r="D62" s="20" t="s">
        <v>310</v>
      </c>
      <c r="E62" s="14">
        <v>40310</v>
      </c>
      <c r="F62" s="18">
        <v>0.45799119794648102</v>
      </c>
      <c r="G62" s="18">
        <v>0.44025273257937703</v>
      </c>
      <c r="H62" s="21">
        <v>65</v>
      </c>
      <c r="I62" s="21">
        <v>84</v>
      </c>
      <c r="J62" s="21">
        <v>90</v>
      </c>
      <c r="K62" s="18">
        <v>1</v>
      </c>
      <c r="L62" s="18">
        <v>91.1</v>
      </c>
      <c r="M62" s="18">
        <v>1</v>
      </c>
      <c r="N62" s="18">
        <v>1.4000002030000001</v>
      </c>
      <c r="O62" s="18">
        <v>49.799999933000002</v>
      </c>
      <c r="P62" s="18">
        <v>15.999999587</v>
      </c>
      <c r="Q62" s="19"/>
      <c r="R62" s="18">
        <v>70</v>
      </c>
      <c r="S62" s="18">
        <v>0</v>
      </c>
      <c r="T62" s="18">
        <v>0</v>
      </c>
      <c r="U62" s="18">
        <v>0</v>
      </c>
      <c r="V62" s="18">
        <v>0</v>
      </c>
      <c r="W62" s="18">
        <v>0</v>
      </c>
      <c r="X62" s="18"/>
      <c r="Y62" s="18">
        <v>0</v>
      </c>
      <c r="Z62" s="18">
        <v>0</v>
      </c>
      <c r="AA62" s="18">
        <v>0</v>
      </c>
      <c r="AB62" s="18">
        <v>0</v>
      </c>
      <c r="AC62" s="18">
        <v>0</v>
      </c>
      <c r="AD62" s="18">
        <v>0</v>
      </c>
      <c r="AE62" s="18">
        <v>0</v>
      </c>
      <c r="AF62" s="18">
        <v>0</v>
      </c>
      <c r="AG62" s="18">
        <v>0</v>
      </c>
      <c r="AH62" s="18">
        <v>0</v>
      </c>
      <c r="AI62" s="18">
        <v>0</v>
      </c>
      <c r="AJ62" s="18">
        <v>0</v>
      </c>
      <c r="AK62" s="18">
        <v>0</v>
      </c>
      <c r="AL62" s="18"/>
      <c r="AM62" s="18">
        <v>0</v>
      </c>
      <c r="AN62" s="18">
        <v>0</v>
      </c>
      <c r="AO62" s="18">
        <v>0</v>
      </c>
      <c r="AP62" s="18">
        <v>0</v>
      </c>
      <c r="AQ62" s="18">
        <v>0</v>
      </c>
      <c r="AR62" s="18">
        <v>0</v>
      </c>
      <c r="AS62" s="18">
        <v>0</v>
      </c>
      <c r="AT62" s="18">
        <v>0</v>
      </c>
      <c r="AU62" s="18">
        <v>0</v>
      </c>
      <c r="AV62" s="18">
        <v>0</v>
      </c>
      <c r="AW62" s="18">
        <v>0</v>
      </c>
      <c r="AX62" s="18"/>
      <c r="AY62" s="18">
        <v>1</v>
      </c>
      <c r="AZ62" s="18">
        <v>1</v>
      </c>
      <c r="BA62" s="18">
        <v>1</v>
      </c>
      <c r="BB62" s="18">
        <v>1</v>
      </c>
      <c r="BC62" s="18">
        <v>1</v>
      </c>
      <c r="BD62" s="18">
        <v>0</v>
      </c>
      <c r="BE62" s="18">
        <v>0</v>
      </c>
      <c r="BF62" s="18">
        <v>0</v>
      </c>
      <c r="BG62" s="18">
        <v>0</v>
      </c>
      <c r="BH62" s="18">
        <v>0.8</v>
      </c>
      <c r="BI62" s="18">
        <v>0</v>
      </c>
      <c r="BJ62" s="19"/>
      <c r="BK62" s="18">
        <v>1.0976948408342482</v>
      </c>
      <c r="BL62" s="18">
        <v>1.5367730000000002</v>
      </c>
      <c r="BM62" s="18">
        <v>54.665203000000005</v>
      </c>
      <c r="BN62" s="18">
        <v>17.563117000000002</v>
      </c>
      <c r="BO62" s="18"/>
      <c r="BP62" s="18">
        <v>0</v>
      </c>
      <c r="BQ62" s="18">
        <v>0</v>
      </c>
      <c r="BR62" s="18">
        <v>0.50273457513334907</v>
      </c>
      <c r="BS62" s="18">
        <v>0.48326315321556207</v>
      </c>
      <c r="BT62" s="19"/>
      <c r="BU62" s="18">
        <v>453.34797000000003</v>
      </c>
      <c r="BV62" s="18">
        <v>392.83205120555107</v>
      </c>
      <c r="BW62" s="18">
        <v>-123.05159185714271</v>
      </c>
      <c r="BX62" s="18" t="s">
        <v>217</v>
      </c>
      <c r="BY62" s="18" t="s">
        <v>217</v>
      </c>
      <c r="BZ62" s="18" t="s">
        <v>217</v>
      </c>
      <c r="CA62" s="18" t="s">
        <v>217</v>
      </c>
      <c r="CB62" s="19"/>
      <c r="CC62" s="19">
        <v>0</v>
      </c>
      <c r="CD62" s="19">
        <v>0</v>
      </c>
      <c r="CE62" s="19">
        <v>0</v>
      </c>
      <c r="CF62" s="19">
        <v>0</v>
      </c>
      <c r="CG62" s="19">
        <v>0</v>
      </c>
      <c r="CH62" s="19">
        <v>0</v>
      </c>
      <c r="CI62" s="19">
        <v>0</v>
      </c>
      <c r="CJ62" s="19"/>
      <c r="CK62" s="19">
        <v>0</v>
      </c>
      <c r="CL62" s="19">
        <v>0</v>
      </c>
      <c r="CM62" s="19">
        <v>0</v>
      </c>
      <c r="CN62" s="19">
        <v>0</v>
      </c>
      <c r="CO62" s="19">
        <v>0</v>
      </c>
      <c r="CP62" s="19">
        <v>0</v>
      </c>
      <c r="CQ62" s="19">
        <v>7.0000000000000098</v>
      </c>
      <c r="CR62" s="19">
        <v>15.284136532287683</v>
      </c>
      <c r="CS62" s="19">
        <v>0</v>
      </c>
      <c r="CT62" s="19">
        <v>0</v>
      </c>
      <c r="CU62" s="19">
        <v>0</v>
      </c>
      <c r="CV62" s="19">
        <v>0</v>
      </c>
      <c r="CW62" s="19">
        <v>0</v>
      </c>
      <c r="CX62" s="19">
        <v>0</v>
      </c>
      <c r="CY62" s="19">
        <v>0</v>
      </c>
      <c r="CZ62" s="19">
        <v>0</v>
      </c>
      <c r="DA62" s="19">
        <v>0</v>
      </c>
      <c r="DB62" s="19">
        <v>0</v>
      </c>
      <c r="DC62" s="19">
        <v>0</v>
      </c>
      <c r="DD62" s="19">
        <v>0</v>
      </c>
      <c r="DE62" s="19">
        <v>0</v>
      </c>
      <c r="DF62" s="23">
        <v>0</v>
      </c>
      <c r="DG62" s="23">
        <v>0</v>
      </c>
      <c r="DH62" s="23">
        <v>0</v>
      </c>
      <c r="DI62" s="19">
        <v>0</v>
      </c>
      <c r="DJ62" s="19">
        <v>0</v>
      </c>
      <c r="DK62" s="19">
        <v>9100.0000003719997</v>
      </c>
      <c r="DL62" s="19">
        <v>0</v>
      </c>
      <c r="DM62" s="19">
        <v>0</v>
      </c>
      <c r="DN62" s="19">
        <v>0</v>
      </c>
      <c r="DO62" s="19">
        <v>0</v>
      </c>
      <c r="DP62" s="19">
        <v>0</v>
      </c>
      <c r="DQ62" s="19">
        <v>0</v>
      </c>
      <c r="DR62" s="19">
        <v>0</v>
      </c>
      <c r="DS62" s="19">
        <v>0</v>
      </c>
      <c r="DT62" s="19">
        <v>0</v>
      </c>
      <c r="DU62" s="19">
        <v>0</v>
      </c>
      <c r="DV62" s="19">
        <v>0</v>
      </c>
      <c r="DW62" s="17" t="s">
        <v>218</v>
      </c>
      <c r="DX62" s="22" t="s">
        <v>218</v>
      </c>
      <c r="DY62" s="22" t="s">
        <v>218</v>
      </c>
      <c r="DZ62" s="22" t="s">
        <v>218</v>
      </c>
      <c r="EA62" s="22" t="s">
        <v>218</v>
      </c>
      <c r="EB62" s="22" t="s">
        <v>218</v>
      </c>
      <c r="EC62" s="22" t="s">
        <v>218</v>
      </c>
      <c r="ED62" s="22" t="s">
        <v>218</v>
      </c>
      <c r="EE62" s="22" t="s">
        <v>218</v>
      </c>
      <c r="EF62" s="22" t="s">
        <v>218</v>
      </c>
      <c r="EG62" s="22" t="s">
        <v>218</v>
      </c>
      <c r="EH62" s="22" t="s">
        <v>218</v>
      </c>
      <c r="EI62" s="22" t="s">
        <v>218</v>
      </c>
      <c r="EJ62" s="22" t="s">
        <v>218</v>
      </c>
      <c r="EK62" s="22" t="s">
        <v>218</v>
      </c>
      <c r="EL62" s="22" t="s">
        <v>218</v>
      </c>
      <c r="EM62" s="22" t="s">
        <v>218</v>
      </c>
      <c r="EN62" s="22" t="s">
        <v>218</v>
      </c>
      <c r="EO62" s="22" t="s">
        <v>218</v>
      </c>
      <c r="EP62" s="22" t="s">
        <v>218</v>
      </c>
      <c r="EQ62" s="22" t="s">
        <v>218</v>
      </c>
      <c r="ER62" s="22" t="s">
        <v>218</v>
      </c>
      <c r="ES62" s="22" t="s">
        <v>218</v>
      </c>
      <c r="ET62" s="22" t="s">
        <v>218</v>
      </c>
      <c r="EU62" s="22" t="s">
        <v>218</v>
      </c>
      <c r="EV62" s="22" t="s">
        <v>218</v>
      </c>
      <c r="EW62" s="22" t="s">
        <v>218</v>
      </c>
      <c r="EX62" s="22" t="s">
        <v>218</v>
      </c>
      <c r="EY62" s="22" t="s">
        <v>218</v>
      </c>
      <c r="EZ62" s="22" t="s">
        <v>218</v>
      </c>
      <c r="FA62" s="22" t="s">
        <v>218</v>
      </c>
      <c r="FB62" s="22" t="s">
        <v>218</v>
      </c>
      <c r="FC62" s="22" t="s">
        <v>218</v>
      </c>
      <c r="FD62" s="22" t="s">
        <v>218</v>
      </c>
      <c r="FE62" s="22" t="s">
        <v>218</v>
      </c>
      <c r="FF62" s="22" t="s">
        <v>218</v>
      </c>
      <c r="FG62" s="22" t="s">
        <v>218</v>
      </c>
      <c r="FH62" s="22" t="s">
        <v>218</v>
      </c>
      <c r="FI62" s="22" t="s">
        <v>218</v>
      </c>
      <c r="FJ62" s="22" t="s">
        <v>218</v>
      </c>
      <c r="FK62" s="22" t="s">
        <v>218</v>
      </c>
      <c r="FL62" s="22" t="s">
        <v>218</v>
      </c>
      <c r="FM62" s="22" t="s">
        <v>218</v>
      </c>
      <c r="FN62" s="22" t="s">
        <v>218</v>
      </c>
      <c r="FO62" s="22" t="s">
        <v>218</v>
      </c>
      <c r="FP62" s="22" t="s">
        <v>218</v>
      </c>
      <c r="FQ62" s="22" t="s">
        <v>218</v>
      </c>
      <c r="FR62" s="22" t="s">
        <v>218</v>
      </c>
      <c r="FS62" s="22" t="s">
        <v>218</v>
      </c>
      <c r="FT62" s="22" t="s">
        <v>218</v>
      </c>
      <c r="FU62" s="22" t="s">
        <v>218</v>
      </c>
      <c r="FV62" s="22" t="s">
        <v>218</v>
      </c>
      <c r="FW62" s="22" t="s">
        <v>218</v>
      </c>
      <c r="FX62" s="22" t="s">
        <v>218</v>
      </c>
      <c r="FY62" s="22" t="s">
        <v>218</v>
      </c>
      <c r="FZ62" s="22" t="s">
        <v>218</v>
      </c>
      <c r="GA62" s="22" t="s">
        <v>218</v>
      </c>
      <c r="GB62" s="22" t="s">
        <v>218</v>
      </c>
      <c r="GC62" s="22" t="s">
        <v>218</v>
      </c>
      <c r="GD62" s="22" t="s">
        <v>218</v>
      </c>
      <c r="GE62" s="22" t="s">
        <v>218</v>
      </c>
      <c r="GF62" s="22" t="s">
        <v>218</v>
      </c>
      <c r="GG62" s="22" t="s">
        <v>218</v>
      </c>
      <c r="GH62" s="22" t="s">
        <v>218</v>
      </c>
      <c r="GI62" s="22" t="s">
        <v>218</v>
      </c>
      <c r="GJ62" s="22" t="s">
        <v>218</v>
      </c>
      <c r="GK62" s="22" t="s">
        <v>218</v>
      </c>
      <c r="GL62" s="22" t="s">
        <v>218</v>
      </c>
      <c r="GM62" s="22" t="s">
        <v>218</v>
      </c>
      <c r="GN62" s="22" t="s">
        <v>218</v>
      </c>
      <c r="GO62" s="22" t="s">
        <v>218</v>
      </c>
      <c r="GP62" s="22" t="s">
        <v>218</v>
      </c>
      <c r="GQ62" s="22" t="s">
        <v>218</v>
      </c>
      <c r="GR62" s="22" t="s">
        <v>218</v>
      </c>
      <c r="GS62" s="22" t="s">
        <v>218</v>
      </c>
      <c r="GT62" s="22" t="s">
        <v>218</v>
      </c>
      <c r="GU62" s="22" t="s">
        <v>218</v>
      </c>
      <c r="GV62" s="22" t="s">
        <v>218</v>
      </c>
      <c r="GW62" s="22" t="s">
        <v>218</v>
      </c>
      <c r="GX62" s="22" t="s">
        <v>218</v>
      </c>
      <c r="GY62" s="22" t="s">
        <v>218</v>
      </c>
      <c r="GZ62" s="22" t="s">
        <v>218</v>
      </c>
      <c r="HA62" s="22" t="s">
        <v>218</v>
      </c>
      <c r="HB62" s="22" t="s">
        <v>218</v>
      </c>
      <c r="HC62" s="22" t="s">
        <v>218</v>
      </c>
      <c r="HD62" s="22" t="s">
        <v>218</v>
      </c>
      <c r="HE62" s="22" t="s">
        <v>218</v>
      </c>
      <c r="HF62" s="22" t="s">
        <v>218</v>
      </c>
      <c r="HG62" s="22" t="s">
        <v>218</v>
      </c>
      <c r="HH62" s="22" t="s">
        <v>218</v>
      </c>
      <c r="HI62" s="22" t="s">
        <v>218</v>
      </c>
      <c r="HJ62" s="22" t="s">
        <v>218</v>
      </c>
      <c r="HK62" s="22" t="s">
        <v>218</v>
      </c>
      <c r="HL62" s="22" t="s">
        <v>218</v>
      </c>
      <c r="HM62" s="860"/>
      <c r="HN62" s="860"/>
      <c r="HO62" s="860"/>
      <c r="HP62" s="860"/>
      <c r="HQ62" s="860"/>
      <c r="HR62" s="860"/>
      <c r="HS62" s="860"/>
      <c r="HT62" s="145"/>
      <c r="HU62" s="145" t="s">
        <v>1809</v>
      </c>
      <c r="HV62" s="22" t="s">
        <v>1926</v>
      </c>
      <c r="HW62" s="22">
        <v>0</v>
      </c>
      <c r="HX62" s="22">
        <v>0</v>
      </c>
      <c r="HY62" s="22">
        <v>0</v>
      </c>
      <c r="HZ62" s="19"/>
      <c r="IA62" s="19"/>
      <c r="IB62" s="621">
        <f>'background data'!$G$10</f>
        <v>0.47300000000000003</v>
      </c>
      <c r="IC62" s="621">
        <f>'background data'!$H$10</f>
        <v>0.13</v>
      </c>
      <c r="ID62" s="621">
        <f>'background data'!$J$10</f>
        <v>0.39100000000000001</v>
      </c>
      <c r="IE62" s="621">
        <f>'background data'!$L$10</f>
        <v>5.5E-2</v>
      </c>
      <c r="IF62" s="621">
        <f>'background data'!$M$10</f>
        <v>3.97</v>
      </c>
      <c r="IG62" s="621">
        <f>'background data'!$N$10</f>
        <v>4.5999999999999999E-3</v>
      </c>
      <c r="IH62" s="621">
        <f>'background data'!$O$10</f>
        <v>2.73</v>
      </c>
      <c r="II62" s="145"/>
      <c r="IJ62" s="145"/>
      <c r="IK62" s="145"/>
      <c r="IL62" s="145"/>
      <c r="IM62" s="145"/>
      <c r="IN62" s="145"/>
      <c r="IO62" s="145"/>
      <c r="IP62" s="145"/>
      <c r="IQ62" s="145"/>
      <c r="IR62" s="145"/>
      <c r="IS62" s="145"/>
      <c r="IT62" s="145"/>
      <c r="IU62" s="145"/>
      <c r="IV62" s="145"/>
      <c r="IW62" s="145"/>
      <c r="IX62" s="145"/>
      <c r="IY62" s="145"/>
      <c r="IZ62" s="145"/>
      <c r="JA62" s="145"/>
      <c r="JB62" s="145"/>
      <c r="JC62" s="145"/>
      <c r="JD62" s="145"/>
      <c r="JE62" s="145"/>
      <c r="JF62" s="145"/>
      <c r="JG62" s="145"/>
      <c r="JH62" s="145"/>
      <c r="JI62" s="145"/>
      <c r="JJ62" s="145"/>
      <c r="JK62" s="145"/>
      <c r="JL62" s="145"/>
      <c r="JM62" s="145"/>
      <c r="JN62" s="145"/>
      <c r="JO62" s="145"/>
      <c r="JP62" s="145"/>
      <c r="JQ62" s="145"/>
      <c r="JR62" s="145"/>
      <c r="JS62" s="145"/>
      <c r="JT62" s="145"/>
      <c r="JU62" s="145"/>
      <c r="JV62" s="145"/>
      <c r="JW62" s="145"/>
      <c r="JX62" s="145"/>
      <c r="JY62" s="145"/>
      <c r="JZ62" s="145"/>
      <c r="KA62" s="145"/>
      <c r="KB62" s="145"/>
      <c r="KC62" s="145"/>
      <c r="KD62" s="145"/>
      <c r="KE62" s="145"/>
      <c r="KF62" s="145"/>
      <c r="KG62" s="145"/>
      <c r="KH62" s="145"/>
      <c r="KI62" s="145"/>
      <c r="KJ62" s="145"/>
      <c r="KK62" s="145"/>
      <c r="KL62" s="145"/>
      <c r="KM62" s="145"/>
      <c r="KN62" s="145"/>
      <c r="KO62" s="145"/>
      <c r="KP62" s="145"/>
      <c r="KQ62" s="145"/>
      <c r="KR62" s="145"/>
      <c r="KS62" s="145"/>
      <c r="KT62" s="145"/>
      <c r="KU62" s="145"/>
      <c r="KV62" s="145"/>
      <c r="KW62" s="145"/>
      <c r="KX62" s="145"/>
      <c r="KY62" s="145"/>
      <c r="KZ62" s="145"/>
      <c r="LA62" s="145"/>
      <c r="LB62" s="145"/>
      <c r="LC62" s="145"/>
      <c r="LD62" s="145"/>
      <c r="LE62" s="145"/>
      <c r="LF62" s="145"/>
      <c r="LG62" s="145"/>
      <c r="LH62" s="145"/>
      <c r="LI62" s="145"/>
      <c r="LJ62" s="145"/>
      <c r="LK62" s="145"/>
      <c r="LL62" s="145"/>
      <c r="LM62" s="145"/>
      <c r="LN62" s="145"/>
      <c r="LO62" s="145"/>
      <c r="LP62" s="145"/>
      <c r="LQ62" s="145"/>
      <c r="LR62" s="145"/>
      <c r="LS62" s="145"/>
      <c r="LT62" s="145"/>
      <c r="LU62" s="145"/>
      <c r="LV62" s="145"/>
      <c r="LW62" s="145"/>
      <c r="LX62" s="145"/>
      <c r="LY62" s="145"/>
      <c r="LZ62" s="145"/>
      <c r="MA62" s="145"/>
      <c r="MB62" s="145"/>
      <c r="MC62" s="145"/>
      <c r="MD62" s="145"/>
      <c r="ME62" s="145"/>
      <c r="MF62" s="145"/>
      <c r="MG62" s="145"/>
      <c r="MH62" s="145"/>
      <c r="MI62" s="145"/>
      <c r="MJ62" s="145"/>
      <c r="MK62" s="145"/>
      <c r="ML62" s="145"/>
      <c r="MM62" s="145"/>
      <c r="MN62" s="145"/>
      <c r="MO62" s="145"/>
      <c r="MP62" s="145"/>
      <c r="MQ62" s="145"/>
      <c r="MR62" s="145"/>
      <c r="MS62" s="145"/>
      <c r="MT62" s="145"/>
      <c r="MU62" s="145"/>
      <c r="MV62" s="145"/>
      <c r="MW62" s="145"/>
      <c r="MX62" s="145"/>
      <c r="MY62" s="145"/>
      <c r="MZ62" s="145"/>
      <c r="NA62" s="145"/>
      <c r="NB62" s="145"/>
      <c r="NC62" s="145"/>
      <c r="ND62" s="145"/>
      <c r="NE62" s="145"/>
      <c r="NF62" s="145"/>
      <c r="NG62" s="145"/>
      <c r="NH62" s="145"/>
      <c r="NI62" s="145"/>
      <c r="NJ62" s="145"/>
      <c r="NK62" s="145"/>
      <c r="NL62" s="145"/>
      <c r="NM62" s="145"/>
      <c r="NN62" s="145"/>
      <c r="NO62" s="145"/>
      <c r="NP62" s="145"/>
      <c r="NQ62" s="145"/>
      <c r="NR62" s="145"/>
      <c r="NS62" s="145"/>
    </row>
    <row r="63" spans="1:383" s="16" customFormat="1" ht="15" customHeight="1" x14ac:dyDescent="0.2">
      <c r="A63" s="15">
        <v>39005</v>
      </c>
      <c r="B63" s="25">
        <v>390</v>
      </c>
      <c r="C63" s="26">
        <v>5</v>
      </c>
      <c r="D63" s="20" t="s">
        <v>311</v>
      </c>
      <c r="E63" s="14">
        <v>40310</v>
      </c>
      <c r="F63" s="18">
        <v>0.45799119794648102</v>
      </c>
      <c r="G63" s="18">
        <v>0.44025273257937703</v>
      </c>
      <c r="H63" s="21">
        <v>65</v>
      </c>
      <c r="I63" s="21">
        <v>84</v>
      </c>
      <c r="J63" s="21">
        <v>90</v>
      </c>
      <c r="K63" s="18">
        <v>1</v>
      </c>
      <c r="L63" s="18">
        <v>91.1</v>
      </c>
      <c r="M63" s="18">
        <v>1</v>
      </c>
      <c r="N63" s="18">
        <v>1.4000002030000001</v>
      </c>
      <c r="O63" s="18">
        <v>49.799999933000002</v>
      </c>
      <c r="P63" s="18">
        <v>15.999999587</v>
      </c>
      <c r="Q63" s="19"/>
      <c r="R63" s="18">
        <v>70</v>
      </c>
      <c r="S63" s="18">
        <v>0</v>
      </c>
      <c r="T63" s="18">
        <v>0</v>
      </c>
      <c r="U63" s="18">
        <v>0</v>
      </c>
      <c r="V63" s="18">
        <v>0</v>
      </c>
      <c r="W63" s="18">
        <v>0</v>
      </c>
      <c r="X63" s="18"/>
      <c r="Y63" s="18">
        <v>0</v>
      </c>
      <c r="Z63" s="18">
        <v>0</v>
      </c>
      <c r="AA63" s="18">
        <v>0</v>
      </c>
      <c r="AB63" s="18">
        <v>0</v>
      </c>
      <c r="AC63" s="18">
        <v>0</v>
      </c>
      <c r="AD63" s="18">
        <v>0</v>
      </c>
      <c r="AE63" s="18">
        <v>0</v>
      </c>
      <c r="AF63" s="18">
        <v>0</v>
      </c>
      <c r="AG63" s="18">
        <v>0</v>
      </c>
      <c r="AH63" s="18">
        <v>0</v>
      </c>
      <c r="AI63" s="18">
        <v>0</v>
      </c>
      <c r="AJ63" s="18">
        <v>0</v>
      </c>
      <c r="AK63" s="18">
        <v>0</v>
      </c>
      <c r="AL63" s="18"/>
      <c r="AM63" s="18">
        <v>0</v>
      </c>
      <c r="AN63" s="18">
        <v>0</v>
      </c>
      <c r="AO63" s="18">
        <v>0</v>
      </c>
      <c r="AP63" s="18">
        <v>0</v>
      </c>
      <c r="AQ63" s="18">
        <v>0</v>
      </c>
      <c r="AR63" s="18">
        <v>0</v>
      </c>
      <c r="AS63" s="18">
        <v>0</v>
      </c>
      <c r="AT63" s="18">
        <v>0</v>
      </c>
      <c r="AU63" s="18">
        <v>0</v>
      </c>
      <c r="AV63" s="18">
        <v>0</v>
      </c>
      <c r="AW63" s="18">
        <v>0</v>
      </c>
      <c r="AX63" s="18"/>
      <c r="AY63" s="18">
        <v>1</v>
      </c>
      <c r="AZ63" s="18">
        <v>1</v>
      </c>
      <c r="BA63" s="18">
        <v>1</v>
      </c>
      <c r="BB63" s="18">
        <v>1</v>
      </c>
      <c r="BC63" s="18">
        <v>1</v>
      </c>
      <c r="BD63" s="18">
        <v>0</v>
      </c>
      <c r="BE63" s="18">
        <v>0</v>
      </c>
      <c r="BF63" s="18">
        <v>0</v>
      </c>
      <c r="BG63" s="18">
        <v>0</v>
      </c>
      <c r="BH63" s="18">
        <v>0.8</v>
      </c>
      <c r="BI63" s="18">
        <v>0</v>
      </c>
      <c r="BJ63" s="19"/>
      <c r="BK63" s="18">
        <v>1.0976948408342482</v>
      </c>
      <c r="BL63" s="18">
        <v>1.5367730000000002</v>
      </c>
      <c r="BM63" s="18">
        <v>54.665203000000005</v>
      </c>
      <c r="BN63" s="18">
        <v>17.563117000000002</v>
      </c>
      <c r="BO63" s="18"/>
      <c r="BP63" s="18">
        <v>0</v>
      </c>
      <c r="BQ63" s="18">
        <v>0</v>
      </c>
      <c r="BR63" s="18">
        <v>0.50273457513334907</v>
      </c>
      <c r="BS63" s="18">
        <v>0.48326315321556207</v>
      </c>
      <c r="BT63" s="19"/>
      <c r="BU63" s="18">
        <v>453.34797000000003</v>
      </c>
      <c r="BV63" s="18">
        <v>392.83205120555107</v>
      </c>
      <c r="BW63" s="18">
        <v>-123.05159185714271</v>
      </c>
      <c r="BX63" s="18" t="s">
        <v>217</v>
      </c>
      <c r="BY63" s="18" t="s">
        <v>217</v>
      </c>
      <c r="BZ63" s="18" t="s">
        <v>217</v>
      </c>
      <c r="CA63" s="18" t="s">
        <v>217</v>
      </c>
      <c r="CB63" s="19"/>
      <c r="CC63" s="19">
        <v>0</v>
      </c>
      <c r="CD63" s="19">
        <v>0</v>
      </c>
      <c r="CE63" s="19">
        <v>0</v>
      </c>
      <c r="CF63" s="19">
        <v>0</v>
      </c>
      <c r="CG63" s="19">
        <v>0</v>
      </c>
      <c r="CH63" s="19">
        <v>0</v>
      </c>
      <c r="CI63" s="19">
        <v>0</v>
      </c>
      <c r="CJ63" s="19"/>
      <c r="CK63" s="19">
        <v>0</v>
      </c>
      <c r="CL63" s="19">
        <v>0</v>
      </c>
      <c r="CM63" s="19">
        <v>0</v>
      </c>
      <c r="CN63" s="19">
        <v>0</v>
      </c>
      <c r="CO63" s="19">
        <v>0</v>
      </c>
      <c r="CP63" s="19">
        <v>0</v>
      </c>
      <c r="CQ63" s="19">
        <v>7.0000000000000098</v>
      </c>
      <c r="CR63" s="19">
        <v>15.284136532287683</v>
      </c>
      <c r="CS63" s="19">
        <v>0</v>
      </c>
      <c r="CT63" s="19">
        <v>0</v>
      </c>
      <c r="CU63" s="19">
        <v>0</v>
      </c>
      <c r="CV63" s="19">
        <v>0</v>
      </c>
      <c r="CW63" s="19">
        <v>0</v>
      </c>
      <c r="CX63" s="19">
        <v>0</v>
      </c>
      <c r="CY63" s="19">
        <v>0</v>
      </c>
      <c r="CZ63" s="19">
        <v>0</v>
      </c>
      <c r="DA63" s="19">
        <v>0</v>
      </c>
      <c r="DB63" s="19">
        <v>0</v>
      </c>
      <c r="DC63" s="19">
        <v>0</v>
      </c>
      <c r="DD63" s="19">
        <v>0</v>
      </c>
      <c r="DE63" s="19">
        <v>0</v>
      </c>
      <c r="DF63" s="23">
        <v>0</v>
      </c>
      <c r="DG63" s="23">
        <v>0</v>
      </c>
      <c r="DH63" s="23">
        <v>0</v>
      </c>
      <c r="DI63" s="19">
        <v>0</v>
      </c>
      <c r="DJ63" s="19">
        <v>0</v>
      </c>
      <c r="DK63" s="19">
        <v>22750.000000018899</v>
      </c>
      <c r="DL63" s="19">
        <v>0</v>
      </c>
      <c r="DM63" s="19">
        <v>0</v>
      </c>
      <c r="DN63" s="19">
        <v>0</v>
      </c>
      <c r="DO63" s="19">
        <v>0</v>
      </c>
      <c r="DP63" s="19">
        <v>0</v>
      </c>
      <c r="DQ63" s="19">
        <v>0</v>
      </c>
      <c r="DR63" s="19">
        <v>0</v>
      </c>
      <c r="DS63" s="19">
        <v>0</v>
      </c>
      <c r="DT63" s="19">
        <v>0</v>
      </c>
      <c r="DU63" s="19">
        <v>0</v>
      </c>
      <c r="DV63" s="19">
        <v>0</v>
      </c>
      <c r="DW63" s="17" t="s">
        <v>218</v>
      </c>
      <c r="DX63" s="22" t="s">
        <v>218</v>
      </c>
      <c r="DY63" s="22" t="s">
        <v>218</v>
      </c>
      <c r="DZ63" s="22" t="s">
        <v>218</v>
      </c>
      <c r="EA63" s="22" t="s">
        <v>218</v>
      </c>
      <c r="EB63" s="22" t="s">
        <v>218</v>
      </c>
      <c r="EC63" s="22" t="s">
        <v>218</v>
      </c>
      <c r="ED63" s="22" t="s">
        <v>218</v>
      </c>
      <c r="EE63" s="22" t="s">
        <v>218</v>
      </c>
      <c r="EF63" s="22" t="s">
        <v>218</v>
      </c>
      <c r="EG63" s="22" t="s">
        <v>218</v>
      </c>
      <c r="EH63" s="22" t="s">
        <v>218</v>
      </c>
      <c r="EI63" s="22" t="s">
        <v>218</v>
      </c>
      <c r="EJ63" s="22" t="s">
        <v>218</v>
      </c>
      <c r="EK63" s="22" t="s">
        <v>218</v>
      </c>
      <c r="EL63" s="22" t="s">
        <v>218</v>
      </c>
      <c r="EM63" s="22" t="s">
        <v>218</v>
      </c>
      <c r="EN63" s="22" t="s">
        <v>218</v>
      </c>
      <c r="EO63" s="22" t="s">
        <v>218</v>
      </c>
      <c r="EP63" s="22" t="s">
        <v>218</v>
      </c>
      <c r="EQ63" s="22" t="s">
        <v>218</v>
      </c>
      <c r="ER63" s="22" t="s">
        <v>218</v>
      </c>
      <c r="ES63" s="22" t="s">
        <v>218</v>
      </c>
      <c r="ET63" s="22" t="s">
        <v>218</v>
      </c>
      <c r="EU63" s="22" t="s">
        <v>218</v>
      </c>
      <c r="EV63" s="22" t="s">
        <v>218</v>
      </c>
      <c r="EW63" s="22" t="s">
        <v>218</v>
      </c>
      <c r="EX63" s="22" t="s">
        <v>218</v>
      </c>
      <c r="EY63" s="22" t="s">
        <v>218</v>
      </c>
      <c r="EZ63" s="22" t="s">
        <v>218</v>
      </c>
      <c r="FA63" s="22" t="s">
        <v>218</v>
      </c>
      <c r="FB63" s="22" t="s">
        <v>218</v>
      </c>
      <c r="FC63" s="22" t="s">
        <v>218</v>
      </c>
      <c r="FD63" s="22" t="s">
        <v>218</v>
      </c>
      <c r="FE63" s="22" t="s">
        <v>218</v>
      </c>
      <c r="FF63" s="22" t="s">
        <v>218</v>
      </c>
      <c r="FG63" s="22" t="s">
        <v>218</v>
      </c>
      <c r="FH63" s="22" t="s">
        <v>218</v>
      </c>
      <c r="FI63" s="22" t="s">
        <v>218</v>
      </c>
      <c r="FJ63" s="22" t="s">
        <v>218</v>
      </c>
      <c r="FK63" s="22" t="s">
        <v>218</v>
      </c>
      <c r="FL63" s="22" t="s">
        <v>218</v>
      </c>
      <c r="FM63" s="22" t="s">
        <v>218</v>
      </c>
      <c r="FN63" s="22" t="s">
        <v>218</v>
      </c>
      <c r="FO63" s="22" t="s">
        <v>218</v>
      </c>
      <c r="FP63" s="22" t="s">
        <v>218</v>
      </c>
      <c r="FQ63" s="22" t="s">
        <v>218</v>
      </c>
      <c r="FR63" s="22" t="s">
        <v>218</v>
      </c>
      <c r="FS63" s="22" t="s">
        <v>218</v>
      </c>
      <c r="FT63" s="22" t="s">
        <v>218</v>
      </c>
      <c r="FU63" s="22" t="s">
        <v>218</v>
      </c>
      <c r="FV63" s="22" t="s">
        <v>218</v>
      </c>
      <c r="FW63" s="22" t="s">
        <v>218</v>
      </c>
      <c r="FX63" s="22" t="s">
        <v>218</v>
      </c>
      <c r="FY63" s="22" t="s">
        <v>218</v>
      </c>
      <c r="FZ63" s="22" t="s">
        <v>218</v>
      </c>
      <c r="GA63" s="22" t="s">
        <v>218</v>
      </c>
      <c r="GB63" s="22" t="s">
        <v>218</v>
      </c>
      <c r="GC63" s="22" t="s">
        <v>218</v>
      </c>
      <c r="GD63" s="22" t="s">
        <v>218</v>
      </c>
      <c r="GE63" s="22" t="s">
        <v>218</v>
      </c>
      <c r="GF63" s="22" t="s">
        <v>218</v>
      </c>
      <c r="GG63" s="22" t="s">
        <v>218</v>
      </c>
      <c r="GH63" s="22" t="s">
        <v>218</v>
      </c>
      <c r="GI63" s="22" t="s">
        <v>218</v>
      </c>
      <c r="GJ63" s="22" t="s">
        <v>218</v>
      </c>
      <c r="GK63" s="22" t="s">
        <v>218</v>
      </c>
      <c r="GL63" s="22" t="s">
        <v>218</v>
      </c>
      <c r="GM63" s="22" t="s">
        <v>218</v>
      </c>
      <c r="GN63" s="22" t="s">
        <v>218</v>
      </c>
      <c r="GO63" s="22" t="s">
        <v>218</v>
      </c>
      <c r="GP63" s="22" t="s">
        <v>218</v>
      </c>
      <c r="GQ63" s="22" t="s">
        <v>218</v>
      </c>
      <c r="GR63" s="22" t="s">
        <v>218</v>
      </c>
      <c r="GS63" s="22" t="s">
        <v>218</v>
      </c>
      <c r="GT63" s="22" t="s">
        <v>218</v>
      </c>
      <c r="GU63" s="22" t="s">
        <v>218</v>
      </c>
      <c r="GV63" s="22" t="s">
        <v>218</v>
      </c>
      <c r="GW63" s="22" t="s">
        <v>218</v>
      </c>
      <c r="GX63" s="22" t="s">
        <v>218</v>
      </c>
      <c r="GY63" s="22" t="s">
        <v>218</v>
      </c>
      <c r="GZ63" s="22" t="s">
        <v>218</v>
      </c>
      <c r="HA63" s="22" t="s">
        <v>218</v>
      </c>
      <c r="HB63" s="22" t="s">
        <v>218</v>
      </c>
      <c r="HC63" s="22" t="s">
        <v>218</v>
      </c>
      <c r="HD63" s="22" t="s">
        <v>218</v>
      </c>
      <c r="HE63" s="22" t="s">
        <v>218</v>
      </c>
      <c r="HF63" s="22" t="s">
        <v>218</v>
      </c>
      <c r="HG63" s="22" t="s">
        <v>218</v>
      </c>
      <c r="HH63" s="22" t="s">
        <v>218</v>
      </c>
      <c r="HI63" s="22" t="s">
        <v>218</v>
      </c>
      <c r="HJ63" s="22" t="s">
        <v>218</v>
      </c>
      <c r="HK63" s="22" t="s">
        <v>218</v>
      </c>
      <c r="HL63" s="22" t="s">
        <v>218</v>
      </c>
      <c r="HM63" s="860"/>
      <c r="HN63" s="860"/>
      <c r="HO63" s="860"/>
      <c r="HP63" s="860"/>
      <c r="HQ63" s="860"/>
      <c r="HR63" s="860"/>
      <c r="HS63" s="860"/>
      <c r="HT63" s="145"/>
      <c r="HU63" s="145" t="s">
        <v>1809</v>
      </c>
      <c r="HV63" s="22" t="s">
        <v>1926</v>
      </c>
      <c r="HW63" s="22">
        <v>0</v>
      </c>
      <c r="HX63" s="22">
        <v>0</v>
      </c>
      <c r="HY63" s="22">
        <v>0</v>
      </c>
      <c r="HZ63" s="19"/>
      <c r="IA63" s="19"/>
      <c r="IB63" s="621">
        <f>'background data'!$G$10</f>
        <v>0.47300000000000003</v>
      </c>
      <c r="IC63" s="621">
        <f>'background data'!$H$10</f>
        <v>0.13</v>
      </c>
      <c r="ID63" s="621">
        <f>'background data'!$J$10</f>
        <v>0.39100000000000001</v>
      </c>
      <c r="IE63" s="621">
        <f>'background data'!$L$10</f>
        <v>5.5E-2</v>
      </c>
      <c r="IF63" s="621">
        <f>'background data'!$M$10</f>
        <v>3.97</v>
      </c>
      <c r="IG63" s="621">
        <f>'background data'!$N$10</f>
        <v>4.5999999999999999E-3</v>
      </c>
      <c r="IH63" s="621">
        <f>'background data'!$O$10</f>
        <v>2.73</v>
      </c>
      <c r="II63" s="145"/>
      <c r="IJ63" s="145"/>
      <c r="IK63" s="145"/>
      <c r="IL63" s="145"/>
      <c r="IM63" s="145"/>
      <c r="IN63" s="145"/>
      <c r="IO63" s="145"/>
      <c r="IP63" s="145"/>
      <c r="IQ63" s="145"/>
      <c r="IR63" s="145"/>
      <c r="IS63" s="145"/>
      <c r="IT63" s="145"/>
      <c r="IU63" s="145"/>
      <c r="IV63" s="145"/>
      <c r="IW63" s="145"/>
      <c r="IX63" s="145"/>
      <c r="IY63" s="145"/>
      <c r="IZ63" s="145"/>
      <c r="JA63" s="145"/>
      <c r="JB63" s="145"/>
      <c r="JC63" s="145"/>
      <c r="JD63" s="145"/>
      <c r="JE63" s="145"/>
      <c r="JF63" s="145"/>
      <c r="JG63" s="145"/>
      <c r="JH63" s="145"/>
      <c r="JI63" s="145"/>
      <c r="JJ63" s="145"/>
      <c r="JK63" s="145"/>
      <c r="JL63" s="145"/>
      <c r="JM63" s="145"/>
      <c r="JN63" s="145"/>
      <c r="JO63" s="145"/>
      <c r="JP63" s="145"/>
      <c r="JQ63" s="145"/>
      <c r="JR63" s="145"/>
      <c r="JS63" s="145"/>
      <c r="JT63" s="145"/>
      <c r="JU63" s="145"/>
      <c r="JV63" s="145"/>
      <c r="JW63" s="145"/>
      <c r="JX63" s="145"/>
      <c r="JY63" s="145"/>
      <c r="JZ63" s="145"/>
      <c r="KA63" s="145"/>
      <c r="KB63" s="145"/>
      <c r="KC63" s="145"/>
      <c r="KD63" s="145"/>
      <c r="KE63" s="145"/>
      <c r="KF63" s="145"/>
      <c r="KG63" s="145"/>
      <c r="KH63" s="145"/>
      <c r="KI63" s="145"/>
      <c r="KJ63" s="145"/>
      <c r="KK63" s="145"/>
      <c r="KL63" s="145"/>
      <c r="KM63" s="145"/>
      <c r="KN63" s="145"/>
      <c r="KO63" s="145"/>
      <c r="KP63" s="145"/>
      <c r="KQ63" s="145"/>
      <c r="KR63" s="145"/>
      <c r="KS63" s="145"/>
      <c r="KT63" s="145"/>
      <c r="KU63" s="145"/>
      <c r="KV63" s="145"/>
      <c r="KW63" s="145"/>
      <c r="KX63" s="145"/>
      <c r="KY63" s="145"/>
      <c r="KZ63" s="145"/>
      <c r="LA63" s="145"/>
      <c r="LB63" s="145"/>
      <c r="LC63" s="145"/>
      <c r="LD63" s="145"/>
      <c r="LE63" s="145"/>
      <c r="LF63" s="145"/>
      <c r="LG63" s="145"/>
      <c r="LH63" s="145"/>
      <c r="LI63" s="145"/>
      <c r="LJ63" s="145"/>
      <c r="LK63" s="145"/>
      <c r="LL63" s="145"/>
      <c r="LM63" s="145"/>
      <c r="LN63" s="145"/>
      <c r="LO63" s="145"/>
      <c r="LP63" s="145"/>
      <c r="LQ63" s="145"/>
      <c r="LR63" s="145"/>
      <c r="LS63" s="145"/>
      <c r="LT63" s="145"/>
      <c r="LU63" s="145"/>
      <c r="LV63" s="145"/>
      <c r="LW63" s="145"/>
      <c r="LX63" s="145"/>
      <c r="LY63" s="145"/>
      <c r="LZ63" s="145"/>
      <c r="MA63" s="145"/>
      <c r="MB63" s="145"/>
      <c r="MC63" s="145"/>
      <c r="MD63" s="145"/>
      <c r="ME63" s="145"/>
      <c r="MF63" s="145"/>
      <c r="MG63" s="145"/>
      <c r="MH63" s="145"/>
      <c r="MI63" s="145"/>
      <c r="MJ63" s="145"/>
      <c r="MK63" s="145"/>
      <c r="ML63" s="145"/>
      <c r="MM63" s="145"/>
      <c r="MN63" s="145"/>
      <c r="MO63" s="145"/>
      <c r="MP63" s="145"/>
      <c r="MQ63" s="145"/>
      <c r="MR63" s="145"/>
      <c r="MS63" s="145"/>
      <c r="MT63" s="145"/>
      <c r="MU63" s="145"/>
      <c r="MV63" s="145"/>
      <c r="MW63" s="145"/>
      <c r="MX63" s="145"/>
      <c r="MY63" s="145"/>
      <c r="MZ63" s="145"/>
      <c r="NA63" s="145"/>
      <c r="NB63" s="145"/>
      <c r="NC63" s="145"/>
      <c r="ND63" s="145"/>
      <c r="NE63" s="145"/>
      <c r="NF63" s="145"/>
      <c r="NG63" s="145"/>
      <c r="NH63" s="145"/>
      <c r="NI63" s="145"/>
      <c r="NJ63" s="145"/>
      <c r="NK63" s="145"/>
      <c r="NL63" s="145"/>
      <c r="NM63" s="145"/>
      <c r="NN63" s="145"/>
      <c r="NO63" s="145"/>
      <c r="NP63" s="145"/>
      <c r="NQ63" s="145"/>
      <c r="NR63" s="145"/>
      <c r="NS63" s="145"/>
    </row>
    <row r="64" spans="1:383" s="16" customFormat="1" ht="15" customHeight="1" x14ac:dyDescent="0.2">
      <c r="A64" s="15">
        <v>47400</v>
      </c>
      <c r="B64" s="25">
        <v>474</v>
      </c>
      <c r="C64" s="26">
        <v>0</v>
      </c>
      <c r="D64" s="20" t="s">
        <v>312</v>
      </c>
      <c r="E64" s="14">
        <v>40310</v>
      </c>
      <c r="F64" s="18">
        <v>-8.5365853658536495E-2</v>
      </c>
      <c r="G64" s="18">
        <v>-8.1818181818181707E-2</v>
      </c>
      <c r="H64" s="21">
        <v>70</v>
      </c>
      <c r="I64" s="21">
        <v>70</v>
      </c>
      <c r="J64" s="21">
        <v>0</v>
      </c>
      <c r="K64" s="18">
        <v>1</v>
      </c>
      <c r="L64" s="18">
        <v>75</v>
      </c>
      <c r="M64" s="18">
        <v>0</v>
      </c>
      <c r="N64" s="18">
        <v>0</v>
      </c>
      <c r="O64" s="18">
        <v>75</v>
      </c>
      <c r="P64" s="18">
        <v>0</v>
      </c>
      <c r="Q64" s="19"/>
      <c r="R64" s="18">
        <v>0</v>
      </c>
      <c r="S64" s="18">
        <v>75</v>
      </c>
      <c r="T64" s="18">
        <v>75</v>
      </c>
      <c r="U64" s="18">
        <v>75</v>
      </c>
      <c r="V64" s="18">
        <v>75</v>
      </c>
      <c r="W64" s="18">
        <v>75</v>
      </c>
      <c r="X64" s="18"/>
      <c r="Y64" s="18">
        <v>0</v>
      </c>
      <c r="Z64" s="18">
        <v>332</v>
      </c>
      <c r="AA64" s="18">
        <v>0</v>
      </c>
      <c r="AB64" s="18">
        <v>0</v>
      </c>
      <c r="AC64" s="18">
        <v>0</v>
      </c>
      <c r="AD64" s="18">
        <v>0</v>
      </c>
      <c r="AE64" s="18">
        <v>0</v>
      </c>
      <c r="AF64" s="18">
        <v>0</v>
      </c>
      <c r="AG64" s="18">
        <v>0</v>
      </c>
      <c r="AH64" s="18">
        <v>0</v>
      </c>
      <c r="AI64" s="18">
        <v>0</v>
      </c>
      <c r="AJ64" s="18">
        <v>0</v>
      </c>
      <c r="AK64" s="18">
        <v>0</v>
      </c>
      <c r="AL64" s="18"/>
      <c r="AM64" s="18">
        <v>0</v>
      </c>
      <c r="AN64" s="18">
        <v>0</v>
      </c>
      <c r="AO64" s="18">
        <v>0</v>
      </c>
      <c r="AP64" s="18">
        <v>0</v>
      </c>
      <c r="AQ64" s="18">
        <v>0</v>
      </c>
      <c r="AR64" s="18">
        <v>0</v>
      </c>
      <c r="AS64" s="18">
        <v>0</v>
      </c>
      <c r="AT64" s="18">
        <v>0</v>
      </c>
      <c r="AU64" s="18">
        <v>0</v>
      </c>
      <c r="AV64" s="18">
        <v>0</v>
      </c>
      <c r="AW64" s="18">
        <v>0</v>
      </c>
      <c r="AX64" s="18"/>
      <c r="AY64" s="18">
        <v>1</v>
      </c>
      <c r="AZ64" s="18">
        <v>1</v>
      </c>
      <c r="BA64" s="18">
        <v>1</v>
      </c>
      <c r="BB64" s="18">
        <v>1</v>
      </c>
      <c r="BC64" s="18">
        <v>1</v>
      </c>
      <c r="BD64" s="18">
        <v>1</v>
      </c>
      <c r="BE64" s="18">
        <v>1</v>
      </c>
      <c r="BF64" s="18">
        <v>1</v>
      </c>
      <c r="BG64" s="18">
        <v>1</v>
      </c>
      <c r="BH64" s="18">
        <v>1</v>
      </c>
      <c r="BI64" s="18">
        <v>1</v>
      </c>
      <c r="BJ64" s="19"/>
      <c r="BK64" s="18">
        <v>0</v>
      </c>
      <c r="BL64" s="18">
        <v>0</v>
      </c>
      <c r="BM64" s="18">
        <v>100</v>
      </c>
      <c r="BN64" s="18">
        <v>0</v>
      </c>
      <c r="BO64" s="18"/>
      <c r="BP64" s="18">
        <v>0</v>
      </c>
      <c r="BQ64" s="18">
        <v>0</v>
      </c>
      <c r="BR64" s="18">
        <v>-0.113821138211382</v>
      </c>
      <c r="BS64" s="18">
        <v>-0.10909090909090895</v>
      </c>
      <c r="BT64" s="19"/>
      <c r="BU64" s="18">
        <v>0</v>
      </c>
      <c r="BV64" s="18">
        <v>0</v>
      </c>
      <c r="BW64" s="18">
        <v>0</v>
      </c>
      <c r="BX64" s="18" t="s">
        <v>217</v>
      </c>
      <c r="BY64" s="18" t="s">
        <v>217</v>
      </c>
      <c r="BZ64" s="18" t="s">
        <v>217</v>
      </c>
      <c r="CA64" s="18" t="s">
        <v>217</v>
      </c>
      <c r="CB64" s="19"/>
      <c r="CC64" s="19">
        <v>0</v>
      </c>
      <c r="CD64" s="19">
        <v>249</v>
      </c>
      <c r="CE64" s="19">
        <v>0</v>
      </c>
      <c r="CF64" s="19">
        <v>0</v>
      </c>
      <c r="CG64" s="19">
        <v>0</v>
      </c>
      <c r="CH64" s="19">
        <v>0</v>
      </c>
      <c r="CI64" s="19">
        <v>0</v>
      </c>
      <c r="CJ64" s="19"/>
      <c r="CK64" s="19">
        <v>0</v>
      </c>
      <c r="CL64" s="19">
        <v>0</v>
      </c>
      <c r="CM64" s="19">
        <v>0</v>
      </c>
      <c r="CN64" s="19">
        <v>0</v>
      </c>
      <c r="CO64" s="19">
        <v>0</v>
      </c>
      <c r="CP64" s="19">
        <v>0</v>
      </c>
      <c r="CQ64" s="19">
        <v>0</v>
      </c>
      <c r="CR64" s="19">
        <v>0</v>
      </c>
      <c r="CS64" s="19">
        <v>0</v>
      </c>
      <c r="CT64" s="19">
        <v>0</v>
      </c>
      <c r="CU64" s="19">
        <v>0</v>
      </c>
      <c r="CV64" s="19">
        <v>0</v>
      </c>
      <c r="CW64" s="19">
        <v>0</v>
      </c>
      <c r="CX64" s="19">
        <v>0</v>
      </c>
      <c r="CY64" s="19">
        <v>0</v>
      </c>
      <c r="CZ64" s="19">
        <v>0</v>
      </c>
      <c r="DA64" s="19">
        <v>0</v>
      </c>
      <c r="DB64" s="19">
        <v>0</v>
      </c>
      <c r="DC64" s="19">
        <v>0</v>
      </c>
      <c r="DD64" s="19">
        <v>0</v>
      </c>
      <c r="DE64" s="19">
        <v>0</v>
      </c>
      <c r="DF64" s="23">
        <v>0</v>
      </c>
      <c r="DG64" s="23">
        <v>0</v>
      </c>
      <c r="DH64" s="23">
        <v>0</v>
      </c>
      <c r="DI64" s="19">
        <v>0</v>
      </c>
      <c r="DJ64" s="19">
        <v>0</v>
      </c>
      <c r="DK64" s="19">
        <v>0</v>
      </c>
      <c r="DL64" s="19">
        <v>0</v>
      </c>
      <c r="DM64" s="19">
        <v>0</v>
      </c>
      <c r="DN64" s="19">
        <v>0</v>
      </c>
      <c r="DO64" s="19">
        <v>0</v>
      </c>
      <c r="DP64" s="19">
        <v>0</v>
      </c>
      <c r="DQ64" s="19">
        <v>0</v>
      </c>
      <c r="DR64" s="19">
        <v>0</v>
      </c>
      <c r="DS64" s="19">
        <v>0</v>
      </c>
      <c r="DT64" s="19">
        <v>0</v>
      </c>
      <c r="DU64" s="19">
        <v>0</v>
      </c>
      <c r="DV64" s="19">
        <v>0</v>
      </c>
      <c r="DW64" s="17" t="s">
        <v>218</v>
      </c>
      <c r="DX64" s="22" t="s">
        <v>218</v>
      </c>
      <c r="DY64" s="22" t="s">
        <v>218</v>
      </c>
      <c r="DZ64" s="22" t="s">
        <v>218</v>
      </c>
      <c r="EA64" s="22" t="s">
        <v>218</v>
      </c>
      <c r="EB64" s="22" t="s">
        <v>218</v>
      </c>
      <c r="EC64" s="22" t="s">
        <v>218</v>
      </c>
      <c r="ED64" s="22" t="s">
        <v>218</v>
      </c>
      <c r="EE64" s="22" t="s">
        <v>218</v>
      </c>
      <c r="EF64" s="22" t="s">
        <v>218</v>
      </c>
      <c r="EG64" s="22" t="s">
        <v>218</v>
      </c>
      <c r="EH64" s="22" t="s">
        <v>218</v>
      </c>
      <c r="EI64" s="22" t="s">
        <v>218</v>
      </c>
      <c r="EJ64" s="22" t="s">
        <v>218</v>
      </c>
      <c r="EK64" s="22" t="s">
        <v>218</v>
      </c>
      <c r="EL64" s="22" t="s">
        <v>218</v>
      </c>
      <c r="EM64" s="22" t="s">
        <v>218</v>
      </c>
      <c r="EN64" s="22" t="s">
        <v>218</v>
      </c>
      <c r="EO64" s="22" t="s">
        <v>218</v>
      </c>
      <c r="EP64" s="22" t="s">
        <v>218</v>
      </c>
      <c r="EQ64" s="22" t="s">
        <v>218</v>
      </c>
      <c r="ER64" s="22" t="s">
        <v>218</v>
      </c>
      <c r="ES64" s="22" t="s">
        <v>218</v>
      </c>
      <c r="ET64" s="22" t="s">
        <v>218</v>
      </c>
      <c r="EU64" s="22" t="s">
        <v>218</v>
      </c>
      <c r="EV64" s="22" t="s">
        <v>218</v>
      </c>
      <c r="EW64" s="22" t="s">
        <v>218</v>
      </c>
      <c r="EX64" s="22" t="s">
        <v>218</v>
      </c>
      <c r="EY64" s="22" t="s">
        <v>218</v>
      </c>
      <c r="EZ64" s="22" t="s">
        <v>218</v>
      </c>
      <c r="FA64" s="22" t="s">
        <v>218</v>
      </c>
      <c r="FB64" s="22" t="s">
        <v>218</v>
      </c>
      <c r="FC64" s="22" t="s">
        <v>218</v>
      </c>
      <c r="FD64" s="22" t="s">
        <v>218</v>
      </c>
      <c r="FE64" s="22" t="s">
        <v>218</v>
      </c>
      <c r="FF64" s="22" t="s">
        <v>218</v>
      </c>
      <c r="FG64" s="22" t="s">
        <v>218</v>
      </c>
      <c r="FH64" s="22" t="s">
        <v>218</v>
      </c>
      <c r="FI64" s="22" t="s">
        <v>218</v>
      </c>
      <c r="FJ64" s="22" t="s">
        <v>218</v>
      </c>
      <c r="FK64" s="22" t="s">
        <v>218</v>
      </c>
      <c r="FL64" s="22" t="s">
        <v>218</v>
      </c>
      <c r="FM64" s="22" t="s">
        <v>218</v>
      </c>
      <c r="FN64" s="22" t="s">
        <v>218</v>
      </c>
      <c r="FO64" s="22" t="s">
        <v>218</v>
      </c>
      <c r="FP64" s="22" t="s">
        <v>218</v>
      </c>
      <c r="FQ64" s="22" t="s">
        <v>218</v>
      </c>
      <c r="FR64" s="22" t="s">
        <v>218</v>
      </c>
      <c r="FS64" s="22" t="s">
        <v>218</v>
      </c>
      <c r="FT64" s="22" t="s">
        <v>218</v>
      </c>
      <c r="FU64" s="22" t="s">
        <v>218</v>
      </c>
      <c r="FV64" s="22" t="s">
        <v>218</v>
      </c>
      <c r="FW64" s="22" t="s">
        <v>218</v>
      </c>
      <c r="FX64" s="22" t="s">
        <v>218</v>
      </c>
      <c r="FY64" s="22" t="s">
        <v>218</v>
      </c>
      <c r="FZ64" s="22" t="s">
        <v>218</v>
      </c>
      <c r="GA64" s="22" t="s">
        <v>218</v>
      </c>
      <c r="GB64" s="22" t="s">
        <v>218</v>
      </c>
      <c r="GC64" s="22" t="s">
        <v>218</v>
      </c>
      <c r="GD64" s="22" t="s">
        <v>218</v>
      </c>
      <c r="GE64" s="22" t="s">
        <v>218</v>
      </c>
      <c r="GF64" s="22" t="s">
        <v>218</v>
      </c>
      <c r="GG64" s="22" t="s">
        <v>218</v>
      </c>
      <c r="GH64" s="22" t="s">
        <v>218</v>
      </c>
      <c r="GI64" s="22" t="s">
        <v>218</v>
      </c>
      <c r="GJ64" s="22" t="s">
        <v>218</v>
      </c>
      <c r="GK64" s="22" t="s">
        <v>218</v>
      </c>
      <c r="GL64" s="22" t="s">
        <v>218</v>
      </c>
      <c r="GM64" s="22" t="s">
        <v>218</v>
      </c>
      <c r="GN64" s="22" t="s">
        <v>218</v>
      </c>
      <c r="GO64" s="22" t="s">
        <v>218</v>
      </c>
      <c r="GP64" s="22" t="s">
        <v>218</v>
      </c>
      <c r="GQ64" s="22" t="s">
        <v>218</v>
      </c>
      <c r="GR64" s="22" t="s">
        <v>218</v>
      </c>
      <c r="GS64" s="22" t="s">
        <v>218</v>
      </c>
      <c r="GT64" s="22" t="s">
        <v>218</v>
      </c>
      <c r="GU64" s="22" t="s">
        <v>218</v>
      </c>
      <c r="GV64" s="22" t="s">
        <v>218</v>
      </c>
      <c r="GW64" s="22" t="s">
        <v>218</v>
      </c>
      <c r="GX64" s="22" t="s">
        <v>218</v>
      </c>
      <c r="GY64" s="22" t="s">
        <v>218</v>
      </c>
      <c r="GZ64" s="22" t="s">
        <v>218</v>
      </c>
      <c r="HA64" s="22" t="s">
        <v>218</v>
      </c>
      <c r="HB64" s="22" t="s">
        <v>218</v>
      </c>
      <c r="HC64" s="22" t="s">
        <v>218</v>
      </c>
      <c r="HD64" s="22" t="s">
        <v>218</v>
      </c>
      <c r="HE64" s="22" t="s">
        <v>218</v>
      </c>
      <c r="HF64" s="22" t="s">
        <v>218</v>
      </c>
      <c r="HG64" s="22" t="s">
        <v>218</v>
      </c>
      <c r="HH64" s="22" t="s">
        <v>218</v>
      </c>
      <c r="HI64" s="22" t="s">
        <v>218</v>
      </c>
      <c r="HJ64" s="22" t="s">
        <v>218</v>
      </c>
      <c r="HK64" s="22" t="s">
        <v>218</v>
      </c>
      <c r="HL64" s="22" t="s">
        <v>218</v>
      </c>
      <c r="HM64" s="860"/>
      <c r="HN64" s="860"/>
      <c r="HO64" s="860"/>
      <c r="HP64" s="860"/>
      <c r="HQ64" s="860"/>
      <c r="HR64" s="860"/>
      <c r="HS64" s="860"/>
      <c r="HT64" s="145"/>
      <c r="HU64" s="145" t="s">
        <v>1809</v>
      </c>
      <c r="HV64" s="22" t="s">
        <v>1926</v>
      </c>
      <c r="HW64" s="22">
        <v>0</v>
      </c>
      <c r="HX64" s="22">
        <v>0</v>
      </c>
      <c r="HY64" s="22">
        <v>0</v>
      </c>
      <c r="HZ64" s="19"/>
      <c r="IA64" s="19"/>
      <c r="IB64" s="621">
        <f>'background data'!$G$10</f>
        <v>0.47300000000000003</v>
      </c>
      <c r="IC64" s="621">
        <f>'background data'!$H$10</f>
        <v>0.13</v>
      </c>
      <c r="ID64" s="621">
        <f>'background data'!$J$10</f>
        <v>0.39100000000000001</v>
      </c>
      <c r="IE64" s="621">
        <f>'background data'!$L$10</f>
        <v>5.5E-2</v>
      </c>
      <c r="IF64" s="621">
        <f>'background data'!$M$10</f>
        <v>3.97</v>
      </c>
      <c r="IG64" s="621">
        <f>'background data'!$N$10</f>
        <v>4.5999999999999999E-3</v>
      </c>
      <c r="IH64" s="621">
        <f>'background data'!$O$10</f>
        <v>2.73</v>
      </c>
      <c r="II64" s="145"/>
      <c r="IJ64" s="145"/>
      <c r="IK64" s="145"/>
      <c r="IL64" s="145"/>
      <c r="IM64" s="145"/>
      <c r="IN64" s="145"/>
      <c r="IO64" s="145"/>
      <c r="IP64" s="145"/>
      <c r="IQ64" s="145"/>
      <c r="IR64" s="145"/>
      <c r="IS64" s="145"/>
      <c r="IT64" s="145"/>
      <c r="IU64" s="145"/>
      <c r="IV64" s="145"/>
      <c r="IW64" s="145"/>
      <c r="IX64" s="145"/>
      <c r="IY64" s="145"/>
      <c r="IZ64" s="145"/>
      <c r="JA64" s="145"/>
      <c r="JB64" s="145"/>
      <c r="JC64" s="145"/>
      <c r="JD64" s="145"/>
      <c r="JE64" s="145"/>
      <c r="JF64" s="145"/>
      <c r="JG64" s="145"/>
      <c r="JH64" s="145"/>
      <c r="JI64" s="145"/>
      <c r="JJ64" s="145"/>
      <c r="JK64" s="145"/>
      <c r="JL64" s="145"/>
      <c r="JM64" s="145"/>
      <c r="JN64" s="145"/>
      <c r="JO64" s="145"/>
      <c r="JP64" s="145"/>
      <c r="JQ64" s="145"/>
      <c r="JR64" s="145"/>
      <c r="JS64" s="145"/>
      <c r="JT64" s="145"/>
      <c r="JU64" s="145"/>
      <c r="JV64" s="145"/>
      <c r="JW64" s="145"/>
      <c r="JX64" s="145"/>
      <c r="JY64" s="145"/>
      <c r="JZ64" s="145"/>
      <c r="KA64" s="145"/>
      <c r="KB64" s="145"/>
      <c r="KC64" s="145"/>
      <c r="KD64" s="145"/>
      <c r="KE64" s="145"/>
      <c r="KF64" s="145"/>
      <c r="KG64" s="145"/>
      <c r="KH64" s="145"/>
      <c r="KI64" s="145"/>
      <c r="KJ64" s="145"/>
      <c r="KK64" s="145"/>
      <c r="KL64" s="145"/>
      <c r="KM64" s="145"/>
      <c r="KN64" s="145"/>
      <c r="KO64" s="145"/>
      <c r="KP64" s="145"/>
      <c r="KQ64" s="145"/>
      <c r="KR64" s="145"/>
      <c r="KS64" s="145"/>
      <c r="KT64" s="145"/>
      <c r="KU64" s="145"/>
      <c r="KV64" s="145"/>
      <c r="KW64" s="145"/>
      <c r="KX64" s="145"/>
      <c r="KY64" s="145"/>
      <c r="KZ64" s="145"/>
      <c r="LA64" s="145"/>
      <c r="LB64" s="145"/>
      <c r="LC64" s="145"/>
      <c r="LD64" s="145"/>
      <c r="LE64" s="145"/>
      <c r="LF64" s="145"/>
      <c r="LG64" s="145"/>
      <c r="LH64" s="145"/>
      <c r="LI64" s="145"/>
      <c r="LJ64" s="145"/>
      <c r="LK64" s="145"/>
      <c r="LL64" s="145"/>
      <c r="LM64" s="145"/>
      <c r="LN64" s="145"/>
      <c r="LO64" s="145"/>
      <c r="LP64" s="145"/>
      <c r="LQ64" s="145"/>
      <c r="LR64" s="145"/>
      <c r="LS64" s="145"/>
      <c r="LT64" s="145"/>
      <c r="LU64" s="145"/>
      <c r="LV64" s="145"/>
      <c r="LW64" s="145"/>
      <c r="LX64" s="145"/>
      <c r="LY64" s="145"/>
      <c r="LZ64" s="145"/>
      <c r="MA64" s="145"/>
      <c r="MB64" s="145"/>
      <c r="MC64" s="145"/>
      <c r="MD64" s="145"/>
      <c r="ME64" s="145"/>
      <c r="MF64" s="145"/>
      <c r="MG64" s="145"/>
      <c r="MH64" s="145"/>
      <c r="MI64" s="145"/>
      <c r="MJ64" s="145"/>
      <c r="MK64" s="145"/>
      <c r="ML64" s="145"/>
      <c r="MM64" s="145"/>
      <c r="MN64" s="145"/>
      <c r="MO64" s="145"/>
      <c r="MP64" s="145"/>
      <c r="MQ64" s="145"/>
      <c r="MR64" s="145"/>
      <c r="MS64" s="145"/>
      <c r="MT64" s="145"/>
      <c r="MU64" s="145"/>
      <c r="MV64" s="145"/>
      <c r="MW64" s="145"/>
      <c r="MX64" s="145"/>
      <c r="MY64" s="145"/>
      <c r="MZ64" s="145"/>
      <c r="NA64" s="145"/>
      <c r="NB64" s="145"/>
      <c r="NC64" s="145"/>
      <c r="ND64" s="145"/>
      <c r="NE64" s="145"/>
      <c r="NF64" s="145"/>
      <c r="NG64" s="145"/>
      <c r="NH64" s="145"/>
      <c r="NI64" s="145"/>
      <c r="NJ64" s="145"/>
      <c r="NK64" s="145"/>
      <c r="NL64" s="145"/>
      <c r="NM64" s="145"/>
      <c r="NN64" s="145"/>
      <c r="NO64" s="145"/>
      <c r="NP64" s="145"/>
      <c r="NQ64" s="145"/>
      <c r="NR64" s="145"/>
      <c r="NS64" s="145"/>
    </row>
    <row r="65" spans="1:383" s="16" customFormat="1" ht="15" customHeight="1" x14ac:dyDescent="0.2">
      <c r="A65" s="15">
        <v>88900</v>
      </c>
      <c r="B65" s="25">
        <v>889</v>
      </c>
      <c r="C65" s="26">
        <v>0</v>
      </c>
      <c r="D65" s="20" t="s">
        <v>313</v>
      </c>
      <c r="E65" s="14">
        <v>40310</v>
      </c>
      <c r="F65" s="18">
        <v>3.7704943592503599</v>
      </c>
      <c r="G65" s="18">
        <v>3.62001550276204</v>
      </c>
      <c r="H65" s="21">
        <v>97</v>
      </c>
      <c r="I65" s="21">
        <v>97</v>
      </c>
      <c r="J65" s="21">
        <v>90</v>
      </c>
      <c r="K65" s="18">
        <v>1</v>
      </c>
      <c r="L65" s="18">
        <v>98.5</v>
      </c>
      <c r="M65" s="18">
        <v>9.9494949494949495E-5</v>
      </c>
      <c r="N65" s="18">
        <v>98.5</v>
      </c>
      <c r="O65" s="18">
        <v>0</v>
      </c>
      <c r="P65" s="18">
        <v>0</v>
      </c>
      <c r="Q65" s="19"/>
      <c r="R65" s="18">
        <v>0</v>
      </c>
      <c r="S65" s="18">
        <v>0</v>
      </c>
      <c r="T65" s="18">
        <v>0</v>
      </c>
      <c r="U65" s="18">
        <v>0</v>
      </c>
      <c r="V65" s="18">
        <v>0</v>
      </c>
      <c r="W65" s="18">
        <v>0</v>
      </c>
      <c r="X65" s="18"/>
      <c r="Y65" s="18">
        <v>0</v>
      </c>
      <c r="Z65" s="18">
        <v>0</v>
      </c>
      <c r="AA65" s="18">
        <v>0</v>
      </c>
      <c r="AB65" s="18">
        <v>0</v>
      </c>
      <c r="AC65" s="18">
        <v>0</v>
      </c>
      <c r="AD65" s="18">
        <v>0</v>
      </c>
      <c r="AE65" s="18">
        <v>0</v>
      </c>
      <c r="AF65" s="18">
        <v>0</v>
      </c>
      <c r="AG65" s="18">
        <v>0</v>
      </c>
      <c r="AH65" s="18">
        <v>0</v>
      </c>
      <c r="AI65" s="18">
        <v>0</v>
      </c>
      <c r="AJ65" s="18">
        <v>0</v>
      </c>
      <c r="AK65" s="18">
        <v>0</v>
      </c>
      <c r="AL65" s="18"/>
      <c r="AM65" s="18">
        <v>0</v>
      </c>
      <c r="AN65" s="18">
        <v>0</v>
      </c>
      <c r="AO65" s="18">
        <v>0</v>
      </c>
      <c r="AP65" s="18">
        <v>0</v>
      </c>
      <c r="AQ65" s="18">
        <v>0</v>
      </c>
      <c r="AR65" s="18">
        <v>0</v>
      </c>
      <c r="AS65" s="18">
        <v>0</v>
      </c>
      <c r="AT65" s="18">
        <v>0</v>
      </c>
      <c r="AU65" s="18">
        <v>0</v>
      </c>
      <c r="AV65" s="18">
        <v>0</v>
      </c>
      <c r="AW65" s="18">
        <v>0</v>
      </c>
      <c r="AX65" s="18"/>
      <c r="AY65" s="18">
        <v>1</v>
      </c>
      <c r="AZ65" s="18">
        <v>1</v>
      </c>
      <c r="BA65" s="18">
        <v>1</v>
      </c>
      <c r="BB65" s="18">
        <v>1</v>
      </c>
      <c r="BC65" s="18">
        <v>1</v>
      </c>
      <c r="BD65" s="18">
        <v>1</v>
      </c>
      <c r="BE65" s="18">
        <v>1</v>
      </c>
      <c r="BF65" s="18">
        <v>1</v>
      </c>
      <c r="BG65" s="18">
        <v>1</v>
      </c>
      <c r="BH65" s="18">
        <v>1</v>
      </c>
      <c r="BI65" s="18">
        <v>1</v>
      </c>
      <c r="BJ65" s="19"/>
      <c r="BK65" s="18">
        <v>1.0101010101010101E-4</v>
      </c>
      <c r="BL65" s="18">
        <v>100</v>
      </c>
      <c r="BM65" s="18">
        <v>0</v>
      </c>
      <c r="BN65" s="18">
        <v>0</v>
      </c>
      <c r="BO65" s="18"/>
      <c r="BP65" s="18">
        <v>57</v>
      </c>
      <c r="BQ65" s="18">
        <v>570</v>
      </c>
      <c r="BR65" s="18">
        <v>3.8279130550765075</v>
      </c>
      <c r="BS65" s="18">
        <v>3.67514264239801</v>
      </c>
      <c r="BT65" s="19"/>
      <c r="BU65" s="18">
        <v>1000</v>
      </c>
      <c r="BV65" s="18">
        <v>-9.1919191907823146E-4</v>
      </c>
      <c r="BW65" s="18">
        <v>0</v>
      </c>
      <c r="BX65" s="18">
        <v>0</v>
      </c>
      <c r="BY65" s="18">
        <v>0</v>
      </c>
      <c r="BZ65" s="18">
        <v>0</v>
      </c>
      <c r="CA65" s="18">
        <v>0</v>
      </c>
      <c r="CB65" s="19"/>
      <c r="CC65" s="19">
        <v>0</v>
      </c>
      <c r="CD65" s="19">
        <v>0</v>
      </c>
      <c r="CE65" s="19">
        <v>0</v>
      </c>
      <c r="CF65" s="19">
        <v>0</v>
      </c>
      <c r="CG65" s="19">
        <v>0</v>
      </c>
      <c r="CH65" s="19">
        <v>0</v>
      </c>
      <c r="CI65" s="19">
        <v>0</v>
      </c>
      <c r="CJ65" s="19"/>
      <c r="CK65" s="19">
        <v>0</v>
      </c>
      <c r="CL65" s="19">
        <v>0</v>
      </c>
      <c r="CM65" s="19">
        <v>0</v>
      </c>
      <c r="CN65" s="19">
        <v>0</v>
      </c>
      <c r="CO65" s="19">
        <v>0</v>
      </c>
      <c r="CP65" s="19">
        <v>0</v>
      </c>
      <c r="CQ65" s="19">
        <v>0</v>
      </c>
      <c r="CR65" s="19">
        <v>0</v>
      </c>
      <c r="CS65" s="19">
        <v>0</v>
      </c>
      <c r="CT65" s="19">
        <v>0</v>
      </c>
      <c r="CU65" s="19">
        <v>0</v>
      </c>
      <c r="CV65" s="19">
        <v>0</v>
      </c>
      <c r="CW65" s="19">
        <v>0</v>
      </c>
      <c r="CX65" s="19">
        <v>0</v>
      </c>
      <c r="CY65" s="19">
        <v>0</v>
      </c>
      <c r="CZ65" s="19">
        <v>0</v>
      </c>
      <c r="DA65" s="19">
        <v>0</v>
      </c>
      <c r="DB65" s="19">
        <v>0</v>
      </c>
      <c r="DC65" s="19">
        <v>0</v>
      </c>
      <c r="DD65" s="19">
        <v>0</v>
      </c>
      <c r="DE65" s="19">
        <v>0</v>
      </c>
      <c r="DF65" s="23">
        <v>0</v>
      </c>
      <c r="DG65" s="23">
        <v>0</v>
      </c>
      <c r="DH65" s="23">
        <v>0</v>
      </c>
      <c r="DI65" s="19">
        <v>0</v>
      </c>
      <c r="DJ65" s="19">
        <v>0</v>
      </c>
      <c r="DK65" s="19">
        <v>0</v>
      </c>
      <c r="DL65" s="19">
        <v>0</v>
      </c>
      <c r="DM65" s="19">
        <v>0</v>
      </c>
      <c r="DN65" s="19">
        <v>0</v>
      </c>
      <c r="DO65" s="19">
        <v>0</v>
      </c>
      <c r="DP65" s="19">
        <v>0</v>
      </c>
      <c r="DQ65" s="19">
        <v>0</v>
      </c>
      <c r="DR65" s="19">
        <v>0</v>
      </c>
      <c r="DS65" s="19">
        <v>0</v>
      </c>
      <c r="DT65" s="19">
        <v>0</v>
      </c>
      <c r="DU65" s="19">
        <v>0</v>
      </c>
      <c r="DV65" s="19">
        <v>0</v>
      </c>
      <c r="DW65" s="17" t="s">
        <v>314</v>
      </c>
      <c r="DX65" s="22" t="s">
        <v>218</v>
      </c>
      <c r="DY65" s="22" t="s">
        <v>218</v>
      </c>
      <c r="DZ65" s="22" t="s">
        <v>218</v>
      </c>
      <c r="EA65" s="22" t="s">
        <v>218</v>
      </c>
      <c r="EB65" s="22" t="s">
        <v>218</v>
      </c>
      <c r="EC65" s="22" t="s">
        <v>218</v>
      </c>
      <c r="ED65" s="22" t="s">
        <v>218</v>
      </c>
      <c r="EE65" s="22" t="s">
        <v>218</v>
      </c>
      <c r="EF65" s="22" t="s">
        <v>218</v>
      </c>
      <c r="EG65" s="22" t="s">
        <v>218</v>
      </c>
      <c r="EH65" s="22" t="s">
        <v>218</v>
      </c>
      <c r="EI65" s="22" t="s">
        <v>218</v>
      </c>
      <c r="EJ65" s="22" t="s">
        <v>218</v>
      </c>
      <c r="EK65" s="22" t="s">
        <v>218</v>
      </c>
      <c r="EL65" s="22" t="s">
        <v>218</v>
      </c>
      <c r="EM65" s="22" t="s">
        <v>218</v>
      </c>
      <c r="EN65" s="22" t="s">
        <v>218</v>
      </c>
      <c r="EO65" s="22" t="s">
        <v>218</v>
      </c>
      <c r="EP65" s="22" t="s">
        <v>218</v>
      </c>
      <c r="EQ65" s="22" t="s">
        <v>218</v>
      </c>
      <c r="ER65" s="22" t="s">
        <v>218</v>
      </c>
      <c r="ES65" s="22" t="s">
        <v>218</v>
      </c>
      <c r="ET65" s="22" t="s">
        <v>218</v>
      </c>
      <c r="EU65" s="22" t="s">
        <v>218</v>
      </c>
      <c r="EV65" s="22" t="s">
        <v>218</v>
      </c>
      <c r="EW65" s="22" t="s">
        <v>218</v>
      </c>
      <c r="EX65" s="22" t="s">
        <v>218</v>
      </c>
      <c r="EY65" s="22" t="s">
        <v>218</v>
      </c>
      <c r="EZ65" s="22" t="s">
        <v>218</v>
      </c>
      <c r="FA65" s="22" t="s">
        <v>218</v>
      </c>
      <c r="FB65" s="22" t="s">
        <v>218</v>
      </c>
      <c r="FC65" s="22" t="s">
        <v>218</v>
      </c>
      <c r="FD65" s="22" t="s">
        <v>218</v>
      </c>
      <c r="FE65" s="22" t="s">
        <v>218</v>
      </c>
      <c r="FF65" s="22" t="s">
        <v>218</v>
      </c>
      <c r="FG65" s="22" t="s">
        <v>218</v>
      </c>
      <c r="FH65" s="22" t="s">
        <v>218</v>
      </c>
      <c r="FI65" s="22" t="s">
        <v>218</v>
      </c>
      <c r="FJ65" s="22" t="s">
        <v>218</v>
      </c>
      <c r="FK65" s="22" t="s">
        <v>218</v>
      </c>
      <c r="FL65" s="22" t="s">
        <v>218</v>
      </c>
      <c r="FM65" s="22" t="s">
        <v>218</v>
      </c>
      <c r="FN65" s="22" t="s">
        <v>218</v>
      </c>
      <c r="FO65" s="22" t="s">
        <v>218</v>
      </c>
      <c r="FP65" s="22" t="s">
        <v>218</v>
      </c>
      <c r="FQ65" s="22" t="s">
        <v>218</v>
      </c>
      <c r="FR65" s="22" t="s">
        <v>218</v>
      </c>
      <c r="FS65" s="22" t="s">
        <v>218</v>
      </c>
      <c r="FT65" s="22" t="s">
        <v>218</v>
      </c>
      <c r="FU65" s="22" t="s">
        <v>218</v>
      </c>
      <c r="FV65" s="22" t="s">
        <v>218</v>
      </c>
      <c r="FW65" s="22" t="s">
        <v>218</v>
      </c>
      <c r="FX65" s="22" t="s">
        <v>218</v>
      </c>
      <c r="FY65" s="22" t="s">
        <v>218</v>
      </c>
      <c r="FZ65" s="22" t="s">
        <v>218</v>
      </c>
      <c r="GA65" s="22" t="s">
        <v>218</v>
      </c>
      <c r="GB65" s="22" t="s">
        <v>218</v>
      </c>
      <c r="GC65" s="22" t="s">
        <v>218</v>
      </c>
      <c r="GD65" s="22" t="s">
        <v>218</v>
      </c>
      <c r="GE65" s="22" t="s">
        <v>218</v>
      </c>
      <c r="GF65" s="22" t="s">
        <v>218</v>
      </c>
      <c r="GG65" s="22" t="s">
        <v>218</v>
      </c>
      <c r="GH65" s="22" t="s">
        <v>218</v>
      </c>
      <c r="GI65" s="22" t="s">
        <v>218</v>
      </c>
      <c r="GJ65" s="22" t="s">
        <v>218</v>
      </c>
      <c r="GK65" s="22" t="s">
        <v>218</v>
      </c>
      <c r="GL65" s="22" t="s">
        <v>218</v>
      </c>
      <c r="GM65" s="22" t="s">
        <v>218</v>
      </c>
      <c r="GN65" s="22" t="s">
        <v>218</v>
      </c>
      <c r="GO65" s="22" t="s">
        <v>218</v>
      </c>
      <c r="GP65" s="22" t="s">
        <v>218</v>
      </c>
      <c r="GQ65" s="22" t="s">
        <v>218</v>
      </c>
      <c r="GR65" s="22" t="s">
        <v>218</v>
      </c>
      <c r="GS65" s="22" t="s">
        <v>218</v>
      </c>
      <c r="GT65" s="22" t="s">
        <v>218</v>
      </c>
      <c r="GU65" s="22" t="s">
        <v>218</v>
      </c>
      <c r="GV65" s="22" t="s">
        <v>218</v>
      </c>
      <c r="GW65" s="22" t="s">
        <v>218</v>
      </c>
      <c r="GX65" s="22" t="s">
        <v>218</v>
      </c>
      <c r="GY65" s="22" t="s">
        <v>218</v>
      </c>
      <c r="GZ65" s="22" t="s">
        <v>218</v>
      </c>
      <c r="HA65" s="22" t="s">
        <v>218</v>
      </c>
      <c r="HB65" s="22" t="s">
        <v>218</v>
      </c>
      <c r="HC65" s="22" t="s">
        <v>218</v>
      </c>
      <c r="HD65" s="22" t="s">
        <v>218</v>
      </c>
      <c r="HE65" s="22" t="s">
        <v>218</v>
      </c>
      <c r="HF65" s="22" t="s">
        <v>218</v>
      </c>
      <c r="HG65" s="22" t="s">
        <v>218</v>
      </c>
      <c r="HH65" s="22" t="s">
        <v>218</v>
      </c>
      <c r="HI65" s="22" t="s">
        <v>218</v>
      </c>
      <c r="HJ65" s="22" t="s">
        <v>218</v>
      </c>
      <c r="HK65" s="22" t="s">
        <v>218</v>
      </c>
      <c r="HL65" s="22" t="s">
        <v>218</v>
      </c>
      <c r="HM65" s="860"/>
      <c r="HN65" s="860"/>
      <c r="HO65" s="860"/>
      <c r="HP65" s="860"/>
      <c r="HQ65" s="860"/>
      <c r="HR65" s="860"/>
      <c r="HS65" s="860"/>
      <c r="HT65" s="145"/>
      <c r="HU65" s="145" t="s">
        <v>1809</v>
      </c>
      <c r="HV65" s="22" t="s">
        <v>1934</v>
      </c>
      <c r="HW65" s="22" t="s">
        <v>315</v>
      </c>
      <c r="HX65" s="22" t="s">
        <v>315</v>
      </c>
      <c r="HY65" s="22">
        <v>0</v>
      </c>
      <c r="HZ65" s="19"/>
      <c r="IA65" s="19"/>
      <c r="IB65" s="621">
        <f>'background data'!$G$10</f>
        <v>0.47300000000000003</v>
      </c>
      <c r="IC65" s="621">
        <f>'background data'!$H$10</f>
        <v>0.13</v>
      </c>
      <c r="ID65" s="621">
        <f>'background data'!$J$10</f>
        <v>0.39100000000000001</v>
      </c>
      <c r="IE65" s="621">
        <f>'background data'!$L$10</f>
        <v>5.5E-2</v>
      </c>
      <c r="IF65" s="621">
        <f>'background data'!$M$10</f>
        <v>3.97</v>
      </c>
      <c r="IG65" s="621">
        <f>'background data'!$N$10</f>
        <v>4.5999999999999999E-3</v>
      </c>
      <c r="IH65" s="621">
        <f>'background data'!$O$10</f>
        <v>2.73</v>
      </c>
      <c r="II65" s="145"/>
      <c r="IJ65" s="145"/>
      <c r="IK65" s="145"/>
      <c r="IL65" s="145"/>
      <c r="IM65" s="145"/>
      <c r="IN65" s="145"/>
      <c r="IO65" s="145"/>
      <c r="IP65" s="145"/>
      <c r="IQ65" s="145"/>
      <c r="IR65" s="145"/>
      <c r="IS65" s="145"/>
      <c r="IT65" s="145"/>
      <c r="IU65" s="145"/>
      <c r="IV65" s="145"/>
      <c r="IW65" s="145"/>
      <c r="IX65" s="145"/>
      <c r="IY65" s="145"/>
      <c r="IZ65" s="145"/>
      <c r="JA65" s="145"/>
      <c r="JB65" s="145"/>
      <c r="JC65" s="145"/>
      <c r="JD65" s="145"/>
      <c r="JE65" s="145"/>
      <c r="JF65" s="145"/>
      <c r="JG65" s="145"/>
      <c r="JH65" s="145"/>
      <c r="JI65" s="145"/>
      <c r="JJ65" s="145"/>
      <c r="JK65" s="145"/>
      <c r="JL65" s="145"/>
      <c r="JM65" s="145"/>
      <c r="JN65" s="145"/>
      <c r="JO65" s="145"/>
      <c r="JP65" s="145"/>
      <c r="JQ65" s="145"/>
      <c r="JR65" s="145"/>
      <c r="JS65" s="145"/>
      <c r="JT65" s="145"/>
      <c r="JU65" s="145"/>
      <c r="JV65" s="145"/>
      <c r="JW65" s="145"/>
      <c r="JX65" s="145"/>
      <c r="JY65" s="145"/>
      <c r="JZ65" s="145"/>
      <c r="KA65" s="145"/>
      <c r="KB65" s="145"/>
      <c r="KC65" s="145"/>
      <c r="KD65" s="145"/>
      <c r="KE65" s="145"/>
      <c r="KF65" s="145"/>
      <c r="KG65" s="145"/>
      <c r="KH65" s="145"/>
      <c r="KI65" s="145"/>
      <c r="KJ65" s="145"/>
      <c r="KK65" s="145"/>
      <c r="KL65" s="145"/>
      <c r="KM65" s="145"/>
      <c r="KN65" s="145"/>
      <c r="KO65" s="145"/>
      <c r="KP65" s="145"/>
      <c r="KQ65" s="145"/>
      <c r="KR65" s="145"/>
      <c r="KS65" s="145"/>
      <c r="KT65" s="145"/>
      <c r="KU65" s="145"/>
      <c r="KV65" s="145"/>
      <c r="KW65" s="145"/>
      <c r="KX65" s="145"/>
      <c r="KY65" s="145"/>
      <c r="KZ65" s="145"/>
      <c r="LA65" s="145"/>
      <c r="LB65" s="145"/>
      <c r="LC65" s="145"/>
      <c r="LD65" s="145"/>
      <c r="LE65" s="145"/>
      <c r="LF65" s="145"/>
      <c r="LG65" s="145"/>
      <c r="LH65" s="145"/>
      <c r="LI65" s="145"/>
      <c r="LJ65" s="145"/>
      <c r="LK65" s="145"/>
      <c r="LL65" s="145"/>
      <c r="LM65" s="145"/>
      <c r="LN65" s="145"/>
      <c r="LO65" s="145"/>
      <c r="LP65" s="145"/>
      <c r="LQ65" s="145"/>
      <c r="LR65" s="145"/>
      <c r="LS65" s="145"/>
      <c r="LT65" s="145"/>
      <c r="LU65" s="145"/>
      <c r="LV65" s="145"/>
      <c r="LW65" s="145"/>
      <c r="LX65" s="145"/>
      <c r="LY65" s="145"/>
      <c r="LZ65" s="145"/>
      <c r="MA65" s="145"/>
      <c r="MB65" s="145"/>
      <c r="MC65" s="145"/>
      <c r="MD65" s="145"/>
      <c r="ME65" s="145"/>
      <c r="MF65" s="145"/>
      <c r="MG65" s="145"/>
      <c r="MH65" s="145"/>
      <c r="MI65" s="145"/>
      <c r="MJ65" s="145"/>
      <c r="MK65" s="145"/>
      <c r="ML65" s="145"/>
      <c r="MM65" s="145"/>
      <c r="MN65" s="145"/>
      <c r="MO65" s="145"/>
      <c r="MP65" s="145"/>
      <c r="MQ65" s="145"/>
      <c r="MR65" s="145"/>
      <c r="MS65" s="145"/>
      <c r="MT65" s="145"/>
      <c r="MU65" s="145"/>
      <c r="MV65" s="145"/>
      <c r="MW65" s="145"/>
      <c r="MX65" s="145"/>
      <c r="MY65" s="145"/>
      <c r="MZ65" s="145"/>
      <c r="NA65" s="145"/>
      <c r="NB65" s="145"/>
      <c r="NC65" s="145"/>
      <c r="ND65" s="145"/>
      <c r="NE65" s="145"/>
      <c r="NF65" s="145"/>
      <c r="NG65" s="145"/>
      <c r="NH65" s="145"/>
      <c r="NI65" s="145"/>
      <c r="NJ65" s="145"/>
      <c r="NK65" s="145"/>
      <c r="NL65" s="145"/>
      <c r="NM65" s="145"/>
      <c r="NN65" s="145"/>
      <c r="NO65" s="145"/>
      <c r="NP65" s="145"/>
      <c r="NQ65" s="145"/>
      <c r="NR65" s="145"/>
      <c r="NS65" s="145"/>
    </row>
    <row r="66" spans="1:383" s="16" customFormat="1" ht="15" customHeight="1" x14ac:dyDescent="0.2">
      <c r="A66" s="15">
        <v>88400</v>
      </c>
      <c r="B66" s="25">
        <v>884</v>
      </c>
      <c r="C66" s="26">
        <v>0</v>
      </c>
      <c r="D66" s="20" t="s">
        <v>316</v>
      </c>
      <c r="E66" s="14">
        <v>40310</v>
      </c>
      <c r="F66" s="18">
        <v>3.5622558890542</v>
      </c>
      <c r="G66" s="18">
        <v>3.42008774301559</v>
      </c>
      <c r="H66" s="21">
        <v>97</v>
      </c>
      <c r="I66" s="21">
        <v>97</v>
      </c>
      <c r="J66" s="21">
        <v>90</v>
      </c>
      <c r="K66" s="18">
        <v>0.94</v>
      </c>
      <c r="L66" s="18">
        <v>99</v>
      </c>
      <c r="M66" s="18">
        <v>1E-4</v>
      </c>
      <c r="N66" s="18">
        <v>99</v>
      </c>
      <c r="O66" s="18">
        <v>0</v>
      </c>
      <c r="P66" s="18">
        <v>0</v>
      </c>
      <c r="Q66" s="19"/>
      <c r="R66" s="18">
        <v>0</v>
      </c>
      <c r="S66" s="18">
        <v>0</v>
      </c>
      <c r="T66" s="18">
        <v>0</v>
      </c>
      <c r="U66" s="18">
        <v>0</v>
      </c>
      <c r="V66" s="18">
        <v>0</v>
      </c>
      <c r="W66" s="18">
        <v>0</v>
      </c>
      <c r="X66" s="18"/>
      <c r="Y66" s="18">
        <v>0</v>
      </c>
      <c r="Z66" s="18">
        <v>0</v>
      </c>
      <c r="AA66" s="18">
        <v>0</v>
      </c>
      <c r="AB66" s="18">
        <v>0</v>
      </c>
      <c r="AC66" s="18">
        <v>0</v>
      </c>
      <c r="AD66" s="18">
        <v>0</v>
      </c>
      <c r="AE66" s="18">
        <v>0</v>
      </c>
      <c r="AF66" s="18">
        <v>0</v>
      </c>
      <c r="AG66" s="18">
        <v>0</v>
      </c>
      <c r="AH66" s="18">
        <v>0</v>
      </c>
      <c r="AI66" s="18">
        <v>0</v>
      </c>
      <c r="AJ66" s="18">
        <v>0</v>
      </c>
      <c r="AK66" s="18">
        <v>0</v>
      </c>
      <c r="AL66" s="18"/>
      <c r="AM66" s="18">
        <v>0</v>
      </c>
      <c r="AN66" s="18">
        <v>0</v>
      </c>
      <c r="AO66" s="18">
        <v>0</v>
      </c>
      <c r="AP66" s="18">
        <v>0</v>
      </c>
      <c r="AQ66" s="18">
        <v>0</v>
      </c>
      <c r="AR66" s="18">
        <v>0</v>
      </c>
      <c r="AS66" s="18">
        <v>0</v>
      </c>
      <c r="AT66" s="18">
        <v>0</v>
      </c>
      <c r="AU66" s="18">
        <v>0</v>
      </c>
      <c r="AV66" s="18">
        <v>0</v>
      </c>
      <c r="AW66" s="18">
        <v>0</v>
      </c>
      <c r="AX66" s="18"/>
      <c r="AY66" s="18">
        <v>1</v>
      </c>
      <c r="AZ66" s="18">
        <v>1</v>
      </c>
      <c r="BA66" s="18">
        <v>1</v>
      </c>
      <c r="BB66" s="18">
        <v>1</v>
      </c>
      <c r="BC66" s="18">
        <v>1</v>
      </c>
      <c r="BD66" s="18">
        <v>1</v>
      </c>
      <c r="BE66" s="18">
        <v>1</v>
      </c>
      <c r="BF66" s="18">
        <v>1</v>
      </c>
      <c r="BG66" s="18">
        <v>1</v>
      </c>
      <c r="BH66" s="18">
        <v>1</v>
      </c>
      <c r="BI66" s="18">
        <v>1</v>
      </c>
      <c r="BJ66" s="19"/>
      <c r="BK66" s="18">
        <v>1.0101010101010101E-4</v>
      </c>
      <c r="BL66" s="18">
        <v>100</v>
      </c>
      <c r="BM66" s="18">
        <v>0</v>
      </c>
      <c r="BN66" s="18">
        <v>0</v>
      </c>
      <c r="BO66" s="18"/>
      <c r="BP66" s="18">
        <v>65</v>
      </c>
      <c r="BQ66" s="18">
        <v>650</v>
      </c>
      <c r="BR66" s="18">
        <v>3.598238271771919</v>
      </c>
      <c r="BS66" s="18">
        <v>3.4546340838541312</v>
      </c>
      <c r="BT66" s="19"/>
      <c r="BU66" s="18">
        <v>1000</v>
      </c>
      <c r="BV66" s="18">
        <v>-9.1919191907823222E-4</v>
      </c>
      <c r="BW66" s="18">
        <v>0</v>
      </c>
      <c r="BX66" s="18">
        <v>0</v>
      </c>
      <c r="BY66" s="18">
        <v>0</v>
      </c>
      <c r="BZ66" s="18" t="s">
        <v>217</v>
      </c>
      <c r="CA66" s="18" t="s">
        <v>217</v>
      </c>
      <c r="CB66" s="19"/>
      <c r="CC66" s="19">
        <v>0</v>
      </c>
      <c r="CD66" s="19">
        <v>0</v>
      </c>
      <c r="CE66" s="19">
        <v>0</v>
      </c>
      <c r="CF66" s="19">
        <v>0</v>
      </c>
      <c r="CG66" s="19">
        <v>0</v>
      </c>
      <c r="CH66" s="19">
        <v>0</v>
      </c>
      <c r="CI66" s="19">
        <v>0</v>
      </c>
      <c r="CJ66" s="19"/>
      <c r="CK66" s="19">
        <v>0</v>
      </c>
      <c r="CL66" s="19">
        <v>0</v>
      </c>
      <c r="CM66" s="19">
        <v>0</v>
      </c>
      <c r="CN66" s="19">
        <v>0</v>
      </c>
      <c r="CO66" s="19">
        <v>0</v>
      </c>
      <c r="CP66" s="19">
        <v>0</v>
      </c>
      <c r="CQ66" s="19">
        <v>0</v>
      </c>
      <c r="CR66" s="19">
        <v>0</v>
      </c>
      <c r="CS66" s="19">
        <v>0</v>
      </c>
      <c r="CT66" s="19">
        <v>0</v>
      </c>
      <c r="CU66" s="19">
        <v>0</v>
      </c>
      <c r="CV66" s="19">
        <v>0</v>
      </c>
      <c r="CW66" s="19">
        <v>0</v>
      </c>
      <c r="CX66" s="19">
        <v>0</v>
      </c>
      <c r="CY66" s="19">
        <v>0</v>
      </c>
      <c r="CZ66" s="19">
        <v>0</v>
      </c>
      <c r="DA66" s="19">
        <v>0</v>
      </c>
      <c r="DB66" s="19">
        <v>0</v>
      </c>
      <c r="DC66" s="19">
        <v>0</v>
      </c>
      <c r="DD66" s="19">
        <v>0</v>
      </c>
      <c r="DE66" s="19">
        <v>0</v>
      </c>
      <c r="DF66" s="23">
        <v>0</v>
      </c>
      <c r="DG66" s="23">
        <v>0</v>
      </c>
      <c r="DH66" s="23">
        <v>0</v>
      </c>
      <c r="DI66" s="19">
        <v>0</v>
      </c>
      <c r="DJ66" s="19">
        <v>0</v>
      </c>
      <c r="DK66" s="19">
        <v>0</v>
      </c>
      <c r="DL66" s="19">
        <v>0</v>
      </c>
      <c r="DM66" s="19">
        <v>0</v>
      </c>
      <c r="DN66" s="19">
        <v>0</v>
      </c>
      <c r="DO66" s="19">
        <v>0</v>
      </c>
      <c r="DP66" s="19">
        <v>0</v>
      </c>
      <c r="DQ66" s="19">
        <v>0</v>
      </c>
      <c r="DR66" s="19">
        <v>0</v>
      </c>
      <c r="DS66" s="19">
        <v>0</v>
      </c>
      <c r="DT66" s="19">
        <v>0</v>
      </c>
      <c r="DU66" s="19">
        <v>0</v>
      </c>
      <c r="DV66" s="19">
        <v>0</v>
      </c>
      <c r="DW66" s="17" t="s">
        <v>218</v>
      </c>
      <c r="DX66" s="22" t="s">
        <v>218</v>
      </c>
      <c r="DY66" s="22" t="s">
        <v>218</v>
      </c>
      <c r="DZ66" s="22" t="s">
        <v>218</v>
      </c>
      <c r="EA66" s="22" t="s">
        <v>218</v>
      </c>
      <c r="EB66" s="22" t="s">
        <v>218</v>
      </c>
      <c r="EC66" s="22" t="s">
        <v>218</v>
      </c>
      <c r="ED66" s="22" t="s">
        <v>218</v>
      </c>
      <c r="EE66" s="22" t="s">
        <v>218</v>
      </c>
      <c r="EF66" s="22" t="s">
        <v>218</v>
      </c>
      <c r="EG66" s="22" t="s">
        <v>218</v>
      </c>
      <c r="EH66" s="22" t="s">
        <v>218</v>
      </c>
      <c r="EI66" s="22" t="s">
        <v>218</v>
      </c>
      <c r="EJ66" s="22" t="s">
        <v>218</v>
      </c>
      <c r="EK66" s="22" t="s">
        <v>218</v>
      </c>
      <c r="EL66" s="22" t="s">
        <v>218</v>
      </c>
      <c r="EM66" s="22" t="s">
        <v>218</v>
      </c>
      <c r="EN66" s="22" t="s">
        <v>218</v>
      </c>
      <c r="EO66" s="22" t="s">
        <v>218</v>
      </c>
      <c r="EP66" s="22" t="s">
        <v>218</v>
      </c>
      <c r="EQ66" s="22" t="s">
        <v>218</v>
      </c>
      <c r="ER66" s="22" t="s">
        <v>218</v>
      </c>
      <c r="ES66" s="22" t="s">
        <v>218</v>
      </c>
      <c r="ET66" s="22" t="s">
        <v>218</v>
      </c>
      <c r="EU66" s="22" t="s">
        <v>218</v>
      </c>
      <c r="EV66" s="22" t="s">
        <v>218</v>
      </c>
      <c r="EW66" s="22" t="s">
        <v>218</v>
      </c>
      <c r="EX66" s="22" t="s">
        <v>218</v>
      </c>
      <c r="EY66" s="22" t="s">
        <v>218</v>
      </c>
      <c r="EZ66" s="22" t="s">
        <v>218</v>
      </c>
      <c r="FA66" s="22" t="s">
        <v>218</v>
      </c>
      <c r="FB66" s="22" t="s">
        <v>218</v>
      </c>
      <c r="FC66" s="22" t="s">
        <v>218</v>
      </c>
      <c r="FD66" s="22" t="s">
        <v>218</v>
      </c>
      <c r="FE66" s="22" t="s">
        <v>218</v>
      </c>
      <c r="FF66" s="22" t="s">
        <v>218</v>
      </c>
      <c r="FG66" s="22" t="s">
        <v>218</v>
      </c>
      <c r="FH66" s="22" t="s">
        <v>218</v>
      </c>
      <c r="FI66" s="22" t="s">
        <v>218</v>
      </c>
      <c r="FJ66" s="22" t="s">
        <v>218</v>
      </c>
      <c r="FK66" s="22" t="s">
        <v>218</v>
      </c>
      <c r="FL66" s="22" t="s">
        <v>218</v>
      </c>
      <c r="FM66" s="22" t="s">
        <v>218</v>
      </c>
      <c r="FN66" s="22" t="s">
        <v>218</v>
      </c>
      <c r="FO66" s="22" t="s">
        <v>218</v>
      </c>
      <c r="FP66" s="22" t="s">
        <v>218</v>
      </c>
      <c r="FQ66" s="22" t="s">
        <v>218</v>
      </c>
      <c r="FR66" s="22" t="s">
        <v>218</v>
      </c>
      <c r="FS66" s="22" t="s">
        <v>218</v>
      </c>
      <c r="FT66" s="22" t="s">
        <v>218</v>
      </c>
      <c r="FU66" s="22" t="s">
        <v>218</v>
      </c>
      <c r="FV66" s="22" t="s">
        <v>218</v>
      </c>
      <c r="FW66" s="22" t="s">
        <v>218</v>
      </c>
      <c r="FX66" s="22" t="s">
        <v>218</v>
      </c>
      <c r="FY66" s="22" t="s">
        <v>218</v>
      </c>
      <c r="FZ66" s="22" t="s">
        <v>218</v>
      </c>
      <c r="GA66" s="22" t="s">
        <v>218</v>
      </c>
      <c r="GB66" s="22" t="s">
        <v>218</v>
      </c>
      <c r="GC66" s="22" t="s">
        <v>218</v>
      </c>
      <c r="GD66" s="22" t="s">
        <v>218</v>
      </c>
      <c r="GE66" s="22" t="s">
        <v>218</v>
      </c>
      <c r="GF66" s="22" t="s">
        <v>218</v>
      </c>
      <c r="GG66" s="22" t="s">
        <v>218</v>
      </c>
      <c r="GH66" s="22" t="s">
        <v>218</v>
      </c>
      <c r="GI66" s="22" t="s">
        <v>218</v>
      </c>
      <c r="GJ66" s="22" t="s">
        <v>218</v>
      </c>
      <c r="GK66" s="22" t="s">
        <v>218</v>
      </c>
      <c r="GL66" s="22" t="s">
        <v>218</v>
      </c>
      <c r="GM66" s="22" t="s">
        <v>218</v>
      </c>
      <c r="GN66" s="22" t="s">
        <v>218</v>
      </c>
      <c r="GO66" s="22" t="s">
        <v>218</v>
      </c>
      <c r="GP66" s="22" t="s">
        <v>218</v>
      </c>
      <c r="GQ66" s="22" t="s">
        <v>218</v>
      </c>
      <c r="GR66" s="22" t="s">
        <v>218</v>
      </c>
      <c r="GS66" s="22" t="s">
        <v>218</v>
      </c>
      <c r="GT66" s="22" t="s">
        <v>218</v>
      </c>
      <c r="GU66" s="22" t="s">
        <v>218</v>
      </c>
      <c r="GV66" s="22" t="s">
        <v>218</v>
      </c>
      <c r="GW66" s="22" t="s">
        <v>218</v>
      </c>
      <c r="GX66" s="22" t="s">
        <v>218</v>
      </c>
      <c r="GY66" s="22" t="s">
        <v>218</v>
      </c>
      <c r="GZ66" s="22" t="s">
        <v>218</v>
      </c>
      <c r="HA66" s="22" t="s">
        <v>218</v>
      </c>
      <c r="HB66" s="22" t="s">
        <v>218</v>
      </c>
      <c r="HC66" s="22" t="s">
        <v>218</v>
      </c>
      <c r="HD66" s="22" t="s">
        <v>218</v>
      </c>
      <c r="HE66" s="22" t="s">
        <v>218</v>
      </c>
      <c r="HF66" s="22" t="s">
        <v>218</v>
      </c>
      <c r="HG66" s="22" t="s">
        <v>218</v>
      </c>
      <c r="HH66" s="22" t="s">
        <v>218</v>
      </c>
      <c r="HI66" s="22" t="s">
        <v>218</v>
      </c>
      <c r="HJ66" s="22" t="s">
        <v>218</v>
      </c>
      <c r="HK66" s="22" t="s">
        <v>218</v>
      </c>
      <c r="HL66" s="22" t="s">
        <v>218</v>
      </c>
      <c r="HM66" s="860"/>
      <c r="HN66" s="860"/>
      <c r="HO66" s="860"/>
      <c r="HP66" s="860"/>
      <c r="HQ66" s="860"/>
      <c r="HR66" s="860"/>
      <c r="HS66" s="860"/>
      <c r="HT66" s="145"/>
      <c r="HU66" s="145" t="s">
        <v>1809</v>
      </c>
      <c r="HV66" s="22" t="s">
        <v>1935</v>
      </c>
      <c r="HW66" s="22" t="s">
        <v>317</v>
      </c>
      <c r="HX66" s="22" t="s">
        <v>318</v>
      </c>
      <c r="HY66" s="22">
        <v>0</v>
      </c>
      <c r="HZ66" s="19"/>
      <c r="IA66" s="19"/>
      <c r="IB66" s="621">
        <f>'background data'!$G$10</f>
        <v>0.47300000000000003</v>
      </c>
      <c r="IC66" s="621">
        <f>'background data'!$H$10</f>
        <v>0.13</v>
      </c>
      <c r="ID66" s="621">
        <f>'background data'!$J$10</f>
        <v>0.39100000000000001</v>
      </c>
      <c r="IE66" s="621">
        <f>'background data'!$L$10</f>
        <v>5.5E-2</v>
      </c>
      <c r="IF66" s="621">
        <f>'background data'!$M$10</f>
        <v>3.97</v>
      </c>
      <c r="IG66" s="621">
        <f>'background data'!$N$10</f>
        <v>4.5999999999999999E-3</v>
      </c>
      <c r="IH66" s="621">
        <f>'background data'!$O$10</f>
        <v>2.73</v>
      </c>
      <c r="II66" s="145"/>
      <c r="IJ66" s="145"/>
      <c r="IK66" s="145"/>
      <c r="IL66" s="145"/>
      <c r="IM66" s="145"/>
      <c r="IN66" s="145"/>
      <c r="IO66" s="145"/>
      <c r="IP66" s="145"/>
      <c r="IQ66" s="145"/>
      <c r="IR66" s="145"/>
      <c r="IS66" s="145"/>
      <c r="IT66" s="145"/>
      <c r="IU66" s="145"/>
      <c r="IV66" s="145"/>
      <c r="IW66" s="145"/>
      <c r="IX66" s="145"/>
      <c r="IY66" s="145"/>
      <c r="IZ66" s="145"/>
      <c r="JA66" s="145"/>
      <c r="JB66" s="145"/>
      <c r="JC66" s="145"/>
      <c r="JD66" s="145"/>
      <c r="JE66" s="145"/>
      <c r="JF66" s="145"/>
      <c r="JG66" s="145"/>
      <c r="JH66" s="145"/>
      <c r="JI66" s="145"/>
      <c r="JJ66" s="145"/>
      <c r="JK66" s="145"/>
      <c r="JL66" s="145"/>
      <c r="JM66" s="145"/>
      <c r="JN66" s="145"/>
      <c r="JO66" s="145"/>
      <c r="JP66" s="145"/>
      <c r="JQ66" s="145"/>
      <c r="JR66" s="145"/>
      <c r="JS66" s="145"/>
      <c r="JT66" s="145"/>
      <c r="JU66" s="145"/>
      <c r="JV66" s="145"/>
      <c r="JW66" s="145"/>
      <c r="JX66" s="145"/>
      <c r="JY66" s="145"/>
      <c r="JZ66" s="145"/>
      <c r="KA66" s="145"/>
      <c r="KB66" s="145"/>
      <c r="KC66" s="145"/>
      <c r="KD66" s="145"/>
      <c r="KE66" s="145"/>
      <c r="KF66" s="145"/>
      <c r="KG66" s="145"/>
      <c r="KH66" s="145"/>
      <c r="KI66" s="145"/>
      <c r="KJ66" s="145"/>
      <c r="KK66" s="145"/>
      <c r="KL66" s="145"/>
      <c r="KM66" s="145"/>
      <c r="KN66" s="145"/>
      <c r="KO66" s="145"/>
      <c r="KP66" s="145"/>
      <c r="KQ66" s="145"/>
      <c r="KR66" s="145"/>
      <c r="KS66" s="145"/>
      <c r="KT66" s="145"/>
      <c r="KU66" s="145"/>
      <c r="KV66" s="145"/>
      <c r="KW66" s="145"/>
      <c r="KX66" s="145"/>
      <c r="KY66" s="145"/>
      <c r="KZ66" s="145"/>
      <c r="LA66" s="145"/>
      <c r="LB66" s="145"/>
      <c r="LC66" s="145"/>
      <c r="LD66" s="145"/>
      <c r="LE66" s="145"/>
      <c r="LF66" s="145"/>
      <c r="LG66" s="145"/>
      <c r="LH66" s="145"/>
      <c r="LI66" s="145"/>
      <c r="LJ66" s="145"/>
      <c r="LK66" s="145"/>
      <c r="LL66" s="145"/>
      <c r="LM66" s="145"/>
      <c r="LN66" s="145"/>
      <c r="LO66" s="145"/>
      <c r="LP66" s="145"/>
      <c r="LQ66" s="145"/>
      <c r="LR66" s="145"/>
      <c r="LS66" s="145"/>
      <c r="LT66" s="145"/>
      <c r="LU66" s="145"/>
      <c r="LV66" s="145"/>
      <c r="LW66" s="145"/>
      <c r="LX66" s="145"/>
      <c r="LY66" s="145"/>
      <c r="LZ66" s="145"/>
      <c r="MA66" s="145"/>
      <c r="MB66" s="145"/>
      <c r="MC66" s="145"/>
      <c r="MD66" s="145"/>
      <c r="ME66" s="145"/>
      <c r="MF66" s="145"/>
      <c r="MG66" s="145"/>
      <c r="MH66" s="145"/>
      <c r="MI66" s="145"/>
      <c r="MJ66" s="145"/>
      <c r="MK66" s="145"/>
      <c r="ML66" s="145"/>
      <c r="MM66" s="145"/>
      <c r="MN66" s="145"/>
      <c r="MO66" s="145"/>
      <c r="MP66" s="145"/>
      <c r="MQ66" s="145"/>
      <c r="MR66" s="145"/>
      <c r="MS66" s="145"/>
      <c r="MT66" s="145"/>
      <c r="MU66" s="145"/>
      <c r="MV66" s="145"/>
      <c r="MW66" s="145"/>
      <c r="MX66" s="145"/>
      <c r="MY66" s="145"/>
      <c r="MZ66" s="145"/>
      <c r="NA66" s="145"/>
      <c r="NB66" s="145"/>
      <c r="NC66" s="145"/>
      <c r="ND66" s="145"/>
      <c r="NE66" s="145"/>
      <c r="NF66" s="145"/>
      <c r="NG66" s="145"/>
      <c r="NH66" s="145"/>
      <c r="NI66" s="145"/>
      <c r="NJ66" s="145"/>
      <c r="NK66" s="145"/>
      <c r="NL66" s="145"/>
      <c r="NM66" s="145"/>
      <c r="NN66" s="145"/>
      <c r="NO66" s="145"/>
      <c r="NP66" s="145"/>
      <c r="NQ66" s="145"/>
      <c r="NR66" s="145"/>
      <c r="NS66" s="145"/>
    </row>
    <row r="67" spans="1:383" s="16" customFormat="1" ht="15" customHeight="1" x14ac:dyDescent="0.2">
      <c r="A67" s="15">
        <v>72600</v>
      </c>
      <c r="B67" s="25">
        <v>726</v>
      </c>
      <c r="C67" s="26">
        <v>0</v>
      </c>
      <c r="D67" s="20" t="s">
        <v>319</v>
      </c>
      <c r="E67" s="14">
        <v>40310</v>
      </c>
      <c r="F67" s="18">
        <v>1.2529276351783201</v>
      </c>
      <c r="G67" s="18">
        <v>1.20085791527481</v>
      </c>
      <c r="H67" s="21">
        <v>100</v>
      </c>
      <c r="I67" s="21">
        <v>100</v>
      </c>
      <c r="J67" s="21">
        <v>91</v>
      </c>
      <c r="K67" s="18">
        <v>1</v>
      </c>
      <c r="L67" s="18">
        <v>85.2</v>
      </c>
      <c r="M67" s="18">
        <v>0.70000320000000005</v>
      </c>
      <c r="N67" s="18">
        <v>9.99999999999997E-2</v>
      </c>
      <c r="O67" s="18">
        <v>5.8</v>
      </c>
      <c r="P67" s="18">
        <v>0</v>
      </c>
      <c r="Q67" s="19"/>
      <c r="R67" s="18">
        <v>50</v>
      </c>
      <c r="S67" s="18">
        <v>67</v>
      </c>
      <c r="T67" s="18">
        <v>67</v>
      </c>
      <c r="U67" s="18">
        <v>67</v>
      </c>
      <c r="V67" s="18">
        <v>67</v>
      </c>
      <c r="W67" s="18">
        <v>67</v>
      </c>
      <c r="X67" s="18"/>
      <c r="Y67" s="18">
        <v>4.9999999999999996E-2</v>
      </c>
      <c r="Z67" s="18">
        <v>0.91</v>
      </c>
      <c r="AA67" s="18">
        <v>22.3</v>
      </c>
      <c r="AB67" s="18">
        <v>0</v>
      </c>
      <c r="AC67" s="18">
        <v>48.999999999999993</v>
      </c>
      <c r="AD67" s="18">
        <v>3.9999999999999996</v>
      </c>
      <c r="AE67" s="18">
        <v>6.6999999999999993</v>
      </c>
      <c r="AF67" s="18">
        <v>150</v>
      </c>
      <c r="AG67" s="18">
        <v>4.5999999999999996</v>
      </c>
      <c r="AH67" s="18">
        <v>13</v>
      </c>
      <c r="AI67" s="18">
        <v>7.8</v>
      </c>
      <c r="AJ67" s="18">
        <v>0</v>
      </c>
      <c r="AK67" s="18">
        <v>0.44</v>
      </c>
      <c r="AL67" s="18"/>
      <c r="AM67" s="18">
        <v>0</v>
      </c>
      <c r="AN67" s="18">
        <v>0</v>
      </c>
      <c r="AO67" s="18">
        <v>0</v>
      </c>
      <c r="AP67" s="18">
        <v>0</v>
      </c>
      <c r="AQ67" s="18">
        <v>0</v>
      </c>
      <c r="AR67" s="18">
        <v>0</v>
      </c>
      <c r="AS67" s="18">
        <v>0</v>
      </c>
      <c r="AT67" s="18">
        <v>0</v>
      </c>
      <c r="AU67" s="18">
        <v>0</v>
      </c>
      <c r="AV67" s="18">
        <v>0</v>
      </c>
      <c r="AW67" s="18">
        <v>0</v>
      </c>
      <c r="AX67" s="18"/>
      <c r="AY67" s="18">
        <v>1</v>
      </c>
      <c r="AZ67" s="18">
        <v>1</v>
      </c>
      <c r="BA67" s="18">
        <v>1</v>
      </c>
      <c r="BB67" s="18">
        <v>1</v>
      </c>
      <c r="BC67" s="18">
        <v>1</v>
      </c>
      <c r="BD67" s="18">
        <v>1</v>
      </c>
      <c r="BE67" s="18">
        <v>1</v>
      </c>
      <c r="BF67" s="18">
        <v>1</v>
      </c>
      <c r="BG67" s="18">
        <v>1</v>
      </c>
      <c r="BH67" s="18">
        <v>1</v>
      </c>
      <c r="BI67" s="18">
        <v>1</v>
      </c>
      <c r="BJ67" s="19"/>
      <c r="BK67" s="18">
        <v>0.8216</v>
      </c>
      <c r="BL67" s="18">
        <v>0.11737089201877898</v>
      </c>
      <c r="BM67" s="18">
        <v>6.8075117370892011</v>
      </c>
      <c r="BN67" s="18">
        <v>0</v>
      </c>
      <c r="BO67" s="18"/>
      <c r="BP67" s="18">
        <v>0</v>
      </c>
      <c r="BQ67" s="18">
        <v>0</v>
      </c>
      <c r="BR67" s="18">
        <v>1.4705723417585916</v>
      </c>
      <c r="BS67" s="18">
        <v>1.4094576470361619</v>
      </c>
      <c r="BT67" s="19"/>
      <c r="BU67" s="18">
        <v>931.92488262910797</v>
      </c>
      <c r="BV67" s="18">
        <v>923.30982497652576</v>
      </c>
      <c r="BW67" s="18">
        <v>0</v>
      </c>
      <c r="BX67" s="18">
        <v>0</v>
      </c>
      <c r="BY67" s="18">
        <v>0</v>
      </c>
      <c r="BZ67" s="18">
        <v>0</v>
      </c>
      <c r="CA67" s="18">
        <v>0</v>
      </c>
      <c r="CB67" s="19"/>
      <c r="CC67" s="19">
        <v>4.2599999999999992E-2</v>
      </c>
      <c r="CD67" s="19">
        <v>0.77532000000000001</v>
      </c>
      <c r="CE67" s="19">
        <v>18.999600000000001</v>
      </c>
      <c r="CF67" s="19">
        <v>0</v>
      </c>
      <c r="CG67" s="19">
        <v>41.74799999999999</v>
      </c>
      <c r="CH67" s="19">
        <v>3.4079999999999995</v>
      </c>
      <c r="CI67" s="19">
        <v>5.7083999999999993</v>
      </c>
      <c r="CJ67" s="19"/>
      <c r="CK67" s="19">
        <v>127.8</v>
      </c>
      <c r="CL67" s="19">
        <v>3.9191999999999996</v>
      </c>
      <c r="CM67" s="19">
        <v>11.076000000000001</v>
      </c>
      <c r="CN67" s="19">
        <v>6.6456</v>
      </c>
      <c r="CO67" s="19">
        <v>0</v>
      </c>
      <c r="CP67" s="19">
        <v>0.37487999999999999</v>
      </c>
      <c r="CQ67" s="19">
        <v>3.500016</v>
      </c>
      <c r="CR67" s="19">
        <v>2.7934701907200474</v>
      </c>
      <c r="CS67" s="19">
        <v>0</v>
      </c>
      <c r="CT67" s="19">
        <v>0</v>
      </c>
      <c r="CU67" s="19">
        <v>0</v>
      </c>
      <c r="CV67" s="19">
        <v>0</v>
      </c>
      <c r="CW67" s="19">
        <v>0</v>
      </c>
      <c r="CX67" s="19">
        <v>0</v>
      </c>
      <c r="CY67" s="19">
        <v>0</v>
      </c>
      <c r="CZ67" s="19">
        <v>0</v>
      </c>
      <c r="DA67" s="19">
        <v>0</v>
      </c>
      <c r="DB67" s="19">
        <v>0</v>
      </c>
      <c r="DC67" s="19">
        <v>0</v>
      </c>
      <c r="DD67" s="19">
        <v>0</v>
      </c>
      <c r="DE67" s="19">
        <v>0</v>
      </c>
      <c r="DF67" s="23">
        <v>0</v>
      </c>
      <c r="DG67" s="23">
        <v>0</v>
      </c>
      <c r="DH67" s="23">
        <v>0</v>
      </c>
      <c r="DI67" s="19">
        <v>0</v>
      </c>
      <c r="DJ67" s="19">
        <v>0</v>
      </c>
      <c r="DK67" s="19">
        <v>0</v>
      </c>
      <c r="DL67" s="19">
        <v>0</v>
      </c>
      <c r="DM67" s="19">
        <v>0</v>
      </c>
      <c r="DN67" s="19">
        <v>0</v>
      </c>
      <c r="DO67" s="19">
        <v>0</v>
      </c>
      <c r="DP67" s="19">
        <v>0</v>
      </c>
      <c r="DQ67" s="19">
        <v>0</v>
      </c>
      <c r="DR67" s="19">
        <v>0</v>
      </c>
      <c r="DS67" s="19">
        <v>0</v>
      </c>
      <c r="DT67" s="19">
        <v>0</v>
      </c>
      <c r="DU67" s="19">
        <v>0</v>
      </c>
      <c r="DV67" s="19">
        <v>0</v>
      </c>
      <c r="DW67" s="17" t="s">
        <v>320</v>
      </c>
      <c r="DX67" s="22" t="s">
        <v>218</v>
      </c>
      <c r="DY67" s="22" t="s">
        <v>218</v>
      </c>
      <c r="DZ67" s="22" t="s">
        <v>218</v>
      </c>
      <c r="EA67" s="22" t="s">
        <v>218</v>
      </c>
      <c r="EB67" s="22" t="s">
        <v>218</v>
      </c>
      <c r="EC67" s="22" t="s">
        <v>218</v>
      </c>
      <c r="ED67" s="22" t="s">
        <v>218</v>
      </c>
      <c r="EE67" s="22" t="s">
        <v>218</v>
      </c>
      <c r="EF67" s="22" t="s">
        <v>218</v>
      </c>
      <c r="EG67" s="22" t="s">
        <v>218</v>
      </c>
      <c r="EH67" s="22" t="s">
        <v>218</v>
      </c>
      <c r="EI67" s="22" t="s">
        <v>218</v>
      </c>
      <c r="EJ67" s="22" t="s">
        <v>218</v>
      </c>
      <c r="EK67" s="22" t="s">
        <v>218</v>
      </c>
      <c r="EL67" s="22" t="s">
        <v>218</v>
      </c>
      <c r="EM67" s="22" t="s">
        <v>218</v>
      </c>
      <c r="EN67" s="22" t="s">
        <v>218</v>
      </c>
      <c r="EO67" s="22" t="s">
        <v>218</v>
      </c>
      <c r="EP67" s="22" t="s">
        <v>218</v>
      </c>
      <c r="EQ67" s="22" t="s">
        <v>218</v>
      </c>
      <c r="ER67" s="22" t="s">
        <v>218</v>
      </c>
      <c r="ES67" s="22" t="s">
        <v>218</v>
      </c>
      <c r="ET67" s="22" t="s">
        <v>218</v>
      </c>
      <c r="EU67" s="22" t="s">
        <v>218</v>
      </c>
      <c r="EV67" s="22" t="s">
        <v>218</v>
      </c>
      <c r="EW67" s="22" t="s">
        <v>218</v>
      </c>
      <c r="EX67" s="22" t="s">
        <v>218</v>
      </c>
      <c r="EY67" s="22" t="s">
        <v>218</v>
      </c>
      <c r="EZ67" s="22" t="s">
        <v>218</v>
      </c>
      <c r="FA67" s="22" t="s">
        <v>218</v>
      </c>
      <c r="FB67" s="22" t="s">
        <v>218</v>
      </c>
      <c r="FC67" s="22" t="s">
        <v>218</v>
      </c>
      <c r="FD67" s="22" t="s">
        <v>218</v>
      </c>
      <c r="FE67" s="22" t="s">
        <v>218</v>
      </c>
      <c r="FF67" s="22" t="s">
        <v>218</v>
      </c>
      <c r="FG67" s="22" t="s">
        <v>218</v>
      </c>
      <c r="FH67" s="22" t="s">
        <v>218</v>
      </c>
      <c r="FI67" s="22" t="s">
        <v>218</v>
      </c>
      <c r="FJ67" s="22" t="s">
        <v>218</v>
      </c>
      <c r="FK67" s="22" t="s">
        <v>218</v>
      </c>
      <c r="FL67" s="22" t="s">
        <v>218</v>
      </c>
      <c r="FM67" s="22" t="s">
        <v>218</v>
      </c>
      <c r="FN67" s="22" t="s">
        <v>218</v>
      </c>
      <c r="FO67" s="22" t="s">
        <v>218</v>
      </c>
      <c r="FP67" s="22" t="s">
        <v>218</v>
      </c>
      <c r="FQ67" s="22" t="s">
        <v>218</v>
      </c>
      <c r="FR67" s="22" t="s">
        <v>218</v>
      </c>
      <c r="FS67" s="22" t="s">
        <v>218</v>
      </c>
      <c r="FT67" s="22" t="s">
        <v>218</v>
      </c>
      <c r="FU67" s="22" t="s">
        <v>218</v>
      </c>
      <c r="FV67" s="22" t="s">
        <v>218</v>
      </c>
      <c r="FW67" s="22" t="s">
        <v>218</v>
      </c>
      <c r="FX67" s="22" t="s">
        <v>218</v>
      </c>
      <c r="FY67" s="22" t="s">
        <v>218</v>
      </c>
      <c r="FZ67" s="22" t="s">
        <v>218</v>
      </c>
      <c r="GA67" s="22" t="s">
        <v>218</v>
      </c>
      <c r="GB67" s="22" t="s">
        <v>218</v>
      </c>
      <c r="GC67" s="22" t="s">
        <v>218</v>
      </c>
      <c r="GD67" s="22" t="s">
        <v>218</v>
      </c>
      <c r="GE67" s="22" t="s">
        <v>218</v>
      </c>
      <c r="GF67" s="22" t="s">
        <v>218</v>
      </c>
      <c r="GG67" s="22" t="s">
        <v>218</v>
      </c>
      <c r="GH67" s="22" t="s">
        <v>218</v>
      </c>
      <c r="GI67" s="22" t="s">
        <v>218</v>
      </c>
      <c r="GJ67" s="22" t="s">
        <v>218</v>
      </c>
      <c r="GK67" s="22" t="s">
        <v>218</v>
      </c>
      <c r="GL67" s="22" t="s">
        <v>218</v>
      </c>
      <c r="GM67" s="22" t="s">
        <v>218</v>
      </c>
      <c r="GN67" s="22" t="s">
        <v>218</v>
      </c>
      <c r="GO67" s="22" t="s">
        <v>218</v>
      </c>
      <c r="GP67" s="22" t="s">
        <v>218</v>
      </c>
      <c r="GQ67" s="22" t="s">
        <v>218</v>
      </c>
      <c r="GR67" s="22" t="s">
        <v>218</v>
      </c>
      <c r="GS67" s="22" t="s">
        <v>218</v>
      </c>
      <c r="GT67" s="22" t="s">
        <v>218</v>
      </c>
      <c r="GU67" s="22" t="s">
        <v>218</v>
      </c>
      <c r="GV67" s="22" t="s">
        <v>218</v>
      </c>
      <c r="GW67" s="22" t="s">
        <v>218</v>
      </c>
      <c r="GX67" s="22" t="s">
        <v>218</v>
      </c>
      <c r="GY67" s="22" t="s">
        <v>218</v>
      </c>
      <c r="GZ67" s="22" t="s">
        <v>218</v>
      </c>
      <c r="HA67" s="22" t="s">
        <v>218</v>
      </c>
      <c r="HB67" s="22" t="s">
        <v>218</v>
      </c>
      <c r="HC67" s="22" t="s">
        <v>218</v>
      </c>
      <c r="HD67" s="22" t="s">
        <v>218</v>
      </c>
      <c r="HE67" s="22" t="s">
        <v>218</v>
      </c>
      <c r="HF67" s="22" t="s">
        <v>218</v>
      </c>
      <c r="HG67" s="22" t="s">
        <v>218</v>
      </c>
      <c r="HH67" s="22" t="s">
        <v>218</v>
      </c>
      <c r="HI67" s="22" t="s">
        <v>218</v>
      </c>
      <c r="HJ67" s="22" t="s">
        <v>218</v>
      </c>
      <c r="HK67" s="22" t="s">
        <v>218</v>
      </c>
      <c r="HL67" s="22" t="s">
        <v>218</v>
      </c>
      <c r="HM67" s="860"/>
      <c r="HN67" s="860"/>
      <c r="HO67" s="860"/>
      <c r="HP67" s="860"/>
      <c r="HQ67" s="860"/>
      <c r="HR67" s="860"/>
      <c r="HS67" s="860"/>
      <c r="HT67" s="145"/>
      <c r="HU67" s="145" t="s">
        <v>1809</v>
      </c>
      <c r="HV67" s="22" t="s">
        <v>1926</v>
      </c>
      <c r="HW67" s="22">
        <v>0</v>
      </c>
      <c r="HX67" s="22">
        <v>0</v>
      </c>
      <c r="HY67" s="22">
        <v>0</v>
      </c>
      <c r="HZ67" s="19"/>
      <c r="IA67" s="19"/>
      <c r="IB67" s="621">
        <f>'background data'!$G$10</f>
        <v>0.47300000000000003</v>
      </c>
      <c r="IC67" s="621">
        <f>'background data'!$H$10</f>
        <v>0.13</v>
      </c>
      <c r="ID67" s="621">
        <f>'background data'!$J$10</f>
        <v>0.39100000000000001</v>
      </c>
      <c r="IE67" s="621">
        <f>'background data'!$L$10</f>
        <v>5.5E-2</v>
      </c>
      <c r="IF67" s="621">
        <f>'background data'!$M$10</f>
        <v>3.97</v>
      </c>
      <c r="IG67" s="621">
        <f>'background data'!$N$10</f>
        <v>4.5999999999999999E-3</v>
      </c>
      <c r="IH67" s="621">
        <f>'background data'!$O$10</f>
        <v>2.73</v>
      </c>
      <c r="II67" s="145"/>
      <c r="IJ67" s="145"/>
      <c r="IK67" s="145"/>
      <c r="IL67" s="145"/>
      <c r="IM67" s="145"/>
      <c r="IN67" s="145"/>
      <c r="IO67" s="145"/>
      <c r="IP67" s="145"/>
      <c r="IQ67" s="145"/>
      <c r="IR67" s="145"/>
      <c r="IS67" s="145"/>
      <c r="IT67" s="145"/>
      <c r="IU67" s="145"/>
      <c r="IV67" s="145"/>
      <c r="IW67" s="145"/>
      <c r="IX67" s="145"/>
      <c r="IY67" s="145"/>
      <c r="IZ67" s="145"/>
      <c r="JA67" s="145"/>
      <c r="JB67" s="145"/>
      <c r="JC67" s="145"/>
      <c r="JD67" s="145"/>
      <c r="JE67" s="145"/>
      <c r="JF67" s="145"/>
      <c r="JG67" s="145"/>
      <c r="JH67" s="145"/>
      <c r="JI67" s="145"/>
      <c r="JJ67" s="145"/>
      <c r="JK67" s="145"/>
      <c r="JL67" s="145"/>
      <c r="JM67" s="145"/>
      <c r="JN67" s="145"/>
      <c r="JO67" s="145"/>
      <c r="JP67" s="145"/>
      <c r="JQ67" s="145"/>
      <c r="JR67" s="145"/>
      <c r="JS67" s="145"/>
      <c r="JT67" s="145"/>
      <c r="JU67" s="145"/>
      <c r="JV67" s="145"/>
      <c r="JW67" s="145"/>
      <c r="JX67" s="145"/>
      <c r="JY67" s="145"/>
      <c r="JZ67" s="145"/>
      <c r="KA67" s="145"/>
      <c r="KB67" s="145"/>
      <c r="KC67" s="145"/>
      <c r="KD67" s="145"/>
      <c r="KE67" s="145"/>
      <c r="KF67" s="145"/>
      <c r="KG67" s="145"/>
      <c r="KH67" s="145"/>
      <c r="KI67" s="145"/>
      <c r="KJ67" s="145"/>
      <c r="KK67" s="145"/>
      <c r="KL67" s="145"/>
      <c r="KM67" s="145"/>
      <c r="KN67" s="145"/>
      <c r="KO67" s="145"/>
      <c r="KP67" s="145"/>
      <c r="KQ67" s="145"/>
      <c r="KR67" s="145"/>
      <c r="KS67" s="145"/>
      <c r="KT67" s="145"/>
      <c r="KU67" s="145"/>
      <c r="KV67" s="145"/>
      <c r="KW67" s="145"/>
      <c r="KX67" s="145"/>
      <c r="KY67" s="145"/>
      <c r="KZ67" s="145"/>
      <c r="LA67" s="145"/>
      <c r="LB67" s="145"/>
      <c r="LC67" s="145"/>
      <c r="LD67" s="145"/>
      <c r="LE67" s="145"/>
      <c r="LF67" s="145"/>
      <c r="LG67" s="145"/>
      <c r="LH67" s="145"/>
      <c r="LI67" s="145"/>
      <c r="LJ67" s="145"/>
      <c r="LK67" s="145"/>
      <c r="LL67" s="145"/>
      <c r="LM67" s="145"/>
      <c r="LN67" s="145"/>
      <c r="LO67" s="145"/>
      <c r="LP67" s="145"/>
      <c r="LQ67" s="145"/>
      <c r="LR67" s="145"/>
      <c r="LS67" s="145"/>
      <c r="LT67" s="145"/>
      <c r="LU67" s="145"/>
      <c r="LV67" s="145"/>
      <c r="LW67" s="145"/>
      <c r="LX67" s="145"/>
      <c r="LY67" s="145"/>
      <c r="LZ67" s="145"/>
      <c r="MA67" s="145"/>
      <c r="MB67" s="145"/>
      <c r="MC67" s="145"/>
      <c r="MD67" s="145"/>
      <c r="ME67" s="145"/>
      <c r="MF67" s="145"/>
      <c r="MG67" s="145"/>
      <c r="MH67" s="145"/>
      <c r="MI67" s="145"/>
      <c r="MJ67" s="145"/>
      <c r="MK67" s="145"/>
      <c r="ML67" s="145"/>
      <c r="MM67" s="145"/>
      <c r="MN67" s="145"/>
      <c r="MO67" s="145"/>
      <c r="MP67" s="145"/>
      <c r="MQ67" s="145"/>
      <c r="MR67" s="145"/>
      <c r="MS67" s="145"/>
      <c r="MT67" s="145"/>
      <c r="MU67" s="145"/>
      <c r="MV67" s="145"/>
      <c r="MW67" s="145"/>
      <c r="MX67" s="145"/>
      <c r="MY67" s="145"/>
      <c r="MZ67" s="145"/>
      <c r="NA67" s="145"/>
      <c r="NB67" s="145"/>
      <c r="NC67" s="145"/>
      <c r="ND67" s="145"/>
      <c r="NE67" s="145"/>
      <c r="NF67" s="145"/>
      <c r="NG67" s="145"/>
      <c r="NH67" s="145"/>
      <c r="NI67" s="145"/>
      <c r="NJ67" s="145"/>
      <c r="NK67" s="145"/>
      <c r="NL67" s="145"/>
      <c r="NM67" s="145"/>
      <c r="NN67" s="145"/>
      <c r="NO67" s="145"/>
      <c r="NP67" s="145"/>
      <c r="NQ67" s="145"/>
      <c r="NR67" s="145"/>
      <c r="NS67" s="145"/>
    </row>
    <row r="68" spans="1:383" s="16" customFormat="1" ht="15" customHeight="1" x14ac:dyDescent="0.25">
      <c r="A68" s="15">
        <v>74000</v>
      </c>
      <c r="B68" s="25">
        <v>740</v>
      </c>
      <c r="C68" s="26">
        <v>0</v>
      </c>
      <c r="D68" s="20" t="s">
        <v>321</v>
      </c>
      <c r="E68" s="14">
        <v>41533</v>
      </c>
      <c r="F68" s="18">
        <v>0.20593777346109199</v>
      </c>
      <c r="G68" s="18">
        <v>0.23176176203784801</v>
      </c>
      <c r="H68" s="21">
        <v>60.15</v>
      </c>
      <c r="I68" s="21">
        <v>50.2</v>
      </c>
      <c r="J68" s="21">
        <v>75</v>
      </c>
      <c r="K68" s="18">
        <v>1</v>
      </c>
      <c r="L68" s="18">
        <v>31.6</v>
      </c>
      <c r="M68" s="18">
        <v>5.0876000000000001</v>
      </c>
      <c r="N68" s="18">
        <v>1.4536</v>
      </c>
      <c r="O68" s="18">
        <v>3.1284000000000001</v>
      </c>
      <c r="P68" s="18">
        <v>8.0896000000000008</v>
      </c>
      <c r="Q68" s="19"/>
      <c r="R68" s="18">
        <v>53.681622271517298</v>
      </c>
      <c r="S68" s="18">
        <v>27</v>
      </c>
      <c r="T68" s="18">
        <v>27</v>
      </c>
      <c r="U68" s="18">
        <v>27</v>
      </c>
      <c r="V68" s="18">
        <v>27</v>
      </c>
      <c r="W68" s="18">
        <v>27</v>
      </c>
      <c r="X68" s="18"/>
      <c r="Y68" s="18">
        <v>5.9</v>
      </c>
      <c r="Z68" s="18">
        <v>3.5</v>
      </c>
      <c r="AA68" s="18">
        <v>1.3</v>
      </c>
      <c r="AB68" s="18">
        <v>11.999999999999998</v>
      </c>
      <c r="AC68" s="18">
        <v>30.5</v>
      </c>
      <c r="AD68" s="18">
        <v>1.6</v>
      </c>
      <c r="AE68" s="18">
        <v>0</v>
      </c>
      <c r="AF68" s="18">
        <v>219.99999999999997</v>
      </c>
      <c r="AG68" s="18">
        <v>6.4999999999999991</v>
      </c>
      <c r="AH68" s="18">
        <v>77</v>
      </c>
      <c r="AI68" s="18">
        <v>51</v>
      </c>
      <c r="AJ68" s="18">
        <v>0</v>
      </c>
      <c r="AK68" s="18">
        <v>0.02</v>
      </c>
      <c r="AL68" s="18"/>
      <c r="AM68" s="18">
        <v>3.63</v>
      </c>
      <c r="AN68" s="18">
        <v>1.31</v>
      </c>
      <c r="AO68" s="18">
        <v>0.74</v>
      </c>
      <c r="AP68" s="18">
        <v>3.67</v>
      </c>
      <c r="AQ68" s="18">
        <v>1.1200000000000001</v>
      </c>
      <c r="AR68" s="18">
        <v>3.89</v>
      </c>
      <c r="AS68" s="18">
        <v>6.63</v>
      </c>
      <c r="AT68" s="18">
        <v>1.53</v>
      </c>
      <c r="AU68" s="18">
        <v>4.29</v>
      </c>
      <c r="AV68" s="18">
        <v>2.31</v>
      </c>
      <c r="AW68" s="18">
        <v>5.14</v>
      </c>
      <c r="AX68" s="18"/>
      <c r="AY68" s="18">
        <v>1</v>
      </c>
      <c r="AZ68" s="18">
        <v>1</v>
      </c>
      <c r="BA68" s="18">
        <v>1</v>
      </c>
      <c r="BB68" s="18">
        <v>1</v>
      </c>
      <c r="BC68" s="18">
        <v>1</v>
      </c>
      <c r="BD68" s="18">
        <v>1</v>
      </c>
      <c r="BE68" s="18">
        <v>1</v>
      </c>
      <c r="BF68" s="18">
        <v>1</v>
      </c>
      <c r="BG68" s="18">
        <v>1</v>
      </c>
      <c r="BH68" s="18">
        <v>1</v>
      </c>
      <c r="BI68" s="18">
        <v>1</v>
      </c>
      <c r="BJ68" s="19"/>
      <c r="BK68" s="18">
        <v>16.100000000000001</v>
      </c>
      <c r="BL68" s="18">
        <v>4.5999999999999996</v>
      </c>
      <c r="BM68" s="18">
        <v>9.9</v>
      </c>
      <c r="BN68" s="18">
        <v>25.6</v>
      </c>
      <c r="BO68" s="18"/>
      <c r="BP68" s="18">
        <v>120</v>
      </c>
      <c r="BQ68" s="18">
        <v>55.2</v>
      </c>
      <c r="BR68" s="18">
        <v>0.6517018147502911</v>
      </c>
      <c r="BS68" s="18">
        <v>0.73342329758812663</v>
      </c>
      <c r="BT68" s="19"/>
      <c r="BU68" s="18">
        <v>901</v>
      </c>
      <c r="BV68" s="18">
        <v>222.75078571428608</v>
      </c>
      <c r="BW68" s="18">
        <v>128.0707142857139</v>
      </c>
      <c r="BX68" s="18">
        <v>0</v>
      </c>
      <c r="BY68" s="18">
        <v>45</v>
      </c>
      <c r="BZ68" s="18">
        <v>37.999999999999993</v>
      </c>
      <c r="CA68" s="18">
        <v>489</v>
      </c>
      <c r="CB68" s="19"/>
      <c r="CC68" s="19">
        <v>1.8644000000000001</v>
      </c>
      <c r="CD68" s="19">
        <v>1.1060000000000001</v>
      </c>
      <c r="CE68" s="19">
        <v>0.4108</v>
      </c>
      <c r="CF68" s="19">
        <v>3.7919999999999994</v>
      </c>
      <c r="CG68" s="19">
        <v>9.6379999999999999</v>
      </c>
      <c r="CH68" s="19">
        <v>0.50560000000000005</v>
      </c>
      <c r="CI68" s="19">
        <v>0</v>
      </c>
      <c r="CJ68" s="19"/>
      <c r="CK68" s="19">
        <v>69.52</v>
      </c>
      <c r="CL68" s="19">
        <v>2.0539999999999998</v>
      </c>
      <c r="CM68" s="19">
        <v>24.332000000000001</v>
      </c>
      <c r="CN68" s="19">
        <v>16.116</v>
      </c>
      <c r="CO68" s="19">
        <v>0</v>
      </c>
      <c r="CP68" s="19">
        <v>6.3200000000000001E-3</v>
      </c>
      <c r="CQ68" s="19">
        <v>27.3110621468572</v>
      </c>
      <c r="CR68" s="19">
        <v>132.61803159203868</v>
      </c>
      <c r="CS68" s="19">
        <v>4.8140345467909968</v>
      </c>
      <c r="CT68" s="19">
        <v>1.7372962138557051</v>
      </c>
      <c r="CU68" s="19">
        <v>0.98137343378108488</v>
      </c>
      <c r="CV68" s="19">
        <v>2.7186696476367751</v>
      </c>
      <c r="CW68" s="19">
        <v>4.8670817594278226</v>
      </c>
      <c r="CX68" s="19">
        <v>1.48532195383083</v>
      </c>
      <c r="CY68" s="19">
        <v>5.1588414289302786</v>
      </c>
      <c r="CZ68" s="19">
        <v>8.7925754945521533</v>
      </c>
      <c r="DA68" s="19">
        <v>2.0290558833581862</v>
      </c>
      <c r="DB68" s="19">
        <v>5.6893135552984404</v>
      </c>
      <c r="DC68" s="19">
        <v>3.0634765297760871</v>
      </c>
      <c r="DD68" s="19">
        <v>8.7527900850745279</v>
      </c>
      <c r="DE68" s="19">
        <v>6.8165668238307875</v>
      </c>
      <c r="DF68" s="23">
        <v>0</v>
      </c>
      <c r="DG68" s="23">
        <v>0</v>
      </c>
      <c r="DH68" s="23">
        <v>0</v>
      </c>
      <c r="DI68" s="19">
        <v>18.96</v>
      </c>
      <c r="DJ68" s="19">
        <v>0</v>
      </c>
      <c r="DK68" s="19">
        <v>23.7</v>
      </c>
      <c r="DL68" s="19">
        <v>0</v>
      </c>
      <c r="DM68" s="19">
        <v>0</v>
      </c>
      <c r="DN68" s="19">
        <v>0</v>
      </c>
      <c r="DO68" s="19">
        <v>0</v>
      </c>
      <c r="DP68" s="19">
        <v>0</v>
      </c>
      <c r="DQ68" s="19">
        <v>0</v>
      </c>
      <c r="DR68" s="19">
        <v>0</v>
      </c>
      <c r="DS68" s="19">
        <v>0</v>
      </c>
      <c r="DT68" s="19">
        <v>0</v>
      </c>
      <c r="DU68" s="19">
        <v>0</v>
      </c>
      <c r="DV68" s="19">
        <v>0</v>
      </c>
      <c r="DW68" s="17" t="s">
        <v>322</v>
      </c>
      <c r="DX68" s="22" t="s">
        <v>218</v>
      </c>
      <c r="DY68" s="22" t="s">
        <v>218</v>
      </c>
      <c r="DZ68" s="22" t="s">
        <v>218</v>
      </c>
      <c r="EA68" s="22" t="s">
        <v>218</v>
      </c>
      <c r="EB68" s="22" t="s">
        <v>218</v>
      </c>
      <c r="EC68" s="22" t="s">
        <v>218</v>
      </c>
      <c r="ED68" s="22" t="s">
        <v>218</v>
      </c>
      <c r="EE68" s="22" t="s">
        <v>218</v>
      </c>
      <c r="EF68" s="22" t="s">
        <v>218</v>
      </c>
      <c r="EG68" s="22" t="s">
        <v>218</v>
      </c>
      <c r="EH68" s="22" t="s">
        <v>218</v>
      </c>
      <c r="EI68" s="22" t="s">
        <v>218</v>
      </c>
      <c r="EJ68" s="22" t="s">
        <v>218</v>
      </c>
      <c r="EK68" s="22" t="s">
        <v>218</v>
      </c>
      <c r="EL68" s="22" t="s">
        <v>218</v>
      </c>
      <c r="EM68" s="22" t="s">
        <v>218</v>
      </c>
      <c r="EN68" s="22" t="s">
        <v>218</v>
      </c>
      <c r="EO68" s="22" t="s">
        <v>218</v>
      </c>
      <c r="EP68" s="22" t="s">
        <v>218</v>
      </c>
      <c r="EQ68" s="22" t="s">
        <v>218</v>
      </c>
      <c r="ER68" s="22" t="s">
        <v>218</v>
      </c>
      <c r="ES68" s="22" t="s">
        <v>218</v>
      </c>
      <c r="ET68" s="22" t="s">
        <v>218</v>
      </c>
      <c r="EU68" s="22" t="s">
        <v>218</v>
      </c>
      <c r="EV68" s="22" t="s">
        <v>218</v>
      </c>
      <c r="EW68" s="22" t="s">
        <v>218</v>
      </c>
      <c r="EX68" s="22" t="s">
        <v>218</v>
      </c>
      <c r="EY68" s="22" t="s">
        <v>218</v>
      </c>
      <c r="EZ68" s="22" t="s">
        <v>218</v>
      </c>
      <c r="FA68" s="22" t="s">
        <v>218</v>
      </c>
      <c r="FB68" s="22" t="s">
        <v>218</v>
      </c>
      <c r="FC68" s="22" t="s">
        <v>218</v>
      </c>
      <c r="FD68" s="22" t="s">
        <v>218</v>
      </c>
      <c r="FE68" s="22" t="s">
        <v>218</v>
      </c>
      <c r="FF68" s="22" t="s">
        <v>218</v>
      </c>
      <c r="FG68" s="22" t="s">
        <v>218</v>
      </c>
      <c r="FH68" s="22" t="s">
        <v>218</v>
      </c>
      <c r="FI68" s="22" t="s">
        <v>218</v>
      </c>
      <c r="FJ68" s="22" t="s">
        <v>218</v>
      </c>
      <c r="FK68" s="22" t="s">
        <v>218</v>
      </c>
      <c r="FL68" s="22" t="s">
        <v>218</v>
      </c>
      <c r="FM68" s="22" t="s">
        <v>218</v>
      </c>
      <c r="FN68" s="22" t="s">
        <v>218</v>
      </c>
      <c r="FO68" s="22" t="s">
        <v>218</v>
      </c>
      <c r="FP68" s="22" t="s">
        <v>218</v>
      </c>
      <c r="FQ68" s="22" t="s">
        <v>218</v>
      </c>
      <c r="FR68" s="22" t="s">
        <v>218</v>
      </c>
      <c r="FS68" s="22" t="s">
        <v>218</v>
      </c>
      <c r="FT68" s="22" t="s">
        <v>218</v>
      </c>
      <c r="FU68" s="22" t="s">
        <v>218</v>
      </c>
      <c r="FV68" s="22" t="s">
        <v>218</v>
      </c>
      <c r="FW68" s="22" t="s">
        <v>218</v>
      </c>
      <c r="FX68" s="22" t="s">
        <v>218</v>
      </c>
      <c r="FY68" s="22" t="s">
        <v>218</v>
      </c>
      <c r="FZ68" s="22" t="s">
        <v>218</v>
      </c>
      <c r="GA68" s="22" t="s">
        <v>218</v>
      </c>
      <c r="GB68" s="22" t="s">
        <v>218</v>
      </c>
      <c r="GC68" s="22" t="s">
        <v>218</v>
      </c>
      <c r="GD68" s="22" t="s">
        <v>218</v>
      </c>
      <c r="GE68" s="22" t="s">
        <v>218</v>
      </c>
      <c r="GF68" s="22" t="s">
        <v>218</v>
      </c>
      <c r="GG68" s="22" t="s">
        <v>218</v>
      </c>
      <c r="GH68" s="22" t="s">
        <v>218</v>
      </c>
      <c r="GI68" s="22" t="s">
        <v>218</v>
      </c>
      <c r="GJ68" s="22" t="s">
        <v>218</v>
      </c>
      <c r="GK68" s="22" t="s">
        <v>218</v>
      </c>
      <c r="GL68" s="22" t="s">
        <v>218</v>
      </c>
      <c r="GM68" s="22" t="s">
        <v>218</v>
      </c>
      <c r="GN68" s="22" t="s">
        <v>218</v>
      </c>
      <c r="GO68" s="22" t="s">
        <v>218</v>
      </c>
      <c r="GP68" s="22" t="s">
        <v>218</v>
      </c>
      <c r="GQ68" s="22" t="s">
        <v>218</v>
      </c>
      <c r="GR68" s="22" t="s">
        <v>218</v>
      </c>
      <c r="GS68" s="22" t="s">
        <v>218</v>
      </c>
      <c r="GT68" s="22" t="s">
        <v>218</v>
      </c>
      <c r="GU68" s="22" t="s">
        <v>218</v>
      </c>
      <c r="GV68" s="22" t="s">
        <v>218</v>
      </c>
      <c r="GW68" s="22" t="s">
        <v>218</v>
      </c>
      <c r="GX68" s="22" t="s">
        <v>218</v>
      </c>
      <c r="GY68" s="22" t="s">
        <v>218</v>
      </c>
      <c r="GZ68" s="22" t="s">
        <v>218</v>
      </c>
      <c r="HA68" s="22" t="s">
        <v>218</v>
      </c>
      <c r="HB68" s="22" t="s">
        <v>218</v>
      </c>
      <c r="HC68" s="22" t="s">
        <v>218</v>
      </c>
      <c r="HD68" s="22" t="s">
        <v>218</v>
      </c>
      <c r="HE68" s="22" t="s">
        <v>218</v>
      </c>
      <c r="HF68" s="22" t="s">
        <v>218</v>
      </c>
      <c r="HG68" s="22" t="s">
        <v>218</v>
      </c>
      <c r="HH68" s="22" t="s">
        <v>218</v>
      </c>
      <c r="HI68" s="22" t="s">
        <v>218</v>
      </c>
      <c r="HJ68" s="22" t="s">
        <v>218</v>
      </c>
      <c r="HK68" s="22" t="s">
        <v>218</v>
      </c>
      <c r="HL68" s="22" t="s">
        <v>218</v>
      </c>
      <c r="HM68" s="620">
        <f>'background data'!$G$13</f>
        <v>0.252</v>
      </c>
      <c r="HN68" s="620">
        <f>'background data'!$H$13</f>
        <v>-4.5999999999999999E-2</v>
      </c>
      <c r="HO68" s="620">
        <f>'background data'!$J$13</f>
        <v>0.219</v>
      </c>
      <c r="HP68" s="620">
        <f>'background data'!$L$13</f>
        <v>1.0999999999999999E-2</v>
      </c>
      <c r="HQ68" s="620">
        <f>'background data'!$M$13</f>
        <v>1.65</v>
      </c>
      <c r="HR68" s="620">
        <f>'background data'!$N$13</f>
        <v>1.9E-3</v>
      </c>
      <c r="HS68" s="620">
        <f>'background data'!$O$13</f>
        <v>1.53</v>
      </c>
      <c r="HT68" s="145"/>
      <c r="HU68" s="145" t="s">
        <v>1809</v>
      </c>
      <c r="HV68" s="22" t="s">
        <v>1936</v>
      </c>
      <c r="HW68" s="22" t="s">
        <v>323</v>
      </c>
      <c r="HX68" s="22" t="s">
        <v>324</v>
      </c>
      <c r="HY68" s="22" t="s">
        <v>325</v>
      </c>
      <c r="HZ68" s="19"/>
      <c r="IA68" s="19"/>
      <c r="IB68" s="620">
        <f>'background data'!$G$13</f>
        <v>0.252</v>
      </c>
      <c r="IC68" s="620">
        <f>'background data'!$H$13</f>
        <v>-4.5999999999999999E-2</v>
      </c>
      <c r="ID68" s="620">
        <f>'background data'!$J$13</f>
        <v>0.219</v>
      </c>
      <c r="IE68" s="620">
        <f>'background data'!$L$13</f>
        <v>1.0999999999999999E-2</v>
      </c>
      <c r="IF68" s="620">
        <f>'background data'!$M$13</f>
        <v>1.65</v>
      </c>
      <c r="IG68" s="620">
        <f>'background data'!$N$13</f>
        <v>1.9E-3</v>
      </c>
      <c r="IH68" s="620">
        <f>'background data'!$O$13</f>
        <v>1.53</v>
      </c>
      <c r="II68" s="145"/>
      <c r="IJ68" s="1" t="s">
        <v>1487</v>
      </c>
      <c r="IK68" s="145"/>
      <c r="IL68" s="145"/>
      <c r="IM68" s="145"/>
      <c r="IN68" s="145"/>
      <c r="IO68" s="145"/>
      <c r="IP68" s="145"/>
      <c r="IQ68" s="145"/>
      <c r="IR68" s="145"/>
      <c r="IS68" s="145"/>
      <c r="IT68" s="145"/>
      <c r="IU68" s="145"/>
      <c r="IV68" s="145"/>
      <c r="IW68" s="145"/>
      <c r="IX68" s="145"/>
      <c r="IY68" s="145"/>
      <c r="IZ68" s="145"/>
      <c r="JA68" s="145"/>
      <c r="JB68" s="145"/>
      <c r="JC68" s="145"/>
      <c r="JD68" s="145"/>
      <c r="JE68" s="145"/>
      <c r="JF68" s="145"/>
      <c r="JG68" s="145"/>
      <c r="JH68" s="145"/>
      <c r="JI68" s="145"/>
      <c r="JJ68" s="145"/>
      <c r="JK68" s="145"/>
      <c r="JL68" s="145"/>
      <c r="JM68" s="145"/>
      <c r="JN68" s="145"/>
      <c r="JO68" s="145"/>
      <c r="JP68" s="145"/>
      <c r="JQ68" s="145"/>
      <c r="JR68" s="145"/>
      <c r="JS68" s="145"/>
      <c r="JT68" s="145"/>
      <c r="JU68" s="145"/>
      <c r="JV68" s="145"/>
      <c r="JW68" s="145"/>
      <c r="JX68" s="145"/>
      <c r="JY68" s="145"/>
      <c r="JZ68" s="145"/>
      <c r="KA68" s="145"/>
      <c r="KB68" s="145"/>
      <c r="KC68" s="145"/>
      <c r="KD68" s="145"/>
      <c r="KE68" s="145"/>
      <c r="KF68" s="145"/>
      <c r="KG68" s="145"/>
      <c r="KH68" s="145"/>
      <c r="KI68" s="145"/>
      <c r="KJ68" s="145"/>
      <c r="KK68" s="145"/>
      <c r="KL68" s="145"/>
      <c r="KM68" s="145"/>
      <c r="KN68" s="145"/>
      <c r="KO68" s="145"/>
      <c r="KP68" s="145"/>
      <c r="KQ68" s="145"/>
      <c r="KR68" s="145"/>
      <c r="KS68" s="145"/>
      <c r="KT68" s="145"/>
      <c r="KU68" s="145"/>
      <c r="KV68" s="145"/>
      <c r="KW68" s="145"/>
      <c r="KX68" s="145"/>
      <c r="KY68" s="145"/>
      <c r="KZ68" s="145"/>
      <c r="LA68" s="145"/>
      <c r="LB68" s="145"/>
      <c r="LC68" s="145"/>
      <c r="LD68" s="145"/>
      <c r="LE68" s="145"/>
      <c r="LF68" s="145"/>
      <c r="LG68" s="145"/>
      <c r="LH68" s="145"/>
      <c r="LI68" s="145"/>
      <c r="LJ68" s="145"/>
      <c r="LK68" s="145"/>
      <c r="LL68" s="145"/>
      <c r="LM68" s="145"/>
      <c r="LN68" s="145"/>
      <c r="LO68" s="145"/>
      <c r="LP68" s="145"/>
      <c r="LQ68" s="145"/>
      <c r="LR68" s="145"/>
      <c r="LS68" s="145"/>
      <c r="LT68" s="145"/>
      <c r="LU68" s="145"/>
      <c r="LV68" s="145"/>
      <c r="LW68" s="145"/>
      <c r="LX68" s="145"/>
      <c r="LY68" s="145"/>
      <c r="LZ68" s="145"/>
      <c r="MA68" s="145"/>
      <c r="MB68" s="145"/>
      <c r="MC68" s="145"/>
      <c r="MD68" s="145"/>
      <c r="ME68" s="145"/>
      <c r="MF68" s="145"/>
      <c r="MG68" s="145"/>
      <c r="MH68" s="145"/>
      <c r="MI68" s="145"/>
      <c r="MJ68" s="145"/>
      <c r="MK68" s="145"/>
      <c r="ML68" s="145"/>
      <c r="MM68" s="145"/>
      <c r="MN68" s="145"/>
      <c r="MO68" s="145"/>
      <c r="MP68" s="145"/>
      <c r="MQ68" s="145"/>
      <c r="MR68" s="145"/>
      <c r="MS68" s="145"/>
      <c r="MT68" s="145"/>
      <c r="MU68" s="145"/>
      <c r="MV68" s="145"/>
      <c r="MW68" s="145"/>
      <c r="MX68" s="145"/>
      <c r="MY68" s="145"/>
      <c r="MZ68" s="145"/>
      <c r="NA68" s="145"/>
      <c r="NB68" s="145"/>
      <c r="NC68" s="145"/>
      <c r="ND68" s="145"/>
      <c r="NE68" s="145"/>
      <c r="NF68" s="145"/>
      <c r="NG68" s="145"/>
      <c r="NH68" s="145"/>
      <c r="NI68" s="145"/>
      <c r="NJ68" s="145"/>
      <c r="NK68" s="145"/>
      <c r="NL68" s="145"/>
      <c r="NM68" s="145"/>
      <c r="NN68" s="145"/>
      <c r="NO68" s="145"/>
      <c r="NP68" s="145"/>
      <c r="NQ68" s="145"/>
      <c r="NR68" s="145"/>
      <c r="NS68" s="145"/>
    </row>
    <row r="69" spans="1:383" s="16" customFormat="1" ht="15" customHeight="1" x14ac:dyDescent="0.25">
      <c r="A69" s="15">
        <v>74100</v>
      </c>
      <c r="B69" s="25">
        <v>741</v>
      </c>
      <c r="C69" s="26">
        <v>0</v>
      </c>
      <c r="D69" s="20" t="s">
        <v>326</v>
      </c>
      <c r="E69" s="14">
        <v>41533</v>
      </c>
      <c r="F69" s="18">
        <v>0.21901364552845501</v>
      </c>
      <c r="G69" s="18">
        <v>0.246454042597402</v>
      </c>
      <c r="H69" s="21">
        <v>60.2</v>
      </c>
      <c r="I69" s="21">
        <v>50.2</v>
      </c>
      <c r="J69" s="21">
        <v>75</v>
      </c>
      <c r="K69" s="18">
        <v>1</v>
      </c>
      <c r="L69" s="18">
        <v>33.6</v>
      </c>
      <c r="M69" s="18">
        <v>5.3087999999999997</v>
      </c>
      <c r="N69" s="18">
        <v>1.5456000000000001</v>
      </c>
      <c r="O69" s="18">
        <v>3.36</v>
      </c>
      <c r="P69" s="18">
        <v>9.0719999999999992</v>
      </c>
      <c r="Q69" s="19"/>
      <c r="R69" s="18">
        <v>53.278839059674503</v>
      </c>
      <c r="S69" s="18">
        <v>27</v>
      </c>
      <c r="T69" s="18">
        <v>27</v>
      </c>
      <c r="U69" s="18">
        <v>27</v>
      </c>
      <c r="V69" s="18">
        <v>27</v>
      </c>
      <c r="W69" s="18">
        <v>27</v>
      </c>
      <c r="X69" s="18"/>
      <c r="Y69" s="18">
        <v>6.5</v>
      </c>
      <c r="Z69" s="18">
        <v>3.7</v>
      </c>
      <c r="AA69" s="18">
        <v>2</v>
      </c>
      <c r="AB69" s="18">
        <v>12</v>
      </c>
      <c r="AC69" s="18">
        <v>28.099999999999998</v>
      </c>
      <c r="AD69" s="18">
        <v>2</v>
      </c>
      <c r="AE69" s="18">
        <v>0</v>
      </c>
      <c r="AF69" s="18">
        <v>220</v>
      </c>
      <c r="AG69" s="18">
        <v>6.8999999999999995</v>
      </c>
      <c r="AH69" s="18">
        <v>99</v>
      </c>
      <c r="AI69" s="18">
        <v>55</v>
      </c>
      <c r="AJ69" s="18">
        <v>0</v>
      </c>
      <c r="AK69" s="18">
        <v>0.02</v>
      </c>
      <c r="AL69" s="18"/>
      <c r="AM69" s="18">
        <v>3.63</v>
      </c>
      <c r="AN69" s="18">
        <v>1.31</v>
      </c>
      <c r="AO69" s="18">
        <v>0.74</v>
      </c>
      <c r="AP69" s="18">
        <v>3.67</v>
      </c>
      <c r="AQ69" s="18">
        <v>1.1200000000000001</v>
      </c>
      <c r="AR69" s="18">
        <v>3.89</v>
      </c>
      <c r="AS69" s="18">
        <v>6.63</v>
      </c>
      <c r="AT69" s="18">
        <v>1.53</v>
      </c>
      <c r="AU69" s="18">
        <v>4.29</v>
      </c>
      <c r="AV69" s="18">
        <v>2.31</v>
      </c>
      <c r="AW69" s="18">
        <v>5.14</v>
      </c>
      <c r="AX69" s="18"/>
      <c r="AY69" s="18">
        <v>1</v>
      </c>
      <c r="AZ69" s="18">
        <v>1</v>
      </c>
      <c r="BA69" s="18">
        <v>1</v>
      </c>
      <c r="BB69" s="18">
        <v>1</v>
      </c>
      <c r="BC69" s="18">
        <v>1</v>
      </c>
      <c r="BD69" s="18">
        <v>1</v>
      </c>
      <c r="BE69" s="18">
        <v>1</v>
      </c>
      <c r="BF69" s="18">
        <v>1</v>
      </c>
      <c r="BG69" s="18">
        <v>1</v>
      </c>
      <c r="BH69" s="18">
        <v>1</v>
      </c>
      <c r="BI69" s="18">
        <v>1</v>
      </c>
      <c r="BJ69" s="19"/>
      <c r="BK69" s="18">
        <v>15.799999999999999</v>
      </c>
      <c r="BL69" s="18">
        <v>4.5999999999999996</v>
      </c>
      <c r="BM69" s="18">
        <v>10</v>
      </c>
      <c r="BN69" s="18">
        <v>26.999999999999996</v>
      </c>
      <c r="BO69" s="18"/>
      <c r="BP69" s="18">
        <v>120</v>
      </c>
      <c r="BQ69" s="18">
        <v>55.199999999999996</v>
      </c>
      <c r="BR69" s="18">
        <v>0.65182632597754464</v>
      </c>
      <c r="BS69" s="18">
        <v>0.73349417439702969</v>
      </c>
      <c r="BT69" s="19"/>
      <c r="BU69" s="18">
        <v>899.99999999999989</v>
      </c>
      <c r="BV69" s="18">
        <v>224.82857142857114</v>
      </c>
      <c r="BW69" s="18">
        <v>128.57142857142887</v>
      </c>
      <c r="BX69" s="18">
        <v>0</v>
      </c>
      <c r="BY69" s="18">
        <v>18</v>
      </c>
      <c r="BZ69" s="18">
        <v>24</v>
      </c>
      <c r="CA69" s="18">
        <v>572</v>
      </c>
      <c r="CB69" s="19"/>
      <c r="CC69" s="19">
        <v>2.1840000000000002</v>
      </c>
      <c r="CD69" s="19">
        <v>1.2432000000000001</v>
      </c>
      <c r="CE69" s="19">
        <v>0.67200000000000004</v>
      </c>
      <c r="CF69" s="19">
        <v>4.032</v>
      </c>
      <c r="CG69" s="19">
        <v>9.4415999999999993</v>
      </c>
      <c r="CH69" s="19">
        <v>0.67200000000000004</v>
      </c>
      <c r="CI69" s="19">
        <v>0</v>
      </c>
      <c r="CJ69" s="19"/>
      <c r="CK69" s="19">
        <v>73.92</v>
      </c>
      <c r="CL69" s="19">
        <v>2.3184</v>
      </c>
      <c r="CM69" s="19">
        <v>33.264000000000003</v>
      </c>
      <c r="CN69" s="19">
        <v>18.48</v>
      </c>
      <c r="CO69" s="19">
        <v>0</v>
      </c>
      <c r="CP69" s="19">
        <v>6.7200000000000003E-3</v>
      </c>
      <c r="CQ69" s="19">
        <v>28.284670080000001</v>
      </c>
      <c r="CR69" s="19">
        <v>129.14569780230957</v>
      </c>
      <c r="CS69" s="19">
        <v>4.6879888302238379</v>
      </c>
      <c r="CT69" s="19">
        <v>1.6918086412102555</v>
      </c>
      <c r="CU69" s="19">
        <v>0.95567816373709091</v>
      </c>
      <c r="CV69" s="19">
        <v>2.6474868049473552</v>
      </c>
      <c r="CW69" s="19">
        <v>4.7396471093447614</v>
      </c>
      <c r="CX69" s="19">
        <v>1.4464318153858673</v>
      </c>
      <c r="CY69" s="19">
        <v>5.0237676445098423</v>
      </c>
      <c r="CZ69" s="19">
        <v>8.5623597642931237</v>
      </c>
      <c r="DA69" s="19">
        <v>1.9759291763753366</v>
      </c>
      <c r="DB69" s="19">
        <v>5.5403504357190805</v>
      </c>
      <c r="DC69" s="19">
        <v>2.9832656192333467</v>
      </c>
      <c r="DD69" s="19">
        <v>8.5236160549524325</v>
      </c>
      <c r="DE69" s="19">
        <v>6.6380888670387117</v>
      </c>
      <c r="DF69" s="23">
        <v>0</v>
      </c>
      <c r="DG69" s="23">
        <v>0</v>
      </c>
      <c r="DH69" s="23">
        <v>0</v>
      </c>
      <c r="DI69" s="19">
        <v>20.16</v>
      </c>
      <c r="DJ69" s="19">
        <v>0</v>
      </c>
      <c r="DK69" s="19">
        <v>25.2</v>
      </c>
      <c r="DL69" s="19">
        <v>0</v>
      </c>
      <c r="DM69" s="19">
        <v>0</v>
      </c>
      <c r="DN69" s="19">
        <v>0</v>
      </c>
      <c r="DO69" s="19">
        <v>0</v>
      </c>
      <c r="DP69" s="19">
        <v>0</v>
      </c>
      <c r="DQ69" s="19">
        <v>0</v>
      </c>
      <c r="DR69" s="19">
        <v>0</v>
      </c>
      <c r="DS69" s="19">
        <v>0</v>
      </c>
      <c r="DT69" s="19">
        <v>0</v>
      </c>
      <c r="DU69" s="19">
        <v>0</v>
      </c>
      <c r="DV69" s="19">
        <v>0</v>
      </c>
      <c r="DW69" s="17" t="s">
        <v>322</v>
      </c>
      <c r="DX69" s="22" t="s">
        <v>218</v>
      </c>
      <c r="DY69" s="22" t="s">
        <v>218</v>
      </c>
      <c r="DZ69" s="22" t="s">
        <v>218</v>
      </c>
      <c r="EA69" s="22" t="s">
        <v>218</v>
      </c>
      <c r="EB69" s="22" t="s">
        <v>218</v>
      </c>
      <c r="EC69" s="22" t="s">
        <v>218</v>
      </c>
      <c r="ED69" s="22" t="s">
        <v>218</v>
      </c>
      <c r="EE69" s="22" t="s">
        <v>218</v>
      </c>
      <c r="EF69" s="22" t="s">
        <v>218</v>
      </c>
      <c r="EG69" s="22" t="s">
        <v>218</v>
      </c>
      <c r="EH69" s="22" t="s">
        <v>218</v>
      </c>
      <c r="EI69" s="22" t="s">
        <v>218</v>
      </c>
      <c r="EJ69" s="22" t="s">
        <v>218</v>
      </c>
      <c r="EK69" s="22" t="s">
        <v>218</v>
      </c>
      <c r="EL69" s="22" t="s">
        <v>218</v>
      </c>
      <c r="EM69" s="22" t="s">
        <v>218</v>
      </c>
      <c r="EN69" s="22" t="s">
        <v>218</v>
      </c>
      <c r="EO69" s="22" t="s">
        <v>218</v>
      </c>
      <c r="EP69" s="22" t="s">
        <v>218</v>
      </c>
      <c r="EQ69" s="22" t="s">
        <v>218</v>
      </c>
      <c r="ER69" s="22" t="s">
        <v>218</v>
      </c>
      <c r="ES69" s="22" t="s">
        <v>218</v>
      </c>
      <c r="ET69" s="22" t="s">
        <v>218</v>
      </c>
      <c r="EU69" s="22" t="s">
        <v>218</v>
      </c>
      <c r="EV69" s="22" t="s">
        <v>218</v>
      </c>
      <c r="EW69" s="22" t="s">
        <v>218</v>
      </c>
      <c r="EX69" s="22" t="s">
        <v>218</v>
      </c>
      <c r="EY69" s="22" t="s">
        <v>218</v>
      </c>
      <c r="EZ69" s="22" t="s">
        <v>218</v>
      </c>
      <c r="FA69" s="22" t="s">
        <v>218</v>
      </c>
      <c r="FB69" s="22" t="s">
        <v>218</v>
      </c>
      <c r="FC69" s="22" t="s">
        <v>218</v>
      </c>
      <c r="FD69" s="22" t="s">
        <v>218</v>
      </c>
      <c r="FE69" s="22" t="s">
        <v>218</v>
      </c>
      <c r="FF69" s="22" t="s">
        <v>218</v>
      </c>
      <c r="FG69" s="22" t="s">
        <v>218</v>
      </c>
      <c r="FH69" s="22" t="s">
        <v>218</v>
      </c>
      <c r="FI69" s="22" t="s">
        <v>218</v>
      </c>
      <c r="FJ69" s="22" t="s">
        <v>218</v>
      </c>
      <c r="FK69" s="22" t="s">
        <v>218</v>
      </c>
      <c r="FL69" s="22" t="s">
        <v>218</v>
      </c>
      <c r="FM69" s="22" t="s">
        <v>218</v>
      </c>
      <c r="FN69" s="22" t="s">
        <v>218</v>
      </c>
      <c r="FO69" s="22" t="s">
        <v>218</v>
      </c>
      <c r="FP69" s="22" t="s">
        <v>218</v>
      </c>
      <c r="FQ69" s="22" t="s">
        <v>218</v>
      </c>
      <c r="FR69" s="22" t="s">
        <v>218</v>
      </c>
      <c r="FS69" s="22" t="s">
        <v>218</v>
      </c>
      <c r="FT69" s="22" t="s">
        <v>218</v>
      </c>
      <c r="FU69" s="22" t="s">
        <v>218</v>
      </c>
      <c r="FV69" s="22" t="s">
        <v>218</v>
      </c>
      <c r="FW69" s="22" t="s">
        <v>218</v>
      </c>
      <c r="FX69" s="22" t="s">
        <v>218</v>
      </c>
      <c r="FY69" s="22" t="s">
        <v>218</v>
      </c>
      <c r="FZ69" s="22" t="s">
        <v>218</v>
      </c>
      <c r="GA69" s="22" t="s">
        <v>218</v>
      </c>
      <c r="GB69" s="22" t="s">
        <v>218</v>
      </c>
      <c r="GC69" s="22" t="s">
        <v>218</v>
      </c>
      <c r="GD69" s="22" t="s">
        <v>218</v>
      </c>
      <c r="GE69" s="22" t="s">
        <v>218</v>
      </c>
      <c r="GF69" s="22" t="s">
        <v>218</v>
      </c>
      <c r="GG69" s="22" t="s">
        <v>218</v>
      </c>
      <c r="GH69" s="22" t="s">
        <v>218</v>
      </c>
      <c r="GI69" s="22" t="s">
        <v>218</v>
      </c>
      <c r="GJ69" s="22" t="s">
        <v>218</v>
      </c>
      <c r="GK69" s="22" t="s">
        <v>218</v>
      </c>
      <c r="GL69" s="22" t="s">
        <v>218</v>
      </c>
      <c r="GM69" s="22" t="s">
        <v>218</v>
      </c>
      <c r="GN69" s="22" t="s">
        <v>218</v>
      </c>
      <c r="GO69" s="22" t="s">
        <v>218</v>
      </c>
      <c r="GP69" s="22" t="s">
        <v>218</v>
      </c>
      <c r="GQ69" s="22" t="s">
        <v>218</v>
      </c>
      <c r="GR69" s="22" t="s">
        <v>218</v>
      </c>
      <c r="GS69" s="22" t="s">
        <v>218</v>
      </c>
      <c r="GT69" s="22" t="s">
        <v>218</v>
      </c>
      <c r="GU69" s="22" t="s">
        <v>218</v>
      </c>
      <c r="GV69" s="22" t="s">
        <v>218</v>
      </c>
      <c r="GW69" s="22" t="s">
        <v>218</v>
      </c>
      <c r="GX69" s="22" t="s">
        <v>218</v>
      </c>
      <c r="GY69" s="22" t="s">
        <v>218</v>
      </c>
      <c r="GZ69" s="22" t="s">
        <v>218</v>
      </c>
      <c r="HA69" s="22" t="s">
        <v>218</v>
      </c>
      <c r="HB69" s="22" t="s">
        <v>218</v>
      </c>
      <c r="HC69" s="22" t="s">
        <v>218</v>
      </c>
      <c r="HD69" s="22" t="s">
        <v>218</v>
      </c>
      <c r="HE69" s="22" t="s">
        <v>218</v>
      </c>
      <c r="HF69" s="22" t="s">
        <v>218</v>
      </c>
      <c r="HG69" s="22" t="s">
        <v>218</v>
      </c>
      <c r="HH69" s="22" t="s">
        <v>218</v>
      </c>
      <c r="HI69" s="22" t="s">
        <v>218</v>
      </c>
      <c r="HJ69" s="22" t="s">
        <v>218</v>
      </c>
      <c r="HK69" s="22" t="s">
        <v>218</v>
      </c>
      <c r="HL69" s="22" t="s">
        <v>218</v>
      </c>
      <c r="HM69" s="620">
        <f>'background data'!$G$13</f>
        <v>0.252</v>
      </c>
      <c r="HN69" s="620">
        <f>'background data'!$H$13</f>
        <v>-4.5999999999999999E-2</v>
      </c>
      <c r="HO69" s="620">
        <f>'background data'!$J$13</f>
        <v>0.219</v>
      </c>
      <c r="HP69" s="620">
        <f>'background data'!$L$13</f>
        <v>1.0999999999999999E-2</v>
      </c>
      <c r="HQ69" s="620">
        <f>'background data'!$M$13</f>
        <v>1.65</v>
      </c>
      <c r="HR69" s="620">
        <f>'background data'!$N$13</f>
        <v>1.9E-3</v>
      </c>
      <c r="HS69" s="620">
        <f>'background data'!$O$13</f>
        <v>1.53</v>
      </c>
      <c r="HT69" s="145"/>
      <c r="HU69" s="145" t="s">
        <v>1809</v>
      </c>
      <c r="HV69" s="22" t="s">
        <v>1936</v>
      </c>
      <c r="HW69" s="22" t="s">
        <v>323</v>
      </c>
      <c r="HX69" s="22" t="s">
        <v>324</v>
      </c>
      <c r="HY69" s="22" t="s">
        <v>325</v>
      </c>
      <c r="HZ69" s="19"/>
      <c r="IA69" s="19"/>
      <c r="IB69" s="620">
        <f>'background data'!$G$13</f>
        <v>0.252</v>
      </c>
      <c r="IC69" s="620">
        <f>'background data'!$H$13</f>
        <v>-4.5999999999999999E-2</v>
      </c>
      <c r="ID69" s="620">
        <f>'background data'!$J$13</f>
        <v>0.219</v>
      </c>
      <c r="IE69" s="620">
        <f>'background data'!$L$13</f>
        <v>1.0999999999999999E-2</v>
      </c>
      <c r="IF69" s="620">
        <f>'background data'!$M$13</f>
        <v>1.65</v>
      </c>
      <c r="IG69" s="620">
        <f>'background data'!$N$13</f>
        <v>1.9E-3</v>
      </c>
      <c r="IH69" s="620">
        <f>'background data'!$O$13</f>
        <v>1.53</v>
      </c>
      <c r="II69" s="145"/>
      <c r="IJ69" s="1" t="s">
        <v>1487</v>
      </c>
      <c r="IK69" s="145"/>
      <c r="IL69" s="145"/>
      <c r="IM69" s="145"/>
      <c r="IN69" s="145"/>
      <c r="IO69" s="145"/>
      <c r="IP69" s="145"/>
      <c r="IQ69" s="145"/>
      <c r="IR69" s="145"/>
      <c r="IS69" s="145"/>
      <c r="IT69" s="145"/>
      <c r="IU69" s="145"/>
      <c r="IV69" s="145"/>
      <c r="IW69" s="145"/>
      <c r="IX69" s="145"/>
      <c r="IY69" s="145"/>
      <c r="IZ69" s="145"/>
      <c r="JA69" s="145"/>
      <c r="JB69" s="145"/>
      <c r="JC69" s="145"/>
      <c r="JD69" s="145"/>
      <c r="JE69" s="145"/>
      <c r="JF69" s="145"/>
      <c r="JG69" s="145"/>
      <c r="JH69" s="145"/>
      <c r="JI69" s="145"/>
      <c r="JJ69" s="145"/>
      <c r="JK69" s="145"/>
      <c r="JL69" s="145"/>
      <c r="JM69" s="145"/>
      <c r="JN69" s="145"/>
      <c r="JO69" s="145"/>
      <c r="JP69" s="145"/>
      <c r="JQ69" s="145"/>
      <c r="JR69" s="145"/>
      <c r="JS69" s="145"/>
      <c r="JT69" s="145"/>
      <c r="JU69" s="145"/>
      <c r="JV69" s="145"/>
      <c r="JW69" s="145"/>
      <c r="JX69" s="145"/>
      <c r="JY69" s="145"/>
      <c r="JZ69" s="145"/>
      <c r="KA69" s="145"/>
      <c r="KB69" s="145"/>
      <c r="KC69" s="145"/>
      <c r="KD69" s="145"/>
      <c r="KE69" s="145"/>
      <c r="KF69" s="145"/>
      <c r="KG69" s="145"/>
      <c r="KH69" s="145"/>
      <c r="KI69" s="145"/>
      <c r="KJ69" s="145"/>
      <c r="KK69" s="145"/>
      <c r="KL69" s="145"/>
      <c r="KM69" s="145"/>
      <c r="KN69" s="145"/>
      <c r="KO69" s="145"/>
      <c r="KP69" s="145"/>
      <c r="KQ69" s="145"/>
      <c r="KR69" s="145"/>
      <c r="KS69" s="145"/>
      <c r="KT69" s="145"/>
      <c r="KU69" s="145"/>
      <c r="KV69" s="145"/>
      <c r="KW69" s="145"/>
      <c r="KX69" s="145"/>
      <c r="KY69" s="145"/>
      <c r="KZ69" s="145"/>
      <c r="LA69" s="145"/>
      <c r="LB69" s="145"/>
      <c r="LC69" s="145"/>
      <c r="LD69" s="145"/>
      <c r="LE69" s="145"/>
      <c r="LF69" s="145"/>
      <c r="LG69" s="145"/>
      <c r="LH69" s="145"/>
      <c r="LI69" s="145"/>
      <c r="LJ69" s="145"/>
      <c r="LK69" s="145"/>
      <c r="LL69" s="145"/>
      <c r="LM69" s="145"/>
      <c r="LN69" s="145"/>
      <c r="LO69" s="145"/>
      <c r="LP69" s="145"/>
      <c r="LQ69" s="145"/>
      <c r="LR69" s="145"/>
      <c r="LS69" s="145"/>
      <c r="LT69" s="145"/>
      <c r="LU69" s="145"/>
      <c r="LV69" s="145"/>
      <c r="LW69" s="145"/>
      <c r="LX69" s="145"/>
      <c r="LY69" s="145"/>
      <c r="LZ69" s="145"/>
      <c r="MA69" s="145"/>
      <c r="MB69" s="145"/>
      <c r="MC69" s="145"/>
      <c r="MD69" s="145"/>
      <c r="ME69" s="145"/>
      <c r="MF69" s="145"/>
      <c r="MG69" s="145"/>
      <c r="MH69" s="145"/>
      <c r="MI69" s="145"/>
      <c r="MJ69" s="145"/>
      <c r="MK69" s="145"/>
      <c r="ML69" s="145"/>
      <c r="MM69" s="145"/>
      <c r="MN69" s="145"/>
      <c r="MO69" s="145"/>
      <c r="MP69" s="145"/>
      <c r="MQ69" s="145"/>
      <c r="MR69" s="145"/>
      <c r="MS69" s="145"/>
      <c r="MT69" s="145"/>
      <c r="MU69" s="145"/>
      <c r="MV69" s="145"/>
      <c r="MW69" s="145"/>
      <c r="MX69" s="145"/>
      <c r="MY69" s="145"/>
      <c r="MZ69" s="145"/>
      <c r="NA69" s="145"/>
      <c r="NB69" s="145"/>
      <c r="NC69" s="145"/>
      <c r="ND69" s="145"/>
      <c r="NE69" s="145"/>
      <c r="NF69" s="145"/>
      <c r="NG69" s="145"/>
      <c r="NH69" s="145"/>
      <c r="NI69" s="145"/>
      <c r="NJ69" s="145"/>
      <c r="NK69" s="145"/>
      <c r="NL69" s="145"/>
      <c r="NM69" s="145"/>
      <c r="NN69" s="145"/>
      <c r="NO69" s="145"/>
      <c r="NP69" s="145"/>
      <c r="NQ69" s="145"/>
      <c r="NR69" s="145"/>
      <c r="NS69" s="145"/>
    </row>
    <row r="70" spans="1:383" s="16" customFormat="1" ht="15" customHeight="1" x14ac:dyDescent="0.2">
      <c r="A70" s="15">
        <v>71600</v>
      </c>
      <c r="B70" s="25">
        <v>716</v>
      </c>
      <c r="C70" s="26">
        <v>0</v>
      </c>
      <c r="D70" s="20" t="s">
        <v>327</v>
      </c>
      <c r="E70" s="14">
        <v>42695</v>
      </c>
      <c r="F70" s="18">
        <v>0.36370000000000002</v>
      </c>
      <c r="G70" s="18">
        <v>0.47570000000000001</v>
      </c>
      <c r="H70" s="21">
        <v>45.97</v>
      </c>
      <c r="I70" s="21">
        <v>36.069992740000004</v>
      </c>
      <c r="J70" s="21">
        <v>77</v>
      </c>
      <c r="K70" s="18">
        <v>1</v>
      </c>
      <c r="L70" s="18">
        <v>93.63</v>
      </c>
      <c r="M70" s="18">
        <v>13.53</v>
      </c>
      <c r="N70" s="18">
        <v>3.57</v>
      </c>
      <c r="O70" s="18">
        <v>9.07</v>
      </c>
      <c r="P70" s="18">
        <v>27.07</v>
      </c>
      <c r="Q70" s="19"/>
      <c r="R70" s="18">
        <v>47.430308292682902</v>
      </c>
      <c r="S70" s="18">
        <v>50</v>
      </c>
      <c r="T70" s="18">
        <v>50</v>
      </c>
      <c r="U70" s="18">
        <v>50</v>
      </c>
      <c r="V70" s="18">
        <v>50</v>
      </c>
      <c r="W70" s="18">
        <v>50</v>
      </c>
      <c r="X70" s="18"/>
      <c r="Y70" s="18">
        <v>8.1170564989853684</v>
      </c>
      <c r="Z70" s="18">
        <v>3.2041012495994874</v>
      </c>
      <c r="AA70" s="18">
        <v>2.2000000000000002</v>
      </c>
      <c r="AB70" s="18">
        <v>0</v>
      </c>
      <c r="AC70" s="18">
        <v>19</v>
      </c>
      <c r="AD70" s="18">
        <v>2.2000000000000002</v>
      </c>
      <c r="AE70" s="18">
        <v>2.5</v>
      </c>
      <c r="AF70" s="18">
        <v>420</v>
      </c>
      <c r="AG70" s="18">
        <v>8.1000000000000014</v>
      </c>
      <c r="AH70" s="18">
        <v>89</v>
      </c>
      <c r="AI70" s="18">
        <v>34</v>
      </c>
      <c r="AJ70" s="18">
        <v>0</v>
      </c>
      <c r="AK70" s="18">
        <v>6.9999999999999896E-2</v>
      </c>
      <c r="AL70" s="18"/>
      <c r="AM70" s="18">
        <v>4.08</v>
      </c>
      <c r="AN70" s="18">
        <v>1.59</v>
      </c>
      <c r="AO70" s="18">
        <v>0.83</v>
      </c>
      <c r="AP70" s="18">
        <v>3.98</v>
      </c>
      <c r="AQ70" s="18">
        <v>1.38</v>
      </c>
      <c r="AR70" s="18">
        <v>4.0199999999999996</v>
      </c>
      <c r="AS70" s="18">
        <v>7.13</v>
      </c>
      <c r="AT70" s="18">
        <v>1.92</v>
      </c>
      <c r="AU70" s="18">
        <v>4.6900000000000004</v>
      </c>
      <c r="AV70" s="18">
        <v>2.98</v>
      </c>
      <c r="AW70" s="18">
        <v>5.12</v>
      </c>
      <c r="AX70" s="18"/>
      <c r="AY70" s="18">
        <v>1</v>
      </c>
      <c r="AZ70" s="18">
        <v>1</v>
      </c>
      <c r="BA70" s="18">
        <v>1</v>
      </c>
      <c r="BB70" s="18">
        <v>1</v>
      </c>
      <c r="BC70" s="18">
        <v>1</v>
      </c>
      <c r="BD70" s="18">
        <v>1</v>
      </c>
      <c r="BE70" s="18">
        <v>1</v>
      </c>
      <c r="BF70" s="18">
        <v>1</v>
      </c>
      <c r="BG70" s="18">
        <v>1</v>
      </c>
      <c r="BH70" s="18">
        <v>1</v>
      </c>
      <c r="BI70" s="18">
        <v>1</v>
      </c>
      <c r="BJ70" s="19"/>
      <c r="BK70" s="18">
        <v>14.450496635693689</v>
      </c>
      <c r="BL70" s="18">
        <v>3.8128804870233903</v>
      </c>
      <c r="BM70" s="18">
        <v>9.6870661112891163</v>
      </c>
      <c r="BN70" s="18">
        <v>28.911673608886041</v>
      </c>
      <c r="BO70" s="18"/>
      <c r="BP70" s="18">
        <v>0</v>
      </c>
      <c r="BQ70" s="18">
        <v>0</v>
      </c>
      <c r="BR70" s="18">
        <v>0.3884438748264446</v>
      </c>
      <c r="BS70" s="18">
        <v>0.50806365481149207</v>
      </c>
      <c r="BT70" s="19"/>
      <c r="BU70" s="18">
        <v>903.12933888710893</v>
      </c>
      <c r="BV70" s="18">
        <v>118.95580476342944</v>
      </c>
      <c r="BW70" s="18">
        <v>127.72838588144826</v>
      </c>
      <c r="BX70" s="18">
        <v>21</v>
      </c>
      <c r="BY70" s="18">
        <v>70</v>
      </c>
      <c r="BZ70" s="18">
        <v>255.77598974687604</v>
      </c>
      <c r="CA70" s="18">
        <v>325.53307785966143</v>
      </c>
      <c r="CB70" s="19"/>
      <c r="CC70" s="19">
        <v>7.6</v>
      </c>
      <c r="CD70" s="19">
        <v>2.9999999999999996</v>
      </c>
      <c r="CE70" s="19">
        <v>2.05986</v>
      </c>
      <c r="CF70" s="19">
        <v>0</v>
      </c>
      <c r="CG70" s="19">
        <v>17.7897</v>
      </c>
      <c r="CH70" s="19">
        <v>2.05986</v>
      </c>
      <c r="CI70" s="19">
        <v>2.3407499999999999</v>
      </c>
      <c r="CJ70" s="19"/>
      <c r="CK70" s="19">
        <v>393.24599999999998</v>
      </c>
      <c r="CL70" s="19">
        <v>7.5840300000000003</v>
      </c>
      <c r="CM70" s="19">
        <v>83.330699999999993</v>
      </c>
      <c r="CN70" s="19">
        <v>31.834199999999996</v>
      </c>
      <c r="CO70" s="19">
        <v>0</v>
      </c>
      <c r="CP70" s="19">
        <v>6.5540999999999891E-2</v>
      </c>
      <c r="CQ70" s="19">
        <v>64.173207120000001</v>
      </c>
      <c r="CR70" s="19">
        <v>176.44544162771513</v>
      </c>
      <c r="CS70" s="19">
        <v>7.1989740184107776</v>
      </c>
      <c r="CT70" s="19">
        <v>2.8054825218806703</v>
      </c>
      <c r="CU70" s="19">
        <v>1.4644971655100358</v>
      </c>
      <c r="CV70" s="19">
        <v>4.2699796873907339</v>
      </c>
      <c r="CW70" s="19">
        <v>7.0225285767830625</v>
      </c>
      <c r="CX70" s="19">
        <v>2.4349470944624692</v>
      </c>
      <c r="CY70" s="19">
        <v>7.0931067534341485</v>
      </c>
      <c r="CZ70" s="19">
        <v>12.580559988056091</v>
      </c>
      <c r="DA70" s="19">
        <v>3.3877524792521307</v>
      </c>
      <c r="DB70" s="19">
        <v>8.2752912123398392</v>
      </c>
      <c r="DC70" s="19">
        <v>5.2580741605059105</v>
      </c>
      <c r="DD70" s="19">
        <v>13.533365372845752</v>
      </c>
      <c r="DE70" s="19">
        <v>9.0340066113390431</v>
      </c>
      <c r="DF70" s="23">
        <v>0</v>
      </c>
      <c r="DG70" s="23">
        <v>0</v>
      </c>
      <c r="DH70" s="23">
        <v>0</v>
      </c>
      <c r="DI70" s="19">
        <v>0</v>
      </c>
      <c r="DJ70" s="19">
        <v>0</v>
      </c>
      <c r="DK70" s="19">
        <v>0</v>
      </c>
      <c r="DL70" s="19">
        <v>0</v>
      </c>
      <c r="DM70" s="19">
        <v>0</v>
      </c>
      <c r="DN70" s="19">
        <v>0</v>
      </c>
      <c r="DO70" s="19">
        <v>0</v>
      </c>
      <c r="DP70" s="19">
        <v>0</v>
      </c>
      <c r="DQ70" s="19">
        <v>0</v>
      </c>
      <c r="DR70" s="19">
        <v>0</v>
      </c>
      <c r="DS70" s="19">
        <v>0</v>
      </c>
      <c r="DT70" s="19">
        <v>0</v>
      </c>
      <c r="DU70" s="19">
        <v>0</v>
      </c>
      <c r="DV70" s="19">
        <v>0</v>
      </c>
      <c r="DW70" s="17" t="s">
        <v>328</v>
      </c>
      <c r="DX70" s="22" t="s">
        <v>218</v>
      </c>
      <c r="DY70" s="22">
        <v>3</v>
      </c>
      <c r="DZ70" s="22">
        <v>3</v>
      </c>
      <c r="EA70" s="22">
        <v>3</v>
      </c>
      <c r="EB70" s="22">
        <v>3</v>
      </c>
      <c r="EC70" s="22">
        <v>3</v>
      </c>
      <c r="ED70" s="22">
        <v>3</v>
      </c>
      <c r="EE70" s="22" t="s">
        <v>218</v>
      </c>
      <c r="EF70" s="22">
        <v>3</v>
      </c>
      <c r="EG70" s="22">
        <v>3</v>
      </c>
      <c r="EH70" s="22" t="s">
        <v>218</v>
      </c>
      <c r="EI70" s="22" t="s">
        <v>218</v>
      </c>
      <c r="EJ70" s="22" t="s">
        <v>218</v>
      </c>
      <c r="EK70" s="22" t="s">
        <v>218</v>
      </c>
      <c r="EL70" s="22" t="s">
        <v>218</v>
      </c>
      <c r="EM70" s="22" t="s">
        <v>218</v>
      </c>
      <c r="EN70" s="22" t="s">
        <v>218</v>
      </c>
      <c r="EO70" s="22" t="s">
        <v>218</v>
      </c>
      <c r="EP70" s="22" t="s">
        <v>218</v>
      </c>
      <c r="EQ70" s="22" t="s">
        <v>218</v>
      </c>
      <c r="ER70" s="22" t="s">
        <v>218</v>
      </c>
      <c r="ES70" s="22">
        <v>2</v>
      </c>
      <c r="ET70" s="22">
        <v>2</v>
      </c>
      <c r="EU70" s="22" t="s">
        <v>218</v>
      </c>
      <c r="EV70" s="22" t="s">
        <v>218</v>
      </c>
      <c r="EW70" s="22" t="s">
        <v>218</v>
      </c>
      <c r="EX70" s="22" t="s">
        <v>218</v>
      </c>
      <c r="EY70" s="22" t="s">
        <v>218</v>
      </c>
      <c r="EZ70" s="22" t="s">
        <v>218</v>
      </c>
      <c r="FA70" s="22" t="s">
        <v>218</v>
      </c>
      <c r="FB70" s="22" t="s">
        <v>218</v>
      </c>
      <c r="FC70" s="22" t="s">
        <v>218</v>
      </c>
      <c r="FD70" s="22" t="s">
        <v>218</v>
      </c>
      <c r="FE70" s="22" t="s">
        <v>218</v>
      </c>
      <c r="FF70" s="22" t="s">
        <v>218</v>
      </c>
      <c r="FG70" s="22">
        <v>1.68</v>
      </c>
      <c r="FH70" s="22">
        <v>0.42</v>
      </c>
      <c r="FI70" s="22">
        <v>1.47</v>
      </c>
      <c r="FJ70" s="22">
        <v>1.5</v>
      </c>
      <c r="FK70" s="22">
        <v>3.91</v>
      </c>
      <c r="FL70" s="22">
        <v>3.32</v>
      </c>
      <c r="FM70" s="22" t="s">
        <v>218</v>
      </c>
      <c r="FN70" s="22">
        <v>6.11</v>
      </c>
      <c r="FO70" s="22">
        <v>5.4</v>
      </c>
      <c r="FP70" s="22" t="s">
        <v>218</v>
      </c>
      <c r="FQ70" s="22" t="s">
        <v>218</v>
      </c>
      <c r="FR70" s="22" t="s">
        <v>218</v>
      </c>
      <c r="FS70" s="22" t="s">
        <v>218</v>
      </c>
      <c r="FT70" s="22" t="s">
        <v>218</v>
      </c>
      <c r="FU70" s="22" t="s">
        <v>218</v>
      </c>
      <c r="FV70" s="22" t="s">
        <v>218</v>
      </c>
      <c r="FW70" s="22" t="s">
        <v>218</v>
      </c>
      <c r="FX70" s="22" t="s">
        <v>218</v>
      </c>
      <c r="FY70" s="22" t="s">
        <v>218</v>
      </c>
      <c r="FZ70" s="22" t="s">
        <v>218</v>
      </c>
      <c r="GA70" s="22">
        <v>2.23</v>
      </c>
      <c r="GB70" s="22">
        <v>0.2</v>
      </c>
      <c r="GC70" s="22" t="s">
        <v>218</v>
      </c>
      <c r="GD70" s="22" t="s">
        <v>218</v>
      </c>
      <c r="GE70" s="22" t="s">
        <v>218</v>
      </c>
      <c r="GF70" s="22" t="s">
        <v>218</v>
      </c>
      <c r="GG70" s="22" t="s">
        <v>218</v>
      </c>
      <c r="GH70" s="22" t="s">
        <v>218</v>
      </c>
      <c r="GI70" s="22" t="s">
        <v>218</v>
      </c>
      <c r="GJ70" s="22" t="s">
        <v>218</v>
      </c>
      <c r="GK70" s="22" t="s">
        <v>218</v>
      </c>
      <c r="GL70" s="22" t="s">
        <v>218</v>
      </c>
      <c r="GM70" s="22" t="s">
        <v>218</v>
      </c>
      <c r="GN70" s="22" t="s">
        <v>218</v>
      </c>
      <c r="GO70" s="22">
        <v>2013</v>
      </c>
      <c r="GP70" s="22">
        <v>2013</v>
      </c>
      <c r="GQ70" s="22">
        <v>2013</v>
      </c>
      <c r="GR70" s="22">
        <v>2013</v>
      </c>
      <c r="GS70" s="22">
        <v>2013</v>
      </c>
      <c r="GT70" s="22">
        <v>2013</v>
      </c>
      <c r="GU70" s="22" t="s">
        <v>218</v>
      </c>
      <c r="GV70" s="22">
        <v>2013</v>
      </c>
      <c r="GW70" s="22">
        <v>2013</v>
      </c>
      <c r="GX70" s="22" t="s">
        <v>218</v>
      </c>
      <c r="GY70" s="22" t="s">
        <v>218</v>
      </c>
      <c r="GZ70" s="22" t="s">
        <v>218</v>
      </c>
      <c r="HA70" s="22" t="s">
        <v>218</v>
      </c>
      <c r="HB70" s="22" t="s">
        <v>218</v>
      </c>
      <c r="HC70" s="22" t="s">
        <v>218</v>
      </c>
      <c r="HD70" s="22" t="s">
        <v>218</v>
      </c>
      <c r="HE70" s="22" t="s">
        <v>218</v>
      </c>
      <c r="HF70" s="22" t="s">
        <v>218</v>
      </c>
      <c r="HG70" s="22" t="s">
        <v>218</v>
      </c>
      <c r="HH70" s="22" t="s">
        <v>218</v>
      </c>
      <c r="HI70" s="22">
        <v>2013</v>
      </c>
      <c r="HJ70" s="22">
        <v>2013</v>
      </c>
      <c r="HK70" s="22" t="s">
        <v>218</v>
      </c>
      <c r="HL70" s="22" t="s">
        <v>218</v>
      </c>
      <c r="HM70" s="622">
        <f>'background data'!$G$13</f>
        <v>0.252</v>
      </c>
      <c r="HN70" s="622">
        <f>'background data'!$H$13</f>
        <v>-4.5999999999999999E-2</v>
      </c>
      <c r="HO70" s="622">
        <f>'background data'!$J$13</f>
        <v>0.219</v>
      </c>
      <c r="HP70" s="622">
        <f>'background data'!$L$13</f>
        <v>1.0999999999999999E-2</v>
      </c>
      <c r="HQ70" s="622">
        <f>'background data'!$M$13</f>
        <v>1.65</v>
      </c>
      <c r="HR70" s="622">
        <f>'background data'!$N$13</f>
        <v>1.9E-3</v>
      </c>
      <c r="HS70" s="622">
        <f>'background data'!$O$13</f>
        <v>1.53</v>
      </c>
      <c r="HT70" s="145" t="s">
        <v>1796</v>
      </c>
      <c r="HU70" s="145" t="s">
        <v>1809</v>
      </c>
      <c r="HV70" s="22" t="s">
        <v>1937</v>
      </c>
      <c r="HW70" s="22" t="s">
        <v>329</v>
      </c>
      <c r="HX70" s="22" t="s">
        <v>330</v>
      </c>
      <c r="HY70" s="22" t="s">
        <v>331</v>
      </c>
      <c r="HZ70" s="19"/>
      <c r="IA70" s="19"/>
      <c r="IB70" s="622">
        <f>'background data'!$G$13</f>
        <v>0.252</v>
      </c>
      <c r="IC70" s="622">
        <f>'background data'!$H$13</f>
        <v>-4.5999999999999999E-2</v>
      </c>
      <c r="ID70" s="622">
        <f>'background data'!$J$13</f>
        <v>0.219</v>
      </c>
      <c r="IE70" s="622">
        <f>'background data'!$L$13</f>
        <v>1.0999999999999999E-2</v>
      </c>
      <c r="IF70" s="622">
        <f>'background data'!$M$13</f>
        <v>1.65</v>
      </c>
      <c r="IG70" s="622">
        <f>'background data'!$N$13</f>
        <v>1.9E-3</v>
      </c>
      <c r="IH70" s="622">
        <f>'background data'!$O$13</f>
        <v>1.53</v>
      </c>
      <c r="II70" s="145" t="s">
        <v>1796</v>
      </c>
      <c r="IJ70" s="145"/>
      <c r="IK70" s="145"/>
      <c r="IL70" s="145"/>
      <c r="IM70" s="145"/>
      <c r="IN70" s="145"/>
      <c r="IO70" s="145"/>
      <c r="IP70" s="145"/>
      <c r="IQ70" s="145"/>
      <c r="IR70" s="145"/>
      <c r="IS70" s="145"/>
      <c r="IT70" s="145"/>
      <c r="IU70" s="145"/>
      <c r="IV70" s="145"/>
      <c r="IW70" s="145"/>
      <c r="IX70" s="145"/>
      <c r="IY70" s="145"/>
      <c r="IZ70" s="145"/>
      <c r="JA70" s="145"/>
      <c r="JB70" s="145"/>
      <c r="JC70" s="145"/>
      <c r="JD70" s="145"/>
      <c r="JE70" s="145"/>
      <c r="JF70" s="145"/>
      <c r="JG70" s="145"/>
      <c r="JH70" s="145"/>
      <c r="JI70" s="145"/>
      <c r="JJ70" s="145"/>
      <c r="JK70" s="145"/>
      <c r="JL70" s="145"/>
      <c r="JM70" s="145"/>
      <c r="JN70" s="145"/>
      <c r="JO70" s="145"/>
      <c r="JP70" s="145"/>
      <c r="JQ70" s="145"/>
      <c r="JR70" s="145"/>
      <c r="JS70" s="145"/>
      <c r="JT70" s="145"/>
      <c r="JU70" s="145"/>
      <c r="JV70" s="145"/>
      <c r="JW70" s="145"/>
      <c r="JX70" s="145"/>
      <c r="JY70" s="145"/>
      <c r="JZ70" s="145"/>
      <c r="KA70" s="145"/>
      <c r="KB70" s="145"/>
      <c r="KC70" s="145"/>
      <c r="KD70" s="145"/>
      <c r="KE70" s="145"/>
      <c r="KF70" s="145"/>
      <c r="KG70" s="145"/>
      <c r="KH70" s="145"/>
      <c r="KI70" s="145"/>
      <c r="KJ70" s="145"/>
      <c r="KK70" s="145"/>
      <c r="KL70" s="145"/>
      <c r="KM70" s="145"/>
      <c r="KN70" s="145"/>
      <c r="KO70" s="145"/>
      <c r="KP70" s="145"/>
      <c r="KQ70" s="145"/>
      <c r="KR70" s="145"/>
      <c r="KS70" s="145"/>
      <c r="KT70" s="145"/>
      <c r="KU70" s="145"/>
      <c r="KV70" s="145"/>
      <c r="KW70" s="145"/>
      <c r="KX70" s="145"/>
      <c r="KY70" s="145"/>
      <c r="KZ70" s="145"/>
      <c r="LA70" s="145"/>
      <c r="LB70" s="145"/>
      <c r="LC70" s="145"/>
      <c r="LD70" s="145"/>
      <c r="LE70" s="145"/>
      <c r="LF70" s="145"/>
      <c r="LG70" s="145"/>
      <c r="LH70" s="145"/>
      <c r="LI70" s="145"/>
      <c r="LJ70" s="145"/>
      <c r="LK70" s="145"/>
      <c r="LL70" s="145"/>
      <c r="LM70" s="145"/>
      <c r="LN70" s="145"/>
      <c r="LO70" s="145"/>
      <c r="LP70" s="145"/>
      <c r="LQ70" s="145"/>
      <c r="LR70" s="145"/>
      <c r="LS70" s="145"/>
      <c r="LT70" s="145"/>
      <c r="LU70" s="145"/>
      <c r="LV70" s="145"/>
      <c r="LW70" s="145"/>
      <c r="LX70" s="145"/>
      <c r="LY70" s="145"/>
      <c r="LZ70" s="145"/>
      <c r="MA70" s="145"/>
      <c r="MB70" s="145"/>
      <c r="MC70" s="145"/>
      <c r="MD70" s="145"/>
      <c r="ME70" s="145"/>
      <c r="MF70" s="145"/>
      <c r="MG70" s="145"/>
      <c r="MH70" s="145"/>
      <c r="MI70" s="145"/>
      <c r="MJ70" s="145"/>
      <c r="MK70" s="145"/>
      <c r="ML70" s="145"/>
      <c r="MM70" s="145"/>
      <c r="MN70" s="145"/>
      <c r="MO70" s="145"/>
      <c r="MP70" s="145"/>
      <c r="MQ70" s="145"/>
      <c r="MR70" s="145"/>
      <c r="MS70" s="145"/>
      <c r="MT70" s="145"/>
      <c r="MU70" s="145"/>
      <c r="MV70" s="145"/>
      <c r="MW70" s="145"/>
      <c r="MX70" s="145"/>
      <c r="MY70" s="145"/>
      <c r="MZ70" s="145"/>
      <c r="NA70" s="145"/>
      <c r="NB70" s="145"/>
      <c r="NC70" s="145"/>
      <c r="ND70" s="145"/>
      <c r="NE70" s="145"/>
      <c r="NF70" s="145"/>
      <c r="NG70" s="145"/>
      <c r="NH70" s="145"/>
      <c r="NI70" s="145"/>
      <c r="NJ70" s="145"/>
      <c r="NK70" s="145"/>
      <c r="NL70" s="145"/>
      <c r="NM70" s="145"/>
      <c r="NN70" s="145"/>
      <c r="NO70" s="145"/>
      <c r="NP70" s="145"/>
      <c r="NQ70" s="145"/>
      <c r="NR70" s="145"/>
      <c r="NS70" s="145"/>
    </row>
    <row r="71" spans="1:383" s="16" customFormat="1" ht="15" customHeight="1" x14ac:dyDescent="0.2">
      <c r="A71" s="15">
        <v>93600</v>
      </c>
      <c r="B71" s="25">
        <v>936</v>
      </c>
      <c r="C71" s="26">
        <v>0</v>
      </c>
      <c r="D71" s="20" t="s">
        <v>332</v>
      </c>
      <c r="E71" s="14">
        <v>40310</v>
      </c>
      <c r="F71" s="18">
        <v>0.22336864823848199</v>
      </c>
      <c r="G71" s="18">
        <v>0.237100033953247</v>
      </c>
      <c r="H71" s="21">
        <v>86.9</v>
      </c>
      <c r="I71" s="21">
        <v>65.5</v>
      </c>
      <c r="J71" s="21">
        <v>95</v>
      </c>
      <c r="K71" s="18">
        <v>1</v>
      </c>
      <c r="L71" s="18">
        <v>23.8</v>
      </c>
      <c r="M71" s="18">
        <v>10.8766</v>
      </c>
      <c r="N71" s="18">
        <v>1.3566</v>
      </c>
      <c r="O71" s="18">
        <v>2.2848000000000002</v>
      </c>
      <c r="P71" s="18">
        <v>0</v>
      </c>
      <c r="Q71" s="19"/>
      <c r="R71" s="18">
        <v>85</v>
      </c>
      <c r="S71" s="18">
        <v>50</v>
      </c>
      <c r="T71" s="18">
        <v>50</v>
      </c>
      <c r="U71" s="18">
        <v>50</v>
      </c>
      <c r="V71" s="18">
        <v>50</v>
      </c>
      <c r="W71" s="18">
        <v>50</v>
      </c>
      <c r="X71" s="18"/>
      <c r="Y71" s="18">
        <v>10.199999999999999</v>
      </c>
      <c r="Z71" s="18">
        <v>5.6</v>
      </c>
      <c r="AA71" s="18">
        <v>3.4999999999999996</v>
      </c>
      <c r="AB71" s="18">
        <v>5.6</v>
      </c>
      <c r="AC71" s="18">
        <v>22</v>
      </c>
      <c r="AD71" s="18">
        <v>0.3</v>
      </c>
      <c r="AE71" s="18">
        <v>0</v>
      </c>
      <c r="AF71" s="18">
        <v>180</v>
      </c>
      <c r="AG71" s="18">
        <v>33</v>
      </c>
      <c r="AH71" s="18">
        <v>50</v>
      </c>
      <c r="AI71" s="18">
        <v>76</v>
      </c>
      <c r="AJ71" s="18">
        <v>0</v>
      </c>
      <c r="AK71" s="18">
        <v>0.12</v>
      </c>
      <c r="AL71" s="18"/>
      <c r="AM71" s="18">
        <v>6.7</v>
      </c>
      <c r="AN71" s="18">
        <v>1.6</v>
      </c>
      <c r="AO71" s="18">
        <v>1</v>
      </c>
      <c r="AP71" s="18">
        <v>4.9000000000000004</v>
      </c>
      <c r="AQ71" s="18">
        <v>1.3</v>
      </c>
      <c r="AR71" s="18">
        <v>4.0999999999999996</v>
      </c>
      <c r="AS71" s="18">
        <v>7</v>
      </c>
      <c r="AT71" s="18">
        <v>2.2999999999999998</v>
      </c>
      <c r="AU71" s="18">
        <v>4.2</v>
      </c>
      <c r="AV71" s="18">
        <v>3.6</v>
      </c>
      <c r="AW71" s="18">
        <v>2.6</v>
      </c>
      <c r="AX71" s="18"/>
      <c r="AY71" s="18">
        <v>1</v>
      </c>
      <c r="AZ71" s="18">
        <v>1</v>
      </c>
      <c r="BA71" s="18">
        <v>1</v>
      </c>
      <c r="BB71" s="18">
        <v>1</v>
      </c>
      <c r="BC71" s="18">
        <v>1</v>
      </c>
      <c r="BD71" s="18">
        <v>1</v>
      </c>
      <c r="BE71" s="18">
        <v>1</v>
      </c>
      <c r="BF71" s="18">
        <v>1</v>
      </c>
      <c r="BG71" s="18">
        <v>1</v>
      </c>
      <c r="BH71" s="18">
        <v>1</v>
      </c>
      <c r="BI71" s="18">
        <v>1</v>
      </c>
      <c r="BJ71" s="19"/>
      <c r="BK71" s="18">
        <v>45.699999999999996</v>
      </c>
      <c r="BL71" s="18">
        <v>5.7</v>
      </c>
      <c r="BM71" s="18">
        <v>9.6</v>
      </c>
      <c r="BN71" s="18">
        <v>0</v>
      </c>
      <c r="BO71" s="18"/>
      <c r="BP71" s="18">
        <v>0</v>
      </c>
      <c r="BQ71" s="18">
        <v>0</v>
      </c>
      <c r="BR71" s="18">
        <v>0.93852373209446205</v>
      </c>
      <c r="BS71" s="18">
        <v>0.99621863005565958</v>
      </c>
      <c r="BT71" s="19"/>
      <c r="BU71" s="18">
        <v>903.99999999999989</v>
      </c>
      <c r="BV71" s="18">
        <v>38.050285714285714</v>
      </c>
      <c r="BW71" s="18">
        <v>276.36571428571386</v>
      </c>
      <c r="BX71" s="18" t="s">
        <v>217</v>
      </c>
      <c r="BY71" s="18" t="s">
        <v>217</v>
      </c>
      <c r="BZ71" s="18" t="s">
        <v>217</v>
      </c>
      <c r="CA71" s="18" t="s">
        <v>217</v>
      </c>
      <c r="CB71" s="19"/>
      <c r="CC71" s="19">
        <v>2.4276</v>
      </c>
      <c r="CD71" s="19">
        <v>1.3328</v>
      </c>
      <c r="CE71" s="19">
        <v>0.83299999999999996</v>
      </c>
      <c r="CF71" s="19">
        <v>1.3328</v>
      </c>
      <c r="CG71" s="19">
        <v>5.2360000000000007</v>
      </c>
      <c r="CH71" s="19">
        <v>7.1400000000000005E-2</v>
      </c>
      <c r="CI71" s="19">
        <v>0</v>
      </c>
      <c r="CJ71" s="19"/>
      <c r="CK71" s="19">
        <v>42.84</v>
      </c>
      <c r="CL71" s="19">
        <v>7.854000000000001</v>
      </c>
      <c r="CM71" s="19">
        <v>11.9</v>
      </c>
      <c r="CN71" s="19">
        <v>18.088000000000001</v>
      </c>
      <c r="CO71" s="19">
        <v>0</v>
      </c>
      <c r="CP71" s="19">
        <v>2.8560000000000002E-2</v>
      </c>
      <c r="CQ71" s="19">
        <v>92.451099999999997</v>
      </c>
      <c r="CR71" s="19">
        <v>413.89470155764013</v>
      </c>
      <c r="CS71" s="19">
        <v>27.730945004361889</v>
      </c>
      <c r="CT71" s="19">
        <v>6.6223152249222412</v>
      </c>
      <c r="CU71" s="19">
        <v>4.1389470155764014</v>
      </c>
      <c r="CV71" s="19">
        <v>10.761262240498644</v>
      </c>
      <c r="CW71" s="19">
        <v>20.280840376324367</v>
      </c>
      <c r="CX71" s="19">
        <v>5.3806311202493218</v>
      </c>
      <c r="CY71" s="19">
        <v>16.969682763863243</v>
      </c>
      <c r="CZ71" s="19">
        <v>28.972629109034809</v>
      </c>
      <c r="DA71" s="19">
        <v>9.5195781358257214</v>
      </c>
      <c r="DB71" s="19">
        <v>17.383577465420885</v>
      </c>
      <c r="DC71" s="19">
        <v>14.900209256075044</v>
      </c>
      <c r="DD71" s="19">
        <v>32.283786721495929</v>
      </c>
      <c r="DE71" s="19">
        <v>10.761262240498644</v>
      </c>
      <c r="DF71" s="23">
        <v>0</v>
      </c>
      <c r="DG71" s="23">
        <v>0</v>
      </c>
      <c r="DH71" s="23">
        <v>0</v>
      </c>
      <c r="DI71" s="19">
        <v>0</v>
      </c>
      <c r="DJ71" s="19">
        <v>0</v>
      </c>
      <c r="DK71" s="19">
        <v>0</v>
      </c>
      <c r="DL71" s="19">
        <v>0</v>
      </c>
      <c r="DM71" s="19">
        <v>0</v>
      </c>
      <c r="DN71" s="19">
        <v>0</v>
      </c>
      <c r="DO71" s="19">
        <v>0</v>
      </c>
      <c r="DP71" s="19">
        <v>0</v>
      </c>
      <c r="DQ71" s="19">
        <v>0</v>
      </c>
      <c r="DR71" s="19">
        <v>0</v>
      </c>
      <c r="DS71" s="19">
        <v>0</v>
      </c>
      <c r="DT71" s="19">
        <v>0</v>
      </c>
      <c r="DU71" s="19">
        <v>0</v>
      </c>
      <c r="DV71" s="19">
        <v>0</v>
      </c>
      <c r="DW71" s="17" t="s">
        <v>333</v>
      </c>
      <c r="DX71" s="22" t="s">
        <v>218</v>
      </c>
      <c r="DY71" s="22" t="s">
        <v>218</v>
      </c>
      <c r="DZ71" s="22" t="s">
        <v>218</v>
      </c>
      <c r="EA71" s="22" t="s">
        <v>218</v>
      </c>
      <c r="EB71" s="22" t="s">
        <v>218</v>
      </c>
      <c r="EC71" s="22" t="s">
        <v>218</v>
      </c>
      <c r="ED71" s="22" t="s">
        <v>218</v>
      </c>
      <c r="EE71" s="22" t="s">
        <v>218</v>
      </c>
      <c r="EF71" s="22" t="s">
        <v>218</v>
      </c>
      <c r="EG71" s="22" t="s">
        <v>218</v>
      </c>
      <c r="EH71" s="22" t="s">
        <v>218</v>
      </c>
      <c r="EI71" s="22" t="s">
        <v>218</v>
      </c>
      <c r="EJ71" s="22" t="s">
        <v>218</v>
      </c>
      <c r="EK71" s="22" t="s">
        <v>218</v>
      </c>
      <c r="EL71" s="22" t="s">
        <v>218</v>
      </c>
      <c r="EM71" s="22" t="s">
        <v>218</v>
      </c>
      <c r="EN71" s="22" t="s">
        <v>218</v>
      </c>
      <c r="EO71" s="22" t="s">
        <v>218</v>
      </c>
      <c r="EP71" s="22" t="s">
        <v>218</v>
      </c>
      <c r="EQ71" s="22" t="s">
        <v>218</v>
      </c>
      <c r="ER71" s="22" t="s">
        <v>218</v>
      </c>
      <c r="ES71" s="22" t="s">
        <v>218</v>
      </c>
      <c r="ET71" s="22" t="s">
        <v>218</v>
      </c>
      <c r="EU71" s="22" t="s">
        <v>218</v>
      </c>
      <c r="EV71" s="22" t="s">
        <v>218</v>
      </c>
      <c r="EW71" s="22" t="s">
        <v>218</v>
      </c>
      <c r="EX71" s="22" t="s">
        <v>218</v>
      </c>
      <c r="EY71" s="22" t="s">
        <v>218</v>
      </c>
      <c r="EZ71" s="22" t="s">
        <v>218</v>
      </c>
      <c r="FA71" s="22" t="s">
        <v>218</v>
      </c>
      <c r="FB71" s="22" t="s">
        <v>218</v>
      </c>
      <c r="FC71" s="22" t="s">
        <v>218</v>
      </c>
      <c r="FD71" s="22" t="s">
        <v>218</v>
      </c>
      <c r="FE71" s="22" t="s">
        <v>218</v>
      </c>
      <c r="FF71" s="22" t="s">
        <v>218</v>
      </c>
      <c r="FG71" s="22" t="s">
        <v>218</v>
      </c>
      <c r="FH71" s="22" t="s">
        <v>218</v>
      </c>
      <c r="FI71" s="22" t="s">
        <v>218</v>
      </c>
      <c r="FJ71" s="22" t="s">
        <v>218</v>
      </c>
      <c r="FK71" s="22" t="s">
        <v>218</v>
      </c>
      <c r="FL71" s="22" t="s">
        <v>218</v>
      </c>
      <c r="FM71" s="22" t="s">
        <v>218</v>
      </c>
      <c r="FN71" s="22" t="s">
        <v>218</v>
      </c>
      <c r="FO71" s="22" t="s">
        <v>218</v>
      </c>
      <c r="FP71" s="22" t="s">
        <v>218</v>
      </c>
      <c r="FQ71" s="22" t="s">
        <v>218</v>
      </c>
      <c r="FR71" s="22" t="s">
        <v>218</v>
      </c>
      <c r="FS71" s="22" t="s">
        <v>218</v>
      </c>
      <c r="FT71" s="22" t="s">
        <v>218</v>
      </c>
      <c r="FU71" s="22" t="s">
        <v>218</v>
      </c>
      <c r="FV71" s="22" t="s">
        <v>218</v>
      </c>
      <c r="FW71" s="22" t="s">
        <v>218</v>
      </c>
      <c r="FX71" s="22" t="s">
        <v>218</v>
      </c>
      <c r="FY71" s="22" t="s">
        <v>218</v>
      </c>
      <c r="FZ71" s="22" t="s">
        <v>218</v>
      </c>
      <c r="GA71" s="22" t="s">
        <v>218</v>
      </c>
      <c r="GB71" s="22" t="s">
        <v>218</v>
      </c>
      <c r="GC71" s="22" t="s">
        <v>218</v>
      </c>
      <c r="GD71" s="22" t="s">
        <v>218</v>
      </c>
      <c r="GE71" s="22" t="s">
        <v>218</v>
      </c>
      <c r="GF71" s="22" t="s">
        <v>218</v>
      </c>
      <c r="GG71" s="22" t="s">
        <v>218</v>
      </c>
      <c r="GH71" s="22" t="s">
        <v>218</v>
      </c>
      <c r="GI71" s="22" t="s">
        <v>218</v>
      </c>
      <c r="GJ71" s="22" t="s">
        <v>218</v>
      </c>
      <c r="GK71" s="22" t="s">
        <v>218</v>
      </c>
      <c r="GL71" s="22" t="s">
        <v>218</v>
      </c>
      <c r="GM71" s="22" t="s">
        <v>218</v>
      </c>
      <c r="GN71" s="22" t="s">
        <v>218</v>
      </c>
      <c r="GO71" s="22" t="s">
        <v>218</v>
      </c>
      <c r="GP71" s="22" t="s">
        <v>218</v>
      </c>
      <c r="GQ71" s="22" t="s">
        <v>218</v>
      </c>
      <c r="GR71" s="22" t="s">
        <v>218</v>
      </c>
      <c r="GS71" s="22" t="s">
        <v>218</v>
      </c>
      <c r="GT71" s="22" t="s">
        <v>218</v>
      </c>
      <c r="GU71" s="22" t="s">
        <v>218</v>
      </c>
      <c r="GV71" s="22" t="s">
        <v>218</v>
      </c>
      <c r="GW71" s="22" t="s">
        <v>218</v>
      </c>
      <c r="GX71" s="22" t="s">
        <v>218</v>
      </c>
      <c r="GY71" s="22" t="s">
        <v>218</v>
      </c>
      <c r="GZ71" s="22" t="s">
        <v>218</v>
      </c>
      <c r="HA71" s="22" t="s">
        <v>218</v>
      </c>
      <c r="HB71" s="22" t="s">
        <v>218</v>
      </c>
      <c r="HC71" s="22" t="s">
        <v>218</v>
      </c>
      <c r="HD71" s="22" t="s">
        <v>218</v>
      </c>
      <c r="HE71" s="22" t="s">
        <v>218</v>
      </c>
      <c r="HF71" s="22" t="s">
        <v>218</v>
      </c>
      <c r="HG71" s="22" t="s">
        <v>218</v>
      </c>
      <c r="HH71" s="22" t="s">
        <v>218</v>
      </c>
      <c r="HI71" s="22" t="s">
        <v>218</v>
      </c>
      <c r="HJ71" s="22" t="s">
        <v>218</v>
      </c>
      <c r="HK71" s="22" t="s">
        <v>218</v>
      </c>
      <c r="HL71" s="22" t="s">
        <v>218</v>
      </c>
      <c r="HM71" s="860"/>
      <c r="HN71" s="860"/>
      <c r="HO71" s="860"/>
      <c r="HP71" s="860"/>
      <c r="HQ71" s="860"/>
      <c r="HR71" s="860"/>
      <c r="HS71" s="860"/>
      <c r="HT71" s="145"/>
      <c r="HU71" s="145" t="s">
        <v>1809</v>
      </c>
      <c r="HV71" s="22" t="s">
        <v>1938</v>
      </c>
      <c r="HW71" s="22" t="s">
        <v>334</v>
      </c>
      <c r="HX71" s="22" t="s">
        <v>335</v>
      </c>
      <c r="HY71" s="22" t="s">
        <v>336</v>
      </c>
      <c r="HZ71" s="19"/>
      <c r="IA71" s="19"/>
      <c r="IB71" s="621">
        <f>'background data'!$G$10</f>
        <v>0.47300000000000003</v>
      </c>
      <c r="IC71" s="621">
        <f>'background data'!$H$10</f>
        <v>0.13</v>
      </c>
      <c r="ID71" s="621">
        <f>'background data'!$J$10</f>
        <v>0.39100000000000001</v>
      </c>
      <c r="IE71" s="621">
        <f>'background data'!$L$10</f>
        <v>5.5E-2</v>
      </c>
      <c r="IF71" s="621">
        <f>'background data'!$M$10</f>
        <v>3.97</v>
      </c>
      <c r="IG71" s="621">
        <f>'background data'!$N$10</f>
        <v>4.5999999999999999E-3</v>
      </c>
      <c r="IH71" s="621">
        <f>'background data'!$O$10</f>
        <v>2.73</v>
      </c>
      <c r="II71" s="145"/>
      <c r="IJ71" s="145"/>
      <c r="IK71" s="145"/>
      <c r="IL71" s="145"/>
      <c r="IM71" s="145"/>
      <c r="IN71" s="145"/>
      <c r="IO71" s="145"/>
      <c r="IP71" s="145"/>
      <c r="IQ71" s="145"/>
      <c r="IR71" s="145"/>
      <c r="IS71" s="145"/>
      <c r="IT71" s="145"/>
      <c r="IU71" s="145"/>
      <c r="IV71" s="145"/>
      <c r="IW71" s="145"/>
      <c r="IX71" s="145"/>
      <c r="IY71" s="145"/>
      <c r="IZ71" s="145"/>
      <c r="JA71" s="145"/>
      <c r="JB71" s="145"/>
      <c r="JC71" s="145"/>
      <c r="JD71" s="145"/>
      <c r="JE71" s="145"/>
      <c r="JF71" s="145"/>
      <c r="JG71" s="145"/>
      <c r="JH71" s="145"/>
      <c r="JI71" s="145"/>
      <c r="JJ71" s="145"/>
      <c r="JK71" s="145"/>
      <c r="JL71" s="145"/>
      <c r="JM71" s="145"/>
      <c r="JN71" s="145"/>
      <c r="JO71" s="145"/>
      <c r="JP71" s="145"/>
      <c r="JQ71" s="145"/>
      <c r="JR71" s="145"/>
      <c r="JS71" s="145"/>
      <c r="JT71" s="145"/>
      <c r="JU71" s="145"/>
      <c r="JV71" s="145"/>
      <c r="JW71" s="145"/>
      <c r="JX71" s="145"/>
      <c r="JY71" s="145"/>
      <c r="JZ71" s="145"/>
      <c r="KA71" s="145"/>
      <c r="KB71" s="145"/>
      <c r="KC71" s="145"/>
      <c r="KD71" s="145"/>
      <c r="KE71" s="145"/>
      <c r="KF71" s="145"/>
      <c r="KG71" s="145"/>
      <c r="KH71" s="145"/>
      <c r="KI71" s="145"/>
      <c r="KJ71" s="145"/>
      <c r="KK71" s="145"/>
      <c r="KL71" s="145"/>
      <c r="KM71" s="145"/>
      <c r="KN71" s="145"/>
      <c r="KO71" s="145"/>
      <c r="KP71" s="145"/>
      <c r="KQ71" s="145"/>
      <c r="KR71" s="145"/>
      <c r="KS71" s="145"/>
      <c r="KT71" s="145"/>
      <c r="KU71" s="145"/>
      <c r="KV71" s="145"/>
      <c r="KW71" s="145"/>
      <c r="KX71" s="145"/>
      <c r="KY71" s="145"/>
      <c r="KZ71" s="145"/>
      <c r="LA71" s="145"/>
      <c r="LB71" s="145"/>
      <c r="LC71" s="145"/>
      <c r="LD71" s="145"/>
      <c r="LE71" s="145"/>
      <c r="LF71" s="145"/>
      <c r="LG71" s="145"/>
      <c r="LH71" s="145"/>
      <c r="LI71" s="145"/>
      <c r="LJ71" s="145"/>
      <c r="LK71" s="145"/>
      <c r="LL71" s="145"/>
      <c r="LM71" s="145"/>
      <c r="LN71" s="145"/>
      <c r="LO71" s="145"/>
      <c r="LP71" s="145"/>
      <c r="LQ71" s="145"/>
      <c r="LR71" s="145"/>
      <c r="LS71" s="145"/>
      <c r="LT71" s="145"/>
      <c r="LU71" s="145"/>
      <c r="LV71" s="145"/>
      <c r="LW71" s="145"/>
      <c r="LX71" s="145"/>
      <c r="LY71" s="145"/>
      <c r="LZ71" s="145"/>
      <c r="MA71" s="145"/>
      <c r="MB71" s="145"/>
      <c r="MC71" s="145"/>
      <c r="MD71" s="145"/>
      <c r="ME71" s="145"/>
      <c r="MF71" s="145"/>
      <c r="MG71" s="145"/>
      <c r="MH71" s="145"/>
      <c r="MI71" s="145"/>
      <c r="MJ71" s="145"/>
      <c r="MK71" s="145"/>
      <c r="ML71" s="145"/>
      <c r="MM71" s="145"/>
      <c r="MN71" s="145"/>
      <c r="MO71" s="145"/>
      <c r="MP71" s="145"/>
      <c r="MQ71" s="145"/>
      <c r="MR71" s="145"/>
      <c r="MS71" s="145"/>
      <c r="MT71" s="145"/>
      <c r="MU71" s="145"/>
      <c r="MV71" s="145"/>
      <c r="MW71" s="145"/>
      <c r="MX71" s="145"/>
      <c r="MY71" s="145"/>
      <c r="MZ71" s="145"/>
      <c r="NA71" s="145"/>
      <c r="NB71" s="145"/>
      <c r="NC71" s="145"/>
      <c r="ND71" s="145"/>
      <c r="NE71" s="145"/>
      <c r="NF71" s="145"/>
      <c r="NG71" s="145"/>
      <c r="NH71" s="145"/>
      <c r="NI71" s="145"/>
      <c r="NJ71" s="145"/>
      <c r="NK71" s="145"/>
      <c r="NL71" s="145"/>
      <c r="NM71" s="145"/>
      <c r="NN71" s="145"/>
      <c r="NO71" s="145"/>
      <c r="NP71" s="145"/>
      <c r="NQ71" s="145"/>
      <c r="NR71" s="145"/>
      <c r="NS71" s="145"/>
    </row>
    <row r="72" spans="1:383" s="16" customFormat="1" ht="15" customHeight="1" x14ac:dyDescent="0.2">
      <c r="A72" s="15">
        <v>93100</v>
      </c>
      <c r="B72" s="25">
        <v>931</v>
      </c>
      <c r="C72" s="26">
        <v>0</v>
      </c>
      <c r="D72" s="20" t="s">
        <v>337</v>
      </c>
      <c r="E72" s="14">
        <v>40310</v>
      </c>
      <c r="F72" s="18">
        <v>0.114078565311653</v>
      </c>
      <c r="G72" s="18">
        <v>0.119653671584416</v>
      </c>
      <c r="H72" s="21">
        <v>89.6</v>
      </c>
      <c r="I72" s="21">
        <v>70</v>
      </c>
      <c r="J72" s="21">
        <v>90</v>
      </c>
      <c r="K72" s="18">
        <v>1</v>
      </c>
      <c r="L72" s="18">
        <v>11.6</v>
      </c>
      <c r="M72" s="18">
        <v>4.2804000000000002</v>
      </c>
      <c r="N72" s="18">
        <v>0.20880000000000001</v>
      </c>
      <c r="O72" s="18">
        <v>0.69599999999999995</v>
      </c>
      <c r="P72" s="18">
        <v>0.27839999999999998</v>
      </c>
      <c r="Q72" s="19"/>
      <c r="R72" s="18">
        <v>85</v>
      </c>
      <c r="S72" s="18">
        <v>50</v>
      </c>
      <c r="T72" s="18">
        <v>50</v>
      </c>
      <c r="U72" s="18">
        <v>50</v>
      </c>
      <c r="V72" s="18">
        <v>50</v>
      </c>
      <c r="W72" s="18">
        <v>50</v>
      </c>
      <c r="X72" s="18"/>
      <c r="Y72" s="18">
        <v>2.5862100000000003</v>
      </c>
      <c r="Z72" s="18">
        <v>11.6</v>
      </c>
      <c r="AA72" s="18">
        <v>0</v>
      </c>
      <c r="AB72" s="18">
        <v>0</v>
      </c>
      <c r="AC72" s="18">
        <v>18.103450000000002</v>
      </c>
      <c r="AD72" s="18">
        <v>1.8000000000000003</v>
      </c>
      <c r="AE72" s="18">
        <v>0</v>
      </c>
      <c r="AF72" s="18">
        <v>570</v>
      </c>
      <c r="AG72" s="18">
        <v>22</v>
      </c>
      <c r="AH72" s="18">
        <v>12</v>
      </c>
      <c r="AI72" s="18">
        <v>54.000000000000007</v>
      </c>
      <c r="AJ72" s="18">
        <v>0</v>
      </c>
      <c r="AK72" s="18">
        <v>0.12000000000000001</v>
      </c>
      <c r="AL72" s="18"/>
      <c r="AM72" s="18">
        <v>6.2</v>
      </c>
      <c r="AN72" s="18">
        <v>1.4</v>
      </c>
      <c r="AO72" s="18">
        <v>1.19</v>
      </c>
      <c r="AP72" s="18">
        <v>4.3000000000000096</v>
      </c>
      <c r="AQ72" s="18">
        <v>0.6</v>
      </c>
      <c r="AR72" s="18">
        <v>0</v>
      </c>
      <c r="AS72" s="18">
        <v>0</v>
      </c>
      <c r="AT72" s="18">
        <v>0</v>
      </c>
      <c r="AU72" s="18">
        <v>0</v>
      </c>
      <c r="AV72" s="18">
        <v>0</v>
      </c>
      <c r="AW72" s="18">
        <v>0</v>
      </c>
      <c r="AX72" s="18"/>
      <c r="AY72" s="18">
        <v>1</v>
      </c>
      <c r="AZ72" s="18">
        <v>1</v>
      </c>
      <c r="BA72" s="18">
        <v>1</v>
      </c>
      <c r="BB72" s="18">
        <v>1</v>
      </c>
      <c r="BC72" s="18">
        <v>1</v>
      </c>
      <c r="BD72" s="18">
        <v>1</v>
      </c>
      <c r="BE72" s="18">
        <v>1</v>
      </c>
      <c r="BF72" s="18">
        <v>1</v>
      </c>
      <c r="BG72" s="18">
        <v>1</v>
      </c>
      <c r="BH72" s="18">
        <v>1</v>
      </c>
      <c r="BI72" s="18">
        <v>1</v>
      </c>
      <c r="BJ72" s="19"/>
      <c r="BK72" s="18">
        <v>36.900000000000006</v>
      </c>
      <c r="BL72" s="18">
        <v>1.8000000000000003</v>
      </c>
      <c r="BM72" s="18">
        <v>6</v>
      </c>
      <c r="BN72" s="18">
        <v>2.4</v>
      </c>
      <c r="BO72" s="18"/>
      <c r="BP72" s="18">
        <v>0</v>
      </c>
      <c r="BQ72" s="18">
        <v>0</v>
      </c>
      <c r="BR72" s="18">
        <v>0.98343590785907764</v>
      </c>
      <c r="BS72" s="18">
        <v>1.0314971688311725</v>
      </c>
      <c r="BT72" s="19"/>
      <c r="BU72" s="18">
        <v>940.00000000000011</v>
      </c>
      <c r="BV72" s="18">
        <v>225.79</v>
      </c>
      <c r="BW72" s="18">
        <v>263.2</v>
      </c>
      <c r="BX72" s="18" t="s">
        <v>217</v>
      </c>
      <c r="BY72" s="18" t="s">
        <v>217</v>
      </c>
      <c r="BZ72" s="18" t="s">
        <v>217</v>
      </c>
      <c r="CA72" s="18" t="s">
        <v>217</v>
      </c>
      <c r="CB72" s="19"/>
      <c r="CC72" s="19">
        <v>0.30000036000000002</v>
      </c>
      <c r="CD72" s="19">
        <v>1.3455999999999999</v>
      </c>
      <c r="CE72" s="19">
        <v>0</v>
      </c>
      <c r="CF72" s="19">
        <v>0</v>
      </c>
      <c r="CG72" s="19">
        <v>2.1000002000000002</v>
      </c>
      <c r="CH72" s="19">
        <v>0.20880000000000001</v>
      </c>
      <c r="CI72" s="19">
        <v>0</v>
      </c>
      <c r="CJ72" s="19"/>
      <c r="CK72" s="19">
        <v>66.11999999999999</v>
      </c>
      <c r="CL72" s="19">
        <v>2.5519999999999996</v>
      </c>
      <c r="CM72" s="19">
        <v>1.3919999999999999</v>
      </c>
      <c r="CN72" s="19">
        <v>6.2640000000000002</v>
      </c>
      <c r="CO72" s="19">
        <v>0</v>
      </c>
      <c r="CP72" s="19">
        <v>1.392E-2</v>
      </c>
      <c r="CQ72" s="19">
        <v>36.383400000000002</v>
      </c>
      <c r="CR72" s="19">
        <v>318.9328328297575</v>
      </c>
      <c r="CS72" s="19">
        <v>19.773835635444964</v>
      </c>
      <c r="CT72" s="19">
        <v>4.465059659616605</v>
      </c>
      <c r="CU72" s="19">
        <v>3.7953007106741143</v>
      </c>
      <c r="CV72" s="19">
        <v>8.2603603702907193</v>
      </c>
      <c r="CW72" s="19">
        <v>13.714111811679572</v>
      </c>
      <c r="CX72" s="19">
        <v>1.9135969969785451</v>
      </c>
      <c r="CY72" s="19">
        <v>0</v>
      </c>
      <c r="CZ72" s="19">
        <v>0</v>
      </c>
      <c r="DA72" s="19">
        <v>0</v>
      </c>
      <c r="DB72" s="19">
        <v>0</v>
      </c>
      <c r="DC72" s="19">
        <v>0</v>
      </c>
      <c r="DD72" s="19">
        <v>0</v>
      </c>
      <c r="DE72" s="19">
        <v>0</v>
      </c>
      <c r="DF72" s="23">
        <v>0</v>
      </c>
      <c r="DG72" s="23">
        <v>0</v>
      </c>
      <c r="DH72" s="23">
        <v>0</v>
      </c>
      <c r="DI72" s="19">
        <v>0</v>
      </c>
      <c r="DJ72" s="19">
        <v>0</v>
      </c>
      <c r="DK72" s="19">
        <v>0</v>
      </c>
      <c r="DL72" s="19">
        <v>0</v>
      </c>
      <c r="DM72" s="19">
        <v>0</v>
      </c>
      <c r="DN72" s="19">
        <v>0</v>
      </c>
      <c r="DO72" s="19">
        <v>0</v>
      </c>
      <c r="DP72" s="19">
        <v>0</v>
      </c>
      <c r="DQ72" s="19">
        <v>0</v>
      </c>
      <c r="DR72" s="19">
        <v>0</v>
      </c>
      <c r="DS72" s="19">
        <v>0</v>
      </c>
      <c r="DT72" s="19">
        <v>0</v>
      </c>
      <c r="DU72" s="19">
        <v>0</v>
      </c>
      <c r="DV72" s="19">
        <v>0</v>
      </c>
      <c r="DW72" s="17" t="s">
        <v>333</v>
      </c>
      <c r="DX72" s="22" t="s">
        <v>218</v>
      </c>
      <c r="DY72" s="22" t="s">
        <v>218</v>
      </c>
      <c r="DZ72" s="22" t="s">
        <v>218</v>
      </c>
      <c r="EA72" s="22" t="s">
        <v>218</v>
      </c>
      <c r="EB72" s="22" t="s">
        <v>218</v>
      </c>
      <c r="EC72" s="22" t="s">
        <v>218</v>
      </c>
      <c r="ED72" s="22" t="s">
        <v>218</v>
      </c>
      <c r="EE72" s="22" t="s">
        <v>218</v>
      </c>
      <c r="EF72" s="22" t="s">
        <v>218</v>
      </c>
      <c r="EG72" s="22" t="s">
        <v>218</v>
      </c>
      <c r="EH72" s="22" t="s">
        <v>218</v>
      </c>
      <c r="EI72" s="22" t="s">
        <v>218</v>
      </c>
      <c r="EJ72" s="22" t="s">
        <v>218</v>
      </c>
      <c r="EK72" s="22" t="s">
        <v>218</v>
      </c>
      <c r="EL72" s="22" t="s">
        <v>218</v>
      </c>
      <c r="EM72" s="22" t="s">
        <v>218</v>
      </c>
      <c r="EN72" s="22" t="s">
        <v>218</v>
      </c>
      <c r="EO72" s="22" t="s">
        <v>218</v>
      </c>
      <c r="EP72" s="22" t="s">
        <v>218</v>
      </c>
      <c r="EQ72" s="22" t="s">
        <v>218</v>
      </c>
      <c r="ER72" s="22" t="s">
        <v>218</v>
      </c>
      <c r="ES72" s="22" t="s">
        <v>218</v>
      </c>
      <c r="ET72" s="22" t="s">
        <v>218</v>
      </c>
      <c r="EU72" s="22" t="s">
        <v>218</v>
      </c>
      <c r="EV72" s="22" t="s">
        <v>218</v>
      </c>
      <c r="EW72" s="22" t="s">
        <v>218</v>
      </c>
      <c r="EX72" s="22" t="s">
        <v>218</v>
      </c>
      <c r="EY72" s="22" t="s">
        <v>218</v>
      </c>
      <c r="EZ72" s="22" t="s">
        <v>218</v>
      </c>
      <c r="FA72" s="22" t="s">
        <v>218</v>
      </c>
      <c r="FB72" s="22" t="s">
        <v>218</v>
      </c>
      <c r="FC72" s="22" t="s">
        <v>218</v>
      </c>
      <c r="FD72" s="22" t="s">
        <v>218</v>
      </c>
      <c r="FE72" s="22" t="s">
        <v>218</v>
      </c>
      <c r="FF72" s="22" t="s">
        <v>218</v>
      </c>
      <c r="FG72" s="22" t="s">
        <v>218</v>
      </c>
      <c r="FH72" s="22" t="s">
        <v>218</v>
      </c>
      <c r="FI72" s="22" t="s">
        <v>218</v>
      </c>
      <c r="FJ72" s="22" t="s">
        <v>218</v>
      </c>
      <c r="FK72" s="22" t="s">
        <v>218</v>
      </c>
      <c r="FL72" s="22" t="s">
        <v>218</v>
      </c>
      <c r="FM72" s="22" t="s">
        <v>218</v>
      </c>
      <c r="FN72" s="22" t="s">
        <v>218</v>
      </c>
      <c r="FO72" s="22" t="s">
        <v>218</v>
      </c>
      <c r="FP72" s="22" t="s">
        <v>218</v>
      </c>
      <c r="FQ72" s="22" t="s">
        <v>218</v>
      </c>
      <c r="FR72" s="22" t="s">
        <v>218</v>
      </c>
      <c r="FS72" s="22" t="s">
        <v>218</v>
      </c>
      <c r="FT72" s="22" t="s">
        <v>218</v>
      </c>
      <c r="FU72" s="22" t="s">
        <v>218</v>
      </c>
      <c r="FV72" s="22" t="s">
        <v>218</v>
      </c>
      <c r="FW72" s="22" t="s">
        <v>218</v>
      </c>
      <c r="FX72" s="22" t="s">
        <v>218</v>
      </c>
      <c r="FY72" s="22" t="s">
        <v>218</v>
      </c>
      <c r="FZ72" s="22" t="s">
        <v>218</v>
      </c>
      <c r="GA72" s="22" t="s">
        <v>218</v>
      </c>
      <c r="GB72" s="22" t="s">
        <v>218</v>
      </c>
      <c r="GC72" s="22" t="s">
        <v>218</v>
      </c>
      <c r="GD72" s="22" t="s">
        <v>218</v>
      </c>
      <c r="GE72" s="22" t="s">
        <v>218</v>
      </c>
      <c r="GF72" s="22" t="s">
        <v>218</v>
      </c>
      <c r="GG72" s="22" t="s">
        <v>218</v>
      </c>
      <c r="GH72" s="22" t="s">
        <v>218</v>
      </c>
      <c r="GI72" s="22" t="s">
        <v>218</v>
      </c>
      <c r="GJ72" s="22" t="s">
        <v>218</v>
      </c>
      <c r="GK72" s="22" t="s">
        <v>218</v>
      </c>
      <c r="GL72" s="22" t="s">
        <v>218</v>
      </c>
      <c r="GM72" s="22" t="s">
        <v>218</v>
      </c>
      <c r="GN72" s="22" t="s">
        <v>218</v>
      </c>
      <c r="GO72" s="22" t="s">
        <v>218</v>
      </c>
      <c r="GP72" s="22" t="s">
        <v>218</v>
      </c>
      <c r="GQ72" s="22" t="s">
        <v>218</v>
      </c>
      <c r="GR72" s="22" t="s">
        <v>218</v>
      </c>
      <c r="GS72" s="22" t="s">
        <v>218</v>
      </c>
      <c r="GT72" s="22" t="s">
        <v>218</v>
      </c>
      <c r="GU72" s="22" t="s">
        <v>218</v>
      </c>
      <c r="GV72" s="22" t="s">
        <v>218</v>
      </c>
      <c r="GW72" s="22" t="s">
        <v>218</v>
      </c>
      <c r="GX72" s="22" t="s">
        <v>218</v>
      </c>
      <c r="GY72" s="22" t="s">
        <v>218</v>
      </c>
      <c r="GZ72" s="22" t="s">
        <v>218</v>
      </c>
      <c r="HA72" s="22" t="s">
        <v>218</v>
      </c>
      <c r="HB72" s="22" t="s">
        <v>218</v>
      </c>
      <c r="HC72" s="22" t="s">
        <v>218</v>
      </c>
      <c r="HD72" s="22" t="s">
        <v>218</v>
      </c>
      <c r="HE72" s="22" t="s">
        <v>218</v>
      </c>
      <c r="HF72" s="22" t="s">
        <v>218</v>
      </c>
      <c r="HG72" s="22" t="s">
        <v>218</v>
      </c>
      <c r="HH72" s="22" t="s">
        <v>218</v>
      </c>
      <c r="HI72" s="22" t="s">
        <v>218</v>
      </c>
      <c r="HJ72" s="22" t="s">
        <v>218</v>
      </c>
      <c r="HK72" s="22" t="s">
        <v>218</v>
      </c>
      <c r="HL72" s="22" t="s">
        <v>218</v>
      </c>
      <c r="HM72" s="860"/>
      <c r="HN72" s="860"/>
      <c r="HO72" s="860"/>
      <c r="HP72" s="860"/>
      <c r="HQ72" s="860"/>
      <c r="HR72" s="860"/>
      <c r="HS72" s="860"/>
      <c r="HT72" s="145"/>
      <c r="HU72" s="145" t="s">
        <v>1809</v>
      </c>
      <c r="HV72" s="22" t="s">
        <v>1938</v>
      </c>
      <c r="HW72" s="22" t="s">
        <v>334</v>
      </c>
      <c r="HX72" s="22" t="s">
        <v>335</v>
      </c>
      <c r="HY72" s="22" t="s">
        <v>336</v>
      </c>
      <c r="HZ72" s="19"/>
      <c r="IA72" s="19"/>
      <c r="IB72" s="621">
        <f>'background data'!$G$10</f>
        <v>0.47300000000000003</v>
      </c>
      <c r="IC72" s="621">
        <f>'background data'!$H$10</f>
        <v>0.13</v>
      </c>
      <c r="ID72" s="621">
        <f>'background data'!$J$10</f>
        <v>0.39100000000000001</v>
      </c>
      <c r="IE72" s="621">
        <f>'background data'!$L$10</f>
        <v>5.5E-2</v>
      </c>
      <c r="IF72" s="621">
        <f>'background data'!$M$10</f>
        <v>3.97</v>
      </c>
      <c r="IG72" s="621">
        <f>'background data'!$N$10</f>
        <v>4.5999999999999999E-3</v>
      </c>
      <c r="IH72" s="621">
        <f>'background data'!$O$10</f>
        <v>2.73</v>
      </c>
      <c r="II72" s="145"/>
      <c r="IJ72" s="145"/>
      <c r="IK72" s="145"/>
      <c r="IL72" s="145"/>
      <c r="IM72" s="145"/>
      <c r="IN72" s="145"/>
      <c r="IO72" s="145"/>
      <c r="IP72" s="145"/>
      <c r="IQ72" s="145"/>
      <c r="IR72" s="145"/>
      <c r="IS72" s="145"/>
      <c r="IT72" s="145"/>
      <c r="IU72" s="145"/>
      <c r="IV72" s="145"/>
      <c r="IW72" s="145"/>
      <c r="IX72" s="145"/>
      <c r="IY72" s="145"/>
      <c r="IZ72" s="145"/>
      <c r="JA72" s="145"/>
      <c r="JB72" s="145"/>
      <c r="JC72" s="145"/>
      <c r="JD72" s="145"/>
      <c r="JE72" s="145"/>
      <c r="JF72" s="145"/>
      <c r="JG72" s="145"/>
      <c r="JH72" s="145"/>
      <c r="JI72" s="145"/>
      <c r="JJ72" s="145"/>
      <c r="JK72" s="145"/>
      <c r="JL72" s="145"/>
      <c r="JM72" s="145"/>
      <c r="JN72" s="145"/>
      <c r="JO72" s="145"/>
      <c r="JP72" s="145"/>
      <c r="JQ72" s="145"/>
      <c r="JR72" s="145"/>
      <c r="JS72" s="145"/>
      <c r="JT72" s="145"/>
      <c r="JU72" s="145"/>
      <c r="JV72" s="145"/>
      <c r="JW72" s="145"/>
      <c r="JX72" s="145"/>
      <c r="JY72" s="145"/>
      <c r="JZ72" s="145"/>
      <c r="KA72" s="145"/>
      <c r="KB72" s="145"/>
      <c r="KC72" s="145"/>
      <c r="KD72" s="145"/>
      <c r="KE72" s="145"/>
      <c r="KF72" s="145"/>
      <c r="KG72" s="145"/>
      <c r="KH72" s="145"/>
      <c r="KI72" s="145"/>
      <c r="KJ72" s="145"/>
      <c r="KK72" s="145"/>
      <c r="KL72" s="145"/>
      <c r="KM72" s="145"/>
      <c r="KN72" s="145"/>
      <c r="KO72" s="145"/>
      <c r="KP72" s="145"/>
      <c r="KQ72" s="145"/>
      <c r="KR72" s="145"/>
      <c r="KS72" s="145"/>
      <c r="KT72" s="145"/>
      <c r="KU72" s="145"/>
      <c r="KV72" s="145"/>
      <c r="KW72" s="145"/>
      <c r="KX72" s="145"/>
      <c r="KY72" s="145"/>
      <c r="KZ72" s="145"/>
      <c r="LA72" s="145"/>
      <c r="LB72" s="145"/>
      <c r="LC72" s="145"/>
      <c r="LD72" s="145"/>
      <c r="LE72" s="145"/>
      <c r="LF72" s="145"/>
      <c r="LG72" s="145"/>
      <c r="LH72" s="145"/>
      <c r="LI72" s="145"/>
      <c r="LJ72" s="145"/>
      <c r="LK72" s="145"/>
      <c r="LL72" s="145"/>
      <c r="LM72" s="145"/>
      <c r="LN72" s="145"/>
      <c r="LO72" s="145"/>
      <c r="LP72" s="145"/>
      <c r="LQ72" s="145"/>
      <c r="LR72" s="145"/>
      <c r="LS72" s="145"/>
      <c r="LT72" s="145"/>
      <c r="LU72" s="145"/>
      <c r="LV72" s="145"/>
      <c r="LW72" s="145"/>
      <c r="LX72" s="145"/>
      <c r="LY72" s="145"/>
      <c r="LZ72" s="145"/>
      <c r="MA72" s="145"/>
      <c r="MB72" s="145"/>
      <c r="MC72" s="145"/>
      <c r="MD72" s="145"/>
      <c r="ME72" s="145"/>
      <c r="MF72" s="145"/>
      <c r="MG72" s="145"/>
      <c r="MH72" s="145"/>
      <c r="MI72" s="145"/>
      <c r="MJ72" s="145"/>
      <c r="MK72" s="145"/>
      <c r="ML72" s="145"/>
      <c r="MM72" s="145"/>
      <c r="MN72" s="145"/>
      <c r="MO72" s="145"/>
      <c r="MP72" s="145"/>
      <c r="MQ72" s="145"/>
      <c r="MR72" s="145"/>
      <c r="MS72" s="145"/>
      <c r="MT72" s="145"/>
      <c r="MU72" s="145"/>
      <c r="MV72" s="145"/>
      <c r="MW72" s="145"/>
      <c r="MX72" s="145"/>
      <c r="MY72" s="145"/>
      <c r="MZ72" s="145"/>
      <c r="NA72" s="145"/>
      <c r="NB72" s="145"/>
      <c r="NC72" s="145"/>
      <c r="ND72" s="145"/>
      <c r="NE72" s="145"/>
      <c r="NF72" s="145"/>
      <c r="NG72" s="145"/>
      <c r="NH72" s="145"/>
      <c r="NI72" s="145"/>
      <c r="NJ72" s="145"/>
      <c r="NK72" s="145"/>
      <c r="NL72" s="145"/>
      <c r="NM72" s="145"/>
      <c r="NN72" s="145"/>
      <c r="NO72" s="145"/>
      <c r="NP72" s="145"/>
      <c r="NQ72" s="145"/>
      <c r="NR72" s="145"/>
      <c r="NS72" s="145"/>
    </row>
    <row r="73" spans="1:383" s="16" customFormat="1" ht="15" customHeight="1" x14ac:dyDescent="0.2">
      <c r="A73" s="15">
        <v>53010</v>
      </c>
      <c r="B73" s="25">
        <v>530</v>
      </c>
      <c r="C73" s="26">
        <v>10</v>
      </c>
      <c r="D73" s="20" t="s">
        <v>338</v>
      </c>
      <c r="E73" s="14">
        <v>42678</v>
      </c>
      <c r="F73" s="18">
        <v>0.83289922570654296</v>
      </c>
      <c r="G73" s="18">
        <v>0.86901812764378705</v>
      </c>
      <c r="H73" s="21">
        <v>69.400000000000006</v>
      </c>
      <c r="I73" s="21">
        <v>63.699969799999998</v>
      </c>
      <c r="J73" s="21">
        <v>91</v>
      </c>
      <c r="K73" s="18">
        <v>1</v>
      </c>
      <c r="L73" s="18">
        <v>85</v>
      </c>
      <c r="M73" s="18">
        <v>9.1999999999999904</v>
      </c>
      <c r="N73" s="18">
        <v>4.8</v>
      </c>
      <c r="O73" s="18">
        <v>2.2999999999999998</v>
      </c>
      <c r="P73" s="18">
        <v>11</v>
      </c>
      <c r="Q73" s="19"/>
      <c r="R73" s="18">
        <v>67.278493167701797</v>
      </c>
      <c r="S73" s="18">
        <v>27</v>
      </c>
      <c r="T73" s="18">
        <v>39</v>
      </c>
      <c r="U73" s="18">
        <v>43</v>
      </c>
      <c r="V73" s="18">
        <v>47</v>
      </c>
      <c r="W73" s="18">
        <v>50</v>
      </c>
      <c r="X73" s="18"/>
      <c r="Y73" s="18">
        <v>0.9882352941176471</v>
      </c>
      <c r="Z73" s="18">
        <v>3.6470588235294117</v>
      </c>
      <c r="AA73" s="18">
        <v>0.1</v>
      </c>
      <c r="AB73" s="18">
        <v>0</v>
      </c>
      <c r="AC73" s="18">
        <v>5.5</v>
      </c>
      <c r="AD73" s="18">
        <v>1.2</v>
      </c>
      <c r="AE73" s="18">
        <v>1.4</v>
      </c>
      <c r="AF73" s="18">
        <v>66</v>
      </c>
      <c r="AG73" s="18">
        <v>2.7</v>
      </c>
      <c r="AH73" s="18">
        <v>42.999999999999993</v>
      </c>
      <c r="AI73" s="18">
        <v>31</v>
      </c>
      <c r="AJ73" s="18">
        <v>0</v>
      </c>
      <c r="AK73" s="18">
        <v>0.03</v>
      </c>
      <c r="AL73" s="18"/>
      <c r="AM73" s="18">
        <v>4.18</v>
      </c>
      <c r="AN73" s="18">
        <v>1.64</v>
      </c>
      <c r="AO73" s="18">
        <v>2.73</v>
      </c>
      <c r="AP73" s="18">
        <v>3.27</v>
      </c>
      <c r="AQ73" s="18">
        <v>1.23</v>
      </c>
      <c r="AR73" s="18">
        <v>3.7</v>
      </c>
      <c r="AS73" s="18">
        <v>7.1100000000000101</v>
      </c>
      <c r="AT73" s="18">
        <v>2.1</v>
      </c>
      <c r="AU73" s="18">
        <v>4.5199999999999996</v>
      </c>
      <c r="AV73" s="18">
        <v>3.22</v>
      </c>
      <c r="AW73" s="18">
        <v>5.14</v>
      </c>
      <c r="AX73" s="18"/>
      <c r="AY73" s="18">
        <v>1.04</v>
      </c>
      <c r="AZ73" s="18">
        <v>1.1499999999999999</v>
      </c>
      <c r="BA73" s="18">
        <v>0.95</v>
      </c>
      <c r="BB73" s="18">
        <v>0.92</v>
      </c>
      <c r="BC73" s="18">
        <v>1.07</v>
      </c>
      <c r="BD73" s="18">
        <v>1.1000000000000001</v>
      </c>
      <c r="BE73" s="18">
        <v>1.1200000000000001</v>
      </c>
      <c r="BF73" s="18">
        <v>1.1599999999999999</v>
      </c>
      <c r="BG73" s="18">
        <v>1.1599999999999999</v>
      </c>
      <c r="BH73" s="18">
        <v>1.1100000000000001</v>
      </c>
      <c r="BI73" s="18">
        <v>1.08</v>
      </c>
      <c r="BJ73" s="19"/>
      <c r="BK73" s="18">
        <v>10.823529411764696</v>
      </c>
      <c r="BL73" s="18">
        <v>5.6470588235294121</v>
      </c>
      <c r="BM73" s="18">
        <v>2.7058823529411762</v>
      </c>
      <c r="BN73" s="18">
        <v>12.941176470588236</v>
      </c>
      <c r="BO73" s="18"/>
      <c r="BP73" s="18">
        <v>110</v>
      </c>
      <c r="BQ73" s="18">
        <v>62.117647058823529</v>
      </c>
      <c r="BR73" s="18">
        <v>0.97988144200769767</v>
      </c>
      <c r="BS73" s="18">
        <v>1.02237426781622</v>
      </c>
      <c r="BT73" s="19"/>
      <c r="BU73" s="18">
        <v>972.94117647058829</v>
      </c>
      <c r="BV73" s="18">
        <v>442.72537815126117</v>
      </c>
      <c r="BW73" s="18">
        <v>79.225629838655635</v>
      </c>
      <c r="BX73" s="18">
        <v>471</v>
      </c>
      <c r="BY73" s="18">
        <v>18</v>
      </c>
      <c r="BZ73" s="18">
        <v>40</v>
      </c>
      <c r="CA73" s="18">
        <v>258</v>
      </c>
      <c r="CB73" s="19"/>
      <c r="CC73" s="19">
        <v>0.84</v>
      </c>
      <c r="CD73" s="19">
        <v>3.0999999999999996</v>
      </c>
      <c r="CE73" s="19">
        <v>8.5000000000000006E-2</v>
      </c>
      <c r="CF73" s="19">
        <v>0</v>
      </c>
      <c r="CG73" s="19">
        <v>4.6749999999999998</v>
      </c>
      <c r="CH73" s="19">
        <v>1.02</v>
      </c>
      <c r="CI73" s="19">
        <v>1.19</v>
      </c>
      <c r="CJ73" s="19"/>
      <c r="CK73" s="19">
        <v>56.1</v>
      </c>
      <c r="CL73" s="19">
        <v>2.2949999999999999</v>
      </c>
      <c r="CM73" s="19">
        <v>36.54999999999999</v>
      </c>
      <c r="CN73" s="19">
        <v>26.349999999999998</v>
      </c>
      <c r="CO73" s="19">
        <v>0</v>
      </c>
      <c r="CP73" s="19">
        <v>2.5499999999999998E-2</v>
      </c>
      <c r="CQ73" s="19">
        <v>61.8962137142857</v>
      </c>
      <c r="CR73" s="19">
        <v>74.314168874127063</v>
      </c>
      <c r="CS73" s="19">
        <v>3.230585549296042</v>
      </c>
      <c r="CT73" s="19">
        <v>1.4015652249660384</v>
      </c>
      <c r="CU73" s="19">
        <v>1.9273379697504855</v>
      </c>
      <c r="CV73" s="19">
        <v>3.3289031947165117</v>
      </c>
      <c r="CW73" s="19">
        <v>2.2356674564092374</v>
      </c>
      <c r="CX73" s="19">
        <v>0.97804877655238598</v>
      </c>
      <c r="CY73" s="19">
        <v>3.0245866731769615</v>
      </c>
      <c r="CZ73" s="19">
        <v>5.9177858957844869</v>
      </c>
      <c r="DA73" s="19">
        <v>1.8102931537737355</v>
      </c>
      <c r="DB73" s="19">
        <v>3.8964405024082205</v>
      </c>
      <c r="DC73" s="19">
        <v>2.6561370238990496</v>
      </c>
      <c r="DD73" s="19">
        <v>6.5525775263072701</v>
      </c>
      <c r="DE73" s="19">
        <v>4.1253281425405319</v>
      </c>
      <c r="DF73" s="23">
        <v>0</v>
      </c>
      <c r="DG73" s="23">
        <v>0</v>
      </c>
      <c r="DH73" s="23">
        <v>0</v>
      </c>
      <c r="DI73" s="19">
        <v>0</v>
      </c>
      <c r="DJ73" s="19">
        <v>0</v>
      </c>
      <c r="DK73" s="19">
        <v>0</v>
      </c>
      <c r="DL73" s="19">
        <v>0</v>
      </c>
      <c r="DM73" s="19">
        <v>0</v>
      </c>
      <c r="DN73" s="19">
        <v>0</v>
      </c>
      <c r="DO73" s="19">
        <v>0</v>
      </c>
      <c r="DP73" s="19">
        <v>0</v>
      </c>
      <c r="DQ73" s="19">
        <v>0</v>
      </c>
      <c r="DR73" s="19">
        <v>0</v>
      </c>
      <c r="DS73" s="19">
        <v>0</v>
      </c>
      <c r="DT73" s="19">
        <v>0</v>
      </c>
      <c r="DU73" s="19">
        <v>0</v>
      </c>
      <c r="DV73" s="19">
        <v>0</v>
      </c>
      <c r="DW73" s="17" t="s">
        <v>339</v>
      </c>
      <c r="DX73" s="22" t="s">
        <v>218</v>
      </c>
      <c r="DY73" s="22">
        <v>24</v>
      </c>
      <c r="DZ73" s="22">
        <v>12</v>
      </c>
      <c r="EA73" s="22">
        <v>12</v>
      </c>
      <c r="EB73" s="22" t="s">
        <v>218</v>
      </c>
      <c r="EC73" s="22">
        <v>12</v>
      </c>
      <c r="ED73" s="22">
        <v>16</v>
      </c>
      <c r="EE73" s="22" t="s">
        <v>218</v>
      </c>
      <c r="EF73" s="22">
        <v>12</v>
      </c>
      <c r="EG73" s="22">
        <v>12</v>
      </c>
      <c r="EH73" s="22" t="s">
        <v>218</v>
      </c>
      <c r="EI73" s="22" t="s">
        <v>218</v>
      </c>
      <c r="EJ73" s="22" t="s">
        <v>218</v>
      </c>
      <c r="EK73" s="22" t="s">
        <v>218</v>
      </c>
      <c r="EL73" s="22" t="s">
        <v>218</v>
      </c>
      <c r="EM73" s="22" t="s">
        <v>218</v>
      </c>
      <c r="EN73" s="22" t="s">
        <v>218</v>
      </c>
      <c r="EO73" s="22" t="s">
        <v>218</v>
      </c>
      <c r="EP73" s="22" t="s">
        <v>218</v>
      </c>
      <c r="EQ73" s="22" t="s">
        <v>218</v>
      </c>
      <c r="ER73" s="22" t="s">
        <v>218</v>
      </c>
      <c r="ES73" s="22">
        <v>12</v>
      </c>
      <c r="ET73" s="22">
        <v>24</v>
      </c>
      <c r="EU73" s="22" t="s">
        <v>218</v>
      </c>
      <c r="EV73" s="22" t="s">
        <v>218</v>
      </c>
      <c r="EW73" s="22" t="s">
        <v>218</v>
      </c>
      <c r="EX73" s="22" t="s">
        <v>218</v>
      </c>
      <c r="EY73" s="22" t="s">
        <v>218</v>
      </c>
      <c r="EZ73" s="22" t="s">
        <v>218</v>
      </c>
      <c r="FA73" s="22" t="s">
        <v>218</v>
      </c>
      <c r="FB73" s="22" t="s">
        <v>218</v>
      </c>
      <c r="FC73" s="22" t="s">
        <v>218</v>
      </c>
      <c r="FD73" s="22" t="s">
        <v>218</v>
      </c>
      <c r="FE73" s="22" t="s">
        <v>218</v>
      </c>
      <c r="FF73" s="22" t="s">
        <v>218</v>
      </c>
      <c r="FG73" s="22">
        <v>0.77</v>
      </c>
      <c r="FH73" s="22">
        <v>0.72</v>
      </c>
      <c r="FI73" s="22">
        <v>0.37</v>
      </c>
      <c r="FJ73" s="22" t="s">
        <v>218</v>
      </c>
      <c r="FK73" s="22">
        <v>3.43</v>
      </c>
      <c r="FL73" s="22">
        <v>2.78</v>
      </c>
      <c r="FM73" s="22" t="s">
        <v>218</v>
      </c>
      <c r="FN73" s="22">
        <v>5.17</v>
      </c>
      <c r="FO73" s="22">
        <v>4.43</v>
      </c>
      <c r="FP73" s="22" t="s">
        <v>218</v>
      </c>
      <c r="FQ73" s="22" t="s">
        <v>218</v>
      </c>
      <c r="FR73" s="22" t="s">
        <v>218</v>
      </c>
      <c r="FS73" s="22" t="s">
        <v>218</v>
      </c>
      <c r="FT73" s="22" t="s">
        <v>218</v>
      </c>
      <c r="FU73" s="22" t="s">
        <v>218</v>
      </c>
      <c r="FV73" s="22" t="s">
        <v>218</v>
      </c>
      <c r="FW73" s="22" t="s">
        <v>218</v>
      </c>
      <c r="FX73" s="22" t="s">
        <v>218</v>
      </c>
      <c r="FY73" s="22" t="s">
        <v>218</v>
      </c>
      <c r="FZ73" s="22" t="s">
        <v>218</v>
      </c>
      <c r="GA73" s="22">
        <v>0.09</v>
      </c>
      <c r="GB73" s="22">
        <v>0.3</v>
      </c>
      <c r="GC73" s="22" t="s">
        <v>218</v>
      </c>
      <c r="GD73" s="22" t="s">
        <v>218</v>
      </c>
      <c r="GE73" s="22" t="s">
        <v>218</v>
      </c>
      <c r="GF73" s="22" t="s">
        <v>218</v>
      </c>
      <c r="GG73" s="22" t="s">
        <v>218</v>
      </c>
      <c r="GH73" s="22" t="s">
        <v>218</v>
      </c>
      <c r="GI73" s="22" t="s">
        <v>218</v>
      </c>
      <c r="GJ73" s="22" t="s">
        <v>218</v>
      </c>
      <c r="GK73" s="22" t="s">
        <v>218</v>
      </c>
      <c r="GL73" s="22" t="s">
        <v>218</v>
      </c>
      <c r="GM73" s="22" t="s">
        <v>218</v>
      </c>
      <c r="GN73" s="22" t="s">
        <v>218</v>
      </c>
      <c r="GO73" s="22" t="s">
        <v>238</v>
      </c>
      <c r="GP73" s="22" t="s">
        <v>238</v>
      </c>
      <c r="GQ73" s="22" t="s">
        <v>238</v>
      </c>
      <c r="GR73" s="22" t="s">
        <v>218</v>
      </c>
      <c r="GS73" s="22" t="s">
        <v>238</v>
      </c>
      <c r="GT73" s="22" t="s">
        <v>238</v>
      </c>
      <c r="GU73" s="22" t="s">
        <v>218</v>
      </c>
      <c r="GV73" s="22" t="s">
        <v>238</v>
      </c>
      <c r="GW73" s="22" t="s">
        <v>238</v>
      </c>
      <c r="GX73" s="22" t="s">
        <v>218</v>
      </c>
      <c r="GY73" s="22" t="s">
        <v>218</v>
      </c>
      <c r="GZ73" s="22" t="s">
        <v>218</v>
      </c>
      <c r="HA73" s="22" t="s">
        <v>218</v>
      </c>
      <c r="HB73" s="22" t="s">
        <v>218</v>
      </c>
      <c r="HC73" s="22" t="s">
        <v>218</v>
      </c>
      <c r="HD73" s="22" t="s">
        <v>218</v>
      </c>
      <c r="HE73" s="22" t="s">
        <v>218</v>
      </c>
      <c r="HF73" s="22" t="s">
        <v>218</v>
      </c>
      <c r="HG73" s="22" t="s">
        <v>218</v>
      </c>
      <c r="HH73" s="22" t="s">
        <v>218</v>
      </c>
      <c r="HI73" s="22" t="s">
        <v>238</v>
      </c>
      <c r="HJ73" s="22" t="s">
        <v>238</v>
      </c>
      <c r="HK73" s="22" t="s">
        <v>218</v>
      </c>
      <c r="HL73" s="22" t="s">
        <v>218</v>
      </c>
      <c r="HM73" s="622">
        <f>'background data'!$G$10</f>
        <v>0.47300000000000003</v>
      </c>
      <c r="HN73" s="622">
        <f>'background data'!$H$10</f>
        <v>0.13</v>
      </c>
      <c r="HO73" s="622">
        <f>'background data'!$J$10</f>
        <v>0.39100000000000001</v>
      </c>
      <c r="HP73" s="622">
        <f>'background data'!$L$10</f>
        <v>5.5E-2</v>
      </c>
      <c r="HQ73" s="622">
        <f>'background data'!$M$10</f>
        <v>3.97</v>
      </c>
      <c r="HR73" s="622">
        <f>'background data'!$N$10</f>
        <v>4.5999999999999999E-3</v>
      </c>
      <c r="HS73" s="622">
        <f>'background data'!$O$10</f>
        <v>2.73</v>
      </c>
      <c r="HT73" s="145" t="s">
        <v>1797</v>
      </c>
      <c r="HU73" s="145" t="s">
        <v>1809</v>
      </c>
      <c r="HV73" s="22" t="s">
        <v>1397</v>
      </c>
      <c r="HW73" s="22" t="s">
        <v>340</v>
      </c>
      <c r="HX73" s="22" t="s">
        <v>341</v>
      </c>
      <c r="HY73" s="22" t="s">
        <v>342</v>
      </c>
      <c r="HZ73" s="19"/>
      <c r="IA73" s="19"/>
      <c r="IB73" s="622">
        <f>'background data'!$G$10</f>
        <v>0.47300000000000003</v>
      </c>
      <c r="IC73" s="622">
        <f>'background data'!$H$10</f>
        <v>0.13</v>
      </c>
      <c r="ID73" s="622">
        <f>'background data'!$J$10</f>
        <v>0.39100000000000001</v>
      </c>
      <c r="IE73" s="622">
        <f>'background data'!$L$10</f>
        <v>5.5E-2</v>
      </c>
      <c r="IF73" s="622">
        <f>'background data'!$M$10</f>
        <v>3.97</v>
      </c>
      <c r="IG73" s="622">
        <f>'background data'!$N$10</f>
        <v>4.5999999999999999E-3</v>
      </c>
      <c r="IH73" s="622">
        <f>'background data'!$O$10</f>
        <v>2.73</v>
      </c>
      <c r="II73" s="145" t="s">
        <v>1797</v>
      </c>
      <c r="IJ73" s="145" t="s">
        <v>1397</v>
      </c>
      <c r="IK73" s="145"/>
      <c r="IL73" s="145"/>
      <c r="IM73" s="145"/>
      <c r="IN73" s="145"/>
      <c r="IO73" s="145"/>
      <c r="IP73" s="145"/>
      <c r="IQ73" s="145"/>
      <c r="IR73" s="145"/>
      <c r="IS73" s="145"/>
      <c r="IT73" s="145"/>
      <c r="IU73" s="145"/>
      <c r="IV73" s="145"/>
      <c r="IW73" s="145"/>
      <c r="IX73" s="145"/>
      <c r="IY73" s="145"/>
      <c r="IZ73" s="145"/>
      <c r="JA73" s="145"/>
      <c r="JB73" s="145"/>
      <c r="JC73" s="145"/>
      <c r="JD73" s="145"/>
      <c r="JE73" s="145"/>
      <c r="JF73" s="145"/>
      <c r="JG73" s="145"/>
      <c r="JH73" s="145"/>
      <c r="JI73" s="145"/>
      <c r="JJ73" s="145"/>
      <c r="JK73" s="145"/>
      <c r="JL73" s="145"/>
      <c r="JM73" s="145"/>
      <c r="JN73" s="145"/>
      <c r="JO73" s="145"/>
      <c r="JP73" s="145"/>
      <c r="JQ73" s="145"/>
      <c r="JR73" s="145"/>
      <c r="JS73" s="145"/>
      <c r="JT73" s="145"/>
      <c r="JU73" s="145"/>
      <c r="JV73" s="145"/>
      <c r="JW73" s="145"/>
      <c r="JX73" s="145"/>
      <c r="JY73" s="145"/>
      <c r="JZ73" s="145"/>
      <c r="KA73" s="145"/>
      <c r="KB73" s="145"/>
      <c r="KC73" s="145"/>
      <c r="KD73" s="145"/>
      <c r="KE73" s="145"/>
      <c r="KF73" s="145"/>
      <c r="KG73" s="145"/>
      <c r="KH73" s="145"/>
      <c r="KI73" s="145"/>
      <c r="KJ73" s="145"/>
      <c r="KK73" s="145"/>
      <c r="KL73" s="145"/>
      <c r="KM73" s="145"/>
      <c r="KN73" s="145"/>
      <c r="KO73" s="145"/>
      <c r="KP73" s="145"/>
      <c r="KQ73" s="145"/>
      <c r="KR73" s="145"/>
      <c r="KS73" s="145"/>
      <c r="KT73" s="145"/>
      <c r="KU73" s="145"/>
      <c r="KV73" s="145"/>
      <c r="KW73" s="145"/>
      <c r="KX73" s="145"/>
      <c r="KY73" s="145"/>
      <c r="KZ73" s="145"/>
      <c r="LA73" s="145"/>
      <c r="LB73" s="145"/>
      <c r="LC73" s="145"/>
      <c r="LD73" s="145"/>
      <c r="LE73" s="145"/>
      <c r="LF73" s="145"/>
      <c r="LG73" s="145"/>
      <c r="LH73" s="145"/>
      <c r="LI73" s="145"/>
      <c r="LJ73" s="145"/>
      <c r="LK73" s="145"/>
      <c r="LL73" s="145"/>
      <c r="LM73" s="145"/>
      <c r="LN73" s="145"/>
      <c r="LO73" s="145"/>
      <c r="LP73" s="145"/>
      <c r="LQ73" s="145"/>
      <c r="LR73" s="145"/>
      <c r="LS73" s="145"/>
      <c r="LT73" s="145"/>
      <c r="LU73" s="145"/>
      <c r="LV73" s="145"/>
      <c r="LW73" s="145"/>
      <c r="LX73" s="145"/>
      <c r="LY73" s="145"/>
      <c r="LZ73" s="145"/>
      <c r="MA73" s="145"/>
      <c r="MB73" s="145"/>
      <c r="MC73" s="145"/>
      <c r="MD73" s="145"/>
      <c r="ME73" s="145"/>
      <c r="MF73" s="145"/>
      <c r="MG73" s="145"/>
      <c r="MH73" s="145"/>
      <c r="MI73" s="145"/>
      <c r="MJ73" s="145"/>
      <c r="MK73" s="145"/>
      <c r="ML73" s="145"/>
      <c r="MM73" s="145"/>
      <c r="MN73" s="145"/>
      <c r="MO73" s="145"/>
      <c r="MP73" s="145"/>
      <c r="MQ73" s="145"/>
      <c r="MR73" s="145"/>
      <c r="MS73" s="145"/>
      <c r="MT73" s="145"/>
      <c r="MU73" s="145"/>
      <c r="MV73" s="145"/>
      <c r="MW73" s="145"/>
      <c r="MX73" s="145"/>
      <c r="MY73" s="145"/>
      <c r="MZ73" s="145"/>
      <c r="NA73" s="145"/>
      <c r="NB73" s="145"/>
      <c r="NC73" s="145"/>
      <c r="ND73" s="145"/>
      <c r="NE73" s="145"/>
      <c r="NF73" s="145"/>
      <c r="NG73" s="145"/>
      <c r="NH73" s="145"/>
      <c r="NI73" s="145"/>
      <c r="NJ73" s="145"/>
      <c r="NK73" s="145"/>
      <c r="NL73" s="145"/>
      <c r="NM73" s="145"/>
      <c r="NN73" s="145"/>
      <c r="NO73" s="145"/>
      <c r="NP73" s="145"/>
      <c r="NQ73" s="145"/>
      <c r="NR73" s="145"/>
      <c r="NS73" s="145"/>
    </row>
    <row r="74" spans="1:383" s="16" customFormat="1" ht="15" customHeight="1" x14ac:dyDescent="0.2">
      <c r="A74" s="15">
        <v>53000</v>
      </c>
      <c r="B74" s="25">
        <v>530</v>
      </c>
      <c r="C74" s="26">
        <v>0</v>
      </c>
      <c r="D74" s="20" t="s">
        <v>343</v>
      </c>
      <c r="E74" s="14">
        <v>42678</v>
      </c>
      <c r="F74" s="18">
        <v>0.83289922570654296</v>
      </c>
      <c r="G74" s="18">
        <v>0.86901812764378705</v>
      </c>
      <c r="H74" s="21">
        <v>69.400000000000006</v>
      </c>
      <c r="I74" s="21">
        <v>63.699969799999998</v>
      </c>
      <c r="J74" s="21">
        <v>91</v>
      </c>
      <c r="K74" s="18">
        <v>1</v>
      </c>
      <c r="L74" s="18">
        <v>85</v>
      </c>
      <c r="M74" s="18">
        <v>9.1999999999999904</v>
      </c>
      <c r="N74" s="18">
        <v>4.8</v>
      </c>
      <c r="O74" s="18">
        <v>2.2999999999999998</v>
      </c>
      <c r="P74" s="18">
        <v>11</v>
      </c>
      <c r="Q74" s="19"/>
      <c r="R74" s="18">
        <v>67.278493167701797</v>
      </c>
      <c r="S74" s="18">
        <v>27</v>
      </c>
      <c r="T74" s="18">
        <v>39</v>
      </c>
      <c r="U74" s="18">
        <v>43</v>
      </c>
      <c r="V74" s="18">
        <v>47</v>
      </c>
      <c r="W74" s="18">
        <v>50</v>
      </c>
      <c r="X74" s="18"/>
      <c r="Y74" s="18">
        <v>0.9882352941176471</v>
      </c>
      <c r="Z74" s="18">
        <v>3.6470588235294117</v>
      </c>
      <c r="AA74" s="18">
        <v>0.1</v>
      </c>
      <c r="AB74" s="18">
        <v>0</v>
      </c>
      <c r="AC74" s="18">
        <v>5.5</v>
      </c>
      <c r="AD74" s="18">
        <v>1.2</v>
      </c>
      <c r="AE74" s="18">
        <v>1.4</v>
      </c>
      <c r="AF74" s="18">
        <v>66</v>
      </c>
      <c r="AG74" s="18">
        <v>2.7</v>
      </c>
      <c r="AH74" s="18">
        <v>42.999999999999993</v>
      </c>
      <c r="AI74" s="18">
        <v>31</v>
      </c>
      <c r="AJ74" s="18">
        <v>0</v>
      </c>
      <c r="AK74" s="18">
        <v>0.03</v>
      </c>
      <c r="AL74" s="18"/>
      <c r="AM74" s="18">
        <v>4.18</v>
      </c>
      <c r="AN74" s="18">
        <v>1.64</v>
      </c>
      <c r="AO74" s="18">
        <v>2.73</v>
      </c>
      <c r="AP74" s="18">
        <v>3.27</v>
      </c>
      <c r="AQ74" s="18">
        <v>1.23</v>
      </c>
      <c r="AR74" s="18">
        <v>3.7</v>
      </c>
      <c r="AS74" s="18">
        <v>7.1100000000000101</v>
      </c>
      <c r="AT74" s="18">
        <v>2.1</v>
      </c>
      <c r="AU74" s="18">
        <v>4.53</v>
      </c>
      <c r="AV74" s="18">
        <v>3.22</v>
      </c>
      <c r="AW74" s="18">
        <v>5.14</v>
      </c>
      <c r="AX74" s="18"/>
      <c r="AY74" s="18">
        <v>1.04</v>
      </c>
      <c r="AZ74" s="18">
        <v>1.1499999999999999</v>
      </c>
      <c r="BA74" s="18">
        <v>0.95</v>
      </c>
      <c r="BB74" s="18">
        <v>0.92</v>
      </c>
      <c r="BC74" s="18">
        <v>1.07</v>
      </c>
      <c r="BD74" s="18">
        <v>1.1000000000000001</v>
      </c>
      <c r="BE74" s="18">
        <v>1.1200000000000001</v>
      </c>
      <c r="BF74" s="18">
        <v>1.1599999999999999</v>
      </c>
      <c r="BG74" s="18">
        <v>1.1599999999999999</v>
      </c>
      <c r="BH74" s="18">
        <v>1.1100000000000001</v>
      </c>
      <c r="BI74" s="18">
        <v>1.08</v>
      </c>
      <c r="BJ74" s="19"/>
      <c r="BK74" s="18">
        <v>10.823529411764696</v>
      </c>
      <c r="BL74" s="18">
        <v>5.6470588235294121</v>
      </c>
      <c r="BM74" s="18">
        <v>2.7058823529411762</v>
      </c>
      <c r="BN74" s="18">
        <v>12.941176470588236</v>
      </c>
      <c r="BO74" s="18"/>
      <c r="BP74" s="18">
        <v>110</v>
      </c>
      <c r="BQ74" s="18">
        <v>62.117647058823529</v>
      </c>
      <c r="BR74" s="18">
        <v>0.97988144200769767</v>
      </c>
      <c r="BS74" s="18">
        <v>1.02237426781622</v>
      </c>
      <c r="BT74" s="19"/>
      <c r="BU74" s="18">
        <v>972.94117647058829</v>
      </c>
      <c r="BV74" s="18">
        <v>442.72537815126117</v>
      </c>
      <c r="BW74" s="18">
        <v>79.225629838655635</v>
      </c>
      <c r="BX74" s="18">
        <v>471</v>
      </c>
      <c r="BY74" s="18">
        <v>18</v>
      </c>
      <c r="BZ74" s="18">
        <v>40</v>
      </c>
      <c r="CA74" s="18">
        <v>258</v>
      </c>
      <c r="CB74" s="19"/>
      <c r="CC74" s="19">
        <v>0.84</v>
      </c>
      <c r="CD74" s="19">
        <v>3.0999999999999996</v>
      </c>
      <c r="CE74" s="19">
        <v>8.5000000000000006E-2</v>
      </c>
      <c r="CF74" s="19">
        <v>0</v>
      </c>
      <c r="CG74" s="19">
        <v>4.6749999999999998</v>
      </c>
      <c r="CH74" s="19">
        <v>1.02</v>
      </c>
      <c r="CI74" s="19">
        <v>1.19</v>
      </c>
      <c r="CJ74" s="19"/>
      <c r="CK74" s="19">
        <v>56.1</v>
      </c>
      <c r="CL74" s="19">
        <v>2.2949999999999999</v>
      </c>
      <c r="CM74" s="19">
        <v>36.54999999999999</v>
      </c>
      <c r="CN74" s="19">
        <v>26.349999999999998</v>
      </c>
      <c r="CO74" s="19">
        <v>0</v>
      </c>
      <c r="CP74" s="19">
        <v>2.5499999999999998E-2</v>
      </c>
      <c r="CQ74" s="19">
        <v>61.8962137142857</v>
      </c>
      <c r="CR74" s="19">
        <v>74.314168874127063</v>
      </c>
      <c r="CS74" s="19">
        <v>3.230585549296042</v>
      </c>
      <c r="CT74" s="19">
        <v>1.4015652249660384</v>
      </c>
      <c r="CU74" s="19">
        <v>1.9273379697504855</v>
      </c>
      <c r="CV74" s="19">
        <v>3.3289031947165117</v>
      </c>
      <c r="CW74" s="19">
        <v>2.2356674564092374</v>
      </c>
      <c r="CX74" s="19">
        <v>0.97804877655238598</v>
      </c>
      <c r="CY74" s="19">
        <v>3.0245866731769615</v>
      </c>
      <c r="CZ74" s="19">
        <v>5.9177858957844869</v>
      </c>
      <c r="DA74" s="19">
        <v>1.8102931537737355</v>
      </c>
      <c r="DB74" s="19">
        <v>3.9050609459976346</v>
      </c>
      <c r="DC74" s="19">
        <v>2.6561370238990496</v>
      </c>
      <c r="DD74" s="19">
        <v>6.5611979698966723</v>
      </c>
      <c r="DE74" s="19">
        <v>4.1253281425405319</v>
      </c>
      <c r="DF74" s="23">
        <v>0</v>
      </c>
      <c r="DG74" s="23">
        <v>0</v>
      </c>
      <c r="DH74" s="23">
        <v>0</v>
      </c>
      <c r="DI74" s="19">
        <v>0</v>
      </c>
      <c r="DJ74" s="19">
        <v>0</v>
      </c>
      <c r="DK74" s="19">
        <v>0</v>
      </c>
      <c r="DL74" s="19">
        <v>0</v>
      </c>
      <c r="DM74" s="19">
        <v>0</v>
      </c>
      <c r="DN74" s="19">
        <v>0</v>
      </c>
      <c r="DO74" s="19">
        <v>0</v>
      </c>
      <c r="DP74" s="19">
        <v>0</v>
      </c>
      <c r="DQ74" s="19">
        <v>0</v>
      </c>
      <c r="DR74" s="19">
        <v>0</v>
      </c>
      <c r="DS74" s="19">
        <v>0</v>
      </c>
      <c r="DT74" s="19">
        <v>0</v>
      </c>
      <c r="DU74" s="19">
        <v>0</v>
      </c>
      <c r="DV74" s="19">
        <v>0</v>
      </c>
      <c r="DW74" s="17" t="s">
        <v>339</v>
      </c>
      <c r="DX74" s="22" t="s">
        <v>218</v>
      </c>
      <c r="DY74" s="22">
        <v>24</v>
      </c>
      <c r="DZ74" s="22">
        <v>12</v>
      </c>
      <c r="EA74" s="22">
        <v>12</v>
      </c>
      <c r="EB74" s="22" t="s">
        <v>218</v>
      </c>
      <c r="EC74" s="22">
        <v>12</v>
      </c>
      <c r="ED74" s="22">
        <v>16</v>
      </c>
      <c r="EE74" s="22" t="s">
        <v>218</v>
      </c>
      <c r="EF74" s="22">
        <v>12</v>
      </c>
      <c r="EG74" s="22">
        <v>12</v>
      </c>
      <c r="EH74" s="22" t="s">
        <v>218</v>
      </c>
      <c r="EI74" s="22" t="s">
        <v>218</v>
      </c>
      <c r="EJ74" s="22" t="s">
        <v>218</v>
      </c>
      <c r="EK74" s="22" t="s">
        <v>218</v>
      </c>
      <c r="EL74" s="22" t="s">
        <v>218</v>
      </c>
      <c r="EM74" s="22" t="s">
        <v>218</v>
      </c>
      <c r="EN74" s="22" t="s">
        <v>218</v>
      </c>
      <c r="EO74" s="22" t="s">
        <v>218</v>
      </c>
      <c r="EP74" s="22" t="s">
        <v>218</v>
      </c>
      <c r="EQ74" s="22" t="s">
        <v>218</v>
      </c>
      <c r="ER74" s="22" t="s">
        <v>218</v>
      </c>
      <c r="ES74" s="22">
        <v>12</v>
      </c>
      <c r="ET74" s="22">
        <v>24</v>
      </c>
      <c r="EU74" s="22" t="s">
        <v>218</v>
      </c>
      <c r="EV74" s="22" t="s">
        <v>218</v>
      </c>
      <c r="EW74" s="22" t="s">
        <v>218</v>
      </c>
      <c r="EX74" s="22" t="s">
        <v>218</v>
      </c>
      <c r="EY74" s="22" t="s">
        <v>218</v>
      </c>
      <c r="EZ74" s="22" t="s">
        <v>218</v>
      </c>
      <c r="FA74" s="22" t="s">
        <v>218</v>
      </c>
      <c r="FB74" s="22" t="s">
        <v>218</v>
      </c>
      <c r="FC74" s="22" t="s">
        <v>218</v>
      </c>
      <c r="FD74" s="22" t="s">
        <v>218</v>
      </c>
      <c r="FE74" s="22" t="s">
        <v>218</v>
      </c>
      <c r="FF74" s="22" t="s">
        <v>218</v>
      </c>
      <c r="FG74" s="22">
        <v>0.77</v>
      </c>
      <c r="FH74" s="22">
        <v>0.72</v>
      </c>
      <c r="FI74" s="22">
        <v>0.37</v>
      </c>
      <c r="FJ74" s="22" t="s">
        <v>218</v>
      </c>
      <c r="FK74" s="22">
        <v>3.43</v>
      </c>
      <c r="FL74" s="22">
        <v>2.78</v>
      </c>
      <c r="FM74" s="22" t="s">
        <v>218</v>
      </c>
      <c r="FN74" s="22">
        <v>5.17</v>
      </c>
      <c r="FO74" s="22">
        <v>4.43</v>
      </c>
      <c r="FP74" s="22" t="s">
        <v>218</v>
      </c>
      <c r="FQ74" s="22" t="s">
        <v>218</v>
      </c>
      <c r="FR74" s="22" t="s">
        <v>218</v>
      </c>
      <c r="FS74" s="22" t="s">
        <v>218</v>
      </c>
      <c r="FT74" s="22" t="s">
        <v>218</v>
      </c>
      <c r="FU74" s="22" t="s">
        <v>218</v>
      </c>
      <c r="FV74" s="22" t="s">
        <v>218</v>
      </c>
      <c r="FW74" s="22" t="s">
        <v>218</v>
      </c>
      <c r="FX74" s="22" t="s">
        <v>218</v>
      </c>
      <c r="FY74" s="22" t="s">
        <v>218</v>
      </c>
      <c r="FZ74" s="22" t="s">
        <v>218</v>
      </c>
      <c r="GA74" s="22">
        <v>0.09</v>
      </c>
      <c r="GB74" s="22">
        <v>0.3</v>
      </c>
      <c r="GC74" s="22" t="s">
        <v>218</v>
      </c>
      <c r="GD74" s="22" t="s">
        <v>218</v>
      </c>
      <c r="GE74" s="22" t="s">
        <v>218</v>
      </c>
      <c r="GF74" s="22" t="s">
        <v>218</v>
      </c>
      <c r="GG74" s="22" t="s">
        <v>218</v>
      </c>
      <c r="GH74" s="22" t="s">
        <v>218</v>
      </c>
      <c r="GI74" s="22" t="s">
        <v>218</v>
      </c>
      <c r="GJ74" s="22" t="s">
        <v>218</v>
      </c>
      <c r="GK74" s="22" t="s">
        <v>218</v>
      </c>
      <c r="GL74" s="22" t="s">
        <v>218</v>
      </c>
      <c r="GM74" s="22" t="s">
        <v>218</v>
      </c>
      <c r="GN74" s="22" t="s">
        <v>218</v>
      </c>
      <c r="GO74" s="22" t="s">
        <v>238</v>
      </c>
      <c r="GP74" s="22" t="s">
        <v>238</v>
      </c>
      <c r="GQ74" s="22" t="s">
        <v>238</v>
      </c>
      <c r="GR74" s="22" t="s">
        <v>218</v>
      </c>
      <c r="GS74" s="22" t="s">
        <v>238</v>
      </c>
      <c r="GT74" s="22" t="s">
        <v>238</v>
      </c>
      <c r="GU74" s="22" t="s">
        <v>218</v>
      </c>
      <c r="GV74" s="22" t="s">
        <v>238</v>
      </c>
      <c r="GW74" s="22" t="s">
        <v>238</v>
      </c>
      <c r="GX74" s="22" t="s">
        <v>218</v>
      </c>
      <c r="GY74" s="22" t="s">
        <v>218</v>
      </c>
      <c r="GZ74" s="22" t="s">
        <v>218</v>
      </c>
      <c r="HA74" s="22" t="s">
        <v>218</v>
      </c>
      <c r="HB74" s="22" t="s">
        <v>218</v>
      </c>
      <c r="HC74" s="22" t="s">
        <v>218</v>
      </c>
      <c r="HD74" s="22" t="s">
        <v>218</v>
      </c>
      <c r="HE74" s="22" t="s">
        <v>218</v>
      </c>
      <c r="HF74" s="22" t="s">
        <v>218</v>
      </c>
      <c r="HG74" s="22" t="s">
        <v>218</v>
      </c>
      <c r="HH74" s="22" t="s">
        <v>218</v>
      </c>
      <c r="HI74" s="22" t="s">
        <v>238</v>
      </c>
      <c r="HJ74" s="22" t="s">
        <v>238</v>
      </c>
      <c r="HK74" s="22" t="s">
        <v>218</v>
      </c>
      <c r="HL74" s="22" t="s">
        <v>218</v>
      </c>
      <c r="HM74" s="622">
        <f>'background data'!$G$10</f>
        <v>0.47300000000000003</v>
      </c>
      <c r="HN74" s="622">
        <f>'background data'!$H$10</f>
        <v>0.13</v>
      </c>
      <c r="HO74" s="622">
        <f>'background data'!$J$10</f>
        <v>0.39100000000000001</v>
      </c>
      <c r="HP74" s="622">
        <f>'background data'!$L$10</f>
        <v>5.5E-2</v>
      </c>
      <c r="HQ74" s="622">
        <f>'background data'!$M$10</f>
        <v>3.97</v>
      </c>
      <c r="HR74" s="622">
        <f>'background data'!$N$10</f>
        <v>4.5999999999999999E-3</v>
      </c>
      <c r="HS74" s="622">
        <f>'background data'!$O$10</f>
        <v>2.73</v>
      </c>
      <c r="HT74" s="145" t="s">
        <v>1797</v>
      </c>
      <c r="HU74" s="145" t="s">
        <v>1809</v>
      </c>
      <c r="HV74" s="22" t="s">
        <v>1397</v>
      </c>
      <c r="HW74" s="22" t="s">
        <v>340</v>
      </c>
      <c r="HX74" s="22" t="s">
        <v>341</v>
      </c>
      <c r="HY74" s="22" t="s">
        <v>342</v>
      </c>
      <c r="HZ74" s="19"/>
      <c r="IA74" s="19"/>
      <c r="IB74" s="622">
        <f>'background data'!$G$10</f>
        <v>0.47300000000000003</v>
      </c>
      <c r="IC74" s="622">
        <f>'background data'!$H$10</f>
        <v>0.13</v>
      </c>
      <c r="ID74" s="622">
        <f>'background data'!$J$10</f>
        <v>0.39100000000000001</v>
      </c>
      <c r="IE74" s="622">
        <f>'background data'!$L$10</f>
        <v>5.5E-2</v>
      </c>
      <c r="IF74" s="622">
        <f>'background data'!$M$10</f>
        <v>3.97</v>
      </c>
      <c r="IG74" s="622">
        <f>'background data'!$N$10</f>
        <v>4.5999999999999999E-3</v>
      </c>
      <c r="IH74" s="622">
        <f>'background data'!$O$10</f>
        <v>2.73</v>
      </c>
      <c r="II74" s="145" t="s">
        <v>1797</v>
      </c>
      <c r="IJ74" s="145" t="s">
        <v>1397</v>
      </c>
      <c r="IK74" s="145"/>
      <c r="IL74" s="145"/>
      <c r="IM74" s="145"/>
      <c r="IN74" s="145"/>
      <c r="IO74" s="145"/>
      <c r="IP74" s="145"/>
      <c r="IQ74" s="145"/>
      <c r="IR74" s="145"/>
      <c r="IS74" s="145"/>
      <c r="IT74" s="145"/>
      <c r="IU74" s="145"/>
      <c r="IV74" s="145"/>
      <c r="IW74" s="145"/>
      <c r="IX74" s="145"/>
      <c r="IY74" s="145"/>
      <c r="IZ74" s="145"/>
      <c r="JA74" s="145"/>
      <c r="JB74" s="145"/>
      <c r="JC74" s="145"/>
      <c r="JD74" s="145"/>
      <c r="JE74" s="145"/>
      <c r="JF74" s="145"/>
      <c r="JG74" s="145"/>
      <c r="JH74" s="145"/>
      <c r="JI74" s="145"/>
      <c r="JJ74" s="145"/>
      <c r="JK74" s="145"/>
      <c r="JL74" s="145"/>
      <c r="JM74" s="145"/>
      <c r="JN74" s="145"/>
      <c r="JO74" s="145"/>
      <c r="JP74" s="145"/>
      <c r="JQ74" s="145"/>
      <c r="JR74" s="145"/>
      <c r="JS74" s="145"/>
      <c r="JT74" s="145"/>
      <c r="JU74" s="145"/>
      <c r="JV74" s="145"/>
      <c r="JW74" s="145"/>
      <c r="JX74" s="145"/>
      <c r="JY74" s="145"/>
      <c r="JZ74" s="145"/>
      <c r="KA74" s="145"/>
      <c r="KB74" s="145"/>
      <c r="KC74" s="145"/>
      <c r="KD74" s="145"/>
      <c r="KE74" s="145"/>
      <c r="KF74" s="145"/>
      <c r="KG74" s="145"/>
      <c r="KH74" s="145"/>
      <c r="KI74" s="145"/>
      <c r="KJ74" s="145"/>
      <c r="KK74" s="145"/>
      <c r="KL74" s="145"/>
      <c r="KM74" s="145"/>
      <c r="KN74" s="145"/>
      <c r="KO74" s="145"/>
      <c r="KP74" s="145"/>
      <c r="KQ74" s="145"/>
      <c r="KR74" s="145"/>
      <c r="KS74" s="145"/>
      <c r="KT74" s="145"/>
      <c r="KU74" s="145"/>
      <c r="KV74" s="145"/>
      <c r="KW74" s="145"/>
      <c r="KX74" s="145"/>
      <c r="KY74" s="145"/>
      <c r="KZ74" s="145"/>
      <c r="LA74" s="145"/>
      <c r="LB74" s="145"/>
      <c r="LC74" s="145"/>
      <c r="LD74" s="145"/>
      <c r="LE74" s="145"/>
      <c r="LF74" s="145"/>
      <c r="LG74" s="145"/>
      <c r="LH74" s="145"/>
      <c r="LI74" s="145"/>
      <c r="LJ74" s="145"/>
      <c r="LK74" s="145"/>
      <c r="LL74" s="145"/>
      <c r="LM74" s="145"/>
      <c r="LN74" s="145"/>
      <c r="LO74" s="145"/>
      <c r="LP74" s="145"/>
      <c r="LQ74" s="145"/>
      <c r="LR74" s="145"/>
      <c r="LS74" s="145"/>
      <c r="LT74" s="145"/>
      <c r="LU74" s="145"/>
      <c r="LV74" s="145"/>
      <c r="LW74" s="145"/>
      <c r="LX74" s="145"/>
      <c r="LY74" s="145"/>
      <c r="LZ74" s="145"/>
      <c r="MA74" s="145"/>
      <c r="MB74" s="145"/>
      <c r="MC74" s="145"/>
      <c r="MD74" s="145"/>
      <c r="ME74" s="145"/>
      <c r="MF74" s="145"/>
      <c r="MG74" s="145"/>
      <c r="MH74" s="145"/>
      <c r="MI74" s="145"/>
      <c r="MJ74" s="145"/>
      <c r="MK74" s="145"/>
      <c r="ML74" s="145"/>
      <c r="MM74" s="145"/>
      <c r="MN74" s="145"/>
      <c r="MO74" s="145"/>
      <c r="MP74" s="145"/>
      <c r="MQ74" s="145"/>
      <c r="MR74" s="145"/>
      <c r="MS74" s="145"/>
      <c r="MT74" s="145"/>
      <c r="MU74" s="145"/>
      <c r="MV74" s="145"/>
      <c r="MW74" s="145"/>
      <c r="MX74" s="145"/>
      <c r="MY74" s="145"/>
      <c r="MZ74" s="145"/>
      <c r="NA74" s="145"/>
      <c r="NB74" s="145"/>
      <c r="NC74" s="145"/>
      <c r="ND74" s="145"/>
      <c r="NE74" s="145"/>
      <c r="NF74" s="145"/>
      <c r="NG74" s="145"/>
      <c r="NH74" s="145"/>
      <c r="NI74" s="145"/>
      <c r="NJ74" s="145"/>
      <c r="NK74" s="145"/>
      <c r="NL74" s="145"/>
      <c r="NM74" s="145"/>
      <c r="NN74" s="145"/>
      <c r="NO74" s="145"/>
      <c r="NP74" s="145"/>
      <c r="NQ74" s="145"/>
      <c r="NR74" s="145"/>
      <c r="NS74" s="145"/>
    </row>
    <row r="75" spans="1:383" s="16" customFormat="1" ht="15" customHeight="1" x14ac:dyDescent="0.2">
      <c r="A75" s="15">
        <v>53100</v>
      </c>
      <c r="B75" s="25">
        <v>531</v>
      </c>
      <c r="C75" s="26">
        <v>0</v>
      </c>
      <c r="D75" s="20" t="s">
        <v>344</v>
      </c>
      <c r="E75" s="14">
        <v>42678</v>
      </c>
      <c r="F75" s="18">
        <v>0.84505108401083995</v>
      </c>
      <c r="G75" s="18">
        <v>0.87572611948052104</v>
      </c>
      <c r="H75" s="21">
        <v>69.900000000000006</v>
      </c>
      <c r="I75" s="21">
        <v>65.500004700000005</v>
      </c>
      <c r="J75" s="21">
        <v>91</v>
      </c>
      <c r="K75" s="18">
        <v>1</v>
      </c>
      <c r="L75" s="18">
        <v>85</v>
      </c>
      <c r="M75" s="18">
        <v>9.8000000000000096</v>
      </c>
      <c r="N75" s="18">
        <v>4.4000000000000004</v>
      </c>
      <c r="O75" s="18">
        <v>2.4</v>
      </c>
      <c r="P75" s="18">
        <v>11</v>
      </c>
      <c r="Q75" s="19"/>
      <c r="R75" s="18">
        <v>70.066820408163295</v>
      </c>
      <c r="S75" s="18">
        <v>27</v>
      </c>
      <c r="T75" s="18">
        <v>39</v>
      </c>
      <c r="U75" s="18">
        <v>43</v>
      </c>
      <c r="V75" s="18">
        <v>47</v>
      </c>
      <c r="W75" s="18">
        <v>50</v>
      </c>
      <c r="X75" s="18"/>
      <c r="Y75" s="18">
        <v>1.03529411764706</v>
      </c>
      <c r="Z75" s="18">
        <v>3.7647058823529411</v>
      </c>
      <c r="AA75" s="18">
        <v>0.1</v>
      </c>
      <c r="AB75" s="18">
        <v>0</v>
      </c>
      <c r="AC75" s="18">
        <v>4.7058799999999996</v>
      </c>
      <c r="AD75" s="18">
        <v>1.3</v>
      </c>
      <c r="AE75" s="18">
        <v>0</v>
      </c>
      <c r="AF75" s="18">
        <v>79.000000000000014</v>
      </c>
      <c r="AG75" s="18">
        <v>4</v>
      </c>
      <c r="AH75" s="18">
        <v>45</v>
      </c>
      <c r="AI75" s="18">
        <v>40</v>
      </c>
      <c r="AJ75" s="18">
        <v>0</v>
      </c>
      <c r="AK75" s="18">
        <v>0.03</v>
      </c>
      <c r="AL75" s="18"/>
      <c r="AM75" s="18">
        <v>4.18</v>
      </c>
      <c r="AN75" s="18">
        <v>1.64</v>
      </c>
      <c r="AO75" s="18">
        <v>2.73</v>
      </c>
      <c r="AP75" s="18">
        <v>3.27</v>
      </c>
      <c r="AQ75" s="18">
        <v>1.23</v>
      </c>
      <c r="AR75" s="18">
        <v>3.7</v>
      </c>
      <c r="AS75" s="18">
        <v>7.1100000000000101</v>
      </c>
      <c r="AT75" s="18">
        <v>2.1</v>
      </c>
      <c r="AU75" s="18">
        <v>4.5199999999999996</v>
      </c>
      <c r="AV75" s="18">
        <v>3.22</v>
      </c>
      <c r="AW75" s="18">
        <v>5.14</v>
      </c>
      <c r="AX75" s="18"/>
      <c r="AY75" s="18">
        <v>1.04</v>
      </c>
      <c r="AZ75" s="18">
        <v>1.1499999999999999</v>
      </c>
      <c r="BA75" s="18">
        <v>0.95</v>
      </c>
      <c r="BB75" s="18">
        <v>0.92</v>
      </c>
      <c r="BC75" s="18">
        <v>1.07</v>
      </c>
      <c r="BD75" s="18">
        <v>1.1000000000000001</v>
      </c>
      <c r="BE75" s="18">
        <v>1.1200000000000001</v>
      </c>
      <c r="BF75" s="18">
        <v>1.1599999999999999</v>
      </c>
      <c r="BG75" s="18">
        <v>1.1599999999999999</v>
      </c>
      <c r="BH75" s="18">
        <v>1.1100000000000001</v>
      </c>
      <c r="BI75" s="18">
        <v>1.08</v>
      </c>
      <c r="BJ75" s="19"/>
      <c r="BK75" s="18">
        <v>11.529411764705893</v>
      </c>
      <c r="BL75" s="18">
        <v>5.1764705882352944</v>
      </c>
      <c r="BM75" s="18">
        <v>2.8235294117647061</v>
      </c>
      <c r="BN75" s="18">
        <v>12.941176470588236</v>
      </c>
      <c r="BO75" s="18"/>
      <c r="BP75" s="18">
        <v>110</v>
      </c>
      <c r="BQ75" s="18">
        <v>56.941176470588232</v>
      </c>
      <c r="BR75" s="18">
        <v>0.99417774589510588</v>
      </c>
      <c r="BS75" s="18">
        <v>1.0302660229182601</v>
      </c>
      <c r="BT75" s="19"/>
      <c r="BU75" s="18">
        <v>971.76470588235293</v>
      </c>
      <c r="BV75" s="18">
        <v>463.05176470588236</v>
      </c>
      <c r="BW75" s="18">
        <v>61.082287694117653</v>
      </c>
      <c r="BX75" s="18">
        <v>471</v>
      </c>
      <c r="BY75" s="18">
        <v>18</v>
      </c>
      <c r="BZ75" s="18">
        <v>40</v>
      </c>
      <c r="CA75" s="18">
        <v>258</v>
      </c>
      <c r="CB75" s="19"/>
      <c r="CC75" s="19">
        <v>0.880000000000001</v>
      </c>
      <c r="CD75" s="19">
        <v>3.1999999999999997</v>
      </c>
      <c r="CE75" s="19">
        <v>8.5000000000000006E-2</v>
      </c>
      <c r="CF75" s="19">
        <v>0</v>
      </c>
      <c r="CG75" s="19">
        <v>3.9999979999999997</v>
      </c>
      <c r="CH75" s="19">
        <v>1.105</v>
      </c>
      <c r="CI75" s="19">
        <v>0</v>
      </c>
      <c r="CJ75" s="19"/>
      <c r="CK75" s="19">
        <v>67.150000000000006</v>
      </c>
      <c r="CL75" s="19">
        <v>3.4</v>
      </c>
      <c r="CM75" s="19">
        <v>38.25</v>
      </c>
      <c r="CN75" s="19">
        <v>34</v>
      </c>
      <c r="CO75" s="19">
        <v>0</v>
      </c>
      <c r="CP75" s="19">
        <v>2.5499999999999998E-2</v>
      </c>
      <c r="CQ75" s="19">
        <v>68.665484000000006</v>
      </c>
      <c r="CR75" s="19">
        <v>81.256015522866534</v>
      </c>
      <c r="CS75" s="19">
        <v>3.5323615068100538</v>
      </c>
      <c r="CT75" s="19">
        <v>1.5324884527612628</v>
      </c>
      <c r="CU75" s="19">
        <v>2.1073747625855437</v>
      </c>
      <c r="CV75" s="19">
        <v>3.6398632153468062</v>
      </c>
      <c r="CW75" s="19">
        <v>2.4445059709899168</v>
      </c>
      <c r="CX75" s="19">
        <v>1.0694104202964487</v>
      </c>
      <c r="CY75" s="19">
        <v>3.3071198317806796</v>
      </c>
      <c r="CZ75" s="19">
        <v>6.4705790281169309</v>
      </c>
      <c r="DA75" s="19">
        <v>1.9793965381370404</v>
      </c>
      <c r="DB75" s="19">
        <v>4.2604154058949497</v>
      </c>
      <c r="DC75" s="19">
        <v>2.9042525068182954</v>
      </c>
      <c r="DD75" s="19">
        <v>7.1646679127132451</v>
      </c>
      <c r="DE75" s="19">
        <v>4.510683933705379</v>
      </c>
      <c r="DF75" s="23">
        <v>0</v>
      </c>
      <c r="DG75" s="23">
        <v>0</v>
      </c>
      <c r="DH75" s="23">
        <v>0</v>
      </c>
      <c r="DI75" s="19">
        <v>0</v>
      </c>
      <c r="DJ75" s="19">
        <v>0</v>
      </c>
      <c r="DK75" s="19">
        <v>0</v>
      </c>
      <c r="DL75" s="19">
        <v>0</v>
      </c>
      <c r="DM75" s="19">
        <v>0</v>
      </c>
      <c r="DN75" s="19">
        <v>0</v>
      </c>
      <c r="DO75" s="19">
        <v>0</v>
      </c>
      <c r="DP75" s="19">
        <v>0</v>
      </c>
      <c r="DQ75" s="19">
        <v>0</v>
      </c>
      <c r="DR75" s="19">
        <v>0</v>
      </c>
      <c r="DS75" s="19">
        <v>0</v>
      </c>
      <c r="DT75" s="19">
        <v>0</v>
      </c>
      <c r="DU75" s="19">
        <v>0</v>
      </c>
      <c r="DV75" s="19">
        <v>0</v>
      </c>
      <c r="DW75" s="17" t="s">
        <v>339</v>
      </c>
      <c r="DX75" s="22" t="s">
        <v>218</v>
      </c>
      <c r="DY75" s="22">
        <v>8</v>
      </c>
      <c r="DZ75" s="22">
        <v>4</v>
      </c>
      <c r="EA75" s="22">
        <v>4</v>
      </c>
      <c r="EB75" s="22" t="s">
        <v>218</v>
      </c>
      <c r="EC75" s="22">
        <v>4</v>
      </c>
      <c r="ED75" s="22">
        <v>4</v>
      </c>
      <c r="EE75" s="22" t="s">
        <v>218</v>
      </c>
      <c r="EF75" s="22">
        <v>4</v>
      </c>
      <c r="EG75" s="22">
        <v>4</v>
      </c>
      <c r="EH75" s="22" t="s">
        <v>218</v>
      </c>
      <c r="EI75" s="22" t="s">
        <v>218</v>
      </c>
      <c r="EJ75" s="22" t="s">
        <v>218</v>
      </c>
      <c r="EK75" s="22" t="s">
        <v>218</v>
      </c>
      <c r="EL75" s="22" t="s">
        <v>218</v>
      </c>
      <c r="EM75" s="22" t="s">
        <v>218</v>
      </c>
      <c r="EN75" s="22" t="s">
        <v>218</v>
      </c>
      <c r="EO75" s="22" t="s">
        <v>218</v>
      </c>
      <c r="EP75" s="22" t="s">
        <v>218</v>
      </c>
      <c r="EQ75" s="22" t="s">
        <v>218</v>
      </c>
      <c r="ER75" s="22" t="s">
        <v>218</v>
      </c>
      <c r="ES75" s="22">
        <v>4</v>
      </c>
      <c r="ET75" s="22">
        <v>8</v>
      </c>
      <c r="EU75" s="22" t="s">
        <v>218</v>
      </c>
      <c r="EV75" s="22" t="s">
        <v>218</v>
      </c>
      <c r="EW75" s="22" t="s">
        <v>218</v>
      </c>
      <c r="EX75" s="22" t="s">
        <v>218</v>
      </c>
      <c r="EY75" s="22" t="s">
        <v>218</v>
      </c>
      <c r="EZ75" s="22" t="s">
        <v>218</v>
      </c>
      <c r="FA75" s="22" t="s">
        <v>218</v>
      </c>
      <c r="FB75" s="22" t="s">
        <v>218</v>
      </c>
      <c r="FC75" s="22" t="s">
        <v>218</v>
      </c>
      <c r="FD75" s="22" t="s">
        <v>218</v>
      </c>
      <c r="FE75" s="22" t="s">
        <v>218</v>
      </c>
      <c r="FF75" s="22" t="s">
        <v>218</v>
      </c>
      <c r="FG75" s="22">
        <v>0.37</v>
      </c>
      <c r="FH75" s="22">
        <v>4.55</v>
      </c>
      <c r="FI75" s="22">
        <v>2.1</v>
      </c>
      <c r="FJ75" s="22" t="s">
        <v>218</v>
      </c>
      <c r="FK75" s="22">
        <v>2.27</v>
      </c>
      <c r="FL75" s="22">
        <v>2.2000000000000002</v>
      </c>
      <c r="FM75" s="22" t="s">
        <v>218</v>
      </c>
      <c r="FN75" s="22">
        <v>4.16</v>
      </c>
      <c r="FO75" s="22">
        <v>3.79</v>
      </c>
      <c r="FP75" s="22" t="s">
        <v>218</v>
      </c>
      <c r="FQ75" s="22" t="s">
        <v>218</v>
      </c>
      <c r="FR75" s="22" t="s">
        <v>218</v>
      </c>
      <c r="FS75" s="22" t="s">
        <v>218</v>
      </c>
      <c r="FT75" s="22" t="s">
        <v>218</v>
      </c>
      <c r="FU75" s="22" t="s">
        <v>218</v>
      </c>
      <c r="FV75" s="22" t="s">
        <v>218</v>
      </c>
      <c r="FW75" s="22" t="s">
        <v>218</v>
      </c>
      <c r="FX75" s="22" t="s">
        <v>218</v>
      </c>
      <c r="FY75" s="22" t="s">
        <v>218</v>
      </c>
      <c r="FZ75" s="22" t="s">
        <v>218</v>
      </c>
      <c r="GA75" s="22">
        <v>7.0000000000000007E-2</v>
      </c>
      <c r="GB75" s="22">
        <v>0.25</v>
      </c>
      <c r="GC75" s="22" t="s">
        <v>218</v>
      </c>
      <c r="GD75" s="22" t="s">
        <v>218</v>
      </c>
      <c r="GE75" s="22" t="s">
        <v>218</v>
      </c>
      <c r="GF75" s="22" t="s">
        <v>218</v>
      </c>
      <c r="GG75" s="22" t="s">
        <v>218</v>
      </c>
      <c r="GH75" s="22" t="s">
        <v>218</v>
      </c>
      <c r="GI75" s="22" t="s">
        <v>218</v>
      </c>
      <c r="GJ75" s="22" t="s">
        <v>218</v>
      </c>
      <c r="GK75" s="22" t="s">
        <v>218</v>
      </c>
      <c r="GL75" s="22" t="s">
        <v>218</v>
      </c>
      <c r="GM75" s="22" t="s">
        <v>218</v>
      </c>
      <c r="GN75" s="22" t="s">
        <v>218</v>
      </c>
      <c r="GO75" s="22">
        <v>2016</v>
      </c>
      <c r="GP75" s="22">
        <v>2016</v>
      </c>
      <c r="GQ75" s="22">
        <v>2016</v>
      </c>
      <c r="GR75" s="22" t="s">
        <v>218</v>
      </c>
      <c r="GS75" s="22">
        <v>2016</v>
      </c>
      <c r="GT75" s="22">
        <v>2016</v>
      </c>
      <c r="GU75" s="22" t="s">
        <v>218</v>
      </c>
      <c r="GV75" s="22">
        <v>2016</v>
      </c>
      <c r="GW75" s="22">
        <v>2016</v>
      </c>
      <c r="GX75" s="22" t="s">
        <v>218</v>
      </c>
      <c r="GY75" s="22" t="s">
        <v>218</v>
      </c>
      <c r="GZ75" s="22" t="s">
        <v>218</v>
      </c>
      <c r="HA75" s="22" t="s">
        <v>218</v>
      </c>
      <c r="HB75" s="22" t="s">
        <v>218</v>
      </c>
      <c r="HC75" s="22" t="s">
        <v>218</v>
      </c>
      <c r="HD75" s="22" t="s">
        <v>218</v>
      </c>
      <c r="HE75" s="22" t="s">
        <v>218</v>
      </c>
      <c r="HF75" s="22" t="s">
        <v>218</v>
      </c>
      <c r="HG75" s="22" t="s">
        <v>218</v>
      </c>
      <c r="HH75" s="22" t="s">
        <v>218</v>
      </c>
      <c r="HI75" s="22">
        <v>2016</v>
      </c>
      <c r="HJ75" s="22">
        <v>2016</v>
      </c>
      <c r="HK75" s="22" t="s">
        <v>218</v>
      </c>
      <c r="HL75" s="22" t="s">
        <v>218</v>
      </c>
      <c r="HM75" s="622">
        <f>'background data'!$G$10</f>
        <v>0.47300000000000003</v>
      </c>
      <c r="HN75" s="622">
        <f>'background data'!$H$10</f>
        <v>0.13</v>
      </c>
      <c r="HO75" s="622">
        <f>'background data'!$J$10</f>
        <v>0.39100000000000001</v>
      </c>
      <c r="HP75" s="622">
        <f>'background data'!$L$10</f>
        <v>5.5E-2</v>
      </c>
      <c r="HQ75" s="622">
        <f>'background data'!$M$10</f>
        <v>3.97</v>
      </c>
      <c r="HR75" s="622">
        <f>'background data'!$N$10</f>
        <v>4.5999999999999999E-3</v>
      </c>
      <c r="HS75" s="622">
        <f>'background data'!$O$10</f>
        <v>2.73</v>
      </c>
      <c r="HT75" s="145" t="s">
        <v>1797</v>
      </c>
      <c r="HU75" s="145" t="s">
        <v>1809</v>
      </c>
      <c r="HV75" s="22" t="s">
        <v>1397</v>
      </c>
      <c r="HW75" s="22" t="s">
        <v>340</v>
      </c>
      <c r="HX75" s="22" t="s">
        <v>341</v>
      </c>
      <c r="HY75" s="22" t="s">
        <v>342</v>
      </c>
      <c r="HZ75" s="19"/>
      <c r="IA75" s="19"/>
      <c r="IB75" s="622">
        <f>'background data'!$G$10</f>
        <v>0.47300000000000003</v>
      </c>
      <c r="IC75" s="622">
        <f>'background data'!$H$10</f>
        <v>0.13</v>
      </c>
      <c r="ID75" s="622">
        <f>'background data'!$J$10</f>
        <v>0.39100000000000001</v>
      </c>
      <c r="IE75" s="622">
        <f>'background data'!$L$10</f>
        <v>5.5E-2</v>
      </c>
      <c r="IF75" s="622">
        <f>'background data'!$M$10</f>
        <v>3.97</v>
      </c>
      <c r="IG75" s="622">
        <f>'background data'!$N$10</f>
        <v>4.5999999999999999E-3</v>
      </c>
      <c r="IH75" s="622">
        <f>'background data'!$O$10</f>
        <v>2.73</v>
      </c>
      <c r="II75" s="145" t="s">
        <v>1797</v>
      </c>
      <c r="IJ75" s="145" t="s">
        <v>1397</v>
      </c>
      <c r="IK75" s="145"/>
      <c r="IL75" s="145"/>
      <c r="IM75" s="145"/>
      <c r="IN75" s="145"/>
      <c r="IO75" s="145"/>
      <c r="IP75" s="145"/>
      <c r="IQ75" s="145"/>
      <c r="IR75" s="145"/>
      <c r="IS75" s="145"/>
      <c r="IT75" s="145"/>
      <c r="IU75" s="145"/>
      <c r="IV75" s="145"/>
      <c r="IW75" s="145"/>
      <c r="IX75" s="145"/>
      <c r="IY75" s="145"/>
      <c r="IZ75" s="145"/>
      <c r="JA75" s="145"/>
      <c r="JB75" s="145"/>
      <c r="JC75" s="145"/>
      <c r="JD75" s="145"/>
      <c r="JE75" s="145"/>
      <c r="JF75" s="145"/>
      <c r="JG75" s="145"/>
      <c r="JH75" s="145"/>
      <c r="JI75" s="145"/>
      <c r="JJ75" s="145"/>
      <c r="JK75" s="145"/>
      <c r="JL75" s="145"/>
      <c r="JM75" s="145"/>
      <c r="JN75" s="145"/>
      <c r="JO75" s="145"/>
      <c r="JP75" s="145"/>
      <c r="JQ75" s="145"/>
      <c r="JR75" s="145"/>
      <c r="JS75" s="145"/>
      <c r="JT75" s="145"/>
      <c r="JU75" s="145"/>
      <c r="JV75" s="145"/>
      <c r="JW75" s="145"/>
      <c r="JX75" s="145"/>
      <c r="JY75" s="145"/>
      <c r="JZ75" s="145"/>
      <c r="KA75" s="145"/>
      <c r="KB75" s="145"/>
      <c r="KC75" s="145"/>
      <c r="KD75" s="145"/>
      <c r="KE75" s="145"/>
      <c r="KF75" s="145"/>
      <c r="KG75" s="145"/>
      <c r="KH75" s="145"/>
      <c r="KI75" s="145"/>
      <c r="KJ75" s="145"/>
      <c r="KK75" s="145"/>
      <c r="KL75" s="145"/>
      <c r="KM75" s="145"/>
      <c r="KN75" s="145"/>
      <c r="KO75" s="145"/>
      <c r="KP75" s="145"/>
      <c r="KQ75" s="145"/>
      <c r="KR75" s="145"/>
      <c r="KS75" s="145"/>
      <c r="KT75" s="145"/>
      <c r="KU75" s="145"/>
      <c r="KV75" s="145"/>
      <c r="KW75" s="145"/>
      <c r="KX75" s="145"/>
      <c r="KY75" s="145"/>
      <c r="KZ75" s="145"/>
      <c r="LA75" s="145"/>
      <c r="LB75" s="145"/>
      <c r="LC75" s="145"/>
      <c r="LD75" s="145"/>
      <c r="LE75" s="145"/>
      <c r="LF75" s="145"/>
      <c r="LG75" s="145"/>
      <c r="LH75" s="145"/>
      <c r="LI75" s="145"/>
      <c r="LJ75" s="145"/>
      <c r="LK75" s="145"/>
      <c r="LL75" s="145"/>
      <c r="LM75" s="145"/>
      <c r="LN75" s="145"/>
      <c r="LO75" s="145"/>
      <c r="LP75" s="145"/>
      <c r="LQ75" s="145"/>
      <c r="LR75" s="145"/>
      <c r="LS75" s="145"/>
      <c r="LT75" s="145"/>
      <c r="LU75" s="145"/>
      <c r="LV75" s="145"/>
      <c r="LW75" s="145"/>
      <c r="LX75" s="145"/>
      <c r="LY75" s="145"/>
      <c r="LZ75" s="145"/>
      <c r="MA75" s="145"/>
      <c r="MB75" s="145"/>
      <c r="MC75" s="145"/>
      <c r="MD75" s="145"/>
      <c r="ME75" s="145"/>
      <c r="MF75" s="145"/>
      <c r="MG75" s="145"/>
      <c r="MH75" s="145"/>
      <c r="MI75" s="145"/>
      <c r="MJ75" s="145"/>
      <c r="MK75" s="145"/>
      <c r="ML75" s="145"/>
      <c r="MM75" s="145"/>
      <c r="MN75" s="145"/>
      <c r="MO75" s="145"/>
      <c r="MP75" s="145"/>
      <c r="MQ75" s="145"/>
      <c r="MR75" s="145"/>
      <c r="MS75" s="145"/>
      <c r="MT75" s="145"/>
      <c r="MU75" s="145"/>
      <c r="MV75" s="145"/>
      <c r="MW75" s="145"/>
      <c r="MX75" s="145"/>
      <c r="MY75" s="145"/>
      <c r="MZ75" s="145"/>
      <c r="NA75" s="145"/>
      <c r="NB75" s="145"/>
      <c r="NC75" s="145"/>
      <c r="ND75" s="145"/>
      <c r="NE75" s="145"/>
      <c r="NF75" s="145"/>
      <c r="NG75" s="145"/>
      <c r="NH75" s="145"/>
      <c r="NI75" s="145"/>
      <c r="NJ75" s="145"/>
      <c r="NK75" s="145"/>
      <c r="NL75" s="145"/>
      <c r="NM75" s="145"/>
      <c r="NN75" s="145"/>
      <c r="NO75" s="145"/>
      <c r="NP75" s="145"/>
      <c r="NQ75" s="145"/>
      <c r="NR75" s="145"/>
      <c r="NS75" s="145"/>
    </row>
    <row r="76" spans="1:383" s="16" customFormat="1" ht="15" customHeight="1" x14ac:dyDescent="0.2">
      <c r="A76" s="15">
        <v>53110</v>
      </c>
      <c r="B76" s="25">
        <v>531</v>
      </c>
      <c r="C76" s="26">
        <v>10</v>
      </c>
      <c r="D76" s="20" t="s">
        <v>345</v>
      </c>
      <c r="E76" s="14">
        <v>42678</v>
      </c>
      <c r="F76" s="18">
        <v>0.84505108401083995</v>
      </c>
      <c r="G76" s="18">
        <v>0.87572611948052104</v>
      </c>
      <c r="H76" s="21">
        <v>69.900000000000006</v>
      </c>
      <c r="I76" s="21">
        <v>65.500004700000005</v>
      </c>
      <c r="J76" s="21">
        <v>91</v>
      </c>
      <c r="K76" s="18">
        <v>1</v>
      </c>
      <c r="L76" s="18">
        <v>85</v>
      </c>
      <c r="M76" s="18">
        <v>9.8000000000000096</v>
      </c>
      <c r="N76" s="18">
        <v>4.4000000000000004</v>
      </c>
      <c r="O76" s="18">
        <v>2.4</v>
      </c>
      <c r="P76" s="18">
        <v>11</v>
      </c>
      <c r="Q76" s="19"/>
      <c r="R76" s="18">
        <v>70.066820408163295</v>
      </c>
      <c r="S76" s="18">
        <v>27</v>
      </c>
      <c r="T76" s="18">
        <v>39</v>
      </c>
      <c r="U76" s="18">
        <v>43</v>
      </c>
      <c r="V76" s="18">
        <v>47</v>
      </c>
      <c r="W76" s="18">
        <v>50</v>
      </c>
      <c r="X76" s="18"/>
      <c r="Y76" s="18">
        <v>1.03529411764706</v>
      </c>
      <c r="Z76" s="18">
        <v>3.7647058823529411</v>
      </c>
      <c r="AA76" s="18">
        <v>0.1</v>
      </c>
      <c r="AB76" s="18">
        <v>0</v>
      </c>
      <c r="AC76" s="18">
        <v>4.7058799999999996</v>
      </c>
      <c r="AD76" s="18">
        <v>1.3</v>
      </c>
      <c r="AE76" s="18">
        <v>0</v>
      </c>
      <c r="AF76" s="18">
        <v>79.000000000000014</v>
      </c>
      <c r="AG76" s="18">
        <v>4</v>
      </c>
      <c r="AH76" s="18">
        <v>45</v>
      </c>
      <c r="AI76" s="18">
        <v>40</v>
      </c>
      <c r="AJ76" s="18">
        <v>0</v>
      </c>
      <c r="AK76" s="18">
        <v>0.03</v>
      </c>
      <c r="AL76" s="18"/>
      <c r="AM76" s="18">
        <v>4.18</v>
      </c>
      <c r="AN76" s="18">
        <v>1.64</v>
      </c>
      <c r="AO76" s="18">
        <v>2.73</v>
      </c>
      <c r="AP76" s="18">
        <v>3.27</v>
      </c>
      <c r="AQ76" s="18">
        <v>1.23</v>
      </c>
      <c r="AR76" s="18">
        <v>3.7</v>
      </c>
      <c r="AS76" s="18">
        <v>7.1100000000000101</v>
      </c>
      <c r="AT76" s="18">
        <v>2.1</v>
      </c>
      <c r="AU76" s="18">
        <v>4.5199999999999996</v>
      </c>
      <c r="AV76" s="18">
        <v>3.22</v>
      </c>
      <c r="AW76" s="18">
        <v>5.14</v>
      </c>
      <c r="AX76" s="18"/>
      <c r="AY76" s="18">
        <v>1.04</v>
      </c>
      <c r="AZ76" s="18">
        <v>1.1499999999999999</v>
      </c>
      <c r="BA76" s="18">
        <v>0.95</v>
      </c>
      <c r="BB76" s="18">
        <v>0.92</v>
      </c>
      <c r="BC76" s="18">
        <v>1.07</v>
      </c>
      <c r="BD76" s="18">
        <v>1.1000000000000001</v>
      </c>
      <c r="BE76" s="18">
        <v>1.1200000000000001</v>
      </c>
      <c r="BF76" s="18">
        <v>1.1599999999999999</v>
      </c>
      <c r="BG76" s="18">
        <v>1.1599999999999999</v>
      </c>
      <c r="BH76" s="18">
        <v>1.1100000000000001</v>
      </c>
      <c r="BI76" s="18">
        <v>1.08</v>
      </c>
      <c r="BJ76" s="19"/>
      <c r="BK76" s="18">
        <v>11.529411764705893</v>
      </c>
      <c r="BL76" s="18">
        <v>5.1764705882352944</v>
      </c>
      <c r="BM76" s="18">
        <v>2.8235294117647061</v>
      </c>
      <c r="BN76" s="18">
        <v>12.941176470588236</v>
      </c>
      <c r="BO76" s="18"/>
      <c r="BP76" s="18">
        <v>110</v>
      </c>
      <c r="BQ76" s="18">
        <v>56.941176470588232</v>
      </c>
      <c r="BR76" s="18">
        <v>0.99417774589510588</v>
      </c>
      <c r="BS76" s="18">
        <v>1.0302660229182601</v>
      </c>
      <c r="BT76" s="19"/>
      <c r="BU76" s="18">
        <v>971.76470588235293</v>
      </c>
      <c r="BV76" s="18">
        <v>463.05176470588236</v>
      </c>
      <c r="BW76" s="18">
        <v>61.082287694117653</v>
      </c>
      <c r="BX76" s="18">
        <v>471</v>
      </c>
      <c r="BY76" s="18">
        <v>18</v>
      </c>
      <c r="BZ76" s="18">
        <v>40</v>
      </c>
      <c r="CA76" s="18">
        <v>258</v>
      </c>
      <c r="CB76" s="19"/>
      <c r="CC76" s="19">
        <v>0.880000000000001</v>
      </c>
      <c r="CD76" s="19">
        <v>3.1999999999999997</v>
      </c>
      <c r="CE76" s="19">
        <v>8.5000000000000006E-2</v>
      </c>
      <c r="CF76" s="19">
        <v>0</v>
      </c>
      <c r="CG76" s="19">
        <v>3.9999979999999997</v>
      </c>
      <c r="CH76" s="19">
        <v>1.105</v>
      </c>
      <c r="CI76" s="19">
        <v>0</v>
      </c>
      <c r="CJ76" s="19"/>
      <c r="CK76" s="19">
        <v>67.150000000000006</v>
      </c>
      <c r="CL76" s="19">
        <v>3.4</v>
      </c>
      <c r="CM76" s="19">
        <v>38.25</v>
      </c>
      <c r="CN76" s="19">
        <v>34</v>
      </c>
      <c r="CO76" s="19">
        <v>0</v>
      </c>
      <c r="CP76" s="19">
        <v>2.5499999999999998E-2</v>
      </c>
      <c r="CQ76" s="19">
        <v>68.665484000000006</v>
      </c>
      <c r="CR76" s="19">
        <v>81.256015522866534</v>
      </c>
      <c r="CS76" s="19">
        <v>3.5323615068100538</v>
      </c>
      <c r="CT76" s="19">
        <v>1.5324884527612628</v>
      </c>
      <c r="CU76" s="19">
        <v>2.1073747625855437</v>
      </c>
      <c r="CV76" s="19">
        <v>3.6398632153468062</v>
      </c>
      <c r="CW76" s="19">
        <v>2.4445059709899168</v>
      </c>
      <c r="CX76" s="19">
        <v>1.0694104202964487</v>
      </c>
      <c r="CY76" s="19">
        <v>3.3071198317806796</v>
      </c>
      <c r="CZ76" s="19">
        <v>6.4705790281169309</v>
      </c>
      <c r="DA76" s="19">
        <v>1.9793965381370404</v>
      </c>
      <c r="DB76" s="19">
        <v>4.2604154058949497</v>
      </c>
      <c r="DC76" s="19">
        <v>2.9042525068182954</v>
      </c>
      <c r="DD76" s="19">
        <v>7.1646679127132451</v>
      </c>
      <c r="DE76" s="19">
        <v>4.510683933705379</v>
      </c>
      <c r="DF76" s="23">
        <v>0</v>
      </c>
      <c r="DG76" s="23">
        <v>0</v>
      </c>
      <c r="DH76" s="23">
        <v>0</v>
      </c>
      <c r="DI76" s="19">
        <v>0</v>
      </c>
      <c r="DJ76" s="19">
        <v>0</v>
      </c>
      <c r="DK76" s="19">
        <v>0</v>
      </c>
      <c r="DL76" s="19">
        <v>0</v>
      </c>
      <c r="DM76" s="19">
        <v>0</v>
      </c>
      <c r="DN76" s="19">
        <v>0</v>
      </c>
      <c r="DO76" s="19">
        <v>0</v>
      </c>
      <c r="DP76" s="19">
        <v>0</v>
      </c>
      <c r="DQ76" s="19">
        <v>0</v>
      </c>
      <c r="DR76" s="19">
        <v>0</v>
      </c>
      <c r="DS76" s="19">
        <v>0</v>
      </c>
      <c r="DT76" s="19">
        <v>0</v>
      </c>
      <c r="DU76" s="19">
        <v>0</v>
      </c>
      <c r="DV76" s="19">
        <v>0</v>
      </c>
      <c r="DW76" s="17" t="s">
        <v>339</v>
      </c>
      <c r="DX76" s="22" t="s">
        <v>218</v>
      </c>
      <c r="DY76" s="22">
        <v>8</v>
      </c>
      <c r="DZ76" s="22">
        <v>4</v>
      </c>
      <c r="EA76" s="22">
        <v>4</v>
      </c>
      <c r="EB76" s="22" t="s">
        <v>218</v>
      </c>
      <c r="EC76" s="22">
        <v>4</v>
      </c>
      <c r="ED76" s="22">
        <v>4</v>
      </c>
      <c r="EE76" s="22" t="s">
        <v>218</v>
      </c>
      <c r="EF76" s="22">
        <v>4</v>
      </c>
      <c r="EG76" s="22">
        <v>4</v>
      </c>
      <c r="EH76" s="22" t="s">
        <v>218</v>
      </c>
      <c r="EI76" s="22" t="s">
        <v>218</v>
      </c>
      <c r="EJ76" s="22" t="s">
        <v>218</v>
      </c>
      <c r="EK76" s="22" t="s">
        <v>218</v>
      </c>
      <c r="EL76" s="22" t="s">
        <v>218</v>
      </c>
      <c r="EM76" s="22" t="s">
        <v>218</v>
      </c>
      <c r="EN76" s="22" t="s">
        <v>218</v>
      </c>
      <c r="EO76" s="22" t="s">
        <v>218</v>
      </c>
      <c r="EP76" s="22" t="s">
        <v>218</v>
      </c>
      <c r="EQ76" s="22" t="s">
        <v>218</v>
      </c>
      <c r="ER76" s="22" t="s">
        <v>218</v>
      </c>
      <c r="ES76" s="22">
        <v>4</v>
      </c>
      <c r="ET76" s="22">
        <v>8</v>
      </c>
      <c r="EU76" s="22" t="s">
        <v>218</v>
      </c>
      <c r="EV76" s="22" t="s">
        <v>218</v>
      </c>
      <c r="EW76" s="22" t="s">
        <v>218</v>
      </c>
      <c r="EX76" s="22" t="s">
        <v>218</v>
      </c>
      <c r="EY76" s="22" t="s">
        <v>218</v>
      </c>
      <c r="EZ76" s="22" t="s">
        <v>218</v>
      </c>
      <c r="FA76" s="22" t="s">
        <v>218</v>
      </c>
      <c r="FB76" s="22" t="s">
        <v>218</v>
      </c>
      <c r="FC76" s="22" t="s">
        <v>218</v>
      </c>
      <c r="FD76" s="22" t="s">
        <v>218</v>
      </c>
      <c r="FE76" s="22" t="s">
        <v>218</v>
      </c>
      <c r="FF76" s="22" t="s">
        <v>218</v>
      </c>
      <c r="FG76" s="22">
        <v>0.37</v>
      </c>
      <c r="FH76" s="22">
        <v>4.55</v>
      </c>
      <c r="FI76" s="22">
        <v>2.1</v>
      </c>
      <c r="FJ76" s="22" t="s">
        <v>218</v>
      </c>
      <c r="FK76" s="22">
        <v>2.27</v>
      </c>
      <c r="FL76" s="22">
        <v>2.2000000000000002</v>
      </c>
      <c r="FM76" s="22" t="s">
        <v>218</v>
      </c>
      <c r="FN76" s="22">
        <v>4.16</v>
      </c>
      <c r="FO76" s="22">
        <v>3.79</v>
      </c>
      <c r="FP76" s="22" t="s">
        <v>218</v>
      </c>
      <c r="FQ76" s="22" t="s">
        <v>218</v>
      </c>
      <c r="FR76" s="22" t="s">
        <v>218</v>
      </c>
      <c r="FS76" s="22" t="s">
        <v>218</v>
      </c>
      <c r="FT76" s="22" t="s">
        <v>218</v>
      </c>
      <c r="FU76" s="22" t="s">
        <v>218</v>
      </c>
      <c r="FV76" s="22" t="s">
        <v>218</v>
      </c>
      <c r="FW76" s="22" t="s">
        <v>218</v>
      </c>
      <c r="FX76" s="22" t="s">
        <v>218</v>
      </c>
      <c r="FY76" s="22" t="s">
        <v>218</v>
      </c>
      <c r="FZ76" s="22" t="s">
        <v>218</v>
      </c>
      <c r="GA76" s="22">
        <v>7.0000000000000007E-2</v>
      </c>
      <c r="GB76" s="22">
        <v>0.25</v>
      </c>
      <c r="GC76" s="22" t="s">
        <v>218</v>
      </c>
      <c r="GD76" s="22" t="s">
        <v>218</v>
      </c>
      <c r="GE76" s="22" t="s">
        <v>218</v>
      </c>
      <c r="GF76" s="22" t="s">
        <v>218</v>
      </c>
      <c r="GG76" s="22" t="s">
        <v>218</v>
      </c>
      <c r="GH76" s="22" t="s">
        <v>218</v>
      </c>
      <c r="GI76" s="22" t="s">
        <v>218</v>
      </c>
      <c r="GJ76" s="22" t="s">
        <v>218</v>
      </c>
      <c r="GK76" s="22" t="s">
        <v>218</v>
      </c>
      <c r="GL76" s="22" t="s">
        <v>218</v>
      </c>
      <c r="GM76" s="22" t="s">
        <v>218</v>
      </c>
      <c r="GN76" s="22" t="s">
        <v>218</v>
      </c>
      <c r="GO76" s="22">
        <v>2016</v>
      </c>
      <c r="GP76" s="22">
        <v>2016</v>
      </c>
      <c r="GQ76" s="22">
        <v>2016</v>
      </c>
      <c r="GR76" s="22" t="s">
        <v>218</v>
      </c>
      <c r="GS76" s="22">
        <v>2016</v>
      </c>
      <c r="GT76" s="22">
        <v>2016</v>
      </c>
      <c r="GU76" s="22" t="s">
        <v>218</v>
      </c>
      <c r="GV76" s="22">
        <v>2016</v>
      </c>
      <c r="GW76" s="22">
        <v>2016</v>
      </c>
      <c r="GX76" s="22" t="s">
        <v>218</v>
      </c>
      <c r="GY76" s="22" t="s">
        <v>218</v>
      </c>
      <c r="GZ76" s="22" t="s">
        <v>218</v>
      </c>
      <c r="HA76" s="22" t="s">
        <v>218</v>
      </c>
      <c r="HB76" s="22" t="s">
        <v>218</v>
      </c>
      <c r="HC76" s="22" t="s">
        <v>218</v>
      </c>
      <c r="HD76" s="22" t="s">
        <v>218</v>
      </c>
      <c r="HE76" s="22" t="s">
        <v>218</v>
      </c>
      <c r="HF76" s="22" t="s">
        <v>218</v>
      </c>
      <c r="HG76" s="22" t="s">
        <v>218</v>
      </c>
      <c r="HH76" s="22" t="s">
        <v>218</v>
      </c>
      <c r="HI76" s="22">
        <v>2016</v>
      </c>
      <c r="HJ76" s="22">
        <v>2016</v>
      </c>
      <c r="HK76" s="22" t="s">
        <v>218</v>
      </c>
      <c r="HL76" s="22" t="s">
        <v>218</v>
      </c>
      <c r="HM76" s="622">
        <f>'background data'!$G$10</f>
        <v>0.47300000000000003</v>
      </c>
      <c r="HN76" s="622">
        <f>'background data'!$H$10</f>
        <v>0.13</v>
      </c>
      <c r="HO76" s="622">
        <f>'background data'!$J$10</f>
        <v>0.39100000000000001</v>
      </c>
      <c r="HP76" s="622">
        <f>'background data'!$L$10</f>
        <v>5.5E-2</v>
      </c>
      <c r="HQ76" s="622">
        <f>'background data'!$M$10</f>
        <v>3.97</v>
      </c>
      <c r="HR76" s="622">
        <f>'background data'!$N$10</f>
        <v>4.5999999999999999E-3</v>
      </c>
      <c r="HS76" s="622">
        <f>'background data'!$O$10</f>
        <v>2.73</v>
      </c>
      <c r="HT76" s="145" t="s">
        <v>1797</v>
      </c>
      <c r="HU76" s="145" t="s">
        <v>1809</v>
      </c>
      <c r="HV76" s="22" t="s">
        <v>1397</v>
      </c>
      <c r="HW76" s="22" t="s">
        <v>340</v>
      </c>
      <c r="HX76" s="22" t="s">
        <v>341</v>
      </c>
      <c r="HY76" s="22" t="s">
        <v>342</v>
      </c>
      <c r="HZ76" s="19"/>
      <c r="IA76" s="19"/>
      <c r="IB76" s="622">
        <f>'background data'!$G$10</f>
        <v>0.47300000000000003</v>
      </c>
      <c r="IC76" s="622">
        <f>'background data'!$H$10</f>
        <v>0.13</v>
      </c>
      <c r="ID76" s="622">
        <f>'background data'!$J$10</f>
        <v>0.39100000000000001</v>
      </c>
      <c r="IE76" s="622">
        <f>'background data'!$L$10</f>
        <v>5.5E-2</v>
      </c>
      <c r="IF76" s="622">
        <f>'background data'!$M$10</f>
        <v>3.97</v>
      </c>
      <c r="IG76" s="622">
        <f>'background data'!$N$10</f>
        <v>4.5999999999999999E-3</v>
      </c>
      <c r="IH76" s="622">
        <f>'background data'!$O$10</f>
        <v>2.73</v>
      </c>
      <c r="II76" s="145" t="s">
        <v>1797</v>
      </c>
      <c r="IJ76" s="145" t="s">
        <v>1397</v>
      </c>
      <c r="IK76" s="145"/>
      <c r="IL76" s="145"/>
      <c r="IM76" s="145"/>
      <c r="IN76" s="145"/>
      <c r="IO76" s="145"/>
      <c r="IP76" s="145"/>
      <c r="IQ76" s="145"/>
      <c r="IR76" s="145"/>
      <c r="IS76" s="145"/>
      <c r="IT76" s="145"/>
      <c r="IU76" s="145"/>
      <c r="IV76" s="145"/>
      <c r="IW76" s="145"/>
      <c r="IX76" s="145"/>
      <c r="IY76" s="145"/>
      <c r="IZ76" s="145"/>
      <c r="JA76" s="145"/>
      <c r="JB76" s="145"/>
      <c r="JC76" s="145"/>
      <c r="JD76" s="145"/>
      <c r="JE76" s="145"/>
      <c r="JF76" s="145"/>
      <c r="JG76" s="145"/>
      <c r="JH76" s="145"/>
      <c r="JI76" s="145"/>
      <c r="JJ76" s="145"/>
      <c r="JK76" s="145"/>
      <c r="JL76" s="145"/>
      <c r="JM76" s="145"/>
      <c r="JN76" s="145"/>
      <c r="JO76" s="145"/>
      <c r="JP76" s="145"/>
      <c r="JQ76" s="145"/>
      <c r="JR76" s="145"/>
      <c r="JS76" s="145"/>
      <c r="JT76" s="145"/>
      <c r="JU76" s="145"/>
      <c r="JV76" s="145"/>
      <c r="JW76" s="145"/>
      <c r="JX76" s="145"/>
      <c r="JY76" s="145"/>
      <c r="JZ76" s="145"/>
      <c r="KA76" s="145"/>
      <c r="KB76" s="145"/>
      <c r="KC76" s="145"/>
      <c r="KD76" s="145"/>
      <c r="KE76" s="145"/>
      <c r="KF76" s="145"/>
      <c r="KG76" s="145"/>
      <c r="KH76" s="145"/>
      <c r="KI76" s="145"/>
      <c r="KJ76" s="145"/>
      <c r="KK76" s="145"/>
      <c r="KL76" s="145"/>
      <c r="KM76" s="145"/>
      <c r="KN76" s="145"/>
      <c r="KO76" s="145"/>
      <c r="KP76" s="145"/>
      <c r="KQ76" s="145"/>
      <c r="KR76" s="145"/>
      <c r="KS76" s="145"/>
      <c r="KT76" s="145"/>
      <c r="KU76" s="145"/>
      <c r="KV76" s="145"/>
      <c r="KW76" s="145"/>
      <c r="KX76" s="145"/>
      <c r="KY76" s="145"/>
      <c r="KZ76" s="145"/>
      <c r="LA76" s="145"/>
      <c r="LB76" s="145"/>
      <c r="LC76" s="145"/>
      <c r="LD76" s="145"/>
      <c r="LE76" s="145"/>
      <c r="LF76" s="145"/>
      <c r="LG76" s="145"/>
      <c r="LH76" s="145"/>
      <c r="LI76" s="145"/>
      <c r="LJ76" s="145"/>
      <c r="LK76" s="145"/>
      <c r="LL76" s="145"/>
      <c r="LM76" s="145"/>
      <c r="LN76" s="145"/>
      <c r="LO76" s="145"/>
      <c r="LP76" s="145"/>
      <c r="LQ76" s="145"/>
      <c r="LR76" s="145"/>
      <c r="LS76" s="145"/>
      <c r="LT76" s="145"/>
      <c r="LU76" s="145"/>
      <c r="LV76" s="145"/>
      <c r="LW76" s="145"/>
      <c r="LX76" s="145"/>
      <c r="LY76" s="145"/>
      <c r="LZ76" s="145"/>
      <c r="MA76" s="145"/>
      <c r="MB76" s="145"/>
      <c r="MC76" s="145"/>
      <c r="MD76" s="145"/>
      <c r="ME76" s="145"/>
      <c r="MF76" s="145"/>
      <c r="MG76" s="145"/>
      <c r="MH76" s="145"/>
      <c r="MI76" s="145"/>
      <c r="MJ76" s="145"/>
      <c r="MK76" s="145"/>
      <c r="ML76" s="145"/>
      <c r="MM76" s="145"/>
      <c r="MN76" s="145"/>
      <c r="MO76" s="145"/>
      <c r="MP76" s="145"/>
      <c r="MQ76" s="145"/>
      <c r="MR76" s="145"/>
      <c r="MS76" s="145"/>
      <c r="MT76" s="145"/>
      <c r="MU76" s="145"/>
      <c r="MV76" s="145"/>
      <c r="MW76" s="145"/>
      <c r="MX76" s="145"/>
      <c r="MY76" s="145"/>
      <c r="MZ76" s="145"/>
      <c r="NA76" s="145"/>
      <c r="NB76" s="145"/>
      <c r="NC76" s="145"/>
      <c r="ND76" s="145"/>
      <c r="NE76" s="145"/>
      <c r="NF76" s="145"/>
      <c r="NG76" s="145"/>
      <c r="NH76" s="145"/>
      <c r="NI76" s="145"/>
      <c r="NJ76" s="145"/>
      <c r="NK76" s="145"/>
      <c r="NL76" s="145"/>
      <c r="NM76" s="145"/>
      <c r="NN76" s="145"/>
      <c r="NO76" s="145"/>
      <c r="NP76" s="145"/>
      <c r="NQ76" s="145"/>
      <c r="NR76" s="145"/>
      <c r="NS76" s="145"/>
    </row>
    <row r="77" spans="1:383" s="16" customFormat="1" ht="15" customHeight="1" x14ac:dyDescent="0.2">
      <c r="A77" s="15">
        <v>53310</v>
      </c>
      <c r="B77" s="25">
        <v>533</v>
      </c>
      <c r="C77" s="26">
        <v>10</v>
      </c>
      <c r="D77" s="20" t="s">
        <v>346</v>
      </c>
      <c r="E77" s="14">
        <v>42695</v>
      </c>
      <c r="F77" s="18">
        <v>0.84460739997018897</v>
      </c>
      <c r="G77" s="18">
        <v>0.87530092467531895</v>
      </c>
      <c r="H77" s="21">
        <v>69.900000000000006</v>
      </c>
      <c r="I77" s="21">
        <v>65.500004700000005</v>
      </c>
      <c r="J77" s="21">
        <v>91</v>
      </c>
      <c r="K77" s="18">
        <v>1</v>
      </c>
      <c r="L77" s="18">
        <v>85</v>
      </c>
      <c r="M77" s="18">
        <v>9.9999999999999591</v>
      </c>
      <c r="N77" s="18">
        <v>4.4000000000000004</v>
      </c>
      <c r="O77" s="18">
        <v>2.4</v>
      </c>
      <c r="P77" s="18">
        <v>11</v>
      </c>
      <c r="Q77" s="19"/>
      <c r="R77" s="18">
        <v>70.4854839999999</v>
      </c>
      <c r="S77" s="18">
        <v>27</v>
      </c>
      <c r="T77" s="18">
        <v>39</v>
      </c>
      <c r="U77" s="18">
        <v>43</v>
      </c>
      <c r="V77" s="18">
        <v>47</v>
      </c>
      <c r="W77" s="18">
        <v>50</v>
      </c>
      <c r="X77" s="18"/>
      <c r="Y77" s="18">
        <v>1.03529411764706</v>
      </c>
      <c r="Z77" s="18">
        <v>3.7647058823529411</v>
      </c>
      <c r="AA77" s="18">
        <v>0.1</v>
      </c>
      <c r="AB77" s="18">
        <v>0</v>
      </c>
      <c r="AC77" s="18">
        <v>5.5</v>
      </c>
      <c r="AD77" s="18">
        <v>1.2</v>
      </c>
      <c r="AE77" s="18">
        <v>1.4</v>
      </c>
      <c r="AF77" s="18">
        <v>66</v>
      </c>
      <c r="AG77" s="18">
        <v>2.7</v>
      </c>
      <c r="AH77" s="18">
        <v>42.999999999999993</v>
      </c>
      <c r="AI77" s="18">
        <v>31</v>
      </c>
      <c r="AJ77" s="18">
        <v>0</v>
      </c>
      <c r="AK77" s="18">
        <v>0.03</v>
      </c>
      <c r="AL77" s="18"/>
      <c r="AM77" s="18">
        <v>4.18</v>
      </c>
      <c r="AN77" s="18">
        <v>1.64</v>
      </c>
      <c r="AO77" s="18">
        <v>2.73</v>
      </c>
      <c r="AP77" s="18">
        <v>3.27</v>
      </c>
      <c r="AQ77" s="18">
        <v>1.23</v>
      </c>
      <c r="AR77" s="18">
        <v>3.7</v>
      </c>
      <c r="AS77" s="18">
        <v>7.1100000000000101</v>
      </c>
      <c r="AT77" s="18">
        <v>2.1</v>
      </c>
      <c r="AU77" s="18">
        <v>4.5199999999999996</v>
      </c>
      <c r="AV77" s="18">
        <v>3.22</v>
      </c>
      <c r="AW77" s="18">
        <v>5.14</v>
      </c>
      <c r="AX77" s="18"/>
      <c r="AY77" s="18">
        <v>1.04</v>
      </c>
      <c r="AZ77" s="18">
        <v>1.1499999999999999</v>
      </c>
      <c r="BA77" s="18">
        <v>0.95</v>
      </c>
      <c r="BB77" s="18">
        <v>0.92</v>
      </c>
      <c r="BC77" s="18">
        <v>1.07</v>
      </c>
      <c r="BD77" s="18">
        <v>1.1000000000000001</v>
      </c>
      <c r="BE77" s="18">
        <v>1.1200000000000001</v>
      </c>
      <c r="BF77" s="18">
        <v>1.1599999999999999</v>
      </c>
      <c r="BG77" s="18">
        <v>1.1599999999999999</v>
      </c>
      <c r="BH77" s="18">
        <v>1.1100000000000001</v>
      </c>
      <c r="BI77" s="18">
        <v>1.08</v>
      </c>
      <c r="BJ77" s="19"/>
      <c r="BK77" s="18">
        <v>11.764705882352892</v>
      </c>
      <c r="BL77" s="18">
        <v>5.1764705882352944</v>
      </c>
      <c r="BM77" s="18">
        <v>2.8235294117647061</v>
      </c>
      <c r="BN77" s="18">
        <v>12.941176470588236</v>
      </c>
      <c r="BO77" s="18"/>
      <c r="BP77" s="18">
        <v>110</v>
      </c>
      <c r="BQ77" s="18">
        <v>56.941176470588232</v>
      </c>
      <c r="BR77" s="18">
        <v>0.99365576467081052</v>
      </c>
      <c r="BS77" s="18">
        <v>1.0297657937356695</v>
      </c>
      <c r="BT77" s="19"/>
      <c r="BU77" s="18">
        <v>971.76470588235293</v>
      </c>
      <c r="BV77" s="18">
        <v>460.91058823529414</v>
      </c>
      <c r="BW77" s="18">
        <v>61.082287694117653</v>
      </c>
      <c r="BX77" s="18">
        <v>471</v>
      </c>
      <c r="BY77" s="18">
        <v>18</v>
      </c>
      <c r="BZ77" s="18">
        <v>40</v>
      </c>
      <c r="CA77" s="18">
        <v>258</v>
      </c>
      <c r="CB77" s="19"/>
      <c r="CC77" s="19">
        <v>0.880000000000001</v>
      </c>
      <c r="CD77" s="19">
        <v>3.1999999999999997</v>
      </c>
      <c r="CE77" s="19">
        <v>8.5000000000000006E-2</v>
      </c>
      <c r="CF77" s="19">
        <v>0</v>
      </c>
      <c r="CG77" s="19">
        <v>4.6749999999999998</v>
      </c>
      <c r="CH77" s="19">
        <v>1.02</v>
      </c>
      <c r="CI77" s="19">
        <v>1.19</v>
      </c>
      <c r="CJ77" s="19"/>
      <c r="CK77" s="19">
        <v>56.1</v>
      </c>
      <c r="CL77" s="19">
        <v>2.2949999999999999</v>
      </c>
      <c r="CM77" s="19">
        <v>36.54999999999999</v>
      </c>
      <c r="CN77" s="19">
        <v>26.349999999999998</v>
      </c>
      <c r="CO77" s="19">
        <v>0</v>
      </c>
      <c r="CP77" s="19">
        <v>2.5499999999999998E-2</v>
      </c>
      <c r="CQ77" s="19">
        <v>70.485483999999602</v>
      </c>
      <c r="CR77" s="19">
        <v>83.453547769635264</v>
      </c>
      <c r="CS77" s="19">
        <v>3.6278926286415927</v>
      </c>
      <c r="CT77" s="19">
        <v>1.5739339109353299</v>
      </c>
      <c r="CU77" s="19">
        <v>2.164367761405491</v>
      </c>
      <c r="CV77" s="19">
        <v>3.7383016723408211</v>
      </c>
      <c r="CW77" s="19">
        <v>2.5106165311017095</v>
      </c>
      <c r="CX77" s="19">
        <v>1.0983321421961711</v>
      </c>
      <c r="CY77" s="19">
        <v>3.3965593942241625</v>
      </c>
      <c r="CZ77" s="19">
        <v>6.6455729159916093</v>
      </c>
      <c r="DA77" s="19">
        <v>2.0329284236683147</v>
      </c>
      <c r="DB77" s="19">
        <v>4.375636416657529</v>
      </c>
      <c r="DC77" s="19">
        <v>2.9827967043823085</v>
      </c>
      <c r="DD77" s="19">
        <v>7.3584331210398259</v>
      </c>
      <c r="DE77" s="19">
        <v>4.6326733437880065</v>
      </c>
      <c r="DF77" s="23">
        <v>0</v>
      </c>
      <c r="DG77" s="23">
        <v>0</v>
      </c>
      <c r="DH77" s="23">
        <v>0</v>
      </c>
      <c r="DI77" s="19">
        <v>0</v>
      </c>
      <c r="DJ77" s="19">
        <v>0</v>
      </c>
      <c r="DK77" s="19">
        <v>0</v>
      </c>
      <c r="DL77" s="19">
        <v>0</v>
      </c>
      <c r="DM77" s="19">
        <v>0</v>
      </c>
      <c r="DN77" s="19">
        <v>0</v>
      </c>
      <c r="DO77" s="19">
        <v>0</v>
      </c>
      <c r="DP77" s="19">
        <v>0</v>
      </c>
      <c r="DQ77" s="19">
        <v>0</v>
      </c>
      <c r="DR77" s="19">
        <v>0</v>
      </c>
      <c r="DS77" s="19">
        <v>0</v>
      </c>
      <c r="DT77" s="19">
        <v>0</v>
      </c>
      <c r="DU77" s="19">
        <v>0</v>
      </c>
      <c r="DV77" s="19">
        <v>0</v>
      </c>
      <c r="DW77" s="17" t="s">
        <v>339</v>
      </c>
      <c r="DX77" s="22" t="s">
        <v>218</v>
      </c>
      <c r="DY77" s="22" t="s">
        <v>218</v>
      </c>
      <c r="DZ77" s="22" t="s">
        <v>218</v>
      </c>
      <c r="EA77" s="22" t="s">
        <v>218</v>
      </c>
      <c r="EB77" s="22" t="s">
        <v>218</v>
      </c>
      <c r="EC77" s="22" t="s">
        <v>218</v>
      </c>
      <c r="ED77" s="22" t="s">
        <v>218</v>
      </c>
      <c r="EE77" s="22" t="s">
        <v>218</v>
      </c>
      <c r="EF77" s="22" t="s">
        <v>218</v>
      </c>
      <c r="EG77" s="22" t="s">
        <v>218</v>
      </c>
      <c r="EH77" s="22" t="s">
        <v>218</v>
      </c>
      <c r="EI77" s="22" t="s">
        <v>218</v>
      </c>
      <c r="EJ77" s="22" t="s">
        <v>218</v>
      </c>
      <c r="EK77" s="22" t="s">
        <v>218</v>
      </c>
      <c r="EL77" s="22" t="s">
        <v>218</v>
      </c>
      <c r="EM77" s="22" t="s">
        <v>218</v>
      </c>
      <c r="EN77" s="22" t="s">
        <v>218</v>
      </c>
      <c r="EO77" s="22" t="s">
        <v>218</v>
      </c>
      <c r="EP77" s="22" t="s">
        <v>218</v>
      </c>
      <c r="EQ77" s="22" t="s">
        <v>218</v>
      </c>
      <c r="ER77" s="22" t="s">
        <v>218</v>
      </c>
      <c r="ES77" s="22" t="s">
        <v>218</v>
      </c>
      <c r="ET77" s="22" t="s">
        <v>218</v>
      </c>
      <c r="EU77" s="22" t="s">
        <v>218</v>
      </c>
      <c r="EV77" s="22" t="s">
        <v>218</v>
      </c>
      <c r="EW77" s="22" t="s">
        <v>218</v>
      </c>
      <c r="EX77" s="22" t="s">
        <v>218</v>
      </c>
      <c r="EY77" s="22" t="s">
        <v>218</v>
      </c>
      <c r="EZ77" s="22" t="s">
        <v>218</v>
      </c>
      <c r="FA77" s="22" t="s">
        <v>218</v>
      </c>
      <c r="FB77" s="22" t="s">
        <v>218</v>
      </c>
      <c r="FC77" s="22" t="s">
        <v>218</v>
      </c>
      <c r="FD77" s="22" t="s">
        <v>218</v>
      </c>
      <c r="FE77" s="22" t="s">
        <v>218</v>
      </c>
      <c r="FF77" s="22" t="s">
        <v>218</v>
      </c>
      <c r="FG77" s="22" t="s">
        <v>218</v>
      </c>
      <c r="FH77" s="22" t="s">
        <v>218</v>
      </c>
      <c r="FI77" s="22" t="s">
        <v>218</v>
      </c>
      <c r="FJ77" s="22" t="s">
        <v>218</v>
      </c>
      <c r="FK77" s="22" t="s">
        <v>218</v>
      </c>
      <c r="FL77" s="22" t="s">
        <v>218</v>
      </c>
      <c r="FM77" s="22" t="s">
        <v>218</v>
      </c>
      <c r="FN77" s="22" t="s">
        <v>218</v>
      </c>
      <c r="FO77" s="22" t="s">
        <v>218</v>
      </c>
      <c r="FP77" s="22" t="s">
        <v>218</v>
      </c>
      <c r="FQ77" s="22" t="s">
        <v>218</v>
      </c>
      <c r="FR77" s="22" t="s">
        <v>218</v>
      </c>
      <c r="FS77" s="22" t="s">
        <v>218</v>
      </c>
      <c r="FT77" s="22" t="s">
        <v>218</v>
      </c>
      <c r="FU77" s="22" t="s">
        <v>218</v>
      </c>
      <c r="FV77" s="22" t="s">
        <v>218</v>
      </c>
      <c r="FW77" s="22" t="s">
        <v>218</v>
      </c>
      <c r="FX77" s="22" t="s">
        <v>218</v>
      </c>
      <c r="FY77" s="22" t="s">
        <v>218</v>
      </c>
      <c r="FZ77" s="22" t="s">
        <v>218</v>
      </c>
      <c r="GA77" s="22" t="s">
        <v>218</v>
      </c>
      <c r="GB77" s="22" t="s">
        <v>218</v>
      </c>
      <c r="GC77" s="22" t="s">
        <v>218</v>
      </c>
      <c r="GD77" s="22" t="s">
        <v>218</v>
      </c>
      <c r="GE77" s="22" t="s">
        <v>218</v>
      </c>
      <c r="GF77" s="22" t="s">
        <v>218</v>
      </c>
      <c r="GG77" s="22" t="s">
        <v>218</v>
      </c>
      <c r="GH77" s="22" t="s">
        <v>218</v>
      </c>
      <c r="GI77" s="22" t="s">
        <v>218</v>
      </c>
      <c r="GJ77" s="22" t="s">
        <v>218</v>
      </c>
      <c r="GK77" s="22" t="s">
        <v>218</v>
      </c>
      <c r="GL77" s="22" t="s">
        <v>218</v>
      </c>
      <c r="GM77" s="22" t="s">
        <v>218</v>
      </c>
      <c r="GN77" s="22" t="s">
        <v>218</v>
      </c>
      <c r="GO77" s="22" t="s">
        <v>218</v>
      </c>
      <c r="GP77" s="22" t="s">
        <v>218</v>
      </c>
      <c r="GQ77" s="22" t="s">
        <v>218</v>
      </c>
      <c r="GR77" s="22" t="s">
        <v>218</v>
      </c>
      <c r="GS77" s="22" t="s">
        <v>218</v>
      </c>
      <c r="GT77" s="22" t="s">
        <v>218</v>
      </c>
      <c r="GU77" s="22" t="s">
        <v>218</v>
      </c>
      <c r="GV77" s="22" t="s">
        <v>218</v>
      </c>
      <c r="GW77" s="22" t="s">
        <v>218</v>
      </c>
      <c r="GX77" s="22" t="s">
        <v>218</v>
      </c>
      <c r="GY77" s="22" t="s">
        <v>218</v>
      </c>
      <c r="GZ77" s="22" t="s">
        <v>218</v>
      </c>
      <c r="HA77" s="22" t="s">
        <v>218</v>
      </c>
      <c r="HB77" s="22" t="s">
        <v>218</v>
      </c>
      <c r="HC77" s="22" t="s">
        <v>218</v>
      </c>
      <c r="HD77" s="22" t="s">
        <v>218</v>
      </c>
      <c r="HE77" s="22" t="s">
        <v>218</v>
      </c>
      <c r="HF77" s="22" t="s">
        <v>218</v>
      </c>
      <c r="HG77" s="22" t="s">
        <v>218</v>
      </c>
      <c r="HH77" s="22" t="s">
        <v>218</v>
      </c>
      <c r="HI77" s="22" t="s">
        <v>218</v>
      </c>
      <c r="HJ77" s="22" t="s">
        <v>218</v>
      </c>
      <c r="HK77" s="22" t="s">
        <v>218</v>
      </c>
      <c r="HL77" s="22" t="s">
        <v>218</v>
      </c>
      <c r="HM77" s="622">
        <f>'background data'!$G$10</f>
        <v>0.47300000000000003</v>
      </c>
      <c r="HN77" s="622">
        <f>'background data'!$H$10</f>
        <v>0.13</v>
      </c>
      <c r="HO77" s="622">
        <f>'background data'!$J$10</f>
        <v>0.39100000000000001</v>
      </c>
      <c r="HP77" s="622">
        <f>'background data'!$L$10</f>
        <v>5.5E-2</v>
      </c>
      <c r="HQ77" s="622">
        <f>'background data'!$M$10</f>
        <v>3.97</v>
      </c>
      <c r="HR77" s="622">
        <f>'background data'!$N$10</f>
        <v>4.5999999999999999E-3</v>
      </c>
      <c r="HS77" s="622">
        <f>'background data'!$O$10</f>
        <v>2.73</v>
      </c>
      <c r="HT77" s="145" t="s">
        <v>1797</v>
      </c>
      <c r="HU77" s="145" t="s">
        <v>1809</v>
      </c>
      <c r="HV77" s="22" t="s">
        <v>1397</v>
      </c>
      <c r="HW77" s="22" t="s">
        <v>347</v>
      </c>
      <c r="HX77" s="22" t="s">
        <v>341</v>
      </c>
      <c r="HY77" s="22" t="s">
        <v>342</v>
      </c>
      <c r="HZ77" s="19"/>
      <c r="IA77" s="19"/>
      <c r="IB77" s="622">
        <f>'background data'!$G$10</f>
        <v>0.47300000000000003</v>
      </c>
      <c r="IC77" s="622">
        <f>'background data'!$H$10</f>
        <v>0.13</v>
      </c>
      <c r="ID77" s="622">
        <f>'background data'!$J$10</f>
        <v>0.39100000000000001</v>
      </c>
      <c r="IE77" s="622">
        <f>'background data'!$L$10</f>
        <v>5.5E-2</v>
      </c>
      <c r="IF77" s="622">
        <f>'background data'!$M$10</f>
        <v>3.97</v>
      </c>
      <c r="IG77" s="622">
        <f>'background data'!$N$10</f>
        <v>4.5999999999999999E-3</v>
      </c>
      <c r="IH77" s="622">
        <f>'background data'!$O$10</f>
        <v>2.73</v>
      </c>
      <c r="II77" s="145" t="s">
        <v>1797</v>
      </c>
      <c r="IJ77" s="145" t="s">
        <v>1397</v>
      </c>
      <c r="IK77" s="145"/>
      <c r="IL77" s="145"/>
      <c r="IM77" s="145"/>
      <c r="IN77" s="145"/>
      <c r="IO77" s="145"/>
      <c r="IP77" s="145"/>
      <c r="IQ77" s="145"/>
      <c r="IR77" s="145"/>
      <c r="IS77" s="145"/>
      <c r="IT77" s="145"/>
      <c r="IU77" s="145"/>
      <c r="IV77" s="145"/>
      <c r="IW77" s="145"/>
      <c r="IX77" s="145"/>
      <c r="IY77" s="145"/>
      <c r="IZ77" s="145"/>
      <c r="JA77" s="145"/>
      <c r="JB77" s="145"/>
      <c r="JC77" s="145"/>
      <c r="JD77" s="145"/>
      <c r="JE77" s="145"/>
      <c r="JF77" s="145"/>
      <c r="JG77" s="145"/>
      <c r="JH77" s="145"/>
      <c r="JI77" s="145"/>
      <c r="JJ77" s="145"/>
      <c r="JK77" s="145"/>
      <c r="JL77" s="145"/>
      <c r="JM77" s="145"/>
      <c r="JN77" s="145"/>
      <c r="JO77" s="145"/>
      <c r="JP77" s="145"/>
      <c r="JQ77" s="145"/>
      <c r="JR77" s="145"/>
      <c r="JS77" s="145"/>
      <c r="JT77" s="145"/>
      <c r="JU77" s="145"/>
      <c r="JV77" s="145"/>
      <c r="JW77" s="145"/>
      <c r="JX77" s="145"/>
      <c r="JY77" s="145"/>
      <c r="JZ77" s="145"/>
      <c r="KA77" s="145"/>
      <c r="KB77" s="145"/>
      <c r="KC77" s="145"/>
      <c r="KD77" s="145"/>
      <c r="KE77" s="145"/>
      <c r="KF77" s="145"/>
      <c r="KG77" s="145"/>
      <c r="KH77" s="145"/>
      <c r="KI77" s="145"/>
      <c r="KJ77" s="145"/>
      <c r="KK77" s="145"/>
      <c r="KL77" s="145"/>
      <c r="KM77" s="145"/>
      <c r="KN77" s="145"/>
      <c r="KO77" s="145"/>
      <c r="KP77" s="145"/>
      <c r="KQ77" s="145"/>
      <c r="KR77" s="145"/>
      <c r="KS77" s="145"/>
      <c r="KT77" s="145"/>
      <c r="KU77" s="145"/>
      <c r="KV77" s="145"/>
      <c r="KW77" s="145"/>
      <c r="KX77" s="145"/>
      <c r="KY77" s="145"/>
      <c r="KZ77" s="145"/>
      <c r="LA77" s="145"/>
      <c r="LB77" s="145"/>
      <c r="LC77" s="145"/>
      <c r="LD77" s="145"/>
      <c r="LE77" s="145"/>
      <c r="LF77" s="145"/>
      <c r="LG77" s="145"/>
      <c r="LH77" s="145"/>
      <c r="LI77" s="145"/>
      <c r="LJ77" s="145"/>
      <c r="LK77" s="145"/>
      <c r="LL77" s="145"/>
      <c r="LM77" s="145"/>
      <c r="LN77" s="145"/>
      <c r="LO77" s="145"/>
      <c r="LP77" s="145"/>
      <c r="LQ77" s="145"/>
      <c r="LR77" s="145"/>
      <c r="LS77" s="145"/>
      <c r="LT77" s="145"/>
      <c r="LU77" s="145"/>
      <c r="LV77" s="145"/>
      <c r="LW77" s="145"/>
      <c r="LX77" s="145"/>
      <c r="LY77" s="145"/>
      <c r="LZ77" s="145"/>
      <c r="MA77" s="145"/>
      <c r="MB77" s="145"/>
      <c r="MC77" s="145"/>
      <c r="MD77" s="145"/>
      <c r="ME77" s="145"/>
      <c r="MF77" s="145"/>
      <c r="MG77" s="145"/>
      <c r="MH77" s="145"/>
      <c r="MI77" s="145"/>
      <c r="MJ77" s="145"/>
      <c r="MK77" s="145"/>
      <c r="ML77" s="145"/>
      <c r="MM77" s="145"/>
      <c r="MN77" s="145"/>
      <c r="MO77" s="145"/>
      <c r="MP77" s="145"/>
      <c r="MQ77" s="145"/>
      <c r="MR77" s="145"/>
      <c r="MS77" s="145"/>
      <c r="MT77" s="145"/>
      <c r="MU77" s="145"/>
      <c r="MV77" s="145"/>
      <c r="MW77" s="145"/>
      <c r="MX77" s="145"/>
      <c r="MY77" s="145"/>
      <c r="MZ77" s="145"/>
      <c r="NA77" s="145"/>
      <c r="NB77" s="145"/>
      <c r="NC77" s="145"/>
      <c r="ND77" s="145"/>
      <c r="NE77" s="145"/>
      <c r="NF77" s="145"/>
      <c r="NG77" s="145"/>
      <c r="NH77" s="145"/>
      <c r="NI77" s="145"/>
      <c r="NJ77" s="145"/>
      <c r="NK77" s="145"/>
      <c r="NL77" s="145"/>
      <c r="NM77" s="145"/>
      <c r="NN77" s="145"/>
      <c r="NO77" s="145"/>
      <c r="NP77" s="145"/>
      <c r="NQ77" s="145"/>
      <c r="NR77" s="145"/>
      <c r="NS77" s="145"/>
    </row>
    <row r="78" spans="1:383" s="16" customFormat="1" ht="15" customHeight="1" x14ac:dyDescent="0.2">
      <c r="A78" s="15">
        <v>53360</v>
      </c>
      <c r="B78" s="25">
        <v>533</v>
      </c>
      <c r="C78" s="26">
        <v>60</v>
      </c>
      <c r="D78" s="20" t="s">
        <v>348</v>
      </c>
      <c r="E78" s="14">
        <v>42695</v>
      </c>
      <c r="F78" s="18">
        <v>0.84128016419783203</v>
      </c>
      <c r="G78" s="18">
        <v>0.87211196363636301</v>
      </c>
      <c r="H78" s="21">
        <v>69.900000000000006</v>
      </c>
      <c r="I78" s="21">
        <v>65.500004700000005</v>
      </c>
      <c r="J78" s="21">
        <v>91</v>
      </c>
      <c r="K78" s="18">
        <v>1</v>
      </c>
      <c r="L78" s="18">
        <v>85</v>
      </c>
      <c r="M78" s="18">
        <v>11.5</v>
      </c>
      <c r="N78" s="18">
        <v>4.4000000000000004</v>
      </c>
      <c r="O78" s="18">
        <v>2.4</v>
      </c>
      <c r="P78" s="18">
        <v>11</v>
      </c>
      <c r="Q78" s="19"/>
      <c r="R78" s="18">
        <v>73.1612904347826</v>
      </c>
      <c r="S78" s="18">
        <v>27</v>
      </c>
      <c r="T78" s="18">
        <v>39</v>
      </c>
      <c r="U78" s="18">
        <v>43</v>
      </c>
      <c r="V78" s="18">
        <v>47</v>
      </c>
      <c r="W78" s="18">
        <v>50</v>
      </c>
      <c r="X78" s="18"/>
      <c r="Y78" s="18">
        <v>1.03529411764706</v>
      </c>
      <c r="Z78" s="18">
        <v>3.7647058823529411</v>
      </c>
      <c r="AA78" s="18">
        <v>0.1</v>
      </c>
      <c r="AB78" s="18">
        <v>0</v>
      </c>
      <c r="AC78" s="18">
        <v>5.5</v>
      </c>
      <c r="AD78" s="18">
        <v>1.2</v>
      </c>
      <c r="AE78" s="18">
        <v>1.4</v>
      </c>
      <c r="AF78" s="18">
        <v>66</v>
      </c>
      <c r="AG78" s="18">
        <v>2.7</v>
      </c>
      <c r="AH78" s="18">
        <v>42.999999999999993</v>
      </c>
      <c r="AI78" s="18">
        <v>31</v>
      </c>
      <c r="AJ78" s="18">
        <v>0</v>
      </c>
      <c r="AK78" s="18">
        <v>0.03</v>
      </c>
      <c r="AL78" s="18"/>
      <c r="AM78" s="18">
        <v>4.18</v>
      </c>
      <c r="AN78" s="18">
        <v>1.64</v>
      </c>
      <c r="AO78" s="18">
        <v>2.73</v>
      </c>
      <c r="AP78" s="18">
        <v>3.27</v>
      </c>
      <c r="AQ78" s="18">
        <v>1.23</v>
      </c>
      <c r="AR78" s="18">
        <v>3.7</v>
      </c>
      <c r="AS78" s="18">
        <v>7.1100000000000101</v>
      </c>
      <c r="AT78" s="18">
        <v>2.1</v>
      </c>
      <c r="AU78" s="18">
        <v>4.5199999999999996</v>
      </c>
      <c r="AV78" s="18">
        <v>3.22</v>
      </c>
      <c r="AW78" s="18">
        <v>5.14</v>
      </c>
      <c r="AX78" s="18"/>
      <c r="AY78" s="18">
        <v>1.04</v>
      </c>
      <c r="AZ78" s="18">
        <v>1.1499999999999999</v>
      </c>
      <c r="BA78" s="18">
        <v>0.95</v>
      </c>
      <c r="BB78" s="18">
        <v>0.92</v>
      </c>
      <c r="BC78" s="18">
        <v>1.07</v>
      </c>
      <c r="BD78" s="18">
        <v>1.1000000000000001</v>
      </c>
      <c r="BE78" s="18">
        <v>1.1200000000000001</v>
      </c>
      <c r="BF78" s="18">
        <v>1.1599999999999999</v>
      </c>
      <c r="BG78" s="18">
        <v>1.1599999999999999</v>
      </c>
      <c r="BH78" s="18">
        <v>1.1100000000000001</v>
      </c>
      <c r="BI78" s="18">
        <v>1.08</v>
      </c>
      <c r="BJ78" s="19"/>
      <c r="BK78" s="18">
        <v>13.529411764705882</v>
      </c>
      <c r="BL78" s="18">
        <v>5.1764705882352944</v>
      </c>
      <c r="BM78" s="18">
        <v>2.8235294117647061</v>
      </c>
      <c r="BN78" s="18">
        <v>12.941176470588236</v>
      </c>
      <c r="BO78" s="18"/>
      <c r="BP78" s="18">
        <v>110</v>
      </c>
      <c r="BQ78" s="18">
        <v>56.941176470588232</v>
      </c>
      <c r="BR78" s="18">
        <v>0.98974136964450832</v>
      </c>
      <c r="BS78" s="18">
        <v>1.0260140748663094</v>
      </c>
      <c r="BT78" s="19"/>
      <c r="BU78" s="18">
        <v>971.76470588235293</v>
      </c>
      <c r="BV78" s="18">
        <v>444.85176470588237</v>
      </c>
      <c r="BW78" s="18">
        <v>61.082287694117653</v>
      </c>
      <c r="BX78" s="18">
        <v>471</v>
      </c>
      <c r="BY78" s="18">
        <v>18</v>
      </c>
      <c r="BZ78" s="18">
        <v>40</v>
      </c>
      <c r="CA78" s="18">
        <v>258</v>
      </c>
      <c r="CB78" s="19"/>
      <c r="CC78" s="19">
        <v>0.880000000000001</v>
      </c>
      <c r="CD78" s="19">
        <v>3.1999999999999997</v>
      </c>
      <c r="CE78" s="19">
        <v>8.5000000000000006E-2</v>
      </c>
      <c r="CF78" s="19">
        <v>0</v>
      </c>
      <c r="CG78" s="19">
        <v>4.6749999999999998</v>
      </c>
      <c r="CH78" s="19">
        <v>1.02</v>
      </c>
      <c r="CI78" s="19">
        <v>1.19</v>
      </c>
      <c r="CJ78" s="19"/>
      <c r="CK78" s="19">
        <v>56.1</v>
      </c>
      <c r="CL78" s="19">
        <v>2.2949999999999999</v>
      </c>
      <c r="CM78" s="19">
        <v>36.54999999999999</v>
      </c>
      <c r="CN78" s="19">
        <v>26.349999999999998</v>
      </c>
      <c r="CO78" s="19">
        <v>0</v>
      </c>
      <c r="CP78" s="19">
        <v>2.5499999999999998E-2</v>
      </c>
      <c r="CQ78" s="19">
        <v>84.135484000000105</v>
      </c>
      <c r="CR78" s="19">
        <v>100.00887644869653</v>
      </c>
      <c r="CS78" s="19">
        <v>4.3475858769777416</v>
      </c>
      <c r="CT78" s="19">
        <v>1.8861674098224139</v>
      </c>
      <c r="CU78" s="19">
        <v>2.5937302106969526</v>
      </c>
      <c r="CV78" s="19">
        <v>4.4798976205193668</v>
      </c>
      <c r="CW78" s="19">
        <v>3.008667039082582</v>
      </c>
      <c r="CX78" s="19">
        <v>1.3162168229412932</v>
      </c>
      <c r="CY78" s="19">
        <v>4.0703612714619428</v>
      </c>
      <c r="CZ78" s="19">
        <v>7.9639068493626155</v>
      </c>
      <c r="DA78" s="19">
        <v>2.4362162302902441</v>
      </c>
      <c r="DB78" s="19">
        <v>5.2436654099580489</v>
      </c>
      <c r="DC78" s="19">
        <v>3.5745172620293064</v>
      </c>
      <c r="DD78" s="19">
        <v>8.818182671987369</v>
      </c>
      <c r="DE78" s="19">
        <v>5.5516927494200345</v>
      </c>
      <c r="DF78" s="23">
        <v>0</v>
      </c>
      <c r="DG78" s="23">
        <v>0</v>
      </c>
      <c r="DH78" s="23">
        <v>0</v>
      </c>
      <c r="DI78" s="19">
        <v>0</v>
      </c>
      <c r="DJ78" s="19">
        <v>0</v>
      </c>
      <c r="DK78" s="19">
        <v>0</v>
      </c>
      <c r="DL78" s="19">
        <v>0</v>
      </c>
      <c r="DM78" s="19">
        <v>0</v>
      </c>
      <c r="DN78" s="19">
        <v>0</v>
      </c>
      <c r="DO78" s="19">
        <v>0</v>
      </c>
      <c r="DP78" s="19">
        <v>0</v>
      </c>
      <c r="DQ78" s="19">
        <v>0</v>
      </c>
      <c r="DR78" s="19">
        <v>0</v>
      </c>
      <c r="DS78" s="19">
        <v>0</v>
      </c>
      <c r="DT78" s="19">
        <v>0</v>
      </c>
      <c r="DU78" s="19">
        <v>0</v>
      </c>
      <c r="DV78" s="19">
        <v>0</v>
      </c>
      <c r="DW78" s="17" t="s">
        <v>339</v>
      </c>
      <c r="DX78" s="22" t="s">
        <v>218</v>
      </c>
      <c r="DY78" s="22" t="s">
        <v>218</v>
      </c>
      <c r="DZ78" s="22" t="s">
        <v>218</v>
      </c>
      <c r="EA78" s="22" t="s">
        <v>218</v>
      </c>
      <c r="EB78" s="22" t="s">
        <v>218</v>
      </c>
      <c r="EC78" s="22" t="s">
        <v>218</v>
      </c>
      <c r="ED78" s="22" t="s">
        <v>218</v>
      </c>
      <c r="EE78" s="22" t="s">
        <v>218</v>
      </c>
      <c r="EF78" s="22" t="s">
        <v>218</v>
      </c>
      <c r="EG78" s="22" t="s">
        <v>218</v>
      </c>
      <c r="EH78" s="22" t="s">
        <v>218</v>
      </c>
      <c r="EI78" s="22" t="s">
        <v>218</v>
      </c>
      <c r="EJ78" s="22" t="s">
        <v>218</v>
      </c>
      <c r="EK78" s="22" t="s">
        <v>218</v>
      </c>
      <c r="EL78" s="22" t="s">
        <v>218</v>
      </c>
      <c r="EM78" s="22" t="s">
        <v>218</v>
      </c>
      <c r="EN78" s="22" t="s">
        <v>218</v>
      </c>
      <c r="EO78" s="22" t="s">
        <v>218</v>
      </c>
      <c r="EP78" s="22" t="s">
        <v>218</v>
      </c>
      <c r="EQ78" s="22" t="s">
        <v>218</v>
      </c>
      <c r="ER78" s="22" t="s">
        <v>218</v>
      </c>
      <c r="ES78" s="22" t="s">
        <v>218</v>
      </c>
      <c r="ET78" s="22" t="s">
        <v>218</v>
      </c>
      <c r="EU78" s="22" t="s">
        <v>218</v>
      </c>
      <c r="EV78" s="22" t="s">
        <v>218</v>
      </c>
      <c r="EW78" s="22" t="s">
        <v>218</v>
      </c>
      <c r="EX78" s="22" t="s">
        <v>218</v>
      </c>
      <c r="EY78" s="22" t="s">
        <v>218</v>
      </c>
      <c r="EZ78" s="22" t="s">
        <v>218</v>
      </c>
      <c r="FA78" s="22" t="s">
        <v>218</v>
      </c>
      <c r="FB78" s="22" t="s">
        <v>218</v>
      </c>
      <c r="FC78" s="22" t="s">
        <v>218</v>
      </c>
      <c r="FD78" s="22" t="s">
        <v>218</v>
      </c>
      <c r="FE78" s="22" t="s">
        <v>218</v>
      </c>
      <c r="FF78" s="22" t="s">
        <v>218</v>
      </c>
      <c r="FG78" s="22" t="s">
        <v>218</v>
      </c>
      <c r="FH78" s="22" t="s">
        <v>218</v>
      </c>
      <c r="FI78" s="22" t="s">
        <v>218</v>
      </c>
      <c r="FJ78" s="22" t="s">
        <v>218</v>
      </c>
      <c r="FK78" s="22" t="s">
        <v>218</v>
      </c>
      <c r="FL78" s="22" t="s">
        <v>218</v>
      </c>
      <c r="FM78" s="22" t="s">
        <v>218</v>
      </c>
      <c r="FN78" s="22" t="s">
        <v>218</v>
      </c>
      <c r="FO78" s="22" t="s">
        <v>218</v>
      </c>
      <c r="FP78" s="22" t="s">
        <v>218</v>
      </c>
      <c r="FQ78" s="22" t="s">
        <v>218</v>
      </c>
      <c r="FR78" s="22" t="s">
        <v>218</v>
      </c>
      <c r="FS78" s="22" t="s">
        <v>218</v>
      </c>
      <c r="FT78" s="22" t="s">
        <v>218</v>
      </c>
      <c r="FU78" s="22" t="s">
        <v>218</v>
      </c>
      <c r="FV78" s="22" t="s">
        <v>218</v>
      </c>
      <c r="FW78" s="22" t="s">
        <v>218</v>
      </c>
      <c r="FX78" s="22" t="s">
        <v>218</v>
      </c>
      <c r="FY78" s="22" t="s">
        <v>218</v>
      </c>
      <c r="FZ78" s="22" t="s">
        <v>218</v>
      </c>
      <c r="GA78" s="22" t="s">
        <v>218</v>
      </c>
      <c r="GB78" s="22" t="s">
        <v>218</v>
      </c>
      <c r="GC78" s="22" t="s">
        <v>218</v>
      </c>
      <c r="GD78" s="22" t="s">
        <v>218</v>
      </c>
      <c r="GE78" s="22" t="s">
        <v>218</v>
      </c>
      <c r="GF78" s="22" t="s">
        <v>218</v>
      </c>
      <c r="GG78" s="22" t="s">
        <v>218</v>
      </c>
      <c r="GH78" s="22" t="s">
        <v>218</v>
      </c>
      <c r="GI78" s="22" t="s">
        <v>218</v>
      </c>
      <c r="GJ78" s="22" t="s">
        <v>218</v>
      </c>
      <c r="GK78" s="22" t="s">
        <v>218</v>
      </c>
      <c r="GL78" s="22" t="s">
        <v>218</v>
      </c>
      <c r="GM78" s="22" t="s">
        <v>218</v>
      </c>
      <c r="GN78" s="22" t="s">
        <v>218</v>
      </c>
      <c r="GO78" s="22" t="s">
        <v>218</v>
      </c>
      <c r="GP78" s="22" t="s">
        <v>218</v>
      </c>
      <c r="GQ78" s="22" t="s">
        <v>218</v>
      </c>
      <c r="GR78" s="22" t="s">
        <v>218</v>
      </c>
      <c r="GS78" s="22" t="s">
        <v>218</v>
      </c>
      <c r="GT78" s="22" t="s">
        <v>218</v>
      </c>
      <c r="GU78" s="22" t="s">
        <v>218</v>
      </c>
      <c r="GV78" s="22" t="s">
        <v>218</v>
      </c>
      <c r="GW78" s="22" t="s">
        <v>218</v>
      </c>
      <c r="GX78" s="22" t="s">
        <v>218</v>
      </c>
      <c r="GY78" s="22" t="s">
        <v>218</v>
      </c>
      <c r="GZ78" s="22" t="s">
        <v>218</v>
      </c>
      <c r="HA78" s="22" t="s">
        <v>218</v>
      </c>
      <c r="HB78" s="22" t="s">
        <v>218</v>
      </c>
      <c r="HC78" s="22" t="s">
        <v>218</v>
      </c>
      <c r="HD78" s="22" t="s">
        <v>218</v>
      </c>
      <c r="HE78" s="22" t="s">
        <v>218</v>
      </c>
      <c r="HF78" s="22" t="s">
        <v>218</v>
      </c>
      <c r="HG78" s="22" t="s">
        <v>218</v>
      </c>
      <c r="HH78" s="22" t="s">
        <v>218</v>
      </c>
      <c r="HI78" s="22" t="s">
        <v>218</v>
      </c>
      <c r="HJ78" s="22" t="s">
        <v>218</v>
      </c>
      <c r="HK78" s="22" t="s">
        <v>218</v>
      </c>
      <c r="HL78" s="22" t="s">
        <v>218</v>
      </c>
      <c r="HM78" s="622">
        <f>'background data'!$G$10</f>
        <v>0.47300000000000003</v>
      </c>
      <c r="HN78" s="622">
        <f>'background data'!$H$10</f>
        <v>0.13</v>
      </c>
      <c r="HO78" s="622">
        <f>'background data'!$J$10</f>
        <v>0.39100000000000001</v>
      </c>
      <c r="HP78" s="622">
        <f>'background data'!$L$10</f>
        <v>5.5E-2</v>
      </c>
      <c r="HQ78" s="622">
        <f>'background data'!$M$10</f>
        <v>3.97</v>
      </c>
      <c r="HR78" s="622">
        <f>'background data'!$N$10</f>
        <v>4.5999999999999999E-3</v>
      </c>
      <c r="HS78" s="622">
        <f>'background data'!$O$10</f>
        <v>2.73</v>
      </c>
      <c r="HT78" s="145" t="s">
        <v>1797</v>
      </c>
      <c r="HU78" s="145" t="s">
        <v>1809</v>
      </c>
      <c r="HV78" s="22" t="s">
        <v>1397</v>
      </c>
      <c r="HW78" s="22" t="s">
        <v>347</v>
      </c>
      <c r="HX78" s="22" t="s">
        <v>341</v>
      </c>
      <c r="HY78" s="22" t="s">
        <v>342</v>
      </c>
      <c r="HZ78" s="19"/>
      <c r="IA78" s="19"/>
      <c r="IB78" s="622">
        <f>'background data'!$G$10</f>
        <v>0.47300000000000003</v>
      </c>
      <c r="IC78" s="622">
        <f>'background data'!$H$10</f>
        <v>0.13</v>
      </c>
      <c r="ID78" s="622">
        <f>'background data'!$J$10</f>
        <v>0.39100000000000001</v>
      </c>
      <c r="IE78" s="622">
        <f>'background data'!$L$10</f>
        <v>5.5E-2</v>
      </c>
      <c r="IF78" s="622">
        <f>'background data'!$M$10</f>
        <v>3.97</v>
      </c>
      <c r="IG78" s="622">
        <f>'background data'!$N$10</f>
        <v>4.5999999999999999E-3</v>
      </c>
      <c r="IH78" s="622">
        <f>'background data'!$O$10</f>
        <v>2.73</v>
      </c>
      <c r="II78" s="145" t="s">
        <v>1797</v>
      </c>
      <c r="IJ78" s="145" t="s">
        <v>1397</v>
      </c>
      <c r="IK78" s="145"/>
      <c r="IL78" s="145"/>
      <c r="IM78" s="145"/>
      <c r="IN78" s="145"/>
      <c r="IO78" s="145"/>
      <c r="IP78" s="145"/>
      <c r="IQ78" s="145"/>
      <c r="IR78" s="145"/>
      <c r="IS78" s="145"/>
      <c r="IT78" s="145"/>
      <c r="IU78" s="145"/>
      <c r="IV78" s="145"/>
      <c r="IW78" s="145"/>
      <c r="IX78" s="145"/>
      <c r="IY78" s="145"/>
      <c r="IZ78" s="145"/>
      <c r="JA78" s="145"/>
      <c r="JB78" s="145"/>
      <c r="JC78" s="145"/>
      <c r="JD78" s="145"/>
      <c r="JE78" s="145"/>
      <c r="JF78" s="145"/>
      <c r="JG78" s="145"/>
      <c r="JH78" s="145"/>
      <c r="JI78" s="145"/>
      <c r="JJ78" s="145"/>
      <c r="JK78" s="145"/>
      <c r="JL78" s="145"/>
      <c r="JM78" s="145"/>
      <c r="JN78" s="145"/>
      <c r="JO78" s="145"/>
      <c r="JP78" s="145"/>
      <c r="JQ78" s="145"/>
      <c r="JR78" s="145"/>
      <c r="JS78" s="145"/>
      <c r="JT78" s="145"/>
      <c r="JU78" s="145"/>
      <c r="JV78" s="145"/>
      <c r="JW78" s="145"/>
      <c r="JX78" s="145"/>
      <c r="JY78" s="145"/>
      <c r="JZ78" s="145"/>
      <c r="KA78" s="145"/>
      <c r="KB78" s="145"/>
      <c r="KC78" s="145"/>
      <c r="KD78" s="145"/>
      <c r="KE78" s="145"/>
      <c r="KF78" s="145"/>
      <c r="KG78" s="145"/>
      <c r="KH78" s="145"/>
      <c r="KI78" s="145"/>
      <c r="KJ78" s="145"/>
      <c r="KK78" s="145"/>
      <c r="KL78" s="145"/>
      <c r="KM78" s="145"/>
      <c r="KN78" s="145"/>
      <c r="KO78" s="145"/>
      <c r="KP78" s="145"/>
      <c r="KQ78" s="145"/>
      <c r="KR78" s="145"/>
      <c r="KS78" s="145"/>
      <c r="KT78" s="145"/>
      <c r="KU78" s="145"/>
      <c r="KV78" s="145"/>
      <c r="KW78" s="145"/>
      <c r="KX78" s="145"/>
      <c r="KY78" s="145"/>
      <c r="KZ78" s="145"/>
      <c r="LA78" s="145"/>
      <c r="LB78" s="145"/>
      <c r="LC78" s="145"/>
      <c r="LD78" s="145"/>
      <c r="LE78" s="145"/>
      <c r="LF78" s="145"/>
      <c r="LG78" s="145"/>
      <c r="LH78" s="145"/>
      <c r="LI78" s="145"/>
      <c r="LJ78" s="145"/>
      <c r="LK78" s="145"/>
      <c r="LL78" s="145"/>
      <c r="LM78" s="145"/>
      <c r="LN78" s="145"/>
      <c r="LO78" s="145"/>
      <c r="LP78" s="145"/>
      <c r="LQ78" s="145"/>
      <c r="LR78" s="145"/>
      <c r="LS78" s="145"/>
      <c r="LT78" s="145"/>
      <c r="LU78" s="145"/>
      <c r="LV78" s="145"/>
      <c r="LW78" s="145"/>
      <c r="LX78" s="145"/>
      <c r="LY78" s="145"/>
      <c r="LZ78" s="145"/>
      <c r="MA78" s="145"/>
      <c r="MB78" s="145"/>
      <c r="MC78" s="145"/>
      <c r="MD78" s="145"/>
      <c r="ME78" s="145"/>
      <c r="MF78" s="145"/>
      <c r="MG78" s="145"/>
      <c r="MH78" s="145"/>
      <c r="MI78" s="145"/>
      <c r="MJ78" s="145"/>
      <c r="MK78" s="145"/>
      <c r="ML78" s="145"/>
      <c r="MM78" s="145"/>
      <c r="MN78" s="145"/>
      <c r="MO78" s="145"/>
      <c r="MP78" s="145"/>
      <c r="MQ78" s="145"/>
      <c r="MR78" s="145"/>
      <c r="MS78" s="145"/>
      <c r="MT78" s="145"/>
      <c r="MU78" s="145"/>
      <c r="MV78" s="145"/>
      <c r="MW78" s="145"/>
      <c r="MX78" s="145"/>
      <c r="MY78" s="145"/>
      <c r="MZ78" s="145"/>
      <c r="NA78" s="145"/>
      <c r="NB78" s="145"/>
      <c r="NC78" s="145"/>
      <c r="ND78" s="145"/>
      <c r="NE78" s="145"/>
      <c r="NF78" s="145"/>
      <c r="NG78" s="145"/>
      <c r="NH78" s="145"/>
      <c r="NI78" s="145"/>
      <c r="NJ78" s="145"/>
      <c r="NK78" s="145"/>
      <c r="NL78" s="145"/>
      <c r="NM78" s="145"/>
      <c r="NN78" s="145"/>
      <c r="NO78" s="145"/>
      <c r="NP78" s="145"/>
      <c r="NQ78" s="145"/>
      <c r="NR78" s="145"/>
      <c r="NS78" s="145"/>
    </row>
    <row r="79" spans="1:383" s="16" customFormat="1" ht="15" customHeight="1" x14ac:dyDescent="0.2">
      <c r="A79" s="15">
        <v>53500</v>
      </c>
      <c r="B79" s="25">
        <v>535</v>
      </c>
      <c r="C79" s="26">
        <v>0</v>
      </c>
      <c r="D79" s="20" t="s">
        <v>349</v>
      </c>
      <c r="E79" s="14">
        <v>40310</v>
      </c>
      <c r="F79" s="18">
        <v>1.3052531634727</v>
      </c>
      <c r="G79" s="18">
        <v>1.27459345840445</v>
      </c>
      <c r="H79" s="21">
        <v>95.7</v>
      </c>
      <c r="I79" s="21">
        <v>90.5</v>
      </c>
      <c r="J79" s="21">
        <v>98</v>
      </c>
      <c r="K79" s="18">
        <v>1</v>
      </c>
      <c r="L79" s="18">
        <v>85</v>
      </c>
      <c r="M79" s="18">
        <v>12.41</v>
      </c>
      <c r="N79" s="18">
        <v>6.46</v>
      </c>
      <c r="O79" s="18">
        <v>1.7849999999999999</v>
      </c>
      <c r="P79" s="18">
        <v>2.38</v>
      </c>
      <c r="Q79" s="19"/>
      <c r="R79" s="18">
        <v>92.284096477495098</v>
      </c>
      <c r="S79" s="18">
        <v>27</v>
      </c>
      <c r="T79" s="18">
        <v>39</v>
      </c>
      <c r="U79" s="18">
        <v>43</v>
      </c>
      <c r="V79" s="18">
        <v>47</v>
      </c>
      <c r="W79" s="18">
        <v>50</v>
      </c>
      <c r="X79" s="18"/>
      <c r="Y79" s="18">
        <v>0.9</v>
      </c>
      <c r="Z79" s="18">
        <v>5.0999999999999996</v>
      </c>
      <c r="AA79" s="18">
        <v>0.1</v>
      </c>
      <c r="AB79" s="18">
        <v>0</v>
      </c>
      <c r="AC79" s="18">
        <v>4.7</v>
      </c>
      <c r="AD79" s="18">
        <v>1.7000000000000002</v>
      </c>
      <c r="AE79" s="18">
        <v>2</v>
      </c>
      <c r="AF79" s="18">
        <v>56</v>
      </c>
      <c r="AG79" s="18">
        <v>4.2</v>
      </c>
      <c r="AH79" s="18">
        <v>53</v>
      </c>
      <c r="AI79" s="18">
        <v>40</v>
      </c>
      <c r="AJ79" s="18">
        <v>0</v>
      </c>
      <c r="AK79" s="18">
        <v>0.03</v>
      </c>
      <c r="AL79" s="18"/>
      <c r="AM79" s="18">
        <v>4.0599999999999996</v>
      </c>
      <c r="AN79" s="18">
        <v>1.81</v>
      </c>
      <c r="AO79" s="18">
        <v>3.32</v>
      </c>
      <c r="AP79" s="18">
        <v>3.76</v>
      </c>
      <c r="AQ79" s="18">
        <v>1.38</v>
      </c>
      <c r="AR79" s="18">
        <v>3.09</v>
      </c>
      <c r="AS79" s="18">
        <v>7.15</v>
      </c>
      <c r="AT79" s="18">
        <v>2.61</v>
      </c>
      <c r="AU79" s="18">
        <v>4.57</v>
      </c>
      <c r="AV79" s="18">
        <v>2.8</v>
      </c>
      <c r="AW79" s="18">
        <v>3.94</v>
      </c>
      <c r="AX79" s="18"/>
      <c r="AY79" s="18">
        <v>1.04</v>
      </c>
      <c r="AZ79" s="18">
        <v>1.1499999999999999</v>
      </c>
      <c r="BA79" s="18">
        <v>0.95</v>
      </c>
      <c r="BB79" s="18">
        <v>0.92</v>
      </c>
      <c r="BC79" s="18">
        <v>1.07</v>
      </c>
      <c r="BD79" s="18">
        <v>1.1000000000000001</v>
      </c>
      <c r="BE79" s="18">
        <v>1.1200000000000001</v>
      </c>
      <c r="BF79" s="18">
        <v>1.1599999999999999</v>
      </c>
      <c r="BG79" s="18">
        <v>1.1599999999999999</v>
      </c>
      <c r="BH79" s="18">
        <v>1.1100000000000001</v>
      </c>
      <c r="BI79" s="18">
        <v>1.08</v>
      </c>
      <c r="BJ79" s="19"/>
      <c r="BK79" s="18">
        <v>14.6</v>
      </c>
      <c r="BL79" s="18">
        <v>7.6</v>
      </c>
      <c r="BM79" s="18">
        <v>2.1</v>
      </c>
      <c r="BN79" s="18">
        <v>2.8</v>
      </c>
      <c r="BO79" s="18"/>
      <c r="BP79" s="18">
        <v>110</v>
      </c>
      <c r="BQ79" s="18">
        <v>83.600000000000009</v>
      </c>
      <c r="BR79" s="18">
        <v>1.535591957026706</v>
      </c>
      <c r="BS79" s="18">
        <v>1.4995217157699412</v>
      </c>
      <c r="BT79" s="19"/>
      <c r="BU79" s="18">
        <v>979</v>
      </c>
      <c r="BV79" s="18">
        <v>657.59728571428593</v>
      </c>
      <c r="BW79" s="18">
        <v>72.725714285714361</v>
      </c>
      <c r="BX79" s="18">
        <v>471</v>
      </c>
      <c r="BY79" s="18">
        <v>18</v>
      </c>
      <c r="BZ79" s="18">
        <v>40</v>
      </c>
      <c r="CA79" s="18">
        <v>258</v>
      </c>
      <c r="CB79" s="19"/>
      <c r="CC79" s="19">
        <v>0.76500000000000001</v>
      </c>
      <c r="CD79" s="19">
        <v>4.335</v>
      </c>
      <c r="CE79" s="19">
        <v>8.5000000000000006E-2</v>
      </c>
      <c r="CF79" s="19">
        <v>0</v>
      </c>
      <c r="CG79" s="19">
        <v>3.9950000000000001</v>
      </c>
      <c r="CH79" s="19">
        <v>1.4450000000000001</v>
      </c>
      <c r="CI79" s="19">
        <v>1.7</v>
      </c>
      <c r="CJ79" s="19"/>
      <c r="CK79" s="19">
        <v>47.6</v>
      </c>
      <c r="CL79" s="19">
        <v>3.57</v>
      </c>
      <c r="CM79" s="19">
        <v>45.05</v>
      </c>
      <c r="CN79" s="19">
        <v>34</v>
      </c>
      <c r="CO79" s="19">
        <v>0</v>
      </c>
      <c r="CP79" s="19">
        <v>2.5499999999999998E-2</v>
      </c>
      <c r="CQ79" s="19">
        <v>114.52456372857201</v>
      </c>
      <c r="CR79" s="19">
        <v>87.741265015495472</v>
      </c>
      <c r="CS79" s="19">
        <v>3.7047871740142617</v>
      </c>
      <c r="CT79" s="19">
        <v>1.8263344312975256</v>
      </c>
      <c r="CU79" s="19">
        <v>2.7673594985887187</v>
      </c>
      <c r="CV79" s="19">
        <v>4.5936939298862445</v>
      </c>
      <c r="CW79" s="19">
        <v>3.035145839416002</v>
      </c>
      <c r="CX79" s="19">
        <v>1.2955875192187951</v>
      </c>
      <c r="CY79" s="19">
        <v>2.9823255978766738</v>
      </c>
      <c r="CZ79" s="19">
        <v>7.0263205024408419</v>
      </c>
      <c r="DA79" s="19">
        <v>2.6564545396091286</v>
      </c>
      <c r="DB79" s="19">
        <v>4.6513399410014236</v>
      </c>
      <c r="DC79" s="19">
        <v>2.7269985166815855</v>
      </c>
      <c r="DD79" s="19">
        <v>7.3783384576830091</v>
      </c>
      <c r="DE79" s="19">
        <v>3.7335663089393432</v>
      </c>
      <c r="DF79" s="23">
        <v>0</v>
      </c>
      <c r="DG79" s="23">
        <v>0</v>
      </c>
      <c r="DH79" s="23">
        <v>0</v>
      </c>
      <c r="DI79" s="19">
        <v>0</v>
      </c>
      <c r="DJ79" s="19">
        <v>0</v>
      </c>
      <c r="DK79" s="19">
        <v>0</v>
      </c>
      <c r="DL79" s="19">
        <v>0</v>
      </c>
      <c r="DM79" s="19">
        <v>0</v>
      </c>
      <c r="DN79" s="19">
        <v>0</v>
      </c>
      <c r="DO79" s="19">
        <v>0</v>
      </c>
      <c r="DP79" s="19">
        <v>0</v>
      </c>
      <c r="DQ79" s="19">
        <v>0</v>
      </c>
      <c r="DR79" s="19">
        <v>0</v>
      </c>
      <c r="DS79" s="19">
        <v>0</v>
      </c>
      <c r="DT79" s="19">
        <v>0</v>
      </c>
      <c r="DU79" s="19">
        <v>0</v>
      </c>
      <c r="DV79" s="19">
        <v>0</v>
      </c>
      <c r="DW79" s="17" t="s">
        <v>339</v>
      </c>
      <c r="DX79" s="22" t="s">
        <v>218</v>
      </c>
      <c r="DY79" s="22" t="s">
        <v>218</v>
      </c>
      <c r="DZ79" s="22">
        <v>3</v>
      </c>
      <c r="EA79" s="22">
        <v>3</v>
      </c>
      <c r="EB79" s="22">
        <v>3</v>
      </c>
      <c r="EC79" s="22">
        <v>3</v>
      </c>
      <c r="ED79" s="22">
        <v>3</v>
      </c>
      <c r="EE79" s="22" t="s">
        <v>218</v>
      </c>
      <c r="EF79" s="22">
        <v>3</v>
      </c>
      <c r="EG79" s="22" t="s">
        <v>218</v>
      </c>
      <c r="EH79" s="22">
        <v>3</v>
      </c>
      <c r="EI79" s="22">
        <v>3</v>
      </c>
      <c r="EJ79" s="22">
        <v>3</v>
      </c>
      <c r="EK79" s="22">
        <v>3</v>
      </c>
      <c r="EL79" s="22" t="s">
        <v>218</v>
      </c>
      <c r="EM79" s="22" t="s">
        <v>218</v>
      </c>
      <c r="EN79" s="22">
        <v>3</v>
      </c>
      <c r="EO79" s="22">
        <v>3</v>
      </c>
      <c r="EP79" s="22">
        <v>3</v>
      </c>
      <c r="EQ79" s="22">
        <v>3</v>
      </c>
      <c r="ER79" s="22">
        <v>1</v>
      </c>
      <c r="ES79" s="22">
        <v>3</v>
      </c>
      <c r="ET79" s="22">
        <v>3</v>
      </c>
      <c r="EU79" s="22">
        <v>3</v>
      </c>
      <c r="EV79" s="22" t="s">
        <v>218</v>
      </c>
      <c r="EW79" s="22">
        <v>3</v>
      </c>
      <c r="EX79" s="22">
        <v>3</v>
      </c>
      <c r="EY79" s="22">
        <v>3</v>
      </c>
      <c r="EZ79" s="22">
        <v>3</v>
      </c>
      <c r="FA79" s="22">
        <v>3</v>
      </c>
      <c r="FB79" s="22">
        <v>3</v>
      </c>
      <c r="FC79" s="22">
        <v>3</v>
      </c>
      <c r="FD79" s="22" t="s">
        <v>218</v>
      </c>
      <c r="FE79" s="22" t="s">
        <v>218</v>
      </c>
      <c r="FF79" s="22" t="s">
        <v>218</v>
      </c>
      <c r="FG79" s="22" t="s">
        <v>218</v>
      </c>
      <c r="FH79" s="22">
        <v>1.1000000000000001</v>
      </c>
      <c r="FI79" s="22">
        <v>0.4</v>
      </c>
      <c r="FJ79" s="22">
        <v>0.3</v>
      </c>
      <c r="FK79" s="22">
        <v>0.8</v>
      </c>
      <c r="FL79" s="22">
        <v>0.8</v>
      </c>
      <c r="FM79" s="22" t="s">
        <v>218</v>
      </c>
      <c r="FN79" s="22">
        <v>2</v>
      </c>
      <c r="FO79" s="22" t="s">
        <v>218</v>
      </c>
      <c r="FP79" s="22">
        <v>0.27</v>
      </c>
      <c r="FQ79" s="22">
        <v>0.28999999999999998</v>
      </c>
      <c r="FR79" s="22">
        <v>0.19</v>
      </c>
      <c r="FS79" s="22">
        <v>0.43</v>
      </c>
      <c r="FT79" s="22" t="s">
        <v>218</v>
      </c>
      <c r="FU79" s="22" t="s">
        <v>218</v>
      </c>
      <c r="FV79" s="22">
        <v>0.51</v>
      </c>
      <c r="FW79" s="22">
        <v>0.52</v>
      </c>
      <c r="FX79" s="22">
        <v>0.41</v>
      </c>
      <c r="FY79" s="22">
        <v>0.52</v>
      </c>
      <c r="FZ79" s="22" t="s">
        <v>218</v>
      </c>
      <c r="GA79" s="22">
        <v>0.05</v>
      </c>
      <c r="GB79" s="22">
        <v>0.19</v>
      </c>
      <c r="GC79" s="22">
        <v>0.13</v>
      </c>
      <c r="GD79" s="22" t="s">
        <v>218</v>
      </c>
      <c r="GE79" s="22">
        <v>0.56999999999999995</v>
      </c>
      <c r="GF79" s="22">
        <v>7.0000000000000007E-2</v>
      </c>
      <c r="GG79" s="22">
        <v>0.09</v>
      </c>
      <c r="GH79" s="22">
        <v>6.21</v>
      </c>
      <c r="GI79" s="22">
        <v>0.68</v>
      </c>
      <c r="GJ79" s="22">
        <v>12.89</v>
      </c>
      <c r="GK79" s="22">
        <v>5.0999999999999996</v>
      </c>
      <c r="GL79" s="22" t="s">
        <v>218</v>
      </c>
      <c r="GM79" s="22" t="s">
        <v>218</v>
      </c>
      <c r="GN79" s="22" t="s">
        <v>218</v>
      </c>
      <c r="GO79" s="22" t="s">
        <v>218</v>
      </c>
      <c r="GP79" s="22">
        <v>2005</v>
      </c>
      <c r="GQ79" s="22">
        <v>2005</v>
      </c>
      <c r="GR79" s="22">
        <v>2005</v>
      </c>
      <c r="GS79" s="22">
        <v>2005</v>
      </c>
      <c r="GT79" s="22">
        <v>2005</v>
      </c>
      <c r="GU79" s="22" t="s">
        <v>218</v>
      </c>
      <c r="GV79" s="22">
        <v>2005</v>
      </c>
      <c r="GW79" s="22" t="s">
        <v>218</v>
      </c>
      <c r="GX79" s="22">
        <v>2005</v>
      </c>
      <c r="GY79" s="22">
        <v>2005</v>
      </c>
      <c r="GZ79" s="22">
        <v>2005</v>
      </c>
      <c r="HA79" s="22">
        <v>2005</v>
      </c>
      <c r="HB79" s="22" t="s">
        <v>218</v>
      </c>
      <c r="HC79" s="22" t="s">
        <v>218</v>
      </c>
      <c r="HD79" s="22">
        <v>2005</v>
      </c>
      <c r="HE79" s="22">
        <v>2005</v>
      </c>
      <c r="HF79" s="22">
        <v>2005</v>
      </c>
      <c r="HG79" s="22">
        <v>2005</v>
      </c>
      <c r="HH79" s="22">
        <v>2005</v>
      </c>
      <c r="HI79" s="22">
        <v>2005</v>
      </c>
      <c r="HJ79" s="22">
        <v>2005</v>
      </c>
      <c r="HK79" s="22">
        <v>2005</v>
      </c>
      <c r="HL79" s="22" t="s">
        <v>218</v>
      </c>
      <c r="HM79" s="622">
        <f>'background data'!$G$10</f>
        <v>0.47300000000000003</v>
      </c>
      <c r="HN79" s="622">
        <f>'background data'!$H$10</f>
        <v>0.13</v>
      </c>
      <c r="HO79" s="622">
        <f>'background data'!$J$10</f>
        <v>0.39100000000000001</v>
      </c>
      <c r="HP79" s="622">
        <f>'background data'!$L$10</f>
        <v>5.5E-2</v>
      </c>
      <c r="HQ79" s="622">
        <f>'background data'!$M$10</f>
        <v>3.97</v>
      </c>
      <c r="HR79" s="622">
        <f>'background data'!$N$10</f>
        <v>4.5999999999999999E-3</v>
      </c>
      <c r="HS79" s="622">
        <f>'background data'!$O$10</f>
        <v>2.73</v>
      </c>
      <c r="HT79" s="145" t="s">
        <v>1797</v>
      </c>
      <c r="HU79" s="145" t="s">
        <v>1809</v>
      </c>
      <c r="HV79" s="22" t="s">
        <v>1397</v>
      </c>
      <c r="HW79" s="22" t="s">
        <v>340</v>
      </c>
      <c r="HX79" s="22" t="s">
        <v>341</v>
      </c>
      <c r="HY79" s="22" t="s">
        <v>342</v>
      </c>
      <c r="HZ79" s="19"/>
      <c r="IA79" s="19"/>
      <c r="IB79" s="622">
        <f>'background data'!$G$10</f>
        <v>0.47300000000000003</v>
      </c>
      <c r="IC79" s="622">
        <f>'background data'!$H$10</f>
        <v>0.13</v>
      </c>
      <c r="ID79" s="622">
        <f>'background data'!$J$10</f>
        <v>0.39100000000000001</v>
      </c>
      <c r="IE79" s="622">
        <f>'background data'!$L$10</f>
        <v>5.5E-2</v>
      </c>
      <c r="IF79" s="622">
        <f>'background data'!$M$10</f>
        <v>3.97</v>
      </c>
      <c r="IG79" s="622">
        <f>'background data'!$N$10</f>
        <v>4.5999999999999999E-3</v>
      </c>
      <c r="IH79" s="622">
        <f>'background data'!$O$10</f>
        <v>2.73</v>
      </c>
      <c r="II79" s="145" t="s">
        <v>1797</v>
      </c>
      <c r="IJ79" s="145" t="s">
        <v>1397</v>
      </c>
      <c r="IK79" s="145"/>
      <c r="IL79" s="145"/>
      <c r="IM79" s="145"/>
      <c r="IN79" s="145"/>
      <c r="IO79" s="145"/>
      <c r="IP79" s="145"/>
      <c r="IQ79" s="145"/>
      <c r="IR79" s="145"/>
      <c r="IS79" s="145"/>
      <c r="IT79" s="145"/>
      <c r="IU79" s="145"/>
      <c r="IV79" s="145"/>
      <c r="IW79" s="145"/>
      <c r="IX79" s="145"/>
      <c r="IY79" s="145"/>
      <c r="IZ79" s="145"/>
      <c r="JA79" s="145"/>
      <c r="JB79" s="145"/>
      <c r="JC79" s="145"/>
      <c r="JD79" s="145"/>
      <c r="JE79" s="145"/>
      <c r="JF79" s="145"/>
      <c r="JG79" s="145"/>
      <c r="JH79" s="145"/>
      <c r="JI79" s="145"/>
      <c r="JJ79" s="145"/>
      <c r="JK79" s="145"/>
      <c r="JL79" s="145"/>
      <c r="JM79" s="145"/>
      <c r="JN79" s="145"/>
      <c r="JO79" s="145"/>
      <c r="JP79" s="145"/>
      <c r="JQ79" s="145"/>
      <c r="JR79" s="145"/>
      <c r="JS79" s="145"/>
      <c r="JT79" s="145"/>
      <c r="JU79" s="145"/>
      <c r="JV79" s="145"/>
      <c r="JW79" s="145"/>
      <c r="JX79" s="145"/>
      <c r="JY79" s="145"/>
      <c r="JZ79" s="145"/>
      <c r="KA79" s="145"/>
      <c r="KB79" s="145"/>
      <c r="KC79" s="145"/>
      <c r="KD79" s="145"/>
      <c r="KE79" s="145"/>
      <c r="KF79" s="145"/>
      <c r="KG79" s="145"/>
      <c r="KH79" s="145"/>
      <c r="KI79" s="145"/>
      <c r="KJ79" s="145"/>
      <c r="KK79" s="145"/>
      <c r="KL79" s="145"/>
      <c r="KM79" s="145"/>
      <c r="KN79" s="145"/>
      <c r="KO79" s="145"/>
      <c r="KP79" s="145"/>
      <c r="KQ79" s="145"/>
      <c r="KR79" s="145"/>
      <c r="KS79" s="145"/>
      <c r="KT79" s="145"/>
      <c r="KU79" s="145"/>
      <c r="KV79" s="145"/>
      <c r="KW79" s="145"/>
      <c r="KX79" s="145"/>
      <c r="KY79" s="145"/>
      <c r="KZ79" s="145"/>
      <c r="LA79" s="145"/>
      <c r="LB79" s="145"/>
      <c r="LC79" s="145"/>
      <c r="LD79" s="145"/>
      <c r="LE79" s="145"/>
      <c r="LF79" s="145"/>
      <c r="LG79" s="145"/>
      <c r="LH79" s="145"/>
      <c r="LI79" s="145"/>
      <c r="LJ79" s="145"/>
      <c r="LK79" s="145"/>
      <c r="LL79" s="145"/>
      <c r="LM79" s="145"/>
      <c r="LN79" s="145"/>
      <c r="LO79" s="145"/>
      <c r="LP79" s="145"/>
      <c r="LQ79" s="145"/>
      <c r="LR79" s="145"/>
      <c r="LS79" s="145"/>
      <c r="LT79" s="145"/>
      <c r="LU79" s="145"/>
      <c r="LV79" s="145"/>
      <c r="LW79" s="145"/>
      <c r="LX79" s="145"/>
      <c r="LY79" s="145"/>
      <c r="LZ79" s="145"/>
      <c r="MA79" s="145"/>
      <c r="MB79" s="145"/>
      <c r="MC79" s="145"/>
      <c r="MD79" s="145"/>
      <c r="ME79" s="145"/>
      <c r="MF79" s="145"/>
      <c r="MG79" s="145"/>
      <c r="MH79" s="145"/>
      <c r="MI79" s="145"/>
      <c r="MJ79" s="145"/>
      <c r="MK79" s="145"/>
      <c r="ML79" s="145"/>
      <c r="MM79" s="145"/>
      <c r="MN79" s="145"/>
      <c r="MO79" s="145"/>
      <c r="MP79" s="145"/>
      <c r="MQ79" s="145"/>
      <c r="MR79" s="145"/>
      <c r="MS79" s="145"/>
      <c r="MT79" s="145"/>
      <c r="MU79" s="145"/>
      <c r="MV79" s="145"/>
      <c r="MW79" s="145"/>
      <c r="MX79" s="145"/>
      <c r="MY79" s="145"/>
      <c r="MZ79" s="145"/>
      <c r="NA79" s="145"/>
      <c r="NB79" s="145"/>
      <c r="NC79" s="145"/>
      <c r="ND79" s="145"/>
      <c r="NE79" s="145"/>
      <c r="NF79" s="145"/>
      <c r="NG79" s="145"/>
      <c r="NH79" s="145"/>
      <c r="NI79" s="145"/>
      <c r="NJ79" s="145"/>
      <c r="NK79" s="145"/>
      <c r="NL79" s="145"/>
      <c r="NM79" s="145"/>
      <c r="NN79" s="145"/>
      <c r="NO79" s="145"/>
      <c r="NP79" s="145"/>
      <c r="NQ79" s="145"/>
      <c r="NR79" s="145"/>
      <c r="NS79" s="145"/>
    </row>
    <row r="80" spans="1:383" s="16" customFormat="1" ht="15" customHeight="1" x14ac:dyDescent="0.2">
      <c r="A80" s="15">
        <v>53700</v>
      </c>
      <c r="B80" s="25">
        <v>537</v>
      </c>
      <c r="C80" s="26">
        <v>0</v>
      </c>
      <c r="D80" s="20" t="s">
        <v>350</v>
      </c>
      <c r="E80" s="14">
        <v>41814</v>
      </c>
      <c r="F80" s="18">
        <v>7.4442403222997E-2</v>
      </c>
      <c r="G80" s="18">
        <v>0.21588845429387801</v>
      </c>
      <c r="H80" s="21">
        <v>25.1</v>
      </c>
      <c r="I80" s="21">
        <v>21.5</v>
      </c>
      <c r="J80" s="21">
        <v>82</v>
      </c>
      <c r="K80" s="18">
        <v>1</v>
      </c>
      <c r="L80" s="18">
        <v>89.1</v>
      </c>
      <c r="M80" s="18">
        <v>4.1877000000000004</v>
      </c>
      <c r="N80" s="18">
        <v>1.6037999999999999</v>
      </c>
      <c r="O80" s="18">
        <v>4.5441000000000003</v>
      </c>
      <c r="P80" s="18">
        <v>25.660799999999998</v>
      </c>
      <c r="Q80" s="19"/>
      <c r="R80" s="18">
        <v>-26.993623708206702</v>
      </c>
      <c r="S80" s="18">
        <v>20</v>
      </c>
      <c r="T80" s="18">
        <v>37</v>
      </c>
      <c r="U80" s="18">
        <v>44</v>
      </c>
      <c r="V80" s="18">
        <v>50</v>
      </c>
      <c r="W80" s="18">
        <v>54</v>
      </c>
      <c r="X80" s="18"/>
      <c r="Y80" s="18">
        <v>1.4000000000000001</v>
      </c>
      <c r="Z80" s="18">
        <v>1.7</v>
      </c>
      <c r="AA80" s="18">
        <v>0.2</v>
      </c>
      <c r="AB80" s="18">
        <v>0</v>
      </c>
      <c r="AC80" s="18">
        <v>7.0000000000000009</v>
      </c>
      <c r="AD80" s="18">
        <v>1.3000000000000003</v>
      </c>
      <c r="AE80" s="18">
        <v>1.3</v>
      </c>
      <c r="AF80" s="18">
        <v>160</v>
      </c>
      <c r="AG80" s="18">
        <v>6.3</v>
      </c>
      <c r="AH80" s="18">
        <v>36</v>
      </c>
      <c r="AI80" s="18">
        <v>30.000000000000004</v>
      </c>
      <c r="AJ80" s="18">
        <v>0</v>
      </c>
      <c r="AK80" s="18">
        <v>0.23000000000000115</v>
      </c>
      <c r="AL80" s="18"/>
      <c r="AM80" s="18">
        <v>4.13</v>
      </c>
      <c r="AN80" s="18">
        <v>1.74</v>
      </c>
      <c r="AO80" s="18">
        <v>2.39</v>
      </c>
      <c r="AP80" s="18">
        <v>3.48</v>
      </c>
      <c r="AQ80" s="18">
        <v>0.64</v>
      </c>
      <c r="AR80" s="18">
        <v>3.58</v>
      </c>
      <c r="AS80" s="18">
        <v>6.97</v>
      </c>
      <c r="AT80" s="18">
        <v>2.02</v>
      </c>
      <c r="AU80" s="18">
        <v>4.59</v>
      </c>
      <c r="AV80" s="18">
        <v>3.03</v>
      </c>
      <c r="AW80" s="18">
        <v>5.04</v>
      </c>
      <c r="AX80" s="18"/>
      <c r="AY80" s="18">
        <v>1</v>
      </c>
      <c r="AZ80" s="18">
        <v>1</v>
      </c>
      <c r="BA80" s="18">
        <v>1</v>
      </c>
      <c r="BB80" s="18">
        <v>1</v>
      </c>
      <c r="BC80" s="18">
        <v>1</v>
      </c>
      <c r="BD80" s="18">
        <v>1</v>
      </c>
      <c r="BE80" s="18">
        <v>1</v>
      </c>
      <c r="BF80" s="18">
        <v>1</v>
      </c>
      <c r="BG80" s="18">
        <v>1</v>
      </c>
      <c r="BH80" s="18">
        <v>1</v>
      </c>
      <c r="BI80" s="18">
        <v>1</v>
      </c>
      <c r="BJ80" s="19"/>
      <c r="BK80" s="18">
        <v>4.7000000000000011</v>
      </c>
      <c r="BL80" s="18">
        <v>1.8</v>
      </c>
      <c r="BM80" s="18">
        <v>5.1000000000000005</v>
      </c>
      <c r="BN80" s="18">
        <v>28.8</v>
      </c>
      <c r="BO80" s="18"/>
      <c r="BP80" s="18">
        <v>110</v>
      </c>
      <c r="BQ80" s="18">
        <v>19.8</v>
      </c>
      <c r="BR80" s="18">
        <v>8.3549274099884399E-2</v>
      </c>
      <c r="BS80" s="18">
        <v>0.24229905083487993</v>
      </c>
      <c r="BT80" s="19"/>
      <c r="BU80" s="18">
        <v>949</v>
      </c>
      <c r="BV80" s="18">
        <v>129.16328571428619</v>
      </c>
      <c r="BW80" s="18">
        <v>48.805714285714259</v>
      </c>
      <c r="BX80" s="18" t="s">
        <v>217</v>
      </c>
      <c r="BY80" s="18" t="s">
        <v>217</v>
      </c>
      <c r="BZ80" s="18">
        <v>13.000000000000002</v>
      </c>
      <c r="CA80" s="18">
        <v>640</v>
      </c>
      <c r="CB80" s="19"/>
      <c r="CC80" s="19">
        <v>1.2474000000000001</v>
      </c>
      <c r="CD80" s="19">
        <v>1.5146999999999997</v>
      </c>
      <c r="CE80" s="19">
        <v>0.1782</v>
      </c>
      <c r="CF80" s="19">
        <v>0</v>
      </c>
      <c r="CG80" s="19">
        <v>6.2370000000000001</v>
      </c>
      <c r="CH80" s="19">
        <v>1.1583000000000001</v>
      </c>
      <c r="CI80" s="19">
        <v>1.1582999999999999</v>
      </c>
      <c r="CJ80" s="19"/>
      <c r="CK80" s="19">
        <v>142.55999999999997</v>
      </c>
      <c r="CL80" s="19">
        <v>5.6132999999999988</v>
      </c>
      <c r="CM80" s="19">
        <v>32.075999999999993</v>
      </c>
      <c r="CN80" s="19">
        <v>26.73</v>
      </c>
      <c r="CO80" s="19">
        <v>0</v>
      </c>
      <c r="CP80" s="19">
        <v>0.204930000000001</v>
      </c>
      <c r="CQ80" s="19">
        <v>-11.304119800285701</v>
      </c>
      <c r="CR80" s="19">
        <v>-151.850549026789</v>
      </c>
      <c r="CS80" s="19">
        <v>-6.2714276748063531</v>
      </c>
      <c r="CT80" s="19">
        <v>-2.6421995530661255</v>
      </c>
      <c r="CU80" s="19">
        <v>-3.6292281217402538</v>
      </c>
      <c r="CV80" s="19">
        <v>-6.2714276748064197</v>
      </c>
      <c r="CW80" s="19">
        <v>-5.2843991061322644</v>
      </c>
      <c r="CX80" s="19">
        <v>-0.97184351377145117</v>
      </c>
      <c r="CY80" s="19">
        <v>-5.4362496551590445</v>
      </c>
      <c r="CZ80" s="19">
        <v>-10.583983267167175</v>
      </c>
      <c r="DA80" s="19">
        <v>-3.0673810903411356</v>
      </c>
      <c r="DB80" s="19">
        <v>-6.9699402003296456</v>
      </c>
      <c r="DC80" s="19">
        <v>-4.6010716355117101</v>
      </c>
      <c r="DD80" s="19">
        <v>-11.571011835841343</v>
      </c>
      <c r="DE80" s="19">
        <v>-7.6532676709501875</v>
      </c>
      <c r="DF80" s="23">
        <v>0</v>
      </c>
      <c r="DG80" s="23">
        <v>0</v>
      </c>
      <c r="DH80" s="23">
        <v>0</v>
      </c>
      <c r="DI80" s="19">
        <v>0</v>
      </c>
      <c r="DJ80" s="19">
        <v>0</v>
      </c>
      <c r="DK80" s="19">
        <v>0</v>
      </c>
      <c r="DL80" s="19">
        <v>0</v>
      </c>
      <c r="DM80" s="19">
        <v>0</v>
      </c>
      <c r="DN80" s="19">
        <v>0</v>
      </c>
      <c r="DO80" s="19">
        <v>0</v>
      </c>
      <c r="DP80" s="19">
        <v>0</v>
      </c>
      <c r="DQ80" s="19">
        <v>0</v>
      </c>
      <c r="DR80" s="19">
        <v>0</v>
      </c>
      <c r="DS80" s="19">
        <v>0</v>
      </c>
      <c r="DT80" s="19">
        <v>0</v>
      </c>
      <c r="DU80" s="19">
        <v>0</v>
      </c>
      <c r="DV80" s="19">
        <v>0</v>
      </c>
      <c r="DW80" s="17" t="s">
        <v>351</v>
      </c>
      <c r="DX80" s="22" t="s">
        <v>218</v>
      </c>
      <c r="DY80" s="22" t="s">
        <v>218</v>
      </c>
      <c r="DZ80" s="22">
        <v>3</v>
      </c>
      <c r="EA80" s="22">
        <v>3</v>
      </c>
      <c r="EB80" s="22">
        <v>2</v>
      </c>
      <c r="EC80" s="22">
        <v>3</v>
      </c>
      <c r="ED80" s="22">
        <v>3</v>
      </c>
      <c r="EE80" s="22" t="s">
        <v>218</v>
      </c>
      <c r="EF80" s="22">
        <v>2</v>
      </c>
      <c r="EG80" s="22" t="s">
        <v>218</v>
      </c>
      <c r="EH80" s="22" t="s">
        <v>218</v>
      </c>
      <c r="EI80" s="22" t="s">
        <v>218</v>
      </c>
      <c r="EJ80" s="22" t="s">
        <v>218</v>
      </c>
      <c r="EK80" s="22" t="s">
        <v>218</v>
      </c>
      <c r="EL80" s="22" t="s">
        <v>218</v>
      </c>
      <c r="EM80" s="22" t="s">
        <v>218</v>
      </c>
      <c r="EN80" s="22" t="s">
        <v>218</v>
      </c>
      <c r="EO80" s="22" t="s">
        <v>218</v>
      </c>
      <c r="EP80" s="22" t="s">
        <v>218</v>
      </c>
      <c r="EQ80" s="22" t="s">
        <v>218</v>
      </c>
      <c r="ER80" s="22" t="s">
        <v>218</v>
      </c>
      <c r="ES80" s="22">
        <v>3</v>
      </c>
      <c r="ET80" s="22">
        <v>3</v>
      </c>
      <c r="EU80" s="22">
        <v>3</v>
      </c>
      <c r="EV80" s="22" t="s">
        <v>218</v>
      </c>
      <c r="EW80" s="22">
        <v>3</v>
      </c>
      <c r="EX80" s="22">
        <v>3</v>
      </c>
      <c r="EY80" s="22">
        <v>3</v>
      </c>
      <c r="EZ80" s="22">
        <v>3</v>
      </c>
      <c r="FA80" s="22">
        <v>3</v>
      </c>
      <c r="FB80" s="22">
        <v>3</v>
      </c>
      <c r="FC80" s="22">
        <v>3</v>
      </c>
      <c r="FD80" s="22" t="s">
        <v>218</v>
      </c>
      <c r="FE80" s="22" t="s">
        <v>218</v>
      </c>
      <c r="FF80" s="22" t="s">
        <v>218</v>
      </c>
      <c r="FG80" s="22" t="s">
        <v>218</v>
      </c>
      <c r="FH80" s="22">
        <v>0.5</v>
      </c>
      <c r="FI80" s="22">
        <v>1.6</v>
      </c>
      <c r="FJ80" s="22">
        <v>6.5</v>
      </c>
      <c r="FK80" s="22">
        <v>14</v>
      </c>
      <c r="FL80" s="22">
        <v>11.5</v>
      </c>
      <c r="FM80" s="22" t="s">
        <v>218</v>
      </c>
      <c r="FN80" s="22">
        <v>19.600000000000001</v>
      </c>
      <c r="FO80" s="22" t="s">
        <v>218</v>
      </c>
      <c r="FP80" s="22" t="s">
        <v>218</v>
      </c>
      <c r="FQ80" s="22" t="s">
        <v>218</v>
      </c>
      <c r="FR80" s="22" t="s">
        <v>218</v>
      </c>
      <c r="FS80" s="22" t="s">
        <v>218</v>
      </c>
      <c r="FT80" s="22" t="s">
        <v>218</v>
      </c>
      <c r="FU80" s="22" t="s">
        <v>218</v>
      </c>
      <c r="FV80" s="22" t="s">
        <v>218</v>
      </c>
      <c r="FW80" s="22" t="s">
        <v>218</v>
      </c>
      <c r="FX80" s="22" t="s">
        <v>218</v>
      </c>
      <c r="FY80" s="22" t="s">
        <v>218</v>
      </c>
      <c r="FZ80" s="22" t="s">
        <v>218</v>
      </c>
      <c r="GA80" s="22">
        <v>0.78</v>
      </c>
      <c r="GB80" s="22">
        <v>0.52</v>
      </c>
      <c r="GC80" s="22" t="s">
        <v>218</v>
      </c>
      <c r="GD80" s="22" t="s">
        <v>218</v>
      </c>
      <c r="GE80" s="22">
        <v>3.56</v>
      </c>
      <c r="GF80" s="22">
        <v>0.82</v>
      </c>
      <c r="GG80" s="22">
        <v>0.8</v>
      </c>
      <c r="GH80" s="22">
        <v>139.19999999999999</v>
      </c>
      <c r="GI80" s="22">
        <v>4.18</v>
      </c>
      <c r="GJ80" s="22">
        <v>3.94</v>
      </c>
      <c r="GK80" s="22">
        <v>17.48</v>
      </c>
      <c r="GL80" s="22" t="s">
        <v>218</v>
      </c>
      <c r="GM80" s="22" t="s">
        <v>218</v>
      </c>
      <c r="GN80" s="22" t="s">
        <v>218</v>
      </c>
      <c r="GO80" s="22" t="s">
        <v>218</v>
      </c>
      <c r="GP80" s="22">
        <v>2005</v>
      </c>
      <c r="GQ80" s="22">
        <v>2005</v>
      </c>
      <c r="GR80" s="22">
        <v>2005</v>
      </c>
      <c r="GS80" s="22">
        <v>2005</v>
      </c>
      <c r="GT80" s="22">
        <v>2005</v>
      </c>
      <c r="GU80" s="22" t="s">
        <v>218</v>
      </c>
      <c r="GV80" s="22">
        <v>2005</v>
      </c>
      <c r="GW80" s="22" t="s">
        <v>218</v>
      </c>
      <c r="GX80" s="22" t="s">
        <v>218</v>
      </c>
      <c r="GY80" s="22" t="s">
        <v>218</v>
      </c>
      <c r="GZ80" s="22" t="s">
        <v>218</v>
      </c>
      <c r="HA80" s="22" t="s">
        <v>218</v>
      </c>
      <c r="HB80" s="22" t="s">
        <v>218</v>
      </c>
      <c r="HC80" s="22" t="s">
        <v>218</v>
      </c>
      <c r="HD80" s="22" t="s">
        <v>218</v>
      </c>
      <c r="HE80" s="22" t="s">
        <v>218</v>
      </c>
      <c r="HF80" s="22" t="s">
        <v>218</v>
      </c>
      <c r="HG80" s="22" t="s">
        <v>218</v>
      </c>
      <c r="HH80" s="22" t="s">
        <v>218</v>
      </c>
      <c r="HI80" s="22">
        <v>2005</v>
      </c>
      <c r="HJ80" s="22">
        <v>2005</v>
      </c>
      <c r="HK80" s="22">
        <v>2005</v>
      </c>
      <c r="HL80" s="22" t="s">
        <v>218</v>
      </c>
      <c r="HM80" s="622">
        <f>'background data'!$G$10</f>
        <v>0.47300000000000003</v>
      </c>
      <c r="HN80" s="622">
        <f>'background data'!$H$10</f>
        <v>0.13</v>
      </c>
      <c r="HO80" s="622">
        <f>'background data'!$J$10</f>
        <v>0.39100000000000001</v>
      </c>
      <c r="HP80" s="622">
        <f>'background data'!$L$10</f>
        <v>5.5E-2</v>
      </c>
      <c r="HQ80" s="622">
        <f>'background data'!$M$10</f>
        <v>3.97</v>
      </c>
      <c r="HR80" s="622">
        <f>'background data'!$N$10</f>
        <v>4.5999999999999999E-3</v>
      </c>
      <c r="HS80" s="622">
        <f>'background data'!$O$10</f>
        <v>2.73</v>
      </c>
      <c r="HT80" s="145" t="s">
        <v>1797</v>
      </c>
      <c r="HU80" s="145" t="s">
        <v>1809</v>
      </c>
      <c r="HV80" s="22" t="s">
        <v>1939</v>
      </c>
      <c r="HW80" s="22" t="s">
        <v>352</v>
      </c>
      <c r="HX80" s="22" t="s">
        <v>353</v>
      </c>
      <c r="HY80" s="22" t="s">
        <v>354</v>
      </c>
      <c r="HZ80" s="19"/>
      <c r="IA80" s="19"/>
      <c r="IB80" s="622">
        <f>'background data'!$G$10</f>
        <v>0.47300000000000003</v>
      </c>
      <c r="IC80" s="622">
        <f>'background data'!$H$10</f>
        <v>0.13</v>
      </c>
      <c r="ID80" s="622">
        <f>'background data'!$J$10</f>
        <v>0.39100000000000001</v>
      </c>
      <c r="IE80" s="622">
        <f>'background data'!$L$10</f>
        <v>5.5E-2</v>
      </c>
      <c r="IF80" s="622">
        <f>'background data'!$M$10</f>
        <v>3.97</v>
      </c>
      <c r="IG80" s="622">
        <f>'background data'!$N$10</f>
        <v>4.5999999999999999E-3</v>
      </c>
      <c r="IH80" s="622">
        <f>'background data'!$O$10</f>
        <v>2.73</v>
      </c>
      <c r="II80" s="145" t="s">
        <v>1797</v>
      </c>
      <c r="IJ80" s="145"/>
      <c r="IK80" s="145"/>
      <c r="IL80" s="145"/>
      <c r="IM80" s="145"/>
      <c r="IN80" s="145"/>
      <c r="IO80" s="145"/>
      <c r="IP80" s="145"/>
      <c r="IQ80" s="145"/>
      <c r="IR80" s="145"/>
      <c r="IS80" s="145"/>
      <c r="IT80" s="145"/>
      <c r="IU80" s="145"/>
      <c r="IV80" s="145"/>
      <c r="IW80" s="145"/>
      <c r="IX80" s="145"/>
      <c r="IY80" s="145"/>
      <c r="IZ80" s="145"/>
      <c r="JA80" s="145"/>
      <c r="JB80" s="145"/>
      <c r="JC80" s="145"/>
      <c r="JD80" s="145"/>
      <c r="JE80" s="145"/>
      <c r="JF80" s="145"/>
      <c r="JG80" s="145"/>
      <c r="JH80" s="145"/>
      <c r="JI80" s="145"/>
      <c r="JJ80" s="145"/>
      <c r="JK80" s="145"/>
      <c r="JL80" s="145"/>
      <c r="JM80" s="145"/>
      <c r="JN80" s="145"/>
      <c r="JO80" s="145"/>
      <c r="JP80" s="145"/>
      <c r="JQ80" s="145"/>
      <c r="JR80" s="145"/>
      <c r="JS80" s="145"/>
      <c r="JT80" s="145"/>
      <c r="JU80" s="145"/>
      <c r="JV80" s="145"/>
      <c r="JW80" s="145"/>
      <c r="JX80" s="145"/>
      <c r="JY80" s="145"/>
      <c r="JZ80" s="145"/>
      <c r="KA80" s="145"/>
      <c r="KB80" s="145"/>
      <c r="KC80" s="145"/>
      <c r="KD80" s="145"/>
      <c r="KE80" s="145"/>
      <c r="KF80" s="145"/>
      <c r="KG80" s="145"/>
      <c r="KH80" s="145"/>
      <c r="KI80" s="145"/>
      <c r="KJ80" s="145"/>
      <c r="KK80" s="145"/>
      <c r="KL80" s="145"/>
      <c r="KM80" s="145"/>
      <c r="KN80" s="145"/>
      <c r="KO80" s="145"/>
      <c r="KP80" s="145"/>
      <c r="KQ80" s="145"/>
      <c r="KR80" s="145"/>
      <c r="KS80" s="145"/>
      <c r="KT80" s="145"/>
      <c r="KU80" s="145"/>
      <c r="KV80" s="145"/>
      <c r="KW80" s="145"/>
      <c r="KX80" s="145"/>
      <c r="KY80" s="145"/>
      <c r="KZ80" s="145"/>
      <c r="LA80" s="145"/>
      <c r="LB80" s="145"/>
      <c r="LC80" s="145"/>
      <c r="LD80" s="145"/>
      <c r="LE80" s="145"/>
      <c r="LF80" s="145"/>
      <c r="LG80" s="145"/>
      <c r="LH80" s="145"/>
      <c r="LI80" s="145"/>
      <c r="LJ80" s="145"/>
      <c r="LK80" s="145"/>
      <c r="LL80" s="145"/>
      <c r="LM80" s="145"/>
      <c r="LN80" s="145"/>
      <c r="LO80" s="145"/>
      <c r="LP80" s="145"/>
      <c r="LQ80" s="145"/>
      <c r="LR80" s="145"/>
      <c r="LS80" s="145"/>
      <c r="LT80" s="145"/>
      <c r="LU80" s="145"/>
      <c r="LV80" s="145"/>
      <c r="LW80" s="145"/>
      <c r="LX80" s="145"/>
      <c r="LY80" s="145"/>
      <c r="LZ80" s="145"/>
      <c r="MA80" s="145"/>
      <c r="MB80" s="145"/>
      <c r="MC80" s="145"/>
      <c r="MD80" s="145"/>
      <c r="ME80" s="145"/>
      <c r="MF80" s="145"/>
      <c r="MG80" s="145"/>
      <c r="MH80" s="145"/>
      <c r="MI80" s="145"/>
      <c r="MJ80" s="145"/>
      <c r="MK80" s="145"/>
      <c r="ML80" s="145"/>
      <c r="MM80" s="145"/>
      <c r="MN80" s="145"/>
      <c r="MO80" s="145"/>
      <c r="MP80" s="145"/>
      <c r="MQ80" s="145"/>
      <c r="MR80" s="145"/>
      <c r="MS80" s="145"/>
      <c r="MT80" s="145"/>
      <c r="MU80" s="145"/>
      <c r="MV80" s="145"/>
      <c r="MW80" s="145"/>
      <c r="MX80" s="145"/>
      <c r="MY80" s="145"/>
      <c r="MZ80" s="145"/>
      <c r="NA80" s="145"/>
      <c r="NB80" s="145"/>
      <c r="NC80" s="145"/>
      <c r="ND80" s="145"/>
      <c r="NE80" s="145"/>
      <c r="NF80" s="145"/>
      <c r="NG80" s="145"/>
      <c r="NH80" s="145"/>
      <c r="NI80" s="145"/>
      <c r="NJ80" s="145"/>
      <c r="NK80" s="145"/>
      <c r="NL80" s="145"/>
      <c r="NM80" s="145"/>
      <c r="NN80" s="145"/>
      <c r="NO80" s="145"/>
      <c r="NP80" s="145"/>
      <c r="NQ80" s="145"/>
      <c r="NR80" s="145"/>
      <c r="NS80" s="145"/>
    </row>
    <row r="81" spans="1:383" s="16" customFormat="1" ht="15" customHeight="1" x14ac:dyDescent="0.2">
      <c r="A81" s="15">
        <v>65200</v>
      </c>
      <c r="B81" s="25">
        <v>652</v>
      </c>
      <c r="C81" s="26">
        <v>0</v>
      </c>
      <c r="D81" s="20" t="s">
        <v>355</v>
      </c>
      <c r="E81" s="14">
        <v>42695</v>
      </c>
      <c r="F81" s="18">
        <v>0.84096817286643399</v>
      </c>
      <c r="G81" s="18">
        <v>0.86923717179962601</v>
      </c>
      <c r="H81" s="21">
        <v>79.8</v>
      </c>
      <c r="I81" s="21">
        <v>70.400038800000004</v>
      </c>
      <c r="J81" s="21">
        <v>82</v>
      </c>
      <c r="K81" s="18">
        <v>1</v>
      </c>
      <c r="L81" s="18">
        <v>84.8</v>
      </c>
      <c r="M81" s="18">
        <v>24.4</v>
      </c>
      <c r="N81" s="18">
        <v>1.7</v>
      </c>
      <c r="O81" s="18">
        <v>3.1</v>
      </c>
      <c r="P81" s="18" t="s">
        <v>217</v>
      </c>
      <c r="Q81" s="19"/>
      <c r="R81" s="18">
        <v>80</v>
      </c>
      <c r="S81" s="18">
        <v>37</v>
      </c>
      <c r="T81" s="18">
        <v>41</v>
      </c>
      <c r="U81" s="18">
        <v>43</v>
      </c>
      <c r="V81" s="18">
        <v>44</v>
      </c>
      <c r="W81" s="18">
        <v>45</v>
      </c>
      <c r="X81" s="18"/>
      <c r="Y81" s="18">
        <v>1.5094339622641511</v>
      </c>
      <c r="Z81" s="18">
        <v>5.1768867924528301</v>
      </c>
      <c r="AA81" s="18">
        <v>0.22</v>
      </c>
      <c r="AB81" s="18" t="s">
        <v>217</v>
      </c>
      <c r="AC81" s="18">
        <v>12.750000000000002</v>
      </c>
      <c r="AD81" s="18">
        <v>1.3800000000000001</v>
      </c>
      <c r="AE81" s="18">
        <v>2.2000000000000002</v>
      </c>
      <c r="AF81" s="18">
        <v>74.55</v>
      </c>
      <c r="AG81" s="18">
        <v>13.950000000000001</v>
      </c>
      <c r="AH81" s="18">
        <v>18.73</v>
      </c>
      <c r="AI81" s="18">
        <v>51.93</v>
      </c>
      <c r="AJ81" s="18">
        <v>0</v>
      </c>
      <c r="AK81" s="18">
        <v>1.9999999999999882E-2</v>
      </c>
      <c r="AL81" s="18"/>
      <c r="AM81" s="18">
        <v>6.3240418118466897</v>
      </c>
      <c r="AN81" s="18">
        <v>0.74564459930313598</v>
      </c>
      <c r="AO81" s="18">
        <v>1.2404181184669001</v>
      </c>
      <c r="AP81" s="18">
        <v>3.5261324041811801</v>
      </c>
      <c r="AQ81" s="18">
        <v>0.87456445993031395</v>
      </c>
      <c r="AR81" s="18">
        <v>3.9790940766550502</v>
      </c>
      <c r="AS81" s="18">
        <v>7.3728222996515704</v>
      </c>
      <c r="AT81" s="18">
        <v>2.6341463414634099</v>
      </c>
      <c r="AU81" s="18">
        <v>4.28571428571429</v>
      </c>
      <c r="AV81" s="18">
        <v>3.6585365853658498</v>
      </c>
      <c r="AW81" s="18">
        <v>4.4390243902439002</v>
      </c>
      <c r="AX81" s="18"/>
      <c r="AY81" s="18">
        <v>1.04</v>
      </c>
      <c r="AZ81" s="18">
        <v>0.94</v>
      </c>
      <c r="BA81" s="18">
        <v>0.94</v>
      </c>
      <c r="BB81" s="18">
        <v>0.98</v>
      </c>
      <c r="BC81" s="18">
        <v>0.93</v>
      </c>
      <c r="BD81" s="18">
        <v>0.99</v>
      </c>
      <c r="BE81" s="18">
        <v>1.03</v>
      </c>
      <c r="BF81" s="18">
        <v>1.05</v>
      </c>
      <c r="BG81" s="18">
        <v>1</v>
      </c>
      <c r="BH81" s="18">
        <v>0.96</v>
      </c>
      <c r="BI81" s="18">
        <v>0.98</v>
      </c>
      <c r="BJ81" s="19"/>
      <c r="BK81" s="18">
        <v>28.773584905660378</v>
      </c>
      <c r="BL81" s="18">
        <v>2.0047169811320757</v>
      </c>
      <c r="BM81" s="18">
        <v>3.6556603773584908</v>
      </c>
      <c r="BN81" s="18" t="s">
        <v>217</v>
      </c>
      <c r="BO81" s="18"/>
      <c r="BP81" s="18">
        <v>130</v>
      </c>
      <c r="BQ81" s="18">
        <v>26.061320754716981</v>
      </c>
      <c r="BR81" s="18">
        <v>0.99170775102173825</v>
      </c>
      <c r="BS81" s="18">
        <v>1.0250438346693702</v>
      </c>
      <c r="BT81" s="19"/>
      <c r="BU81" s="18">
        <v>963.44339622641508</v>
      </c>
      <c r="BV81" s="18">
        <v>358.16576819406959</v>
      </c>
      <c r="BW81" s="18">
        <v>129.37615061320753</v>
      </c>
      <c r="BX81" s="18">
        <v>375</v>
      </c>
      <c r="BY81" s="18">
        <v>32</v>
      </c>
      <c r="BZ81" s="18">
        <v>65.183611859838336</v>
      </c>
      <c r="CA81" s="18">
        <v>206.41477088948821</v>
      </c>
      <c r="CB81" s="19"/>
      <c r="CC81" s="19">
        <v>1.28</v>
      </c>
      <c r="CD81" s="19">
        <v>4.3899999999999997</v>
      </c>
      <c r="CE81" s="19">
        <v>0.18656</v>
      </c>
      <c r="CF81" s="19" t="s">
        <v>217</v>
      </c>
      <c r="CG81" s="19">
        <v>10.812000000000001</v>
      </c>
      <c r="CH81" s="19">
        <v>1.1702400000000002</v>
      </c>
      <c r="CI81" s="19">
        <v>1.8656000000000001</v>
      </c>
      <c r="CJ81" s="19"/>
      <c r="CK81" s="19">
        <v>63.218399999999995</v>
      </c>
      <c r="CL81" s="19">
        <v>11.829600000000001</v>
      </c>
      <c r="CM81" s="19">
        <v>15.883039999999999</v>
      </c>
      <c r="CN81" s="19">
        <v>44.036639999999998</v>
      </c>
      <c r="CO81" s="19">
        <v>0</v>
      </c>
      <c r="CP81" s="19">
        <v>1.6959999999999899E-2</v>
      </c>
      <c r="CQ81" s="19">
        <v>195.2</v>
      </c>
      <c r="CR81" s="19">
        <v>232.11342152778766</v>
      </c>
      <c r="CS81" s="19">
        <v>15.266107821458224</v>
      </c>
      <c r="CT81" s="19">
        <v>1.6268967203668931</v>
      </c>
      <c r="CU81" s="19">
        <v>2.7064263198626861</v>
      </c>
      <c r="CV81" s="19">
        <v>4.3333230402295797</v>
      </c>
      <c r="CW81" s="19">
        <v>8.0209340395261002</v>
      </c>
      <c r="CX81" s="19">
        <v>1.8878827870115567</v>
      </c>
      <c r="CY81" s="19">
        <v>9.1436512930622413</v>
      </c>
      <c r="CZ81" s="19">
        <v>17.626709405971575</v>
      </c>
      <c r="DA81" s="19">
        <v>6.4199175612807444</v>
      </c>
      <c r="DB81" s="19">
        <v>9.9477180654766322</v>
      </c>
      <c r="DC81" s="19">
        <v>8.1522762682930168</v>
      </c>
      <c r="DD81" s="19">
        <v>18.099994333769683</v>
      </c>
      <c r="DE81" s="19">
        <v>10.097499966755178</v>
      </c>
      <c r="DF81" s="23">
        <v>0</v>
      </c>
      <c r="DG81" s="23">
        <v>0</v>
      </c>
      <c r="DH81" s="23">
        <v>0</v>
      </c>
      <c r="DI81" s="19">
        <v>0</v>
      </c>
      <c r="DJ81" s="19">
        <v>0</v>
      </c>
      <c r="DK81" s="19">
        <v>0</v>
      </c>
      <c r="DL81" s="19">
        <v>0</v>
      </c>
      <c r="DM81" s="19">
        <v>0</v>
      </c>
      <c r="DN81" s="19">
        <v>0</v>
      </c>
      <c r="DO81" s="19">
        <v>0</v>
      </c>
      <c r="DP81" s="19">
        <v>0</v>
      </c>
      <c r="DQ81" s="19">
        <v>0</v>
      </c>
      <c r="DR81" s="19">
        <v>0</v>
      </c>
      <c r="DS81" s="19">
        <v>0</v>
      </c>
      <c r="DT81" s="19">
        <v>0</v>
      </c>
      <c r="DU81" s="19">
        <v>0</v>
      </c>
      <c r="DV81" s="19">
        <v>0</v>
      </c>
      <c r="DW81" s="17" t="s">
        <v>356</v>
      </c>
      <c r="DX81" s="22">
        <v>30</v>
      </c>
      <c r="DY81" s="22">
        <v>30</v>
      </c>
      <c r="DZ81" s="22">
        <v>30</v>
      </c>
      <c r="EA81" s="22">
        <v>30</v>
      </c>
      <c r="EB81" s="22" t="s">
        <v>218</v>
      </c>
      <c r="EC81" s="22">
        <v>30</v>
      </c>
      <c r="ED81" s="22">
        <v>30</v>
      </c>
      <c r="EE81" s="22" t="s">
        <v>218</v>
      </c>
      <c r="EF81" s="22">
        <v>30</v>
      </c>
      <c r="EG81" s="22">
        <v>30</v>
      </c>
      <c r="EH81" s="22">
        <v>24</v>
      </c>
      <c r="EI81" s="22">
        <v>24</v>
      </c>
      <c r="EJ81" s="22">
        <v>24</v>
      </c>
      <c r="EK81" s="22">
        <v>24</v>
      </c>
      <c r="EL81" s="22">
        <v>14</v>
      </c>
      <c r="EM81" s="22">
        <v>14</v>
      </c>
      <c r="EN81" s="22">
        <v>14</v>
      </c>
      <c r="EO81" s="22">
        <v>14</v>
      </c>
      <c r="EP81" s="22">
        <v>14</v>
      </c>
      <c r="EQ81" s="22">
        <v>14</v>
      </c>
      <c r="ER81" s="22">
        <v>14</v>
      </c>
      <c r="ES81" s="22">
        <v>28</v>
      </c>
      <c r="ET81" s="22">
        <v>28</v>
      </c>
      <c r="EU81" s="22">
        <v>12</v>
      </c>
      <c r="EV81" s="22" t="s">
        <v>218</v>
      </c>
      <c r="EW81" s="22">
        <v>12</v>
      </c>
      <c r="EX81" s="22">
        <v>12</v>
      </c>
      <c r="EY81" s="22">
        <v>4</v>
      </c>
      <c r="EZ81" s="22">
        <v>12</v>
      </c>
      <c r="FA81" s="22">
        <v>12</v>
      </c>
      <c r="FB81" s="22">
        <v>12</v>
      </c>
      <c r="FC81" s="22">
        <v>12</v>
      </c>
      <c r="FD81" s="22" t="s">
        <v>218</v>
      </c>
      <c r="FE81" s="22" t="s">
        <v>218</v>
      </c>
      <c r="FF81" s="22">
        <v>1.4</v>
      </c>
      <c r="FG81" s="22">
        <v>1.9</v>
      </c>
      <c r="FH81" s="22">
        <v>0.5</v>
      </c>
      <c r="FI81" s="22">
        <v>0.4</v>
      </c>
      <c r="FJ81" s="22">
        <v>2</v>
      </c>
      <c r="FK81" s="22">
        <v>4.2</v>
      </c>
      <c r="FL81" s="22">
        <v>6</v>
      </c>
      <c r="FM81" s="22" t="s">
        <v>218</v>
      </c>
      <c r="FN81" s="22">
        <v>9.8000000000000007</v>
      </c>
      <c r="FO81" s="22">
        <v>7.8</v>
      </c>
      <c r="FP81" s="22">
        <v>1.18</v>
      </c>
      <c r="FQ81" s="22">
        <v>0.11</v>
      </c>
      <c r="FR81" s="22">
        <v>0.17</v>
      </c>
      <c r="FS81" s="22">
        <v>0.6</v>
      </c>
      <c r="FT81" s="22">
        <v>0.17</v>
      </c>
      <c r="FU81" s="22">
        <v>0.7</v>
      </c>
      <c r="FV81" s="22">
        <v>1.28</v>
      </c>
      <c r="FW81" s="22">
        <v>0.5</v>
      </c>
      <c r="FX81" s="22">
        <v>0.74</v>
      </c>
      <c r="FY81" s="22">
        <v>0.68</v>
      </c>
      <c r="FZ81" s="22">
        <v>0.78</v>
      </c>
      <c r="GA81" s="22">
        <v>0.39</v>
      </c>
      <c r="GB81" s="22">
        <v>0.95</v>
      </c>
      <c r="GC81" s="22">
        <v>0.12</v>
      </c>
      <c r="GD81" s="22" t="s">
        <v>218</v>
      </c>
      <c r="GE81" s="22">
        <v>0.53</v>
      </c>
      <c r="GF81" s="22">
        <v>0.17</v>
      </c>
      <c r="GG81" s="22">
        <v>0.25</v>
      </c>
      <c r="GH81" s="22">
        <v>11</v>
      </c>
      <c r="GI81" s="22">
        <v>1.01</v>
      </c>
      <c r="GJ81" s="22">
        <v>1.76</v>
      </c>
      <c r="GK81" s="22">
        <v>7.07</v>
      </c>
      <c r="GL81" s="22" t="s">
        <v>218</v>
      </c>
      <c r="GM81" s="22" t="s">
        <v>218</v>
      </c>
      <c r="GN81" s="22" t="s">
        <v>357</v>
      </c>
      <c r="GO81" s="22" t="s">
        <v>357</v>
      </c>
      <c r="GP81" s="22" t="s">
        <v>357</v>
      </c>
      <c r="GQ81" s="22" t="s">
        <v>357</v>
      </c>
      <c r="GR81" s="22">
        <v>2005</v>
      </c>
      <c r="GS81" s="22" t="s">
        <v>357</v>
      </c>
      <c r="GT81" s="22" t="s">
        <v>357</v>
      </c>
      <c r="GU81" s="22" t="s">
        <v>218</v>
      </c>
      <c r="GV81" s="22" t="s">
        <v>357</v>
      </c>
      <c r="GW81" s="22" t="s">
        <v>357</v>
      </c>
      <c r="GX81" s="22" t="s">
        <v>358</v>
      </c>
      <c r="GY81" s="22" t="s">
        <v>358</v>
      </c>
      <c r="GZ81" s="22" t="s">
        <v>358</v>
      </c>
      <c r="HA81" s="22" t="s">
        <v>358</v>
      </c>
      <c r="HB81" s="22" t="s">
        <v>358</v>
      </c>
      <c r="HC81" s="22" t="s">
        <v>358</v>
      </c>
      <c r="HD81" s="22" t="s">
        <v>358</v>
      </c>
      <c r="HE81" s="22" t="s">
        <v>358</v>
      </c>
      <c r="HF81" s="22" t="s">
        <v>358</v>
      </c>
      <c r="HG81" s="22" t="s">
        <v>358</v>
      </c>
      <c r="HH81" s="22" t="s">
        <v>358</v>
      </c>
      <c r="HI81" s="22" t="s">
        <v>357</v>
      </c>
      <c r="HJ81" s="22" t="s">
        <v>357</v>
      </c>
      <c r="HK81" s="22" t="s">
        <v>358</v>
      </c>
      <c r="HL81" s="22" t="s">
        <v>218</v>
      </c>
      <c r="HM81" s="620">
        <f>'background data'!$G$20</f>
        <v>0.14000000000000001</v>
      </c>
      <c r="HN81" s="620">
        <f>'background data'!$H$20</f>
        <v>7.0000000000000007E-2</v>
      </c>
      <c r="HO81" s="620">
        <f>'background data'!$J$20</f>
        <v>0.51702999999999999</v>
      </c>
      <c r="HP81" s="620">
        <f>'background data'!$L$20</f>
        <v>2.1999999999999999E-2</v>
      </c>
      <c r="HQ81" s="620">
        <f>'background data'!$M$20</f>
        <v>0.72</v>
      </c>
      <c r="HR81" s="620">
        <f>'background data'!$N$20</f>
        <v>1.2900000000000001E-3</v>
      </c>
      <c r="HS81" s="620">
        <f>'background data'!$O$20</f>
        <v>3.47</v>
      </c>
      <c r="HT81" s="145"/>
      <c r="HU81" s="145" t="s">
        <v>1809</v>
      </c>
      <c r="HV81" s="22" t="s">
        <v>1940</v>
      </c>
      <c r="HW81" s="22" t="s">
        <v>359</v>
      </c>
      <c r="HX81" s="22" t="s">
        <v>360</v>
      </c>
      <c r="HY81" s="22" t="s">
        <v>361</v>
      </c>
      <c r="HZ81" s="19"/>
      <c r="IA81" s="19"/>
      <c r="IB81" s="620">
        <f>'background data'!$G$20</f>
        <v>0.14000000000000001</v>
      </c>
      <c r="IC81" s="620">
        <f>'background data'!$H$20</f>
        <v>7.0000000000000007E-2</v>
      </c>
      <c r="ID81" s="620">
        <f>'background data'!$J$20</f>
        <v>0.51702999999999999</v>
      </c>
      <c r="IE81" s="620">
        <f>'background data'!$L$20</f>
        <v>2.1999999999999999E-2</v>
      </c>
      <c r="IF81" s="620">
        <f>'background data'!$M$20</f>
        <v>0.72</v>
      </c>
      <c r="IG81" s="620">
        <f>'background data'!$N$20</f>
        <v>1.2900000000000001E-3</v>
      </c>
      <c r="IH81" s="620">
        <f>'background data'!$O$20</f>
        <v>3.47</v>
      </c>
      <c r="II81" s="145"/>
      <c r="IJ81" s="145"/>
      <c r="IK81" s="145"/>
      <c r="IL81" s="145"/>
      <c r="IM81" s="145"/>
      <c r="IN81" s="145"/>
      <c r="IO81" s="145"/>
      <c r="IP81" s="145"/>
      <c r="IQ81" s="145"/>
      <c r="IR81" s="145"/>
      <c r="IS81" s="145"/>
      <c r="IT81" s="145"/>
      <c r="IU81" s="145"/>
      <c r="IV81" s="145"/>
      <c r="IW81" s="145"/>
      <c r="IX81" s="145"/>
      <c r="IY81" s="145"/>
      <c r="IZ81" s="145"/>
      <c r="JA81" s="145"/>
      <c r="JB81" s="145"/>
      <c r="JC81" s="145"/>
      <c r="JD81" s="145"/>
      <c r="JE81" s="145"/>
      <c r="JF81" s="145"/>
      <c r="JG81" s="145"/>
      <c r="JH81" s="145"/>
      <c r="JI81" s="145"/>
      <c r="JJ81" s="145"/>
      <c r="JK81" s="145"/>
      <c r="JL81" s="145"/>
      <c r="JM81" s="145"/>
      <c r="JN81" s="145"/>
      <c r="JO81" s="145"/>
      <c r="JP81" s="145"/>
      <c r="JQ81" s="145"/>
      <c r="JR81" s="145"/>
      <c r="JS81" s="145"/>
      <c r="JT81" s="145"/>
      <c r="JU81" s="145"/>
      <c r="JV81" s="145"/>
      <c r="JW81" s="145"/>
      <c r="JX81" s="145"/>
      <c r="JY81" s="145"/>
      <c r="JZ81" s="145"/>
      <c r="KA81" s="145"/>
      <c r="KB81" s="145"/>
      <c r="KC81" s="145"/>
      <c r="KD81" s="145"/>
      <c r="KE81" s="145"/>
      <c r="KF81" s="145"/>
      <c r="KG81" s="145"/>
      <c r="KH81" s="145"/>
      <c r="KI81" s="145"/>
      <c r="KJ81" s="145"/>
      <c r="KK81" s="145"/>
      <c r="KL81" s="145"/>
      <c r="KM81" s="145"/>
      <c r="KN81" s="145"/>
      <c r="KO81" s="145"/>
      <c r="KP81" s="145"/>
      <c r="KQ81" s="145"/>
      <c r="KR81" s="145"/>
      <c r="KS81" s="145"/>
      <c r="KT81" s="145"/>
      <c r="KU81" s="145"/>
      <c r="KV81" s="145"/>
      <c r="KW81" s="145"/>
      <c r="KX81" s="145"/>
      <c r="KY81" s="145"/>
      <c r="KZ81" s="145"/>
      <c r="LA81" s="145"/>
      <c r="LB81" s="145"/>
      <c r="LC81" s="145"/>
      <c r="LD81" s="145"/>
      <c r="LE81" s="145"/>
      <c r="LF81" s="145"/>
      <c r="LG81" s="145"/>
      <c r="LH81" s="145"/>
      <c r="LI81" s="145"/>
      <c r="LJ81" s="145"/>
      <c r="LK81" s="145"/>
      <c r="LL81" s="145"/>
      <c r="LM81" s="145"/>
      <c r="LN81" s="145"/>
      <c r="LO81" s="145"/>
      <c r="LP81" s="145"/>
      <c r="LQ81" s="145"/>
      <c r="LR81" s="145"/>
      <c r="LS81" s="145"/>
      <c r="LT81" s="145"/>
      <c r="LU81" s="145"/>
      <c r="LV81" s="145"/>
      <c r="LW81" s="145"/>
      <c r="LX81" s="145"/>
      <c r="LY81" s="145"/>
      <c r="LZ81" s="145"/>
      <c r="MA81" s="145"/>
      <c r="MB81" s="145"/>
      <c r="MC81" s="145"/>
      <c r="MD81" s="145"/>
      <c r="ME81" s="145"/>
      <c r="MF81" s="145"/>
      <c r="MG81" s="145"/>
      <c r="MH81" s="145"/>
      <c r="MI81" s="145"/>
      <c r="MJ81" s="145"/>
      <c r="MK81" s="145"/>
      <c r="ML81" s="145"/>
      <c r="MM81" s="145"/>
      <c r="MN81" s="145"/>
      <c r="MO81" s="145"/>
      <c r="MP81" s="145"/>
      <c r="MQ81" s="145"/>
      <c r="MR81" s="145"/>
      <c r="MS81" s="145"/>
      <c r="MT81" s="145"/>
      <c r="MU81" s="145"/>
      <c r="MV81" s="145"/>
      <c r="MW81" s="145"/>
      <c r="MX81" s="145"/>
      <c r="MY81" s="145"/>
      <c r="MZ81" s="145"/>
      <c r="NA81" s="145"/>
      <c r="NB81" s="145"/>
      <c r="NC81" s="145"/>
      <c r="ND81" s="145"/>
      <c r="NE81" s="145"/>
      <c r="NF81" s="145"/>
      <c r="NG81" s="145"/>
      <c r="NH81" s="145"/>
      <c r="NI81" s="145"/>
      <c r="NJ81" s="145"/>
      <c r="NK81" s="145"/>
      <c r="NL81" s="145"/>
      <c r="NM81" s="145"/>
      <c r="NN81" s="145"/>
      <c r="NO81" s="145"/>
      <c r="NP81" s="145"/>
      <c r="NQ81" s="145"/>
      <c r="NR81" s="145"/>
      <c r="NS81" s="145"/>
    </row>
    <row r="82" spans="1:383" s="16" customFormat="1" ht="15" customHeight="1" x14ac:dyDescent="0.2">
      <c r="A82" s="15">
        <v>65201</v>
      </c>
      <c r="B82" s="25">
        <v>652</v>
      </c>
      <c r="C82" s="26">
        <v>1</v>
      </c>
      <c r="D82" s="20" t="s">
        <v>362</v>
      </c>
      <c r="E82" s="14">
        <v>42695</v>
      </c>
      <c r="F82" s="18">
        <v>0.93274996634115104</v>
      </c>
      <c r="G82" s="18">
        <v>0.95111828897959305</v>
      </c>
      <c r="H82" s="21">
        <v>83.2</v>
      </c>
      <c r="I82" s="21">
        <v>74.500025600000001</v>
      </c>
      <c r="J82" s="21">
        <v>82</v>
      </c>
      <c r="K82" s="18">
        <v>1</v>
      </c>
      <c r="L82" s="18">
        <v>88</v>
      </c>
      <c r="M82" s="18">
        <v>26.84</v>
      </c>
      <c r="N82" s="18">
        <v>1.8480000000000001</v>
      </c>
      <c r="O82" s="18">
        <v>3.52</v>
      </c>
      <c r="P82" s="18">
        <v>8.4480000000000004</v>
      </c>
      <c r="Q82" s="19"/>
      <c r="R82" s="18">
        <v>80</v>
      </c>
      <c r="S82" s="18">
        <v>37</v>
      </c>
      <c r="T82" s="18">
        <v>41</v>
      </c>
      <c r="U82" s="18">
        <v>43</v>
      </c>
      <c r="V82" s="18">
        <v>44</v>
      </c>
      <c r="W82" s="18">
        <v>45</v>
      </c>
      <c r="X82" s="18"/>
      <c r="Y82" s="18">
        <v>1.68</v>
      </c>
      <c r="Z82" s="18">
        <v>6.1799999999999988</v>
      </c>
      <c r="AA82" s="18">
        <v>0.19999999999999998</v>
      </c>
      <c r="AB82" s="18" t="s">
        <v>217</v>
      </c>
      <c r="AC82" s="18">
        <v>12.799999999999999</v>
      </c>
      <c r="AD82" s="18">
        <v>1.4000000000000001</v>
      </c>
      <c r="AE82" s="18">
        <v>2.1999999999999997</v>
      </c>
      <c r="AF82" s="18">
        <v>78</v>
      </c>
      <c r="AG82" s="18">
        <v>13.899999999999999</v>
      </c>
      <c r="AH82" s="18">
        <v>18.299999999999997</v>
      </c>
      <c r="AI82" s="18">
        <v>51.800000000000004</v>
      </c>
      <c r="AJ82" s="18">
        <v>0</v>
      </c>
      <c r="AK82" s="18">
        <v>1.9999999999999886E-2</v>
      </c>
      <c r="AL82" s="18"/>
      <c r="AM82" s="18">
        <v>6.2622950819672099</v>
      </c>
      <c r="AN82" s="18">
        <v>0.72131147540983598</v>
      </c>
      <c r="AO82" s="18">
        <v>1.1803278688524601</v>
      </c>
      <c r="AP82" s="18">
        <v>3.46229508196721</v>
      </c>
      <c r="AQ82" s="18">
        <v>0.82950819672131104</v>
      </c>
      <c r="AR82" s="18">
        <v>3.8262295081967199</v>
      </c>
      <c r="AS82" s="18">
        <v>7.0950819672131198</v>
      </c>
      <c r="AT82" s="18">
        <v>2.58688524590164</v>
      </c>
      <c r="AU82" s="18">
        <v>4.1573770491803304</v>
      </c>
      <c r="AV82" s="18">
        <v>3.58688524590164</v>
      </c>
      <c r="AW82" s="18">
        <v>4.2819672131147497</v>
      </c>
      <c r="AX82" s="18"/>
      <c r="AY82" s="18">
        <v>1.04</v>
      </c>
      <c r="AZ82" s="18">
        <v>0.94</v>
      </c>
      <c r="BA82" s="18">
        <v>0.94</v>
      </c>
      <c r="BB82" s="18">
        <v>0.98</v>
      </c>
      <c r="BC82" s="18">
        <v>0.93</v>
      </c>
      <c r="BD82" s="18">
        <v>0.99</v>
      </c>
      <c r="BE82" s="18">
        <v>1.03</v>
      </c>
      <c r="BF82" s="18">
        <v>1.05</v>
      </c>
      <c r="BG82" s="18">
        <v>1</v>
      </c>
      <c r="BH82" s="18">
        <v>0.96</v>
      </c>
      <c r="BI82" s="18">
        <v>0.98</v>
      </c>
      <c r="BJ82" s="19"/>
      <c r="BK82" s="18">
        <v>30.5</v>
      </c>
      <c r="BL82" s="18">
        <v>2.1</v>
      </c>
      <c r="BM82" s="18">
        <v>4</v>
      </c>
      <c r="BN82" s="18">
        <v>9.6000000000000014</v>
      </c>
      <c r="BO82" s="18"/>
      <c r="BP82" s="18">
        <v>130</v>
      </c>
      <c r="BQ82" s="18">
        <v>27.3</v>
      </c>
      <c r="BR82" s="18">
        <v>1.0599431435694897</v>
      </c>
      <c r="BS82" s="18">
        <v>1.0808162374768102</v>
      </c>
      <c r="BT82" s="19"/>
      <c r="BU82" s="18">
        <v>960</v>
      </c>
      <c r="BV82" s="18">
        <v>381.48571428571364</v>
      </c>
      <c r="BW82" s="18">
        <v>119.31393462857045</v>
      </c>
      <c r="BX82" s="18">
        <v>375</v>
      </c>
      <c r="BY82" s="18">
        <v>32</v>
      </c>
      <c r="BZ82" s="18">
        <v>54.015428571428629</v>
      </c>
      <c r="CA82" s="18">
        <v>171.0488571428568</v>
      </c>
      <c r="CB82" s="19"/>
      <c r="CC82" s="19">
        <v>1.4783999999999999</v>
      </c>
      <c r="CD82" s="19">
        <v>5.4383999999999988</v>
      </c>
      <c r="CE82" s="19">
        <v>0.17599999999999999</v>
      </c>
      <c r="CF82" s="19" t="s">
        <v>217</v>
      </c>
      <c r="CG82" s="19">
        <v>11.263999999999999</v>
      </c>
      <c r="CH82" s="19">
        <v>1.2320000000000002</v>
      </c>
      <c r="CI82" s="19">
        <v>1.9359999999999997</v>
      </c>
      <c r="CJ82" s="19"/>
      <c r="CK82" s="19">
        <v>68.64</v>
      </c>
      <c r="CL82" s="19">
        <v>12.231999999999999</v>
      </c>
      <c r="CM82" s="19">
        <v>16.103999999999999</v>
      </c>
      <c r="CN82" s="19">
        <v>45.584000000000003</v>
      </c>
      <c r="CO82" s="19">
        <v>0</v>
      </c>
      <c r="CP82" s="19">
        <v>1.75999999999999E-2</v>
      </c>
      <c r="CQ82" s="19">
        <v>214.72</v>
      </c>
      <c r="CR82" s="19">
        <v>230.20102680064497</v>
      </c>
      <c r="CS82" s="19">
        <v>14.992502283173808</v>
      </c>
      <c r="CT82" s="19">
        <v>1.5608384374548649</v>
      </c>
      <c r="CU82" s="19">
        <v>2.554099261289779</v>
      </c>
      <c r="CV82" s="19">
        <v>4.1149376987446544</v>
      </c>
      <c r="CW82" s="19">
        <v>7.8108340529656326</v>
      </c>
      <c r="CX82" s="19">
        <v>1.7758688392106148</v>
      </c>
      <c r="CY82" s="19">
        <v>8.7199394194619284</v>
      </c>
      <c r="CZ82" s="19">
        <v>16.82294008709815</v>
      </c>
      <c r="DA82" s="19">
        <v>6.2527882181309717</v>
      </c>
      <c r="DB82" s="19">
        <v>9.5703246551874592</v>
      </c>
      <c r="DC82" s="19">
        <v>7.9267647995773567</v>
      </c>
      <c r="DD82" s="19">
        <v>17.497089454764826</v>
      </c>
      <c r="DE82" s="19">
        <v>9.6599898420199928</v>
      </c>
      <c r="DF82" s="23">
        <v>0</v>
      </c>
      <c r="DG82" s="23">
        <v>0</v>
      </c>
      <c r="DH82" s="23">
        <v>0</v>
      </c>
      <c r="DI82" s="19">
        <v>0</v>
      </c>
      <c r="DJ82" s="19">
        <v>0</v>
      </c>
      <c r="DK82" s="19">
        <v>0</v>
      </c>
      <c r="DL82" s="19">
        <v>0</v>
      </c>
      <c r="DM82" s="19">
        <v>0</v>
      </c>
      <c r="DN82" s="19">
        <v>0</v>
      </c>
      <c r="DO82" s="19">
        <v>0</v>
      </c>
      <c r="DP82" s="19">
        <v>0</v>
      </c>
      <c r="DQ82" s="19">
        <v>0</v>
      </c>
      <c r="DR82" s="19">
        <v>0</v>
      </c>
      <c r="DS82" s="19">
        <v>0</v>
      </c>
      <c r="DT82" s="19">
        <v>0</v>
      </c>
      <c r="DU82" s="19">
        <v>0</v>
      </c>
      <c r="DV82" s="19">
        <v>0</v>
      </c>
      <c r="DW82" s="17" t="s">
        <v>356</v>
      </c>
      <c r="DX82" s="22">
        <v>9</v>
      </c>
      <c r="DY82" s="22">
        <v>9</v>
      </c>
      <c r="DZ82" s="22">
        <v>9</v>
      </c>
      <c r="EA82" s="22">
        <v>9</v>
      </c>
      <c r="EB82" s="22">
        <v>4</v>
      </c>
      <c r="EC82" s="22">
        <v>9</v>
      </c>
      <c r="ED82" s="22">
        <v>9</v>
      </c>
      <c r="EE82" s="22" t="s">
        <v>218</v>
      </c>
      <c r="EF82" s="22">
        <v>9</v>
      </c>
      <c r="EG82" s="22">
        <v>9</v>
      </c>
      <c r="EH82" s="22">
        <v>9</v>
      </c>
      <c r="EI82" s="22">
        <v>9</v>
      </c>
      <c r="EJ82" s="22">
        <v>9</v>
      </c>
      <c r="EK82" s="22">
        <v>9</v>
      </c>
      <c r="EL82" s="22">
        <v>9</v>
      </c>
      <c r="EM82" s="22">
        <v>9</v>
      </c>
      <c r="EN82" s="22">
        <v>9</v>
      </c>
      <c r="EO82" s="22">
        <v>9</v>
      </c>
      <c r="EP82" s="22">
        <v>9</v>
      </c>
      <c r="EQ82" s="22">
        <v>9</v>
      </c>
      <c r="ER82" s="22">
        <v>9</v>
      </c>
      <c r="ES82" s="22">
        <v>9</v>
      </c>
      <c r="ET82" s="22">
        <v>9</v>
      </c>
      <c r="EU82" s="22">
        <v>9</v>
      </c>
      <c r="EV82" s="22" t="s">
        <v>218</v>
      </c>
      <c r="EW82" s="22">
        <v>9</v>
      </c>
      <c r="EX82" s="22">
        <v>9</v>
      </c>
      <c r="EY82" s="22">
        <v>4</v>
      </c>
      <c r="EZ82" s="22">
        <v>9</v>
      </c>
      <c r="FA82" s="22">
        <v>9</v>
      </c>
      <c r="FB82" s="22">
        <v>9</v>
      </c>
      <c r="FC82" s="22">
        <v>9</v>
      </c>
      <c r="FD82" s="22" t="s">
        <v>218</v>
      </c>
      <c r="FE82" s="22" t="s">
        <v>218</v>
      </c>
      <c r="FF82" s="22">
        <v>1.4</v>
      </c>
      <c r="FG82" s="22">
        <v>1.51</v>
      </c>
      <c r="FH82" s="22">
        <v>0.05</v>
      </c>
      <c r="FI82" s="22">
        <v>0.51</v>
      </c>
      <c r="FJ82" s="22">
        <v>2</v>
      </c>
      <c r="FK82" s="22">
        <v>1.84</v>
      </c>
      <c r="FL82" s="22">
        <v>1.99</v>
      </c>
      <c r="FM82" s="22" t="s">
        <v>218</v>
      </c>
      <c r="FN82" s="22">
        <v>2.98</v>
      </c>
      <c r="FO82" s="22">
        <v>2.36</v>
      </c>
      <c r="FP82" s="22">
        <v>1.35</v>
      </c>
      <c r="FQ82" s="22">
        <v>0.15</v>
      </c>
      <c r="FR82" s="22">
        <v>0.24</v>
      </c>
      <c r="FS82" s="22">
        <v>0.7</v>
      </c>
      <c r="FT82" s="22">
        <v>0.21</v>
      </c>
      <c r="FU82" s="22">
        <v>0.77</v>
      </c>
      <c r="FV82" s="22">
        <v>1.37</v>
      </c>
      <c r="FW82" s="22">
        <v>0.46</v>
      </c>
      <c r="FX82" s="22">
        <v>0.66</v>
      </c>
      <c r="FY82" s="22">
        <v>0.38</v>
      </c>
      <c r="FZ82" s="22">
        <v>0.8</v>
      </c>
      <c r="GA82" s="22">
        <v>0.56000000000000005</v>
      </c>
      <c r="GB82" s="22">
        <v>0.71</v>
      </c>
      <c r="GC82" s="22">
        <v>0.13</v>
      </c>
      <c r="GD82" s="22" t="s">
        <v>218</v>
      </c>
      <c r="GE82" s="22">
        <v>0.53</v>
      </c>
      <c r="GF82" s="22">
        <v>0.17</v>
      </c>
      <c r="GG82" s="22">
        <v>0.25</v>
      </c>
      <c r="GH82" s="22">
        <v>11</v>
      </c>
      <c r="GI82" s="22">
        <v>1.01</v>
      </c>
      <c r="GJ82" s="22">
        <v>1.76</v>
      </c>
      <c r="GK82" s="22">
        <v>7.07</v>
      </c>
      <c r="GL82" s="22" t="s">
        <v>218</v>
      </c>
      <c r="GM82" s="22" t="s">
        <v>218</v>
      </c>
      <c r="GN82" s="22">
        <v>2012</v>
      </c>
      <c r="GO82" s="22">
        <v>2012</v>
      </c>
      <c r="GP82" s="22">
        <v>2012</v>
      </c>
      <c r="GQ82" s="22">
        <v>2012</v>
      </c>
      <c r="GR82" s="22">
        <v>2005</v>
      </c>
      <c r="GS82" s="22">
        <v>2012</v>
      </c>
      <c r="GT82" s="22">
        <v>2012</v>
      </c>
      <c r="GU82" s="22" t="s">
        <v>218</v>
      </c>
      <c r="GV82" s="22">
        <v>2012</v>
      </c>
      <c r="GW82" s="22">
        <v>2012</v>
      </c>
      <c r="GX82" s="22">
        <v>2012</v>
      </c>
      <c r="GY82" s="22">
        <v>2012</v>
      </c>
      <c r="GZ82" s="22">
        <v>2012</v>
      </c>
      <c r="HA82" s="22">
        <v>2012</v>
      </c>
      <c r="HB82" s="22">
        <v>2012</v>
      </c>
      <c r="HC82" s="22">
        <v>2012</v>
      </c>
      <c r="HD82" s="22">
        <v>2012</v>
      </c>
      <c r="HE82" s="22">
        <v>2012</v>
      </c>
      <c r="HF82" s="22">
        <v>2012</v>
      </c>
      <c r="HG82" s="22">
        <v>2012</v>
      </c>
      <c r="HH82" s="22">
        <v>2012</v>
      </c>
      <c r="HI82" s="22">
        <v>2012</v>
      </c>
      <c r="HJ82" s="22">
        <v>2012</v>
      </c>
      <c r="HK82" s="22">
        <v>2012</v>
      </c>
      <c r="HL82" s="22" t="s">
        <v>218</v>
      </c>
      <c r="HM82" s="620">
        <f>'background data'!$G$20</f>
        <v>0.14000000000000001</v>
      </c>
      <c r="HN82" s="620">
        <f>'background data'!$H$20</f>
        <v>7.0000000000000007E-2</v>
      </c>
      <c r="HO82" s="620">
        <f>'background data'!$J$20</f>
        <v>0.51702999999999999</v>
      </c>
      <c r="HP82" s="620">
        <f>'background data'!$L$20</f>
        <v>2.1999999999999999E-2</v>
      </c>
      <c r="HQ82" s="620">
        <f>'background data'!$M$20</f>
        <v>0.72</v>
      </c>
      <c r="HR82" s="620">
        <f>'background data'!$N$20</f>
        <v>1.2900000000000001E-3</v>
      </c>
      <c r="HS82" s="620">
        <f>'background data'!$O$20</f>
        <v>3.47</v>
      </c>
      <c r="HT82" s="145"/>
      <c r="HU82" s="145" t="s">
        <v>1809</v>
      </c>
      <c r="HV82" s="22" t="s">
        <v>1940</v>
      </c>
      <c r="HW82" s="22" t="s">
        <v>359</v>
      </c>
      <c r="HX82" s="22" t="s">
        <v>360</v>
      </c>
      <c r="HY82" s="22" t="s">
        <v>361</v>
      </c>
      <c r="HZ82" s="19"/>
      <c r="IA82" s="19"/>
      <c r="IB82" s="620">
        <f>'background data'!$G$20</f>
        <v>0.14000000000000001</v>
      </c>
      <c r="IC82" s="620">
        <f>'background data'!$H$20</f>
        <v>7.0000000000000007E-2</v>
      </c>
      <c r="ID82" s="620">
        <f>'background data'!$J$20</f>
        <v>0.51702999999999999</v>
      </c>
      <c r="IE82" s="620">
        <f>'background data'!$L$20</f>
        <v>2.1999999999999999E-2</v>
      </c>
      <c r="IF82" s="620">
        <f>'background data'!$M$20</f>
        <v>0.72</v>
      </c>
      <c r="IG82" s="620">
        <f>'background data'!$N$20</f>
        <v>1.2900000000000001E-3</v>
      </c>
      <c r="IH82" s="620">
        <f>'background data'!$O$20</f>
        <v>3.47</v>
      </c>
      <c r="II82" s="145"/>
      <c r="IJ82" s="145"/>
      <c r="IK82" s="145"/>
      <c r="IL82" s="145"/>
      <c r="IM82" s="145"/>
      <c r="IN82" s="145"/>
      <c r="IO82" s="145"/>
      <c r="IP82" s="145"/>
      <c r="IQ82" s="145"/>
      <c r="IR82" s="145"/>
      <c r="IS82" s="145"/>
      <c r="IT82" s="145"/>
      <c r="IU82" s="145"/>
      <c r="IV82" s="145"/>
      <c r="IW82" s="145"/>
      <c r="IX82" s="145"/>
      <c r="IY82" s="145"/>
      <c r="IZ82" s="145"/>
      <c r="JA82" s="145"/>
      <c r="JB82" s="145"/>
      <c r="JC82" s="145"/>
      <c r="JD82" s="145"/>
      <c r="JE82" s="145"/>
      <c r="JF82" s="145"/>
      <c r="JG82" s="145"/>
      <c r="JH82" s="145"/>
      <c r="JI82" s="145"/>
      <c r="JJ82" s="145"/>
      <c r="JK82" s="145"/>
      <c r="JL82" s="145"/>
      <c r="JM82" s="145"/>
      <c r="JN82" s="145"/>
      <c r="JO82" s="145"/>
      <c r="JP82" s="145"/>
      <c r="JQ82" s="145"/>
      <c r="JR82" s="145"/>
      <c r="JS82" s="145"/>
      <c r="JT82" s="145"/>
      <c r="JU82" s="145"/>
      <c r="JV82" s="145"/>
      <c r="JW82" s="145"/>
      <c r="JX82" s="145"/>
      <c r="JY82" s="145"/>
      <c r="JZ82" s="145"/>
      <c r="KA82" s="145"/>
      <c r="KB82" s="145"/>
      <c r="KC82" s="145"/>
      <c r="KD82" s="145"/>
      <c r="KE82" s="145"/>
      <c r="KF82" s="145"/>
      <c r="KG82" s="145"/>
      <c r="KH82" s="145"/>
      <c r="KI82" s="145"/>
      <c r="KJ82" s="145"/>
      <c r="KK82" s="145"/>
      <c r="KL82" s="145"/>
      <c r="KM82" s="145"/>
      <c r="KN82" s="145"/>
      <c r="KO82" s="145"/>
      <c r="KP82" s="145"/>
      <c r="KQ82" s="145"/>
      <c r="KR82" s="145"/>
      <c r="KS82" s="145"/>
      <c r="KT82" s="145"/>
      <c r="KU82" s="145"/>
      <c r="KV82" s="145"/>
      <c r="KW82" s="145"/>
      <c r="KX82" s="145"/>
      <c r="KY82" s="145"/>
      <c r="KZ82" s="145"/>
      <c r="LA82" s="145"/>
      <c r="LB82" s="145"/>
      <c r="LC82" s="145"/>
      <c r="LD82" s="145"/>
      <c r="LE82" s="145"/>
      <c r="LF82" s="145"/>
      <c r="LG82" s="145"/>
      <c r="LH82" s="145"/>
      <c r="LI82" s="145"/>
      <c r="LJ82" s="145"/>
      <c r="LK82" s="145"/>
      <c r="LL82" s="145"/>
      <c r="LM82" s="145"/>
      <c r="LN82" s="145"/>
      <c r="LO82" s="145"/>
      <c r="LP82" s="145"/>
      <c r="LQ82" s="145"/>
      <c r="LR82" s="145"/>
      <c r="LS82" s="145"/>
      <c r="LT82" s="145"/>
      <c r="LU82" s="145"/>
      <c r="LV82" s="145"/>
      <c r="LW82" s="145"/>
      <c r="LX82" s="145"/>
      <c r="LY82" s="145"/>
      <c r="LZ82" s="145"/>
      <c r="MA82" s="145"/>
      <c r="MB82" s="145"/>
      <c r="MC82" s="145"/>
      <c r="MD82" s="145"/>
      <c r="ME82" s="145"/>
      <c r="MF82" s="145"/>
      <c r="MG82" s="145"/>
      <c r="MH82" s="145"/>
      <c r="MI82" s="145"/>
      <c r="MJ82" s="145"/>
      <c r="MK82" s="145"/>
      <c r="ML82" s="145"/>
      <c r="MM82" s="145"/>
      <c r="MN82" s="145"/>
      <c r="MO82" s="145"/>
      <c r="MP82" s="145"/>
      <c r="MQ82" s="145"/>
      <c r="MR82" s="145"/>
      <c r="MS82" s="145"/>
      <c r="MT82" s="145"/>
      <c r="MU82" s="145"/>
      <c r="MV82" s="145"/>
      <c r="MW82" s="145"/>
      <c r="MX82" s="145"/>
      <c r="MY82" s="145"/>
      <c r="MZ82" s="145"/>
      <c r="NA82" s="145"/>
      <c r="NB82" s="145"/>
      <c r="NC82" s="145"/>
      <c r="ND82" s="145"/>
      <c r="NE82" s="145"/>
      <c r="NF82" s="145"/>
      <c r="NG82" s="145"/>
      <c r="NH82" s="145"/>
      <c r="NI82" s="145"/>
      <c r="NJ82" s="145"/>
      <c r="NK82" s="145"/>
      <c r="NL82" s="145"/>
      <c r="NM82" s="145"/>
      <c r="NN82" s="145"/>
      <c r="NO82" s="145"/>
      <c r="NP82" s="145"/>
      <c r="NQ82" s="145"/>
      <c r="NR82" s="145"/>
      <c r="NS82" s="145"/>
    </row>
    <row r="83" spans="1:383" s="16" customFormat="1" ht="15" customHeight="1" x14ac:dyDescent="0.2">
      <c r="A83" s="15">
        <v>65202</v>
      </c>
      <c r="B83" s="25">
        <v>652</v>
      </c>
      <c r="C83" s="26">
        <v>2</v>
      </c>
      <c r="D83" s="20" t="s">
        <v>363</v>
      </c>
      <c r="E83" s="14">
        <v>42695</v>
      </c>
      <c r="F83" s="18">
        <v>0.82447780877029797</v>
      </c>
      <c r="G83" s="18">
        <v>0.86176624914285704</v>
      </c>
      <c r="H83" s="21">
        <v>77.099999999999994</v>
      </c>
      <c r="I83" s="21">
        <v>67.399971899999997</v>
      </c>
      <c r="J83" s="21">
        <v>82</v>
      </c>
      <c r="K83" s="18">
        <v>1</v>
      </c>
      <c r="L83" s="18">
        <v>88</v>
      </c>
      <c r="M83" s="18">
        <v>24.376000000000001</v>
      </c>
      <c r="N83" s="18">
        <v>1.5840000000000001</v>
      </c>
      <c r="O83" s="18">
        <v>2.992</v>
      </c>
      <c r="P83" s="18">
        <v>8.4480000000000004</v>
      </c>
      <c r="Q83" s="19"/>
      <c r="R83" s="18">
        <v>80</v>
      </c>
      <c r="S83" s="18">
        <v>37</v>
      </c>
      <c r="T83" s="18">
        <v>41</v>
      </c>
      <c r="U83" s="18">
        <v>43</v>
      </c>
      <c r="V83" s="18">
        <v>44</v>
      </c>
      <c r="W83" s="18">
        <v>45</v>
      </c>
      <c r="X83" s="18"/>
      <c r="Y83" s="18">
        <v>1.4500000000000002</v>
      </c>
      <c r="Z83" s="18">
        <v>4.58</v>
      </c>
      <c r="AA83" s="18">
        <v>0.22</v>
      </c>
      <c r="AB83" s="18" t="s">
        <v>217</v>
      </c>
      <c r="AC83" s="18">
        <v>12.75</v>
      </c>
      <c r="AD83" s="18">
        <v>1.38</v>
      </c>
      <c r="AE83" s="18">
        <v>2.1999999999999997</v>
      </c>
      <c r="AF83" s="18">
        <v>74.55</v>
      </c>
      <c r="AG83" s="18">
        <v>13.95</v>
      </c>
      <c r="AH83" s="18">
        <v>18.729999999999997</v>
      </c>
      <c r="AI83" s="18">
        <v>51.93</v>
      </c>
      <c r="AJ83" s="18">
        <v>0</v>
      </c>
      <c r="AK83" s="18">
        <v>1.9999999999999886E-2</v>
      </c>
      <c r="AL83" s="18"/>
      <c r="AM83" s="18">
        <v>6.3501805054151603</v>
      </c>
      <c r="AN83" s="18">
        <v>0.76173285198555996</v>
      </c>
      <c r="AO83" s="18">
        <v>1.27797833935018</v>
      </c>
      <c r="AP83" s="18">
        <v>3.55595667870036</v>
      </c>
      <c r="AQ83" s="18">
        <v>0.89530685920577602</v>
      </c>
      <c r="AR83" s="18">
        <v>3.9638989169675098</v>
      </c>
      <c r="AS83" s="18">
        <v>7.3212996389891698</v>
      </c>
      <c r="AT83" s="18">
        <v>2.6064981949458499</v>
      </c>
      <c r="AU83" s="18">
        <v>4.1913357400721996</v>
      </c>
      <c r="AV83" s="18">
        <v>3.5090252707581202</v>
      </c>
      <c r="AW83" s="18">
        <v>4.3971119133574001</v>
      </c>
      <c r="AX83" s="18"/>
      <c r="AY83" s="18">
        <v>1.04</v>
      </c>
      <c r="AZ83" s="18">
        <v>0.94</v>
      </c>
      <c r="BA83" s="18">
        <v>0.94</v>
      </c>
      <c r="BB83" s="18">
        <v>0.98</v>
      </c>
      <c r="BC83" s="18">
        <v>0.93</v>
      </c>
      <c r="BD83" s="18">
        <v>0.99</v>
      </c>
      <c r="BE83" s="18">
        <v>1.03</v>
      </c>
      <c r="BF83" s="18">
        <v>1.05</v>
      </c>
      <c r="BG83" s="18">
        <v>1</v>
      </c>
      <c r="BH83" s="18">
        <v>0.96</v>
      </c>
      <c r="BI83" s="18">
        <v>0.98</v>
      </c>
      <c r="BJ83" s="19"/>
      <c r="BK83" s="18">
        <v>27.7</v>
      </c>
      <c r="BL83" s="18">
        <v>1.8</v>
      </c>
      <c r="BM83" s="18">
        <v>3.4</v>
      </c>
      <c r="BN83" s="18">
        <v>9.6000000000000014</v>
      </c>
      <c r="BO83" s="18"/>
      <c r="BP83" s="18">
        <v>130</v>
      </c>
      <c r="BQ83" s="18">
        <v>23.4</v>
      </c>
      <c r="BR83" s="18">
        <v>0.93690660087533861</v>
      </c>
      <c r="BS83" s="18">
        <v>0.97927982857142848</v>
      </c>
      <c r="BT83" s="19"/>
      <c r="BU83" s="18">
        <v>966</v>
      </c>
      <c r="BV83" s="18">
        <v>341.39599999999996</v>
      </c>
      <c r="BW83" s="18">
        <v>133.86038778</v>
      </c>
      <c r="BX83" s="18">
        <v>375</v>
      </c>
      <c r="BY83" s="18">
        <v>32</v>
      </c>
      <c r="BZ83" s="18">
        <v>73.121759999999995</v>
      </c>
      <c r="CA83" s="18">
        <v>231.55223999999998</v>
      </c>
      <c r="CB83" s="19"/>
      <c r="CC83" s="19">
        <v>1.2760000000000002</v>
      </c>
      <c r="CD83" s="19">
        <v>4.0304000000000002</v>
      </c>
      <c r="CE83" s="19">
        <v>0.19359999999999999</v>
      </c>
      <c r="CF83" s="19" t="s">
        <v>217</v>
      </c>
      <c r="CG83" s="19">
        <v>11.22</v>
      </c>
      <c r="CH83" s="19">
        <v>1.2143999999999999</v>
      </c>
      <c r="CI83" s="19">
        <v>1.9359999999999997</v>
      </c>
      <c r="CJ83" s="19"/>
      <c r="CK83" s="19">
        <v>65.603999999999999</v>
      </c>
      <c r="CL83" s="19">
        <v>12.276</v>
      </c>
      <c r="CM83" s="19">
        <v>16.482399999999998</v>
      </c>
      <c r="CN83" s="19">
        <v>45.698399999999999</v>
      </c>
      <c r="CO83" s="19">
        <v>0</v>
      </c>
      <c r="CP83" s="19">
        <v>1.75999999999999E-2</v>
      </c>
      <c r="CQ83" s="19">
        <v>195.00800000000001</v>
      </c>
      <c r="CR83" s="19">
        <v>236.52304273762428</v>
      </c>
      <c r="CS83" s="19">
        <v>15.620425756768967</v>
      </c>
      <c r="CT83" s="19">
        <v>1.6935732959054295</v>
      </c>
      <c r="CU83" s="19">
        <v>2.8413504585332801</v>
      </c>
      <c r="CV83" s="19">
        <v>4.5349237544387213</v>
      </c>
      <c r="CW83" s="19">
        <v>8.2424437961959711</v>
      </c>
      <c r="CX83" s="19">
        <v>1.9693745334659085</v>
      </c>
      <c r="CY83" s="19">
        <v>9.2817789861607469</v>
      </c>
      <c r="CZ83" s="19">
        <v>17.83605749429816</v>
      </c>
      <c r="DA83" s="19">
        <v>6.4732172815665203</v>
      </c>
      <c r="DB83" s="19">
        <v>9.9134748237682953</v>
      </c>
      <c r="DC83" s="19">
        <v>7.9676672071960999</v>
      </c>
      <c r="DD83" s="19">
        <v>17.881142030964394</v>
      </c>
      <c r="DE83" s="19">
        <v>10.192179232250464</v>
      </c>
      <c r="DF83" s="23">
        <v>0</v>
      </c>
      <c r="DG83" s="23">
        <v>0</v>
      </c>
      <c r="DH83" s="23">
        <v>0</v>
      </c>
      <c r="DI83" s="19">
        <v>0</v>
      </c>
      <c r="DJ83" s="19">
        <v>0</v>
      </c>
      <c r="DK83" s="19">
        <v>0</v>
      </c>
      <c r="DL83" s="19">
        <v>0</v>
      </c>
      <c r="DM83" s="19">
        <v>0</v>
      </c>
      <c r="DN83" s="19">
        <v>0</v>
      </c>
      <c r="DO83" s="19">
        <v>0</v>
      </c>
      <c r="DP83" s="19">
        <v>0</v>
      </c>
      <c r="DQ83" s="19">
        <v>0</v>
      </c>
      <c r="DR83" s="19">
        <v>0</v>
      </c>
      <c r="DS83" s="19">
        <v>0</v>
      </c>
      <c r="DT83" s="19">
        <v>0</v>
      </c>
      <c r="DU83" s="19">
        <v>0</v>
      </c>
      <c r="DV83" s="19">
        <v>0</v>
      </c>
      <c r="DW83" s="17" t="s">
        <v>356</v>
      </c>
      <c r="DX83" s="22">
        <v>15</v>
      </c>
      <c r="DY83" s="22">
        <v>15</v>
      </c>
      <c r="DZ83" s="22">
        <v>15</v>
      </c>
      <c r="EA83" s="22">
        <v>15</v>
      </c>
      <c r="EB83" s="22">
        <v>4</v>
      </c>
      <c r="EC83" s="22">
        <v>15</v>
      </c>
      <c r="ED83" s="22">
        <v>15</v>
      </c>
      <c r="EE83" s="22" t="s">
        <v>218</v>
      </c>
      <c r="EF83" s="22">
        <v>15</v>
      </c>
      <c r="EG83" s="22">
        <v>15</v>
      </c>
      <c r="EH83" s="22">
        <v>15</v>
      </c>
      <c r="EI83" s="22">
        <v>15</v>
      </c>
      <c r="EJ83" s="22">
        <v>15</v>
      </c>
      <c r="EK83" s="22">
        <v>15</v>
      </c>
      <c r="EL83" s="22">
        <v>5</v>
      </c>
      <c r="EM83" s="22">
        <v>5</v>
      </c>
      <c r="EN83" s="22">
        <v>5</v>
      </c>
      <c r="EO83" s="22">
        <v>5</v>
      </c>
      <c r="EP83" s="22">
        <v>5</v>
      </c>
      <c r="EQ83" s="22">
        <v>5</v>
      </c>
      <c r="ER83" s="22">
        <v>5</v>
      </c>
      <c r="ES83" s="22">
        <v>13</v>
      </c>
      <c r="ET83" s="22">
        <v>13</v>
      </c>
      <c r="EU83" s="22">
        <v>12</v>
      </c>
      <c r="EV83" s="22" t="s">
        <v>218</v>
      </c>
      <c r="EW83" s="22">
        <v>12</v>
      </c>
      <c r="EX83" s="22">
        <v>12</v>
      </c>
      <c r="EY83" s="22">
        <v>4</v>
      </c>
      <c r="EZ83" s="22">
        <v>12</v>
      </c>
      <c r="FA83" s="22">
        <v>12</v>
      </c>
      <c r="FB83" s="22">
        <v>12</v>
      </c>
      <c r="FC83" s="22">
        <v>12</v>
      </c>
      <c r="FD83" s="22" t="s">
        <v>218</v>
      </c>
      <c r="FE83" s="22" t="s">
        <v>218</v>
      </c>
      <c r="FF83" s="22">
        <v>1.4</v>
      </c>
      <c r="FG83" s="22">
        <v>1.1000000000000001</v>
      </c>
      <c r="FH83" s="22">
        <v>0.6</v>
      </c>
      <c r="FI83" s="22">
        <v>0.1</v>
      </c>
      <c r="FJ83" s="22">
        <v>2</v>
      </c>
      <c r="FK83" s="22">
        <v>3.5</v>
      </c>
      <c r="FL83" s="22">
        <v>6</v>
      </c>
      <c r="FM83" s="22" t="s">
        <v>218</v>
      </c>
      <c r="FN83" s="22">
        <v>9.5</v>
      </c>
      <c r="FO83" s="22">
        <v>7.5</v>
      </c>
      <c r="FP83" s="22">
        <v>0.56999999999999995</v>
      </c>
      <c r="FQ83" s="22">
        <v>0.06</v>
      </c>
      <c r="FR83" s="22">
        <v>0.1</v>
      </c>
      <c r="FS83" s="22">
        <v>0.34</v>
      </c>
      <c r="FT83" s="22">
        <v>0.03</v>
      </c>
      <c r="FU83" s="22">
        <v>0.23</v>
      </c>
      <c r="FV83" s="22">
        <v>0.3</v>
      </c>
      <c r="FW83" s="22">
        <v>0.1</v>
      </c>
      <c r="FX83" s="22">
        <v>0.12</v>
      </c>
      <c r="FY83" s="22">
        <v>0.14000000000000001</v>
      </c>
      <c r="FZ83" s="22">
        <v>0.28999999999999998</v>
      </c>
      <c r="GA83" s="22">
        <v>0.19</v>
      </c>
      <c r="GB83" s="22">
        <v>0.34</v>
      </c>
      <c r="GC83" s="22">
        <v>0.13</v>
      </c>
      <c r="GD83" s="22" t="s">
        <v>218</v>
      </c>
      <c r="GE83" s="22">
        <v>0.53</v>
      </c>
      <c r="GF83" s="22">
        <v>0.17</v>
      </c>
      <c r="GG83" s="22">
        <v>0.25</v>
      </c>
      <c r="GH83" s="22">
        <v>11</v>
      </c>
      <c r="GI83" s="22">
        <v>1.01</v>
      </c>
      <c r="GJ83" s="22">
        <v>1.76</v>
      </c>
      <c r="GK83" s="22">
        <v>7.07</v>
      </c>
      <c r="GL83" s="22" t="s">
        <v>218</v>
      </c>
      <c r="GM83" s="22" t="s">
        <v>218</v>
      </c>
      <c r="GN83" s="22">
        <v>2014</v>
      </c>
      <c r="GO83" s="22">
        <v>2014</v>
      </c>
      <c r="GP83" s="22">
        <v>2014</v>
      </c>
      <c r="GQ83" s="22">
        <v>2014</v>
      </c>
      <c r="GR83" s="22">
        <v>2005</v>
      </c>
      <c r="GS83" s="22">
        <v>2014</v>
      </c>
      <c r="GT83" s="22">
        <v>2014</v>
      </c>
      <c r="GU83" s="22" t="s">
        <v>218</v>
      </c>
      <c r="GV83" s="22">
        <v>2014</v>
      </c>
      <c r="GW83" s="22">
        <v>2014</v>
      </c>
      <c r="GX83" s="22">
        <v>2014</v>
      </c>
      <c r="GY83" s="22">
        <v>2014</v>
      </c>
      <c r="GZ83" s="22">
        <v>2014</v>
      </c>
      <c r="HA83" s="22">
        <v>2014</v>
      </c>
      <c r="HB83" s="22">
        <v>2014</v>
      </c>
      <c r="HC83" s="22">
        <v>2014</v>
      </c>
      <c r="HD83" s="22">
        <v>2014</v>
      </c>
      <c r="HE83" s="22">
        <v>2014</v>
      </c>
      <c r="HF83" s="22">
        <v>2014</v>
      </c>
      <c r="HG83" s="22">
        <v>2014</v>
      </c>
      <c r="HH83" s="22">
        <v>2014</v>
      </c>
      <c r="HI83" s="22">
        <v>2014</v>
      </c>
      <c r="HJ83" s="22">
        <v>2014</v>
      </c>
      <c r="HK83" s="22" t="s">
        <v>358</v>
      </c>
      <c r="HL83" s="22" t="s">
        <v>218</v>
      </c>
      <c r="HM83" s="620">
        <f>'background data'!$G$20</f>
        <v>0.14000000000000001</v>
      </c>
      <c r="HN83" s="620">
        <f>'background data'!$H$20</f>
        <v>7.0000000000000007E-2</v>
      </c>
      <c r="HO83" s="620">
        <f>'background data'!$J$20</f>
        <v>0.51702999999999999</v>
      </c>
      <c r="HP83" s="620">
        <f>'background data'!$L$20</f>
        <v>2.1999999999999999E-2</v>
      </c>
      <c r="HQ83" s="620">
        <f>'background data'!$M$20</f>
        <v>0.72</v>
      </c>
      <c r="HR83" s="620">
        <f>'background data'!$N$20</f>
        <v>1.2900000000000001E-3</v>
      </c>
      <c r="HS83" s="620">
        <f>'background data'!$O$20</f>
        <v>3.47</v>
      </c>
      <c r="HT83" s="145"/>
      <c r="HU83" s="145" t="s">
        <v>1809</v>
      </c>
      <c r="HV83" s="22" t="s">
        <v>1940</v>
      </c>
      <c r="HW83" s="22" t="s">
        <v>359</v>
      </c>
      <c r="HX83" s="22" t="s">
        <v>360</v>
      </c>
      <c r="HY83" s="22" t="s">
        <v>361</v>
      </c>
      <c r="HZ83" s="19"/>
      <c r="IA83" s="19"/>
      <c r="IB83" s="620">
        <f>'background data'!$G$20</f>
        <v>0.14000000000000001</v>
      </c>
      <c r="IC83" s="620">
        <f>'background data'!$H$20</f>
        <v>7.0000000000000007E-2</v>
      </c>
      <c r="ID83" s="620">
        <f>'background data'!$J$20</f>
        <v>0.51702999999999999</v>
      </c>
      <c r="IE83" s="620">
        <f>'background data'!$L$20</f>
        <v>2.1999999999999999E-2</v>
      </c>
      <c r="IF83" s="620">
        <f>'background data'!$M$20</f>
        <v>0.72</v>
      </c>
      <c r="IG83" s="620">
        <f>'background data'!$N$20</f>
        <v>1.2900000000000001E-3</v>
      </c>
      <c r="IH83" s="620">
        <f>'background data'!$O$20</f>
        <v>3.47</v>
      </c>
      <c r="II83" s="145"/>
      <c r="IJ83" s="145"/>
      <c r="IK83" s="145"/>
      <c r="IL83" s="145"/>
      <c r="IM83" s="145"/>
      <c r="IN83" s="145"/>
      <c r="IO83" s="145"/>
      <c r="IP83" s="145"/>
      <c r="IQ83" s="145"/>
      <c r="IR83" s="145"/>
      <c r="IS83" s="145"/>
      <c r="IT83" s="145"/>
      <c r="IU83" s="145"/>
      <c r="IV83" s="145"/>
      <c r="IW83" s="145"/>
      <c r="IX83" s="145"/>
      <c r="IY83" s="145"/>
      <c r="IZ83" s="145"/>
      <c r="JA83" s="145"/>
      <c r="JB83" s="145"/>
      <c r="JC83" s="145"/>
      <c r="JD83" s="145"/>
      <c r="JE83" s="145"/>
      <c r="JF83" s="145"/>
      <c r="JG83" s="145"/>
      <c r="JH83" s="145"/>
      <c r="JI83" s="145"/>
      <c r="JJ83" s="145"/>
      <c r="JK83" s="145"/>
      <c r="JL83" s="145"/>
      <c r="JM83" s="145"/>
      <c r="JN83" s="145"/>
      <c r="JO83" s="145"/>
      <c r="JP83" s="145"/>
      <c r="JQ83" s="145"/>
      <c r="JR83" s="145"/>
      <c r="JS83" s="145"/>
      <c r="JT83" s="145"/>
      <c r="JU83" s="145"/>
      <c r="JV83" s="145"/>
      <c r="JW83" s="145"/>
      <c r="JX83" s="145"/>
      <c r="JY83" s="145"/>
      <c r="JZ83" s="145"/>
      <c r="KA83" s="145"/>
      <c r="KB83" s="145"/>
      <c r="KC83" s="145"/>
      <c r="KD83" s="145"/>
      <c r="KE83" s="145"/>
      <c r="KF83" s="145"/>
      <c r="KG83" s="145"/>
      <c r="KH83" s="145"/>
      <c r="KI83" s="145"/>
      <c r="KJ83" s="145"/>
      <c r="KK83" s="145"/>
      <c r="KL83" s="145"/>
      <c r="KM83" s="145"/>
      <c r="KN83" s="145"/>
      <c r="KO83" s="145"/>
      <c r="KP83" s="145"/>
      <c r="KQ83" s="145"/>
      <c r="KR83" s="145"/>
      <c r="KS83" s="145"/>
      <c r="KT83" s="145"/>
      <c r="KU83" s="145"/>
      <c r="KV83" s="145"/>
      <c r="KW83" s="145"/>
      <c r="KX83" s="145"/>
      <c r="KY83" s="145"/>
      <c r="KZ83" s="145"/>
      <c r="LA83" s="145"/>
      <c r="LB83" s="145"/>
      <c r="LC83" s="145"/>
      <c r="LD83" s="145"/>
      <c r="LE83" s="145"/>
      <c r="LF83" s="145"/>
      <c r="LG83" s="145"/>
      <c r="LH83" s="145"/>
      <c r="LI83" s="145"/>
      <c r="LJ83" s="145"/>
      <c r="LK83" s="145"/>
      <c r="LL83" s="145"/>
      <c r="LM83" s="145"/>
      <c r="LN83" s="145"/>
      <c r="LO83" s="145"/>
      <c r="LP83" s="145"/>
      <c r="LQ83" s="145"/>
      <c r="LR83" s="145"/>
      <c r="LS83" s="145"/>
      <c r="LT83" s="145"/>
      <c r="LU83" s="145"/>
      <c r="LV83" s="145"/>
      <c r="LW83" s="145"/>
      <c r="LX83" s="145"/>
      <c r="LY83" s="145"/>
      <c r="LZ83" s="145"/>
      <c r="MA83" s="145"/>
      <c r="MB83" s="145"/>
      <c r="MC83" s="145"/>
      <c r="MD83" s="145"/>
      <c r="ME83" s="145"/>
      <c r="MF83" s="145"/>
      <c r="MG83" s="145"/>
      <c r="MH83" s="145"/>
      <c r="MI83" s="145"/>
      <c r="MJ83" s="145"/>
      <c r="MK83" s="145"/>
      <c r="ML83" s="145"/>
      <c r="MM83" s="145"/>
      <c r="MN83" s="145"/>
      <c r="MO83" s="145"/>
      <c r="MP83" s="145"/>
      <c r="MQ83" s="145"/>
      <c r="MR83" s="145"/>
      <c r="MS83" s="145"/>
      <c r="MT83" s="145"/>
      <c r="MU83" s="145"/>
      <c r="MV83" s="145"/>
      <c r="MW83" s="145"/>
      <c r="MX83" s="145"/>
      <c r="MY83" s="145"/>
      <c r="MZ83" s="145"/>
      <c r="NA83" s="145"/>
      <c r="NB83" s="145"/>
      <c r="NC83" s="145"/>
      <c r="ND83" s="145"/>
      <c r="NE83" s="145"/>
      <c r="NF83" s="145"/>
      <c r="NG83" s="145"/>
      <c r="NH83" s="145"/>
      <c r="NI83" s="145"/>
      <c r="NJ83" s="145"/>
      <c r="NK83" s="145"/>
      <c r="NL83" s="145"/>
      <c r="NM83" s="145"/>
      <c r="NN83" s="145"/>
      <c r="NO83" s="145"/>
      <c r="NP83" s="145"/>
      <c r="NQ83" s="145"/>
      <c r="NR83" s="145"/>
      <c r="NS83" s="145"/>
    </row>
    <row r="84" spans="1:383" s="16" customFormat="1" ht="15" customHeight="1" x14ac:dyDescent="0.2">
      <c r="A84" s="15">
        <v>65203</v>
      </c>
      <c r="B84" s="25">
        <v>652</v>
      </c>
      <c r="C84" s="26">
        <v>3</v>
      </c>
      <c r="D84" s="20" t="s">
        <v>364</v>
      </c>
      <c r="E84" s="14">
        <v>42695</v>
      </c>
      <c r="F84" s="18">
        <v>0.858616755769264</v>
      </c>
      <c r="G84" s="18">
        <v>0.88288629758812798</v>
      </c>
      <c r="H84" s="21">
        <v>81.400000000000006</v>
      </c>
      <c r="I84" s="21">
        <v>71.899968799999996</v>
      </c>
      <c r="J84" s="21">
        <v>82</v>
      </c>
      <c r="K84" s="18">
        <v>1</v>
      </c>
      <c r="L84" s="18">
        <v>83.5</v>
      </c>
      <c r="M84" s="18">
        <v>24.3</v>
      </c>
      <c r="N84" s="18">
        <v>1.9</v>
      </c>
      <c r="O84" s="18">
        <v>2.9</v>
      </c>
      <c r="P84" s="18" t="s">
        <v>217</v>
      </c>
      <c r="Q84" s="19"/>
      <c r="R84" s="18">
        <v>80</v>
      </c>
      <c r="S84" s="18">
        <v>37</v>
      </c>
      <c r="T84" s="18">
        <v>41</v>
      </c>
      <c r="U84" s="18">
        <v>43</v>
      </c>
      <c r="V84" s="18">
        <v>44</v>
      </c>
      <c r="W84" s="18">
        <v>45</v>
      </c>
      <c r="X84" s="18"/>
      <c r="Y84" s="18">
        <v>1.3532934131736525</v>
      </c>
      <c r="Z84" s="18">
        <v>4.9580838323353289</v>
      </c>
      <c r="AA84" s="18">
        <v>0.22</v>
      </c>
      <c r="AB84" s="18" t="s">
        <v>217</v>
      </c>
      <c r="AC84" s="18">
        <v>12.75</v>
      </c>
      <c r="AD84" s="18">
        <v>1.3800000000000001</v>
      </c>
      <c r="AE84" s="18">
        <v>2.1999999999999997</v>
      </c>
      <c r="AF84" s="18">
        <v>74.55</v>
      </c>
      <c r="AG84" s="18">
        <v>13.950000000000001</v>
      </c>
      <c r="AH84" s="18">
        <v>18.73</v>
      </c>
      <c r="AI84" s="18">
        <v>51.93</v>
      </c>
      <c r="AJ84" s="18">
        <v>0</v>
      </c>
      <c r="AK84" s="18">
        <v>1.9999999999999879E-2</v>
      </c>
      <c r="AL84" s="18"/>
      <c r="AM84" s="18">
        <v>6.3501805054151603</v>
      </c>
      <c r="AN84" s="18">
        <v>0.76173285198555996</v>
      </c>
      <c r="AO84" s="18">
        <v>1.27797833935018</v>
      </c>
      <c r="AP84" s="18">
        <v>3.55595667870036</v>
      </c>
      <c r="AQ84" s="18">
        <v>0.89530685920577602</v>
      </c>
      <c r="AR84" s="18">
        <v>3.9638989169675098</v>
      </c>
      <c r="AS84" s="18">
        <v>7.3212996389891698</v>
      </c>
      <c r="AT84" s="18">
        <v>2.6064981949458499</v>
      </c>
      <c r="AU84" s="18">
        <v>4.1913357400721996</v>
      </c>
      <c r="AV84" s="18">
        <v>3.5090252707581202</v>
      </c>
      <c r="AW84" s="18">
        <v>4.3971119133574001</v>
      </c>
      <c r="AX84" s="18"/>
      <c r="AY84" s="18">
        <v>1.04</v>
      </c>
      <c r="AZ84" s="18">
        <v>0.94</v>
      </c>
      <c r="BA84" s="18">
        <v>0.94</v>
      </c>
      <c r="BB84" s="18">
        <v>0.98</v>
      </c>
      <c r="BC84" s="18">
        <v>0.93</v>
      </c>
      <c r="BD84" s="18">
        <v>0.99</v>
      </c>
      <c r="BE84" s="18">
        <v>1.03</v>
      </c>
      <c r="BF84" s="18">
        <v>1.05</v>
      </c>
      <c r="BG84" s="18">
        <v>1</v>
      </c>
      <c r="BH84" s="18">
        <v>0.96</v>
      </c>
      <c r="BI84" s="18">
        <v>0.98</v>
      </c>
      <c r="BJ84" s="19"/>
      <c r="BK84" s="18">
        <v>29.101796407185628</v>
      </c>
      <c r="BL84" s="18">
        <v>2.2754491017964074</v>
      </c>
      <c r="BM84" s="18">
        <v>3.4730538922155687</v>
      </c>
      <c r="BN84" s="18" t="s">
        <v>217</v>
      </c>
      <c r="BO84" s="18"/>
      <c r="BP84" s="18">
        <v>130</v>
      </c>
      <c r="BQ84" s="18">
        <v>29.580838323353294</v>
      </c>
      <c r="BR84" s="18">
        <v>1.02828353984343</v>
      </c>
      <c r="BS84" s="18">
        <v>1.0573488593869798</v>
      </c>
      <c r="BT84" s="19"/>
      <c r="BU84" s="18">
        <v>965.26946107784431</v>
      </c>
      <c r="BV84" s="18">
        <v>367.83028229255808</v>
      </c>
      <c r="BW84" s="18">
        <v>131.00128566638082</v>
      </c>
      <c r="BX84" s="18">
        <v>375</v>
      </c>
      <c r="BY84" s="18">
        <v>32</v>
      </c>
      <c r="BZ84" s="18">
        <v>61.794025662959761</v>
      </c>
      <c r="CA84" s="18">
        <v>195.68108126603954</v>
      </c>
      <c r="CB84" s="19"/>
      <c r="CC84" s="19">
        <v>1.1299999999999997</v>
      </c>
      <c r="CD84" s="19">
        <v>4.1399999999999997</v>
      </c>
      <c r="CE84" s="19">
        <v>0.1837</v>
      </c>
      <c r="CF84" s="19" t="s">
        <v>217</v>
      </c>
      <c r="CG84" s="19">
        <v>10.64625</v>
      </c>
      <c r="CH84" s="19">
        <v>1.1523000000000001</v>
      </c>
      <c r="CI84" s="19">
        <v>1.8369999999999997</v>
      </c>
      <c r="CJ84" s="19"/>
      <c r="CK84" s="19">
        <v>62.249249999999996</v>
      </c>
      <c r="CL84" s="19">
        <v>11.648250000000001</v>
      </c>
      <c r="CM84" s="19">
        <v>15.63955</v>
      </c>
      <c r="CN84" s="19">
        <v>43.361550000000001</v>
      </c>
      <c r="CO84" s="19">
        <v>0</v>
      </c>
      <c r="CP84" s="19">
        <v>1.6699999999999899E-2</v>
      </c>
      <c r="CQ84" s="19">
        <v>194.4</v>
      </c>
      <c r="CR84" s="19">
        <v>226.41067588511061</v>
      </c>
      <c r="CS84" s="19">
        <v>14.952586066324333</v>
      </c>
      <c r="CT84" s="19">
        <v>1.6211658287022659</v>
      </c>
      <c r="CU84" s="19">
        <v>2.7198706320407662</v>
      </c>
      <c r="CV84" s="19">
        <v>4.3410364607430436</v>
      </c>
      <c r="CW84" s="19">
        <v>7.8900442394186605</v>
      </c>
      <c r="CX84" s="19">
        <v>1.8851753893913967</v>
      </c>
      <c r="CY84" s="19">
        <v>8.8849434260156297</v>
      </c>
      <c r="CZ84" s="19">
        <v>17.073490116095837</v>
      </c>
      <c r="DA84" s="19">
        <v>6.1964596891155903</v>
      </c>
      <c r="DB84" s="19">
        <v>9.4896315777116627</v>
      </c>
      <c r="DC84" s="19">
        <v>7.6270155192026872</v>
      </c>
      <c r="DD84" s="19">
        <v>17.116647096914363</v>
      </c>
      <c r="DE84" s="19">
        <v>9.7564201864080538</v>
      </c>
      <c r="DF84" s="23">
        <v>0</v>
      </c>
      <c r="DG84" s="23">
        <v>0</v>
      </c>
      <c r="DH84" s="23">
        <v>0</v>
      </c>
      <c r="DI84" s="19">
        <v>0</v>
      </c>
      <c r="DJ84" s="19">
        <v>0</v>
      </c>
      <c r="DK84" s="19">
        <v>0</v>
      </c>
      <c r="DL84" s="19">
        <v>0</v>
      </c>
      <c r="DM84" s="19">
        <v>0</v>
      </c>
      <c r="DN84" s="19">
        <v>0</v>
      </c>
      <c r="DO84" s="19">
        <v>0</v>
      </c>
      <c r="DP84" s="19">
        <v>0</v>
      </c>
      <c r="DQ84" s="19">
        <v>0</v>
      </c>
      <c r="DR84" s="19">
        <v>0</v>
      </c>
      <c r="DS84" s="19">
        <v>0</v>
      </c>
      <c r="DT84" s="19">
        <v>0</v>
      </c>
      <c r="DU84" s="19">
        <v>0</v>
      </c>
      <c r="DV84" s="19">
        <v>0</v>
      </c>
      <c r="DW84" s="17" t="s">
        <v>356</v>
      </c>
      <c r="DX84" s="22">
        <v>6</v>
      </c>
      <c r="DY84" s="22">
        <v>6</v>
      </c>
      <c r="DZ84" s="22">
        <v>6</v>
      </c>
      <c r="EA84" s="22">
        <v>6</v>
      </c>
      <c r="EB84" s="22" t="s">
        <v>218</v>
      </c>
      <c r="EC84" s="22">
        <v>6</v>
      </c>
      <c r="ED84" s="22">
        <v>6</v>
      </c>
      <c r="EE84" s="22" t="s">
        <v>218</v>
      </c>
      <c r="EF84" s="22">
        <v>6</v>
      </c>
      <c r="EG84" s="22">
        <v>6</v>
      </c>
      <c r="EH84" s="22" t="s">
        <v>218</v>
      </c>
      <c r="EI84" s="22" t="s">
        <v>218</v>
      </c>
      <c r="EJ84" s="22" t="s">
        <v>218</v>
      </c>
      <c r="EK84" s="22" t="s">
        <v>218</v>
      </c>
      <c r="EL84" s="22" t="s">
        <v>218</v>
      </c>
      <c r="EM84" s="22" t="s">
        <v>218</v>
      </c>
      <c r="EN84" s="22" t="s">
        <v>218</v>
      </c>
      <c r="EO84" s="22" t="s">
        <v>218</v>
      </c>
      <c r="EP84" s="22" t="s">
        <v>218</v>
      </c>
      <c r="EQ84" s="22" t="s">
        <v>218</v>
      </c>
      <c r="ER84" s="22" t="s">
        <v>218</v>
      </c>
      <c r="ES84" s="22">
        <v>6</v>
      </c>
      <c r="ET84" s="22">
        <v>6</v>
      </c>
      <c r="EU84" s="22" t="s">
        <v>218</v>
      </c>
      <c r="EV84" s="22" t="s">
        <v>218</v>
      </c>
      <c r="EW84" s="22" t="s">
        <v>218</v>
      </c>
      <c r="EX84" s="22" t="s">
        <v>218</v>
      </c>
      <c r="EY84" s="22" t="s">
        <v>218</v>
      </c>
      <c r="EZ84" s="22" t="s">
        <v>218</v>
      </c>
      <c r="FA84" s="22" t="s">
        <v>218</v>
      </c>
      <c r="FB84" s="22" t="s">
        <v>218</v>
      </c>
      <c r="FC84" s="22" t="s">
        <v>218</v>
      </c>
      <c r="FD84" s="22" t="s">
        <v>218</v>
      </c>
      <c r="FE84" s="22" t="s">
        <v>218</v>
      </c>
      <c r="FF84" s="22">
        <v>1.4</v>
      </c>
      <c r="FG84" s="22">
        <v>1.1000000000000001</v>
      </c>
      <c r="FH84" s="22">
        <v>0.6</v>
      </c>
      <c r="FI84" s="22">
        <v>0.1</v>
      </c>
      <c r="FJ84" s="22">
        <v>2</v>
      </c>
      <c r="FK84" s="22">
        <v>3.5</v>
      </c>
      <c r="FL84" s="22">
        <v>6</v>
      </c>
      <c r="FM84" s="22" t="s">
        <v>218</v>
      </c>
      <c r="FN84" s="22">
        <v>9.5</v>
      </c>
      <c r="FO84" s="22">
        <v>7.5</v>
      </c>
      <c r="FP84" s="22" t="s">
        <v>218</v>
      </c>
      <c r="FQ84" s="22" t="s">
        <v>218</v>
      </c>
      <c r="FR84" s="22" t="s">
        <v>218</v>
      </c>
      <c r="FS84" s="22" t="s">
        <v>218</v>
      </c>
      <c r="FT84" s="22" t="s">
        <v>218</v>
      </c>
      <c r="FU84" s="22" t="s">
        <v>218</v>
      </c>
      <c r="FV84" s="22" t="s">
        <v>218</v>
      </c>
      <c r="FW84" s="22" t="s">
        <v>218</v>
      </c>
      <c r="FX84" s="22" t="s">
        <v>218</v>
      </c>
      <c r="FY84" s="22" t="s">
        <v>218</v>
      </c>
      <c r="FZ84" s="22" t="s">
        <v>218</v>
      </c>
      <c r="GA84" s="22">
        <v>0.19</v>
      </c>
      <c r="GB84" s="22">
        <v>0.34</v>
      </c>
      <c r="GC84" s="22" t="s">
        <v>218</v>
      </c>
      <c r="GD84" s="22" t="s">
        <v>218</v>
      </c>
      <c r="GE84" s="22" t="s">
        <v>218</v>
      </c>
      <c r="GF84" s="22" t="s">
        <v>218</v>
      </c>
      <c r="GG84" s="22" t="s">
        <v>218</v>
      </c>
      <c r="GH84" s="22" t="s">
        <v>218</v>
      </c>
      <c r="GI84" s="22" t="s">
        <v>218</v>
      </c>
      <c r="GJ84" s="22" t="s">
        <v>218</v>
      </c>
      <c r="GK84" s="22" t="s">
        <v>218</v>
      </c>
      <c r="GL84" s="22" t="s">
        <v>218</v>
      </c>
      <c r="GM84" s="22" t="s">
        <v>218</v>
      </c>
      <c r="GN84" s="22">
        <v>2015</v>
      </c>
      <c r="GO84" s="22">
        <v>2015</v>
      </c>
      <c r="GP84" s="22">
        <v>2015</v>
      </c>
      <c r="GQ84" s="22">
        <v>2015</v>
      </c>
      <c r="GR84" s="22" t="s">
        <v>218</v>
      </c>
      <c r="GS84" s="22">
        <v>2015</v>
      </c>
      <c r="GT84" s="22">
        <v>2015</v>
      </c>
      <c r="GU84" s="22" t="s">
        <v>218</v>
      </c>
      <c r="GV84" s="22">
        <v>2015</v>
      </c>
      <c r="GW84" s="22">
        <v>2015</v>
      </c>
      <c r="GX84" s="22" t="s">
        <v>358</v>
      </c>
      <c r="GY84" s="22" t="s">
        <v>358</v>
      </c>
      <c r="GZ84" s="22" t="s">
        <v>358</v>
      </c>
      <c r="HA84" s="22" t="s">
        <v>358</v>
      </c>
      <c r="HB84" s="22" t="s">
        <v>358</v>
      </c>
      <c r="HC84" s="22" t="s">
        <v>358</v>
      </c>
      <c r="HD84" s="22" t="s">
        <v>358</v>
      </c>
      <c r="HE84" s="22" t="s">
        <v>358</v>
      </c>
      <c r="HF84" s="22" t="s">
        <v>358</v>
      </c>
      <c r="HG84" s="22" t="s">
        <v>358</v>
      </c>
      <c r="HH84" s="22" t="s">
        <v>358</v>
      </c>
      <c r="HI84" s="22">
        <v>2015</v>
      </c>
      <c r="HJ84" s="22">
        <v>2015</v>
      </c>
      <c r="HK84" s="22" t="s">
        <v>358</v>
      </c>
      <c r="HL84" s="22" t="s">
        <v>218</v>
      </c>
      <c r="HM84" s="620">
        <f>'background data'!$G$20</f>
        <v>0.14000000000000001</v>
      </c>
      <c r="HN84" s="620">
        <f>'background data'!$H$20</f>
        <v>7.0000000000000007E-2</v>
      </c>
      <c r="HO84" s="620">
        <f>'background data'!$J$20</f>
        <v>0.51702999999999999</v>
      </c>
      <c r="HP84" s="620">
        <f>'background data'!$L$20</f>
        <v>2.1999999999999999E-2</v>
      </c>
      <c r="HQ84" s="620">
        <f>'background data'!$M$20</f>
        <v>0.72</v>
      </c>
      <c r="HR84" s="620">
        <f>'background data'!$N$20</f>
        <v>1.2900000000000001E-3</v>
      </c>
      <c r="HS84" s="620">
        <f>'background data'!$O$20</f>
        <v>3.47</v>
      </c>
      <c r="HT84" s="145"/>
      <c r="HU84" s="145" t="s">
        <v>1809</v>
      </c>
      <c r="HV84" s="22" t="s">
        <v>1940</v>
      </c>
      <c r="HW84" s="22" t="s">
        <v>359</v>
      </c>
      <c r="HX84" s="22" t="s">
        <v>360</v>
      </c>
      <c r="HY84" s="22" t="s">
        <v>361</v>
      </c>
      <c r="HZ84" s="19"/>
      <c r="IA84" s="19"/>
      <c r="IB84" s="620">
        <f>'background data'!$G$20</f>
        <v>0.14000000000000001</v>
      </c>
      <c r="IC84" s="620">
        <f>'background data'!$H$20</f>
        <v>7.0000000000000007E-2</v>
      </c>
      <c r="ID84" s="620">
        <f>'background data'!$J$20</f>
        <v>0.51702999999999999</v>
      </c>
      <c r="IE84" s="620">
        <f>'background data'!$L$20</f>
        <v>2.1999999999999999E-2</v>
      </c>
      <c r="IF84" s="620">
        <f>'background data'!$M$20</f>
        <v>0.72</v>
      </c>
      <c r="IG84" s="620">
        <f>'background data'!$N$20</f>
        <v>1.2900000000000001E-3</v>
      </c>
      <c r="IH84" s="620">
        <f>'background data'!$O$20</f>
        <v>3.47</v>
      </c>
      <c r="II84" s="145"/>
      <c r="IJ84" s="145"/>
      <c r="IK84" s="145"/>
      <c r="IL84" s="145"/>
      <c r="IM84" s="145"/>
      <c r="IN84" s="145"/>
      <c r="IO84" s="145"/>
      <c r="IP84" s="145"/>
      <c r="IQ84" s="145"/>
      <c r="IR84" s="145"/>
      <c r="IS84" s="145"/>
      <c r="IT84" s="145"/>
      <c r="IU84" s="145"/>
      <c r="IV84" s="145"/>
      <c r="IW84" s="145"/>
      <c r="IX84" s="145"/>
      <c r="IY84" s="145"/>
      <c r="IZ84" s="145"/>
      <c r="JA84" s="145"/>
      <c r="JB84" s="145"/>
      <c r="JC84" s="145"/>
      <c r="JD84" s="145"/>
      <c r="JE84" s="145"/>
      <c r="JF84" s="145"/>
      <c r="JG84" s="145"/>
      <c r="JH84" s="145"/>
      <c r="JI84" s="145"/>
      <c r="JJ84" s="145"/>
      <c r="JK84" s="145"/>
      <c r="JL84" s="145"/>
      <c r="JM84" s="145"/>
      <c r="JN84" s="145"/>
      <c r="JO84" s="145"/>
      <c r="JP84" s="145"/>
      <c r="JQ84" s="145"/>
      <c r="JR84" s="145"/>
      <c r="JS84" s="145"/>
      <c r="JT84" s="145"/>
      <c r="JU84" s="145"/>
      <c r="JV84" s="145"/>
      <c r="JW84" s="145"/>
      <c r="JX84" s="145"/>
      <c r="JY84" s="145"/>
      <c r="JZ84" s="145"/>
      <c r="KA84" s="145"/>
      <c r="KB84" s="145"/>
      <c r="KC84" s="145"/>
      <c r="KD84" s="145"/>
      <c r="KE84" s="145"/>
      <c r="KF84" s="145"/>
      <c r="KG84" s="145"/>
      <c r="KH84" s="145"/>
      <c r="KI84" s="145"/>
      <c r="KJ84" s="145"/>
      <c r="KK84" s="145"/>
      <c r="KL84" s="145"/>
      <c r="KM84" s="145"/>
      <c r="KN84" s="145"/>
      <c r="KO84" s="145"/>
      <c r="KP84" s="145"/>
      <c r="KQ84" s="145"/>
      <c r="KR84" s="145"/>
      <c r="KS84" s="145"/>
      <c r="KT84" s="145"/>
      <c r="KU84" s="145"/>
      <c r="KV84" s="145"/>
      <c r="KW84" s="145"/>
      <c r="KX84" s="145"/>
      <c r="KY84" s="145"/>
      <c r="KZ84" s="145"/>
      <c r="LA84" s="145"/>
      <c r="LB84" s="145"/>
      <c r="LC84" s="145"/>
      <c r="LD84" s="145"/>
      <c r="LE84" s="145"/>
      <c r="LF84" s="145"/>
      <c r="LG84" s="145"/>
      <c r="LH84" s="145"/>
      <c r="LI84" s="145"/>
      <c r="LJ84" s="145"/>
      <c r="LK84" s="145"/>
      <c r="LL84" s="145"/>
      <c r="LM84" s="145"/>
      <c r="LN84" s="145"/>
      <c r="LO84" s="145"/>
      <c r="LP84" s="145"/>
      <c r="LQ84" s="145"/>
      <c r="LR84" s="145"/>
      <c r="LS84" s="145"/>
      <c r="LT84" s="145"/>
      <c r="LU84" s="145"/>
      <c r="LV84" s="145"/>
      <c r="LW84" s="145"/>
      <c r="LX84" s="145"/>
      <c r="LY84" s="145"/>
      <c r="LZ84" s="145"/>
      <c r="MA84" s="145"/>
      <c r="MB84" s="145"/>
      <c r="MC84" s="145"/>
      <c r="MD84" s="145"/>
      <c r="ME84" s="145"/>
      <c r="MF84" s="145"/>
      <c r="MG84" s="145"/>
      <c r="MH84" s="145"/>
      <c r="MI84" s="145"/>
      <c r="MJ84" s="145"/>
      <c r="MK84" s="145"/>
      <c r="ML84" s="145"/>
      <c r="MM84" s="145"/>
      <c r="MN84" s="145"/>
      <c r="MO84" s="145"/>
      <c r="MP84" s="145"/>
      <c r="MQ84" s="145"/>
      <c r="MR84" s="145"/>
      <c r="MS84" s="145"/>
      <c r="MT84" s="145"/>
      <c r="MU84" s="145"/>
      <c r="MV84" s="145"/>
      <c r="MW84" s="145"/>
      <c r="MX84" s="145"/>
      <c r="MY84" s="145"/>
      <c r="MZ84" s="145"/>
      <c r="NA84" s="145"/>
      <c r="NB84" s="145"/>
      <c r="NC84" s="145"/>
      <c r="ND84" s="145"/>
      <c r="NE84" s="145"/>
      <c r="NF84" s="145"/>
      <c r="NG84" s="145"/>
      <c r="NH84" s="145"/>
      <c r="NI84" s="145"/>
      <c r="NJ84" s="145"/>
      <c r="NK84" s="145"/>
      <c r="NL84" s="145"/>
      <c r="NM84" s="145"/>
      <c r="NN84" s="145"/>
      <c r="NO84" s="145"/>
      <c r="NP84" s="145"/>
      <c r="NQ84" s="145"/>
      <c r="NR84" s="145"/>
      <c r="NS84" s="145"/>
    </row>
    <row r="85" spans="1:383" s="16" customFormat="1" ht="15" customHeight="1" x14ac:dyDescent="0.2">
      <c r="A85" s="15">
        <v>65210</v>
      </c>
      <c r="B85" s="25">
        <v>652</v>
      </c>
      <c r="C85" s="26">
        <v>10</v>
      </c>
      <c r="D85" s="20" t="s">
        <v>365</v>
      </c>
      <c r="E85" s="14">
        <v>42695</v>
      </c>
      <c r="F85" s="18">
        <v>0.94209188115430098</v>
      </c>
      <c r="G85" s="18">
        <v>0.95852236842760696</v>
      </c>
      <c r="H85" s="21">
        <v>84.9</v>
      </c>
      <c r="I85" s="21">
        <v>75.599969099999996</v>
      </c>
      <c r="J85" s="21">
        <v>82</v>
      </c>
      <c r="K85" s="18">
        <v>1</v>
      </c>
      <c r="L85" s="18">
        <v>88</v>
      </c>
      <c r="M85" s="18">
        <v>28.512</v>
      </c>
      <c r="N85" s="18">
        <v>1.8480000000000001</v>
      </c>
      <c r="O85" s="18">
        <v>4.1360000000000001</v>
      </c>
      <c r="P85" s="18" t="s">
        <v>217</v>
      </c>
      <c r="Q85" s="19"/>
      <c r="R85" s="18">
        <v>80</v>
      </c>
      <c r="S85" s="18">
        <v>37</v>
      </c>
      <c r="T85" s="18">
        <v>41</v>
      </c>
      <c r="U85" s="18">
        <v>43</v>
      </c>
      <c r="V85" s="18">
        <v>44</v>
      </c>
      <c r="W85" s="18">
        <v>45</v>
      </c>
      <c r="X85" s="18"/>
      <c r="Y85" s="18">
        <v>2.3000000000000003</v>
      </c>
      <c r="Z85" s="18">
        <v>6.9</v>
      </c>
      <c r="AA85" s="18">
        <v>0.30000000000000004</v>
      </c>
      <c r="AB85" s="18" t="s">
        <v>217</v>
      </c>
      <c r="AC85" s="18">
        <v>13.4</v>
      </c>
      <c r="AD85" s="18">
        <v>1.5999999999999999</v>
      </c>
      <c r="AE85" s="18">
        <v>2.1999999999999997</v>
      </c>
      <c r="AF85" s="18">
        <v>86.600000000000009</v>
      </c>
      <c r="AG85" s="18">
        <v>14.9</v>
      </c>
      <c r="AH85" s="18">
        <v>19.200000000000003</v>
      </c>
      <c r="AI85" s="18">
        <v>50.2</v>
      </c>
      <c r="AJ85" s="18">
        <v>0</v>
      </c>
      <c r="AK85" s="18">
        <v>1.9999999999999886E-2</v>
      </c>
      <c r="AL85" s="18"/>
      <c r="AM85" s="18">
        <v>6.4506172839506197</v>
      </c>
      <c r="AN85" s="18">
        <v>0.74074074074074103</v>
      </c>
      <c r="AO85" s="18">
        <v>1.1419753086419799</v>
      </c>
      <c r="AP85" s="18">
        <v>3.5493827160493798</v>
      </c>
      <c r="AQ85" s="18">
        <v>0.86419753086419804</v>
      </c>
      <c r="AR85" s="18">
        <v>3.9197530864197501</v>
      </c>
      <c r="AS85" s="18">
        <v>7.2222222222222197</v>
      </c>
      <c r="AT85" s="18">
        <v>2.62345679012346</v>
      </c>
      <c r="AU85" s="18">
        <v>4.1666666666666696</v>
      </c>
      <c r="AV85" s="18">
        <v>3.5185185185185199</v>
      </c>
      <c r="AW85" s="18">
        <v>4.3518518518518503</v>
      </c>
      <c r="AX85" s="18"/>
      <c r="AY85" s="18">
        <v>1.04</v>
      </c>
      <c r="AZ85" s="18">
        <v>0.94</v>
      </c>
      <c r="BA85" s="18">
        <v>0.94</v>
      </c>
      <c r="BB85" s="18">
        <v>0.98</v>
      </c>
      <c r="BC85" s="18">
        <v>0.93</v>
      </c>
      <c r="BD85" s="18">
        <v>0.99</v>
      </c>
      <c r="BE85" s="18">
        <v>1.03</v>
      </c>
      <c r="BF85" s="18">
        <v>1.05</v>
      </c>
      <c r="BG85" s="18">
        <v>1</v>
      </c>
      <c r="BH85" s="18">
        <v>0.96</v>
      </c>
      <c r="BI85" s="18">
        <v>0.98</v>
      </c>
      <c r="BJ85" s="19"/>
      <c r="BK85" s="18">
        <v>32.4</v>
      </c>
      <c r="BL85" s="18">
        <v>2.1</v>
      </c>
      <c r="BM85" s="18">
        <v>4.7</v>
      </c>
      <c r="BN85" s="18" t="s">
        <v>217</v>
      </c>
      <c r="BO85" s="18"/>
      <c r="BP85" s="18">
        <v>130</v>
      </c>
      <c r="BQ85" s="18">
        <v>27.3</v>
      </c>
      <c r="BR85" s="18">
        <v>1.0705589558571602</v>
      </c>
      <c r="BS85" s="18">
        <v>1.0892299641222807</v>
      </c>
      <c r="BT85" s="19"/>
      <c r="BU85" s="18">
        <v>953</v>
      </c>
      <c r="BV85" s="18">
        <v>367.27372217571366</v>
      </c>
      <c r="BW85" s="18">
        <v>126.61327782428636</v>
      </c>
      <c r="BX85" s="18">
        <v>375</v>
      </c>
      <c r="BY85" s="18">
        <v>32</v>
      </c>
      <c r="BZ85" s="18">
        <v>50.775805714285681</v>
      </c>
      <c r="CA85" s="18">
        <v>160.79005142857045</v>
      </c>
      <c r="CB85" s="19"/>
      <c r="CC85" s="19">
        <v>2.0240000000000005</v>
      </c>
      <c r="CD85" s="19">
        <v>6.0720000000000001</v>
      </c>
      <c r="CE85" s="19">
        <v>0.26400000000000007</v>
      </c>
      <c r="CF85" s="19" t="s">
        <v>217</v>
      </c>
      <c r="CG85" s="19">
        <v>11.792</v>
      </c>
      <c r="CH85" s="19">
        <v>1.4079999999999999</v>
      </c>
      <c r="CI85" s="19">
        <v>1.9359999999999997</v>
      </c>
      <c r="CJ85" s="19"/>
      <c r="CK85" s="19">
        <v>76.208000000000013</v>
      </c>
      <c r="CL85" s="19">
        <v>13.112</v>
      </c>
      <c r="CM85" s="19">
        <v>16.896000000000004</v>
      </c>
      <c r="CN85" s="19">
        <v>44.176000000000002</v>
      </c>
      <c r="CO85" s="19">
        <v>0</v>
      </c>
      <c r="CP85" s="19">
        <v>1.75999999999999E-2</v>
      </c>
      <c r="CQ85" s="19">
        <v>228.096</v>
      </c>
      <c r="CR85" s="19">
        <v>242.1165117361214</v>
      </c>
      <c r="CS85" s="19">
        <v>16.242729935482515</v>
      </c>
      <c r="CT85" s="19">
        <v>1.6858483039404009</v>
      </c>
      <c r="CU85" s="19">
        <v>2.5990161352414511</v>
      </c>
      <c r="CV85" s="19">
        <v>4.2848644391818409</v>
      </c>
      <c r="CW85" s="19">
        <v>8.4217687878583067</v>
      </c>
      <c r="CX85" s="19">
        <v>1.9458993721014202</v>
      </c>
      <c r="CY85" s="19">
        <v>9.3954657470933665</v>
      </c>
      <c r="CZ85" s="19">
        <v>18.010778289703698</v>
      </c>
      <c r="DA85" s="19">
        <v>6.6694131705088893</v>
      </c>
      <c r="DB85" s="19">
        <v>10.088187989005048</v>
      </c>
      <c r="DC85" s="19">
        <v>8.1781577297534227</v>
      </c>
      <c r="DD85" s="19">
        <v>18.266345718758494</v>
      </c>
      <c r="DE85" s="19">
        <v>10.325820861634945</v>
      </c>
      <c r="DF85" s="23">
        <v>0</v>
      </c>
      <c r="DG85" s="23">
        <v>0</v>
      </c>
      <c r="DH85" s="23">
        <v>0</v>
      </c>
      <c r="DI85" s="19">
        <v>0</v>
      </c>
      <c r="DJ85" s="19">
        <v>0</v>
      </c>
      <c r="DK85" s="19">
        <v>0</v>
      </c>
      <c r="DL85" s="19">
        <v>0</v>
      </c>
      <c r="DM85" s="19">
        <v>0</v>
      </c>
      <c r="DN85" s="19">
        <v>0</v>
      </c>
      <c r="DO85" s="19">
        <v>0</v>
      </c>
      <c r="DP85" s="19">
        <v>0</v>
      </c>
      <c r="DQ85" s="19">
        <v>0</v>
      </c>
      <c r="DR85" s="19">
        <v>0</v>
      </c>
      <c r="DS85" s="19">
        <v>0</v>
      </c>
      <c r="DT85" s="19">
        <v>0</v>
      </c>
      <c r="DU85" s="19">
        <v>0</v>
      </c>
      <c r="DV85" s="19">
        <v>0</v>
      </c>
      <c r="DW85" s="17" t="s">
        <v>356</v>
      </c>
      <c r="DX85" s="22">
        <v>3</v>
      </c>
      <c r="DY85" s="22">
        <v>3</v>
      </c>
      <c r="DZ85" s="22">
        <v>3</v>
      </c>
      <c r="EA85" s="22">
        <v>3</v>
      </c>
      <c r="EB85" s="22" t="s">
        <v>218</v>
      </c>
      <c r="EC85" s="22">
        <v>3</v>
      </c>
      <c r="ED85" s="22">
        <v>3</v>
      </c>
      <c r="EE85" s="22" t="s">
        <v>218</v>
      </c>
      <c r="EF85" s="22">
        <v>3</v>
      </c>
      <c r="EG85" s="22">
        <v>3</v>
      </c>
      <c r="EH85" s="22">
        <v>3</v>
      </c>
      <c r="EI85" s="22">
        <v>3</v>
      </c>
      <c r="EJ85" s="22">
        <v>3</v>
      </c>
      <c r="EK85" s="22">
        <v>3</v>
      </c>
      <c r="EL85" s="22">
        <v>3</v>
      </c>
      <c r="EM85" s="22">
        <v>3</v>
      </c>
      <c r="EN85" s="22">
        <v>3</v>
      </c>
      <c r="EO85" s="22">
        <v>3</v>
      </c>
      <c r="EP85" s="22">
        <v>3</v>
      </c>
      <c r="EQ85" s="22">
        <v>3</v>
      </c>
      <c r="ER85" s="22">
        <v>3</v>
      </c>
      <c r="ES85" s="22">
        <v>3</v>
      </c>
      <c r="ET85" s="22">
        <v>3</v>
      </c>
      <c r="EU85" s="22">
        <v>3</v>
      </c>
      <c r="EV85" s="22" t="s">
        <v>218</v>
      </c>
      <c r="EW85" s="22">
        <v>3</v>
      </c>
      <c r="EX85" s="22">
        <v>3</v>
      </c>
      <c r="EY85" s="22" t="s">
        <v>218</v>
      </c>
      <c r="EZ85" s="22">
        <v>3</v>
      </c>
      <c r="FA85" s="22">
        <v>3</v>
      </c>
      <c r="FB85" s="22">
        <v>3</v>
      </c>
      <c r="FC85" s="22">
        <v>3</v>
      </c>
      <c r="FD85" s="22" t="s">
        <v>218</v>
      </c>
      <c r="FE85" s="22" t="s">
        <v>218</v>
      </c>
      <c r="FF85" s="22" t="s">
        <v>218</v>
      </c>
      <c r="FG85" s="22" t="s">
        <v>218</v>
      </c>
      <c r="FH85" s="22" t="s">
        <v>218</v>
      </c>
      <c r="FI85" s="22" t="s">
        <v>218</v>
      </c>
      <c r="FJ85" s="22" t="s">
        <v>218</v>
      </c>
      <c r="FK85" s="22" t="s">
        <v>218</v>
      </c>
      <c r="FL85" s="22" t="s">
        <v>218</v>
      </c>
      <c r="FM85" s="22" t="s">
        <v>218</v>
      </c>
      <c r="FN85" s="22" t="s">
        <v>218</v>
      </c>
      <c r="FO85" s="22" t="s">
        <v>218</v>
      </c>
      <c r="FP85" s="22" t="s">
        <v>218</v>
      </c>
      <c r="FQ85" s="22" t="s">
        <v>218</v>
      </c>
      <c r="FR85" s="22" t="s">
        <v>218</v>
      </c>
      <c r="FS85" s="22" t="s">
        <v>218</v>
      </c>
      <c r="FT85" s="22" t="s">
        <v>218</v>
      </c>
      <c r="FU85" s="22" t="s">
        <v>218</v>
      </c>
      <c r="FV85" s="22" t="s">
        <v>218</v>
      </c>
      <c r="FW85" s="22" t="s">
        <v>218</v>
      </c>
      <c r="FX85" s="22" t="s">
        <v>218</v>
      </c>
      <c r="FY85" s="22" t="s">
        <v>218</v>
      </c>
      <c r="FZ85" s="22" t="s">
        <v>218</v>
      </c>
      <c r="GA85" s="22" t="s">
        <v>218</v>
      </c>
      <c r="GB85" s="22" t="s">
        <v>218</v>
      </c>
      <c r="GC85" s="22" t="s">
        <v>218</v>
      </c>
      <c r="GD85" s="22" t="s">
        <v>218</v>
      </c>
      <c r="GE85" s="22" t="s">
        <v>218</v>
      </c>
      <c r="GF85" s="22" t="s">
        <v>218</v>
      </c>
      <c r="GG85" s="22" t="s">
        <v>218</v>
      </c>
      <c r="GH85" s="22" t="s">
        <v>218</v>
      </c>
      <c r="GI85" s="22" t="s">
        <v>218</v>
      </c>
      <c r="GJ85" s="22" t="s">
        <v>218</v>
      </c>
      <c r="GK85" s="22" t="s">
        <v>218</v>
      </c>
      <c r="GL85" s="22" t="s">
        <v>218</v>
      </c>
      <c r="GM85" s="22" t="s">
        <v>218</v>
      </c>
      <c r="GN85" s="22">
        <v>2012</v>
      </c>
      <c r="GO85" s="22">
        <v>2012</v>
      </c>
      <c r="GP85" s="22">
        <v>2012</v>
      </c>
      <c r="GQ85" s="22">
        <v>2012</v>
      </c>
      <c r="GR85" s="22" t="s">
        <v>218</v>
      </c>
      <c r="GS85" s="22">
        <v>2012</v>
      </c>
      <c r="GT85" s="22">
        <v>2012</v>
      </c>
      <c r="GU85" s="22" t="s">
        <v>218</v>
      </c>
      <c r="GV85" s="22">
        <v>2012</v>
      </c>
      <c r="GW85" s="22">
        <v>2012</v>
      </c>
      <c r="GX85" s="22">
        <v>2012</v>
      </c>
      <c r="GY85" s="22">
        <v>2012</v>
      </c>
      <c r="GZ85" s="22">
        <v>2012</v>
      </c>
      <c r="HA85" s="22">
        <v>2012</v>
      </c>
      <c r="HB85" s="22">
        <v>2012</v>
      </c>
      <c r="HC85" s="22">
        <v>2012</v>
      </c>
      <c r="HD85" s="22">
        <v>2012</v>
      </c>
      <c r="HE85" s="22">
        <v>2012</v>
      </c>
      <c r="HF85" s="22">
        <v>2012</v>
      </c>
      <c r="HG85" s="22">
        <v>2012</v>
      </c>
      <c r="HH85" s="22">
        <v>2012</v>
      </c>
      <c r="HI85" s="22">
        <v>2012</v>
      </c>
      <c r="HJ85" s="22">
        <v>2012</v>
      </c>
      <c r="HK85" s="22">
        <v>2012</v>
      </c>
      <c r="HL85" s="22" t="s">
        <v>218</v>
      </c>
      <c r="HM85" s="620">
        <f>'background data'!$G$20</f>
        <v>0.14000000000000001</v>
      </c>
      <c r="HN85" s="620">
        <f>'background data'!$H$20</f>
        <v>7.0000000000000007E-2</v>
      </c>
      <c r="HO85" s="620">
        <f>'background data'!$J$20</f>
        <v>0.51702999999999999</v>
      </c>
      <c r="HP85" s="620">
        <f>'background data'!$L$20</f>
        <v>2.1999999999999999E-2</v>
      </c>
      <c r="HQ85" s="620">
        <f>'background data'!$M$20</f>
        <v>0.72</v>
      </c>
      <c r="HR85" s="620">
        <f>'background data'!$N$20</f>
        <v>1.2900000000000001E-3</v>
      </c>
      <c r="HS85" s="620">
        <f>'background data'!$O$20</f>
        <v>3.47</v>
      </c>
      <c r="HT85" s="145"/>
      <c r="HU85" s="145" t="s">
        <v>1809</v>
      </c>
      <c r="HV85" s="22" t="s">
        <v>1940</v>
      </c>
      <c r="HW85" s="22" t="s">
        <v>366</v>
      </c>
      <c r="HX85" s="22" t="s">
        <v>360</v>
      </c>
      <c r="HY85" s="22" t="s">
        <v>361</v>
      </c>
      <c r="HZ85" s="19"/>
      <c r="IA85" s="19"/>
      <c r="IB85" s="620">
        <f>'background data'!$G$20</f>
        <v>0.14000000000000001</v>
      </c>
      <c r="IC85" s="620">
        <f>'background data'!$H$20</f>
        <v>7.0000000000000007E-2</v>
      </c>
      <c r="ID85" s="620">
        <f>'background data'!$J$20</f>
        <v>0.51702999999999999</v>
      </c>
      <c r="IE85" s="620">
        <f>'background data'!$L$20</f>
        <v>2.1999999999999999E-2</v>
      </c>
      <c r="IF85" s="620">
        <f>'background data'!$M$20</f>
        <v>0.72</v>
      </c>
      <c r="IG85" s="620">
        <f>'background data'!$N$20</f>
        <v>1.2900000000000001E-3</v>
      </c>
      <c r="IH85" s="620">
        <f>'background data'!$O$20</f>
        <v>3.47</v>
      </c>
      <c r="II85" s="145"/>
      <c r="IJ85" s="145"/>
      <c r="IK85" s="145"/>
      <c r="IL85" s="145"/>
      <c r="IM85" s="145"/>
      <c r="IN85" s="145"/>
      <c r="IO85" s="145"/>
      <c r="IP85" s="145"/>
      <c r="IQ85" s="145"/>
      <c r="IR85" s="145"/>
      <c r="IS85" s="145"/>
      <c r="IT85" s="145"/>
      <c r="IU85" s="145"/>
      <c r="IV85" s="145"/>
      <c r="IW85" s="145"/>
      <c r="IX85" s="145"/>
      <c r="IY85" s="145"/>
      <c r="IZ85" s="145"/>
      <c r="JA85" s="145"/>
      <c r="JB85" s="145"/>
      <c r="JC85" s="145"/>
      <c r="JD85" s="145"/>
      <c r="JE85" s="145"/>
      <c r="JF85" s="145"/>
      <c r="JG85" s="145"/>
      <c r="JH85" s="145"/>
      <c r="JI85" s="145"/>
      <c r="JJ85" s="145"/>
      <c r="JK85" s="145"/>
      <c r="JL85" s="145"/>
      <c r="JM85" s="145"/>
      <c r="JN85" s="145"/>
      <c r="JO85" s="145"/>
      <c r="JP85" s="145"/>
      <c r="JQ85" s="145"/>
      <c r="JR85" s="145"/>
      <c r="JS85" s="145"/>
      <c r="JT85" s="145"/>
      <c r="JU85" s="145"/>
      <c r="JV85" s="145"/>
      <c r="JW85" s="145"/>
      <c r="JX85" s="145"/>
      <c r="JY85" s="145"/>
      <c r="JZ85" s="145"/>
      <c r="KA85" s="145"/>
      <c r="KB85" s="145"/>
      <c r="KC85" s="145"/>
      <c r="KD85" s="145"/>
      <c r="KE85" s="145"/>
      <c r="KF85" s="145"/>
      <c r="KG85" s="145"/>
      <c r="KH85" s="145"/>
      <c r="KI85" s="145"/>
      <c r="KJ85" s="145"/>
      <c r="KK85" s="145"/>
      <c r="KL85" s="145"/>
      <c r="KM85" s="145"/>
      <c r="KN85" s="145"/>
      <c r="KO85" s="145"/>
      <c r="KP85" s="145"/>
      <c r="KQ85" s="145"/>
      <c r="KR85" s="145"/>
      <c r="KS85" s="145"/>
      <c r="KT85" s="145"/>
      <c r="KU85" s="145"/>
      <c r="KV85" s="145"/>
      <c r="KW85" s="145"/>
      <c r="KX85" s="145"/>
      <c r="KY85" s="145"/>
      <c r="KZ85" s="145"/>
      <c r="LA85" s="145"/>
      <c r="LB85" s="145"/>
      <c r="LC85" s="145"/>
      <c r="LD85" s="145"/>
      <c r="LE85" s="145"/>
      <c r="LF85" s="145"/>
      <c r="LG85" s="145"/>
      <c r="LH85" s="145"/>
      <c r="LI85" s="145"/>
      <c r="LJ85" s="145"/>
      <c r="LK85" s="145"/>
      <c r="LL85" s="145"/>
      <c r="LM85" s="145"/>
      <c r="LN85" s="145"/>
      <c r="LO85" s="145"/>
      <c r="LP85" s="145"/>
      <c r="LQ85" s="145"/>
      <c r="LR85" s="145"/>
      <c r="LS85" s="145"/>
      <c r="LT85" s="145"/>
      <c r="LU85" s="145"/>
      <c r="LV85" s="145"/>
      <c r="LW85" s="145"/>
      <c r="LX85" s="145"/>
      <c r="LY85" s="145"/>
      <c r="LZ85" s="145"/>
      <c r="MA85" s="145"/>
      <c r="MB85" s="145"/>
      <c r="MC85" s="145"/>
      <c r="MD85" s="145"/>
      <c r="ME85" s="145"/>
      <c r="MF85" s="145"/>
      <c r="MG85" s="145"/>
      <c r="MH85" s="145"/>
      <c r="MI85" s="145"/>
      <c r="MJ85" s="145"/>
      <c r="MK85" s="145"/>
      <c r="ML85" s="145"/>
      <c r="MM85" s="145"/>
      <c r="MN85" s="145"/>
      <c r="MO85" s="145"/>
      <c r="MP85" s="145"/>
      <c r="MQ85" s="145"/>
      <c r="MR85" s="145"/>
      <c r="MS85" s="145"/>
      <c r="MT85" s="145"/>
      <c r="MU85" s="145"/>
      <c r="MV85" s="145"/>
      <c r="MW85" s="145"/>
      <c r="MX85" s="145"/>
      <c r="MY85" s="145"/>
      <c r="MZ85" s="145"/>
      <c r="NA85" s="145"/>
      <c r="NB85" s="145"/>
      <c r="NC85" s="145"/>
      <c r="ND85" s="145"/>
      <c r="NE85" s="145"/>
      <c r="NF85" s="145"/>
      <c r="NG85" s="145"/>
      <c r="NH85" s="145"/>
      <c r="NI85" s="145"/>
      <c r="NJ85" s="145"/>
      <c r="NK85" s="145"/>
      <c r="NL85" s="145"/>
      <c r="NM85" s="145"/>
      <c r="NN85" s="145"/>
      <c r="NO85" s="145"/>
      <c r="NP85" s="145"/>
      <c r="NQ85" s="145"/>
      <c r="NR85" s="145"/>
      <c r="NS85" s="145"/>
    </row>
    <row r="86" spans="1:383" s="16" customFormat="1" ht="15" customHeight="1" x14ac:dyDescent="0.2">
      <c r="A86" s="15">
        <v>65230</v>
      </c>
      <c r="B86" s="25">
        <v>652</v>
      </c>
      <c r="C86" s="26">
        <v>30</v>
      </c>
      <c r="D86" s="20" t="s">
        <v>367</v>
      </c>
      <c r="E86" s="14">
        <v>42695</v>
      </c>
      <c r="F86" s="18">
        <v>0.90856974490506404</v>
      </c>
      <c r="G86" s="18">
        <v>0.93095360913704195</v>
      </c>
      <c r="H86" s="21">
        <v>81.400000000000006</v>
      </c>
      <c r="I86" s="21">
        <v>72.800008599999998</v>
      </c>
      <c r="J86" s="21">
        <v>82</v>
      </c>
      <c r="K86" s="18">
        <v>1</v>
      </c>
      <c r="L86" s="18">
        <v>88</v>
      </c>
      <c r="M86" s="18">
        <v>25.783999999999999</v>
      </c>
      <c r="N86" s="18">
        <v>1.8480000000000001</v>
      </c>
      <c r="O86" s="18">
        <v>3.3439999999999999</v>
      </c>
      <c r="P86" s="18" t="s">
        <v>217</v>
      </c>
      <c r="Q86" s="19"/>
      <c r="R86" s="18">
        <v>80</v>
      </c>
      <c r="S86" s="18">
        <v>37</v>
      </c>
      <c r="T86" s="18">
        <v>41</v>
      </c>
      <c r="U86" s="18">
        <v>43</v>
      </c>
      <c r="V86" s="18">
        <v>44</v>
      </c>
      <c r="W86" s="18">
        <v>45</v>
      </c>
      <c r="X86" s="18"/>
      <c r="Y86" s="18">
        <v>1.4000000000000001</v>
      </c>
      <c r="Z86" s="18">
        <v>6.3</v>
      </c>
      <c r="AA86" s="18">
        <v>0.19999999999999998</v>
      </c>
      <c r="AB86" s="18" t="s">
        <v>217</v>
      </c>
      <c r="AC86" s="18">
        <v>12.6</v>
      </c>
      <c r="AD86" s="18">
        <v>1.4000000000000001</v>
      </c>
      <c r="AE86" s="18">
        <v>2.1999999999999997</v>
      </c>
      <c r="AF86" s="18">
        <v>69.600000000000009</v>
      </c>
      <c r="AG86" s="18">
        <v>13.8</v>
      </c>
      <c r="AH86" s="18">
        <v>19.399999999999999</v>
      </c>
      <c r="AI86" s="18">
        <v>60.1</v>
      </c>
      <c r="AJ86" s="18">
        <v>0</v>
      </c>
      <c r="AK86" s="18">
        <v>1.9999999999999886E-2</v>
      </c>
      <c r="AL86" s="18"/>
      <c r="AM86" s="18">
        <v>6.21160409556314</v>
      </c>
      <c r="AN86" s="18">
        <v>0.68259385665529004</v>
      </c>
      <c r="AO86" s="18">
        <v>1.1262798634812301</v>
      </c>
      <c r="AP86" s="18">
        <v>3.3788395904436901</v>
      </c>
      <c r="AQ86" s="18">
        <v>0.78498293515358397</v>
      </c>
      <c r="AR86" s="18">
        <v>3.7542662116040999</v>
      </c>
      <c r="AS86" s="18">
        <v>7.0648464163822497</v>
      </c>
      <c r="AT86" s="18">
        <v>2.55972696245734</v>
      </c>
      <c r="AU86" s="18">
        <v>4.1296928327645004</v>
      </c>
      <c r="AV86" s="18">
        <v>3.6177474402730398</v>
      </c>
      <c r="AW86" s="18">
        <v>4.2662116040955604</v>
      </c>
      <c r="AX86" s="18"/>
      <c r="AY86" s="18">
        <v>1.04</v>
      </c>
      <c r="AZ86" s="18">
        <v>0.94</v>
      </c>
      <c r="BA86" s="18">
        <v>0.94</v>
      </c>
      <c r="BB86" s="18">
        <v>0.98</v>
      </c>
      <c r="BC86" s="18">
        <v>0.93</v>
      </c>
      <c r="BD86" s="18">
        <v>0.99</v>
      </c>
      <c r="BE86" s="18">
        <v>1.03</v>
      </c>
      <c r="BF86" s="18">
        <v>1.05</v>
      </c>
      <c r="BG86" s="18">
        <v>1</v>
      </c>
      <c r="BH86" s="18">
        <v>0.96</v>
      </c>
      <c r="BI86" s="18">
        <v>0.98</v>
      </c>
      <c r="BJ86" s="19"/>
      <c r="BK86" s="18">
        <v>29.3</v>
      </c>
      <c r="BL86" s="18">
        <v>2.1</v>
      </c>
      <c r="BM86" s="18">
        <v>3.8</v>
      </c>
      <c r="BN86" s="18" t="s">
        <v>217</v>
      </c>
      <c r="BO86" s="18"/>
      <c r="BP86" s="18">
        <v>130</v>
      </c>
      <c r="BQ86" s="18">
        <v>27.3</v>
      </c>
      <c r="BR86" s="18">
        <v>1.0324656192103001</v>
      </c>
      <c r="BS86" s="18">
        <v>1.0579018285648205</v>
      </c>
      <c r="BT86" s="19"/>
      <c r="BU86" s="18">
        <v>962</v>
      </c>
      <c r="BV86" s="18">
        <v>377.87954675999993</v>
      </c>
      <c r="BW86" s="18">
        <v>118.18845323999999</v>
      </c>
      <c r="BX86" s="18">
        <v>375</v>
      </c>
      <c r="BY86" s="18">
        <v>32</v>
      </c>
      <c r="BZ86" s="18">
        <v>58.500137142857049</v>
      </c>
      <c r="CA86" s="18">
        <v>185.25043428571362</v>
      </c>
      <c r="CB86" s="19"/>
      <c r="CC86" s="19">
        <v>1.2320000000000002</v>
      </c>
      <c r="CD86" s="19">
        <v>5.5439999999999996</v>
      </c>
      <c r="CE86" s="19">
        <v>0.17599999999999999</v>
      </c>
      <c r="CF86" s="19" t="s">
        <v>217</v>
      </c>
      <c r="CG86" s="19">
        <v>11.087999999999999</v>
      </c>
      <c r="CH86" s="19">
        <v>1.2320000000000002</v>
      </c>
      <c r="CI86" s="19">
        <v>1.9359999999999997</v>
      </c>
      <c r="CJ86" s="19"/>
      <c r="CK86" s="19">
        <v>61.248000000000005</v>
      </c>
      <c r="CL86" s="19">
        <v>12.144</v>
      </c>
      <c r="CM86" s="19">
        <v>17.071999999999999</v>
      </c>
      <c r="CN86" s="19">
        <v>52.887999999999998</v>
      </c>
      <c r="CO86" s="19">
        <v>0</v>
      </c>
      <c r="CP86" s="19">
        <v>1.75999999999999E-2</v>
      </c>
      <c r="CQ86" s="19">
        <v>206.27199999999999</v>
      </c>
      <c r="CR86" s="19">
        <v>227.02935152386485</v>
      </c>
      <c r="CS86" s="19">
        <v>14.6662510772823</v>
      </c>
      <c r="CT86" s="19">
        <v>1.4567071019278701</v>
      </c>
      <c r="CU86" s="19">
        <v>2.4035667181809854</v>
      </c>
      <c r="CV86" s="19">
        <v>3.8602738201088447</v>
      </c>
      <c r="CW86" s="19">
        <v>7.5175384589915932</v>
      </c>
      <c r="CX86" s="19">
        <v>1.6573917505445288</v>
      </c>
      <c r="CY86" s="19">
        <v>8.4380533723374906</v>
      </c>
      <c r="CZ86" s="19">
        <v>16.520453255427721</v>
      </c>
      <c r="DA86" s="19">
        <v>6.1018980998308274</v>
      </c>
      <c r="DB86" s="19">
        <v>9.3756148581527707</v>
      </c>
      <c r="DC86" s="19">
        <v>7.8848146112861617</v>
      </c>
      <c r="DD86" s="19">
        <v>17.260429469438954</v>
      </c>
      <c r="DE86" s="19">
        <v>9.4918414886257487</v>
      </c>
      <c r="DF86" s="23">
        <v>0</v>
      </c>
      <c r="DG86" s="23">
        <v>0</v>
      </c>
      <c r="DH86" s="23">
        <v>0</v>
      </c>
      <c r="DI86" s="19">
        <v>0</v>
      </c>
      <c r="DJ86" s="19">
        <v>0</v>
      </c>
      <c r="DK86" s="19">
        <v>0</v>
      </c>
      <c r="DL86" s="19">
        <v>0</v>
      </c>
      <c r="DM86" s="19">
        <v>0</v>
      </c>
      <c r="DN86" s="19">
        <v>0</v>
      </c>
      <c r="DO86" s="19">
        <v>0</v>
      </c>
      <c r="DP86" s="19">
        <v>0</v>
      </c>
      <c r="DQ86" s="19">
        <v>0</v>
      </c>
      <c r="DR86" s="19">
        <v>0</v>
      </c>
      <c r="DS86" s="19">
        <v>0</v>
      </c>
      <c r="DT86" s="19">
        <v>0</v>
      </c>
      <c r="DU86" s="19">
        <v>0</v>
      </c>
      <c r="DV86" s="19">
        <v>0</v>
      </c>
      <c r="DW86" s="17" t="s">
        <v>356</v>
      </c>
      <c r="DX86" s="22">
        <v>3</v>
      </c>
      <c r="DY86" s="22">
        <v>3</v>
      </c>
      <c r="DZ86" s="22">
        <v>3</v>
      </c>
      <c r="EA86" s="22">
        <v>3</v>
      </c>
      <c r="EB86" s="22" t="s">
        <v>218</v>
      </c>
      <c r="EC86" s="22">
        <v>3</v>
      </c>
      <c r="ED86" s="22">
        <v>3</v>
      </c>
      <c r="EE86" s="22" t="s">
        <v>218</v>
      </c>
      <c r="EF86" s="22">
        <v>3</v>
      </c>
      <c r="EG86" s="22">
        <v>3</v>
      </c>
      <c r="EH86" s="22">
        <v>3</v>
      </c>
      <c r="EI86" s="22">
        <v>3</v>
      </c>
      <c r="EJ86" s="22">
        <v>3</v>
      </c>
      <c r="EK86" s="22">
        <v>3</v>
      </c>
      <c r="EL86" s="22">
        <v>3</v>
      </c>
      <c r="EM86" s="22">
        <v>3</v>
      </c>
      <c r="EN86" s="22">
        <v>3</v>
      </c>
      <c r="EO86" s="22">
        <v>3</v>
      </c>
      <c r="EP86" s="22">
        <v>3</v>
      </c>
      <c r="EQ86" s="22">
        <v>3</v>
      </c>
      <c r="ER86" s="22">
        <v>3</v>
      </c>
      <c r="ES86" s="22">
        <v>3</v>
      </c>
      <c r="ET86" s="22">
        <v>3</v>
      </c>
      <c r="EU86" s="22">
        <v>3</v>
      </c>
      <c r="EV86" s="22" t="s">
        <v>218</v>
      </c>
      <c r="EW86" s="22">
        <v>3</v>
      </c>
      <c r="EX86" s="22">
        <v>3</v>
      </c>
      <c r="EY86" s="22" t="s">
        <v>218</v>
      </c>
      <c r="EZ86" s="22">
        <v>3</v>
      </c>
      <c r="FA86" s="22">
        <v>3</v>
      </c>
      <c r="FB86" s="22">
        <v>3</v>
      </c>
      <c r="FC86" s="22">
        <v>3</v>
      </c>
      <c r="FD86" s="22" t="s">
        <v>218</v>
      </c>
      <c r="FE86" s="22" t="s">
        <v>218</v>
      </c>
      <c r="FF86" s="22" t="s">
        <v>218</v>
      </c>
      <c r="FG86" s="22" t="s">
        <v>218</v>
      </c>
      <c r="FH86" s="22" t="s">
        <v>218</v>
      </c>
      <c r="FI86" s="22" t="s">
        <v>218</v>
      </c>
      <c r="FJ86" s="22" t="s">
        <v>218</v>
      </c>
      <c r="FK86" s="22" t="s">
        <v>218</v>
      </c>
      <c r="FL86" s="22" t="s">
        <v>218</v>
      </c>
      <c r="FM86" s="22" t="s">
        <v>218</v>
      </c>
      <c r="FN86" s="22" t="s">
        <v>218</v>
      </c>
      <c r="FO86" s="22" t="s">
        <v>218</v>
      </c>
      <c r="FP86" s="22" t="s">
        <v>218</v>
      </c>
      <c r="FQ86" s="22" t="s">
        <v>218</v>
      </c>
      <c r="FR86" s="22" t="s">
        <v>218</v>
      </c>
      <c r="FS86" s="22" t="s">
        <v>218</v>
      </c>
      <c r="FT86" s="22" t="s">
        <v>218</v>
      </c>
      <c r="FU86" s="22" t="s">
        <v>218</v>
      </c>
      <c r="FV86" s="22" t="s">
        <v>218</v>
      </c>
      <c r="FW86" s="22" t="s">
        <v>218</v>
      </c>
      <c r="FX86" s="22" t="s">
        <v>218</v>
      </c>
      <c r="FY86" s="22" t="s">
        <v>218</v>
      </c>
      <c r="FZ86" s="22" t="s">
        <v>218</v>
      </c>
      <c r="GA86" s="22" t="s">
        <v>218</v>
      </c>
      <c r="GB86" s="22" t="s">
        <v>218</v>
      </c>
      <c r="GC86" s="22" t="s">
        <v>218</v>
      </c>
      <c r="GD86" s="22" t="s">
        <v>218</v>
      </c>
      <c r="GE86" s="22" t="s">
        <v>218</v>
      </c>
      <c r="GF86" s="22" t="s">
        <v>218</v>
      </c>
      <c r="GG86" s="22" t="s">
        <v>218</v>
      </c>
      <c r="GH86" s="22" t="s">
        <v>218</v>
      </c>
      <c r="GI86" s="22" t="s">
        <v>218</v>
      </c>
      <c r="GJ86" s="22" t="s">
        <v>218</v>
      </c>
      <c r="GK86" s="22" t="s">
        <v>218</v>
      </c>
      <c r="GL86" s="22" t="s">
        <v>218</v>
      </c>
      <c r="GM86" s="22" t="s">
        <v>218</v>
      </c>
      <c r="GN86" s="22">
        <v>2012</v>
      </c>
      <c r="GO86" s="22">
        <v>2012</v>
      </c>
      <c r="GP86" s="22">
        <v>2012</v>
      </c>
      <c r="GQ86" s="22">
        <v>2012</v>
      </c>
      <c r="GR86" s="22" t="s">
        <v>218</v>
      </c>
      <c r="GS86" s="22">
        <v>2012</v>
      </c>
      <c r="GT86" s="22">
        <v>2012</v>
      </c>
      <c r="GU86" s="22" t="s">
        <v>218</v>
      </c>
      <c r="GV86" s="22">
        <v>2012</v>
      </c>
      <c r="GW86" s="22">
        <v>2012</v>
      </c>
      <c r="GX86" s="22">
        <v>2012</v>
      </c>
      <c r="GY86" s="22">
        <v>2012</v>
      </c>
      <c r="GZ86" s="22">
        <v>2012</v>
      </c>
      <c r="HA86" s="22">
        <v>2012</v>
      </c>
      <c r="HB86" s="22">
        <v>2012</v>
      </c>
      <c r="HC86" s="22">
        <v>2012</v>
      </c>
      <c r="HD86" s="22">
        <v>2012</v>
      </c>
      <c r="HE86" s="22">
        <v>2012</v>
      </c>
      <c r="HF86" s="22">
        <v>2012</v>
      </c>
      <c r="HG86" s="22">
        <v>2012</v>
      </c>
      <c r="HH86" s="22">
        <v>2012</v>
      </c>
      <c r="HI86" s="22">
        <v>2012</v>
      </c>
      <c r="HJ86" s="22">
        <v>2012</v>
      </c>
      <c r="HK86" s="22">
        <v>2012</v>
      </c>
      <c r="HL86" s="22" t="s">
        <v>218</v>
      </c>
      <c r="HM86" s="620">
        <f>'background data'!$G$20</f>
        <v>0.14000000000000001</v>
      </c>
      <c r="HN86" s="620">
        <f>'background data'!$H$20</f>
        <v>7.0000000000000007E-2</v>
      </c>
      <c r="HO86" s="620">
        <f>'background data'!$J$20</f>
        <v>0.51702999999999999</v>
      </c>
      <c r="HP86" s="620">
        <f>'background data'!$L$20</f>
        <v>2.1999999999999999E-2</v>
      </c>
      <c r="HQ86" s="620">
        <f>'background data'!$M$20</f>
        <v>0.72</v>
      </c>
      <c r="HR86" s="620">
        <f>'background data'!$N$20</f>
        <v>1.2900000000000001E-3</v>
      </c>
      <c r="HS86" s="620">
        <f>'background data'!$O$20</f>
        <v>3.47</v>
      </c>
      <c r="HT86" s="145"/>
      <c r="HU86" s="145" t="s">
        <v>1809</v>
      </c>
      <c r="HV86" s="22" t="s">
        <v>1940</v>
      </c>
      <c r="HW86" s="22" t="s">
        <v>366</v>
      </c>
      <c r="HX86" s="22" t="s">
        <v>360</v>
      </c>
      <c r="HY86" s="22" t="s">
        <v>361</v>
      </c>
      <c r="HZ86" s="19"/>
      <c r="IA86" s="19"/>
      <c r="IB86" s="620">
        <f>'background data'!$G$20</f>
        <v>0.14000000000000001</v>
      </c>
      <c r="IC86" s="620">
        <f>'background data'!$H$20</f>
        <v>7.0000000000000007E-2</v>
      </c>
      <c r="ID86" s="620">
        <f>'background data'!$J$20</f>
        <v>0.51702999999999999</v>
      </c>
      <c r="IE86" s="620">
        <f>'background data'!$L$20</f>
        <v>2.1999999999999999E-2</v>
      </c>
      <c r="IF86" s="620">
        <f>'background data'!$M$20</f>
        <v>0.72</v>
      </c>
      <c r="IG86" s="620">
        <f>'background data'!$N$20</f>
        <v>1.2900000000000001E-3</v>
      </c>
      <c r="IH86" s="620">
        <f>'background data'!$O$20</f>
        <v>3.47</v>
      </c>
      <c r="II86" s="145"/>
      <c r="IJ86" s="145"/>
      <c r="IK86" s="145"/>
      <c r="IL86" s="145"/>
      <c r="IM86" s="145"/>
      <c r="IN86" s="145"/>
      <c r="IO86" s="145"/>
      <c r="IP86" s="145"/>
      <c r="IQ86" s="145"/>
      <c r="IR86" s="145"/>
      <c r="IS86" s="145"/>
      <c r="IT86" s="145"/>
      <c r="IU86" s="145"/>
      <c r="IV86" s="145"/>
      <c r="IW86" s="145"/>
      <c r="IX86" s="145"/>
      <c r="IY86" s="145"/>
      <c r="IZ86" s="145"/>
      <c r="JA86" s="145"/>
      <c r="JB86" s="145"/>
      <c r="JC86" s="145"/>
      <c r="JD86" s="145"/>
      <c r="JE86" s="145"/>
      <c r="JF86" s="145"/>
      <c r="JG86" s="145"/>
      <c r="JH86" s="145"/>
      <c r="JI86" s="145"/>
      <c r="JJ86" s="145"/>
      <c r="JK86" s="145"/>
      <c r="JL86" s="145"/>
      <c r="JM86" s="145"/>
      <c r="JN86" s="145"/>
      <c r="JO86" s="145"/>
      <c r="JP86" s="145"/>
      <c r="JQ86" s="145"/>
      <c r="JR86" s="145"/>
      <c r="JS86" s="145"/>
      <c r="JT86" s="145"/>
      <c r="JU86" s="145"/>
      <c r="JV86" s="145"/>
      <c r="JW86" s="145"/>
      <c r="JX86" s="145"/>
      <c r="JY86" s="145"/>
      <c r="JZ86" s="145"/>
      <c r="KA86" s="145"/>
      <c r="KB86" s="145"/>
      <c r="KC86" s="145"/>
      <c r="KD86" s="145"/>
      <c r="KE86" s="145"/>
      <c r="KF86" s="145"/>
      <c r="KG86" s="145"/>
      <c r="KH86" s="145"/>
      <c r="KI86" s="145"/>
      <c r="KJ86" s="145"/>
      <c r="KK86" s="145"/>
      <c r="KL86" s="145"/>
      <c r="KM86" s="145"/>
      <c r="KN86" s="145"/>
      <c r="KO86" s="145"/>
      <c r="KP86" s="145"/>
      <c r="KQ86" s="145"/>
      <c r="KR86" s="145"/>
      <c r="KS86" s="145"/>
      <c r="KT86" s="145"/>
      <c r="KU86" s="145"/>
      <c r="KV86" s="145"/>
      <c r="KW86" s="145"/>
      <c r="KX86" s="145"/>
      <c r="KY86" s="145"/>
      <c r="KZ86" s="145"/>
      <c r="LA86" s="145"/>
      <c r="LB86" s="145"/>
      <c r="LC86" s="145"/>
      <c r="LD86" s="145"/>
      <c r="LE86" s="145"/>
      <c r="LF86" s="145"/>
      <c r="LG86" s="145"/>
      <c r="LH86" s="145"/>
      <c r="LI86" s="145"/>
      <c r="LJ86" s="145"/>
      <c r="LK86" s="145"/>
      <c r="LL86" s="145"/>
      <c r="LM86" s="145"/>
      <c r="LN86" s="145"/>
      <c r="LO86" s="145"/>
      <c r="LP86" s="145"/>
      <c r="LQ86" s="145"/>
      <c r="LR86" s="145"/>
      <c r="LS86" s="145"/>
      <c r="LT86" s="145"/>
      <c r="LU86" s="145"/>
      <c r="LV86" s="145"/>
      <c r="LW86" s="145"/>
      <c r="LX86" s="145"/>
      <c r="LY86" s="145"/>
      <c r="LZ86" s="145"/>
      <c r="MA86" s="145"/>
      <c r="MB86" s="145"/>
      <c r="MC86" s="145"/>
      <c r="MD86" s="145"/>
      <c r="ME86" s="145"/>
      <c r="MF86" s="145"/>
      <c r="MG86" s="145"/>
      <c r="MH86" s="145"/>
      <c r="MI86" s="145"/>
      <c r="MJ86" s="145"/>
      <c r="MK86" s="145"/>
      <c r="ML86" s="145"/>
      <c r="MM86" s="145"/>
      <c r="MN86" s="145"/>
      <c r="MO86" s="145"/>
      <c r="MP86" s="145"/>
      <c r="MQ86" s="145"/>
      <c r="MR86" s="145"/>
      <c r="MS86" s="145"/>
      <c r="MT86" s="145"/>
      <c r="MU86" s="145"/>
      <c r="MV86" s="145"/>
      <c r="MW86" s="145"/>
      <c r="MX86" s="145"/>
      <c r="MY86" s="145"/>
      <c r="MZ86" s="145"/>
      <c r="NA86" s="145"/>
      <c r="NB86" s="145"/>
      <c r="NC86" s="145"/>
      <c r="ND86" s="145"/>
      <c r="NE86" s="145"/>
      <c r="NF86" s="145"/>
      <c r="NG86" s="145"/>
      <c r="NH86" s="145"/>
      <c r="NI86" s="145"/>
      <c r="NJ86" s="145"/>
      <c r="NK86" s="145"/>
      <c r="NL86" s="145"/>
      <c r="NM86" s="145"/>
      <c r="NN86" s="145"/>
      <c r="NO86" s="145"/>
      <c r="NP86" s="145"/>
      <c r="NQ86" s="145"/>
      <c r="NR86" s="145"/>
      <c r="NS86" s="145"/>
    </row>
    <row r="87" spans="1:383" s="16" customFormat="1" ht="15" customHeight="1" x14ac:dyDescent="0.2">
      <c r="A87" s="15">
        <v>65220</v>
      </c>
      <c r="B87" s="25">
        <v>652</v>
      </c>
      <c r="C87" s="26">
        <v>20</v>
      </c>
      <c r="D87" s="20" t="s">
        <v>368</v>
      </c>
      <c r="E87" s="14">
        <v>42695</v>
      </c>
      <c r="F87" s="18">
        <v>0.95043545201728696</v>
      </c>
      <c r="G87" s="18">
        <v>0.96616021792913898</v>
      </c>
      <c r="H87" s="21">
        <v>83.2</v>
      </c>
      <c r="I87" s="21">
        <v>75.199987199999995</v>
      </c>
      <c r="J87" s="21">
        <v>82</v>
      </c>
      <c r="K87" s="18">
        <v>1</v>
      </c>
      <c r="L87" s="18">
        <v>88</v>
      </c>
      <c r="M87" s="18">
        <v>26.135999999999999</v>
      </c>
      <c r="N87" s="18">
        <v>1.9359999999999999</v>
      </c>
      <c r="O87" s="18">
        <v>3.08</v>
      </c>
      <c r="P87" s="18" t="s">
        <v>217</v>
      </c>
      <c r="Q87" s="19"/>
      <c r="R87" s="18">
        <v>80</v>
      </c>
      <c r="S87" s="18">
        <v>37</v>
      </c>
      <c r="T87" s="18">
        <v>41</v>
      </c>
      <c r="U87" s="18">
        <v>43</v>
      </c>
      <c r="V87" s="18">
        <v>44</v>
      </c>
      <c r="W87" s="18">
        <v>45</v>
      </c>
      <c r="X87" s="18"/>
      <c r="Y87" s="18">
        <v>1.2999999999999998</v>
      </c>
      <c r="Z87" s="18">
        <v>5.3999999999999995</v>
      </c>
      <c r="AA87" s="18">
        <v>0.30000000000000004</v>
      </c>
      <c r="AB87" s="18" t="s">
        <v>217</v>
      </c>
      <c r="AC87" s="18">
        <v>12.4</v>
      </c>
      <c r="AD87" s="18">
        <v>1.2000000000000002</v>
      </c>
      <c r="AE87" s="18">
        <v>2.1999999999999997</v>
      </c>
      <c r="AF87" s="18">
        <v>77.900000000000006</v>
      </c>
      <c r="AG87" s="18">
        <v>13</v>
      </c>
      <c r="AH87" s="18">
        <v>16.400000000000002</v>
      </c>
      <c r="AI87" s="18">
        <v>45</v>
      </c>
      <c r="AJ87" s="18">
        <v>0</v>
      </c>
      <c r="AK87" s="18">
        <v>1.9999999999999886E-2</v>
      </c>
      <c r="AL87" s="18"/>
      <c r="AM87" s="18">
        <v>6.1279461279461298</v>
      </c>
      <c r="AN87" s="18">
        <v>0.74074074074074103</v>
      </c>
      <c r="AO87" s="18">
        <v>1.2794612794612801</v>
      </c>
      <c r="AP87" s="18">
        <v>3.5016835016835</v>
      </c>
      <c r="AQ87" s="18">
        <v>0.84175084175084203</v>
      </c>
      <c r="AR87" s="18">
        <v>3.8047138047138001</v>
      </c>
      <c r="AS87" s="18">
        <v>7.0033670033669999</v>
      </c>
      <c r="AT87" s="18">
        <v>2.5925925925925899</v>
      </c>
      <c r="AU87" s="18">
        <v>4.1750841750841801</v>
      </c>
      <c r="AV87" s="18">
        <v>3.6363636363636398</v>
      </c>
      <c r="AW87" s="18">
        <v>4.2424242424242404</v>
      </c>
      <c r="AX87" s="18"/>
      <c r="AY87" s="18">
        <v>1.04</v>
      </c>
      <c r="AZ87" s="18">
        <v>0.94</v>
      </c>
      <c r="BA87" s="18">
        <v>0.94</v>
      </c>
      <c r="BB87" s="18">
        <v>0.98</v>
      </c>
      <c r="BC87" s="18">
        <v>0.93</v>
      </c>
      <c r="BD87" s="18">
        <v>0.99</v>
      </c>
      <c r="BE87" s="18">
        <v>1.03</v>
      </c>
      <c r="BF87" s="18">
        <v>1.05</v>
      </c>
      <c r="BG87" s="18">
        <v>1</v>
      </c>
      <c r="BH87" s="18">
        <v>0.96</v>
      </c>
      <c r="BI87" s="18">
        <v>0.98</v>
      </c>
      <c r="BJ87" s="19"/>
      <c r="BK87" s="18">
        <v>29.7</v>
      </c>
      <c r="BL87" s="18">
        <v>2.1999999999999997</v>
      </c>
      <c r="BM87" s="18">
        <v>3.5</v>
      </c>
      <c r="BN87" s="18" t="s">
        <v>217</v>
      </c>
      <c r="BO87" s="18"/>
      <c r="BP87" s="18">
        <v>130</v>
      </c>
      <c r="BQ87" s="18">
        <v>28.599999999999998</v>
      </c>
      <c r="BR87" s="18">
        <v>1.0800402863832805</v>
      </c>
      <c r="BS87" s="18">
        <v>1.0979093385558398</v>
      </c>
      <c r="BT87" s="19"/>
      <c r="BU87" s="18">
        <v>965</v>
      </c>
      <c r="BV87" s="18">
        <v>400.98410925714319</v>
      </c>
      <c r="BW87" s="18">
        <v>110.28589074285705</v>
      </c>
      <c r="BX87" s="18">
        <v>375</v>
      </c>
      <c r="BY87" s="18">
        <v>32</v>
      </c>
      <c r="BZ87" s="18">
        <v>52.388571428571368</v>
      </c>
      <c r="CA87" s="18">
        <v>165.89714285714317</v>
      </c>
      <c r="CB87" s="19"/>
      <c r="CC87" s="19">
        <v>1.1439999999999999</v>
      </c>
      <c r="CD87" s="19">
        <v>4.7519999999999998</v>
      </c>
      <c r="CE87" s="19">
        <v>0.26400000000000007</v>
      </c>
      <c r="CF87" s="19" t="s">
        <v>217</v>
      </c>
      <c r="CG87" s="19">
        <v>10.912000000000001</v>
      </c>
      <c r="CH87" s="19">
        <v>1.0560000000000003</v>
      </c>
      <c r="CI87" s="19">
        <v>1.9359999999999997</v>
      </c>
      <c r="CJ87" s="19"/>
      <c r="CK87" s="19">
        <v>68.552000000000007</v>
      </c>
      <c r="CL87" s="19">
        <v>11.44</v>
      </c>
      <c r="CM87" s="19">
        <v>14.432000000000002</v>
      </c>
      <c r="CN87" s="19">
        <v>39.6</v>
      </c>
      <c r="CO87" s="19">
        <v>0</v>
      </c>
      <c r="CP87" s="19">
        <v>1.75999999999999E-2</v>
      </c>
      <c r="CQ87" s="19">
        <v>209.08799999999999</v>
      </c>
      <c r="CR87" s="19">
        <v>219.9917938206255</v>
      </c>
      <c r="CS87" s="19">
        <v>14.020217755679461</v>
      </c>
      <c r="CT87" s="19">
        <v>1.5317947125287998</v>
      </c>
      <c r="CU87" s="19">
        <v>2.6458272307315633</v>
      </c>
      <c r="CV87" s="19">
        <v>4.1776219432603634</v>
      </c>
      <c r="CW87" s="19">
        <v>7.5493480222889504</v>
      </c>
      <c r="CX87" s="19">
        <v>1.722157981929139</v>
      </c>
      <c r="CY87" s="19">
        <v>8.2863575672435505</v>
      </c>
      <c r="CZ87" s="19">
        <v>15.869037679505324</v>
      </c>
      <c r="DA87" s="19">
        <v>5.9886654984503709</v>
      </c>
      <c r="DB87" s="19">
        <v>9.1848425702887404</v>
      </c>
      <c r="DC87" s="19">
        <v>7.6797135297381889</v>
      </c>
      <c r="DD87" s="19">
        <v>16.864556100026942</v>
      </c>
      <c r="DE87" s="19">
        <v>9.146325488542379</v>
      </c>
      <c r="DF87" s="23">
        <v>0</v>
      </c>
      <c r="DG87" s="23">
        <v>0</v>
      </c>
      <c r="DH87" s="23">
        <v>0</v>
      </c>
      <c r="DI87" s="19">
        <v>0</v>
      </c>
      <c r="DJ87" s="19">
        <v>0</v>
      </c>
      <c r="DK87" s="19">
        <v>0</v>
      </c>
      <c r="DL87" s="19">
        <v>0</v>
      </c>
      <c r="DM87" s="19">
        <v>0</v>
      </c>
      <c r="DN87" s="19">
        <v>0</v>
      </c>
      <c r="DO87" s="19">
        <v>0</v>
      </c>
      <c r="DP87" s="19">
        <v>0</v>
      </c>
      <c r="DQ87" s="19">
        <v>0</v>
      </c>
      <c r="DR87" s="19">
        <v>0</v>
      </c>
      <c r="DS87" s="19">
        <v>0</v>
      </c>
      <c r="DT87" s="19">
        <v>0</v>
      </c>
      <c r="DU87" s="19">
        <v>0</v>
      </c>
      <c r="DV87" s="19">
        <v>0</v>
      </c>
      <c r="DW87" s="17" t="s">
        <v>356</v>
      </c>
      <c r="DX87" s="22">
        <v>3</v>
      </c>
      <c r="DY87" s="22">
        <v>3</v>
      </c>
      <c r="DZ87" s="22">
        <v>3</v>
      </c>
      <c r="EA87" s="22">
        <v>3</v>
      </c>
      <c r="EB87" s="22" t="s">
        <v>218</v>
      </c>
      <c r="EC87" s="22">
        <v>3</v>
      </c>
      <c r="ED87" s="22">
        <v>3</v>
      </c>
      <c r="EE87" s="22" t="s">
        <v>218</v>
      </c>
      <c r="EF87" s="22">
        <v>3</v>
      </c>
      <c r="EG87" s="22">
        <v>3</v>
      </c>
      <c r="EH87" s="22">
        <v>3</v>
      </c>
      <c r="EI87" s="22">
        <v>3</v>
      </c>
      <c r="EJ87" s="22">
        <v>3</v>
      </c>
      <c r="EK87" s="22">
        <v>3</v>
      </c>
      <c r="EL87" s="22">
        <v>3</v>
      </c>
      <c r="EM87" s="22">
        <v>3</v>
      </c>
      <c r="EN87" s="22">
        <v>3</v>
      </c>
      <c r="EO87" s="22">
        <v>3</v>
      </c>
      <c r="EP87" s="22">
        <v>3</v>
      </c>
      <c r="EQ87" s="22">
        <v>3</v>
      </c>
      <c r="ER87" s="22">
        <v>3</v>
      </c>
      <c r="ES87" s="22">
        <v>3</v>
      </c>
      <c r="ET87" s="22">
        <v>3</v>
      </c>
      <c r="EU87" s="22">
        <v>3</v>
      </c>
      <c r="EV87" s="22" t="s">
        <v>218</v>
      </c>
      <c r="EW87" s="22">
        <v>3</v>
      </c>
      <c r="EX87" s="22">
        <v>3</v>
      </c>
      <c r="EY87" s="22" t="s">
        <v>218</v>
      </c>
      <c r="EZ87" s="22">
        <v>3</v>
      </c>
      <c r="FA87" s="22">
        <v>3</v>
      </c>
      <c r="FB87" s="22">
        <v>3</v>
      </c>
      <c r="FC87" s="22">
        <v>3</v>
      </c>
      <c r="FD87" s="22" t="s">
        <v>218</v>
      </c>
      <c r="FE87" s="22" t="s">
        <v>218</v>
      </c>
      <c r="FF87" s="22" t="s">
        <v>218</v>
      </c>
      <c r="FG87" s="22" t="s">
        <v>218</v>
      </c>
      <c r="FH87" s="22" t="s">
        <v>218</v>
      </c>
      <c r="FI87" s="22" t="s">
        <v>218</v>
      </c>
      <c r="FJ87" s="22" t="s">
        <v>218</v>
      </c>
      <c r="FK87" s="22" t="s">
        <v>218</v>
      </c>
      <c r="FL87" s="22" t="s">
        <v>218</v>
      </c>
      <c r="FM87" s="22" t="s">
        <v>218</v>
      </c>
      <c r="FN87" s="22" t="s">
        <v>218</v>
      </c>
      <c r="FO87" s="22" t="s">
        <v>218</v>
      </c>
      <c r="FP87" s="22" t="s">
        <v>218</v>
      </c>
      <c r="FQ87" s="22" t="s">
        <v>218</v>
      </c>
      <c r="FR87" s="22" t="s">
        <v>218</v>
      </c>
      <c r="FS87" s="22" t="s">
        <v>218</v>
      </c>
      <c r="FT87" s="22" t="s">
        <v>218</v>
      </c>
      <c r="FU87" s="22" t="s">
        <v>218</v>
      </c>
      <c r="FV87" s="22" t="s">
        <v>218</v>
      </c>
      <c r="FW87" s="22" t="s">
        <v>218</v>
      </c>
      <c r="FX87" s="22" t="s">
        <v>218</v>
      </c>
      <c r="FY87" s="22" t="s">
        <v>218</v>
      </c>
      <c r="FZ87" s="22" t="s">
        <v>218</v>
      </c>
      <c r="GA87" s="22" t="s">
        <v>218</v>
      </c>
      <c r="GB87" s="22" t="s">
        <v>218</v>
      </c>
      <c r="GC87" s="22" t="s">
        <v>218</v>
      </c>
      <c r="GD87" s="22" t="s">
        <v>218</v>
      </c>
      <c r="GE87" s="22" t="s">
        <v>218</v>
      </c>
      <c r="GF87" s="22" t="s">
        <v>218</v>
      </c>
      <c r="GG87" s="22" t="s">
        <v>218</v>
      </c>
      <c r="GH87" s="22" t="s">
        <v>218</v>
      </c>
      <c r="GI87" s="22" t="s">
        <v>218</v>
      </c>
      <c r="GJ87" s="22" t="s">
        <v>218</v>
      </c>
      <c r="GK87" s="22" t="s">
        <v>218</v>
      </c>
      <c r="GL87" s="22" t="s">
        <v>218</v>
      </c>
      <c r="GM87" s="22" t="s">
        <v>218</v>
      </c>
      <c r="GN87" s="22">
        <v>2012</v>
      </c>
      <c r="GO87" s="22">
        <v>2012</v>
      </c>
      <c r="GP87" s="22">
        <v>2012</v>
      </c>
      <c r="GQ87" s="22">
        <v>2012</v>
      </c>
      <c r="GR87" s="22" t="s">
        <v>218</v>
      </c>
      <c r="GS87" s="22">
        <v>2012</v>
      </c>
      <c r="GT87" s="22">
        <v>2012</v>
      </c>
      <c r="GU87" s="22" t="s">
        <v>218</v>
      </c>
      <c r="GV87" s="22">
        <v>2012</v>
      </c>
      <c r="GW87" s="22">
        <v>2012</v>
      </c>
      <c r="GX87" s="22">
        <v>2012</v>
      </c>
      <c r="GY87" s="22">
        <v>2012</v>
      </c>
      <c r="GZ87" s="22">
        <v>2012</v>
      </c>
      <c r="HA87" s="22">
        <v>2012</v>
      </c>
      <c r="HB87" s="22">
        <v>2012</v>
      </c>
      <c r="HC87" s="22">
        <v>2012</v>
      </c>
      <c r="HD87" s="22">
        <v>2012</v>
      </c>
      <c r="HE87" s="22">
        <v>2012</v>
      </c>
      <c r="HF87" s="22">
        <v>2012</v>
      </c>
      <c r="HG87" s="22">
        <v>2012</v>
      </c>
      <c r="HH87" s="22">
        <v>2012</v>
      </c>
      <c r="HI87" s="22">
        <v>2012</v>
      </c>
      <c r="HJ87" s="22">
        <v>2012</v>
      </c>
      <c r="HK87" s="22">
        <v>2012</v>
      </c>
      <c r="HL87" s="22" t="s">
        <v>218</v>
      </c>
      <c r="HM87" s="620">
        <f>'background data'!$G$20</f>
        <v>0.14000000000000001</v>
      </c>
      <c r="HN87" s="620">
        <f>'background data'!$H$20</f>
        <v>7.0000000000000007E-2</v>
      </c>
      <c r="HO87" s="620">
        <f>'background data'!$J$20</f>
        <v>0.51702999999999999</v>
      </c>
      <c r="HP87" s="620">
        <f>'background data'!$L$20</f>
        <v>2.1999999999999999E-2</v>
      </c>
      <c r="HQ87" s="620">
        <f>'background data'!$M$20</f>
        <v>0.72</v>
      </c>
      <c r="HR87" s="620">
        <f>'background data'!$N$20</f>
        <v>1.2900000000000001E-3</v>
      </c>
      <c r="HS87" s="620">
        <f>'background data'!$O$20</f>
        <v>3.47</v>
      </c>
      <c r="HT87" s="145"/>
      <c r="HU87" s="145" t="s">
        <v>1809</v>
      </c>
      <c r="HV87" s="22" t="s">
        <v>1940</v>
      </c>
      <c r="HW87" s="22" t="s">
        <v>366</v>
      </c>
      <c r="HX87" s="22" t="s">
        <v>360</v>
      </c>
      <c r="HY87" s="22" t="s">
        <v>361</v>
      </c>
      <c r="HZ87" s="19"/>
      <c r="IA87" s="19"/>
      <c r="IB87" s="620">
        <f>'background data'!$G$20</f>
        <v>0.14000000000000001</v>
      </c>
      <c r="IC87" s="620">
        <f>'background data'!$H$20</f>
        <v>7.0000000000000007E-2</v>
      </c>
      <c r="ID87" s="620">
        <f>'background data'!$J$20</f>
        <v>0.51702999999999999</v>
      </c>
      <c r="IE87" s="620">
        <f>'background data'!$L$20</f>
        <v>2.1999999999999999E-2</v>
      </c>
      <c r="IF87" s="620">
        <f>'background data'!$M$20</f>
        <v>0.72</v>
      </c>
      <c r="IG87" s="620">
        <f>'background data'!$N$20</f>
        <v>1.2900000000000001E-3</v>
      </c>
      <c r="IH87" s="620">
        <f>'background data'!$O$20</f>
        <v>3.47</v>
      </c>
      <c r="II87" s="145"/>
      <c r="IJ87" s="145"/>
      <c r="IK87" s="145"/>
      <c r="IL87" s="145"/>
      <c r="IM87" s="145"/>
      <c r="IN87" s="145"/>
      <c r="IO87" s="145"/>
      <c r="IP87" s="145"/>
      <c r="IQ87" s="145"/>
      <c r="IR87" s="145"/>
      <c r="IS87" s="145"/>
      <c r="IT87" s="145"/>
      <c r="IU87" s="145"/>
      <c r="IV87" s="145"/>
      <c r="IW87" s="145"/>
      <c r="IX87" s="145"/>
      <c r="IY87" s="145"/>
      <c r="IZ87" s="145"/>
      <c r="JA87" s="145"/>
      <c r="JB87" s="145"/>
      <c r="JC87" s="145"/>
      <c r="JD87" s="145"/>
      <c r="JE87" s="145"/>
      <c r="JF87" s="145"/>
      <c r="JG87" s="145"/>
      <c r="JH87" s="145"/>
      <c r="JI87" s="145"/>
      <c r="JJ87" s="145"/>
      <c r="JK87" s="145"/>
      <c r="JL87" s="145"/>
      <c r="JM87" s="145"/>
      <c r="JN87" s="145"/>
      <c r="JO87" s="145"/>
      <c r="JP87" s="145"/>
      <c r="JQ87" s="145"/>
      <c r="JR87" s="145"/>
      <c r="JS87" s="145"/>
      <c r="JT87" s="145"/>
      <c r="JU87" s="145"/>
      <c r="JV87" s="145"/>
      <c r="JW87" s="145"/>
      <c r="JX87" s="145"/>
      <c r="JY87" s="145"/>
      <c r="JZ87" s="145"/>
      <c r="KA87" s="145"/>
      <c r="KB87" s="145"/>
      <c r="KC87" s="145"/>
      <c r="KD87" s="145"/>
      <c r="KE87" s="145"/>
      <c r="KF87" s="145"/>
      <c r="KG87" s="145"/>
      <c r="KH87" s="145"/>
      <c r="KI87" s="145"/>
      <c r="KJ87" s="145"/>
      <c r="KK87" s="145"/>
      <c r="KL87" s="145"/>
      <c r="KM87" s="145"/>
      <c r="KN87" s="145"/>
      <c r="KO87" s="145"/>
      <c r="KP87" s="145"/>
      <c r="KQ87" s="145"/>
      <c r="KR87" s="145"/>
      <c r="KS87" s="145"/>
      <c r="KT87" s="145"/>
      <c r="KU87" s="145"/>
      <c r="KV87" s="145"/>
      <c r="KW87" s="145"/>
      <c r="KX87" s="145"/>
      <c r="KY87" s="145"/>
      <c r="KZ87" s="145"/>
      <c r="LA87" s="145"/>
      <c r="LB87" s="145"/>
      <c r="LC87" s="145"/>
      <c r="LD87" s="145"/>
      <c r="LE87" s="145"/>
      <c r="LF87" s="145"/>
      <c r="LG87" s="145"/>
      <c r="LH87" s="145"/>
      <c r="LI87" s="145"/>
      <c r="LJ87" s="145"/>
      <c r="LK87" s="145"/>
      <c r="LL87" s="145"/>
      <c r="LM87" s="145"/>
      <c r="LN87" s="145"/>
      <c r="LO87" s="145"/>
      <c r="LP87" s="145"/>
      <c r="LQ87" s="145"/>
      <c r="LR87" s="145"/>
      <c r="LS87" s="145"/>
      <c r="LT87" s="145"/>
      <c r="LU87" s="145"/>
      <c r="LV87" s="145"/>
      <c r="LW87" s="145"/>
      <c r="LX87" s="145"/>
      <c r="LY87" s="145"/>
      <c r="LZ87" s="145"/>
      <c r="MA87" s="145"/>
      <c r="MB87" s="145"/>
      <c r="MC87" s="145"/>
      <c r="MD87" s="145"/>
      <c r="ME87" s="145"/>
      <c r="MF87" s="145"/>
      <c r="MG87" s="145"/>
      <c r="MH87" s="145"/>
      <c r="MI87" s="145"/>
      <c r="MJ87" s="145"/>
      <c r="MK87" s="145"/>
      <c r="ML87" s="145"/>
      <c r="MM87" s="145"/>
      <c r="MN87" s="145"/>
      <c r="MO87" s="145"/>
      <c r="MP87" s="145"/>
      <c r="MQ87" s="145"/>
      <c r="MR87" s="145"/>
      <c r="MS87" s="145"/>
      <c r="MT87" s="145"/>
      <c r="MU87" s="145"/>
      <c r="MV87" s="145"/>
      <c r="MW87" s="145"/>
      <c r="MX87" s="145"/>
      <c r="MY87" s="145"/>
      <c r="MZ87" s="145"/>
      <c r="NA87" s="145"/>
      <c r="NB87" s="145"/>
      <c r="NC87" s="145"/>
      <c r="ND87" s="145"/>
      <c r="NE87" s="145"/>
      <c r="NF87" s="145"/>
      <c r="NG87" s="145"/>
      <c r="NH87" s="145"/>
      <c r="NI87" s="145"/>
      <c r="NJ87" s="145"/>
      <c r="NK87" s="145"/>
      <c r="NL87" s="145"/>
      <c r="NM87" s="145"/>
      <c r="NN87" s="145"/>
      <c r="NO87" s="145"/>
      <c r="NP87" s="145"/>
      <c r="NQ87" s="145"/>
      <c r="NR87" s="145"/>
      <c r="NS87" s="145"/>
    </row>
    <row r="88" spans="1:383" s="16" customFormat="1" ht="15" customHeight="1" x14ac:dyDescent="0.2">
      <c r="A88" s="15">
        <v>99910</v>
      </c>
      <c r="B88" s="25">
        <v>999</v>
      </c>
      <c r="C88" s="26">
        <v>10</v>
      </c>
      <c r="D88" s="20" t="s">
        <v>369</v>
      </c>
      <c r="E88" s="14">
        <v>40310</v>
      </c>
      <c r="F88" s="18">
        <v>1.3499146341463499</v>
      </c>
      <c r="G88" s="18">
        <v>1.29381428571429</v>
      </c>
      <c r="H88" s="21">
        <v>100</v>
      </c>
      <c r="I88" s="21">
        <v>100</v>
      </c>
      <c r="J88" s="21">
        <v>100</v>
      </c>
      <c r="K88" s="18">
        <v>1</v>
      </c>
      <c r="L88" s="18">
        <v>99</v>
      </c>
      <c r="M88" s="18">
        <v>99</v>
      </c>
      <c r="N88" s="18">
        <v>0</v>
      </c>
      <c r="O88" s="18">
        <v>0</v>
      </c>
      <c r="P88" s="18">
        <v>0</v>
      </c>
      <c r="Q88" s="19"/>
      <c r="R88" s="18">
        <v>100</v>
      </c>
      <c r="S88" s="18">
        <v>0</v>
      </c>
      <c r="T88" s="18">
        <v>0</v>
      </c>
      <c r="U88" s="18">
        <v>0</v>
      </c>
      <c r="V88" s="18">
        <v>0</v>
      </c>
      <c r="W88" s="18">
        <v>0</v>
      </c>
      <c r="X88" s="18"/>
      <c r="Y88" s="18">
        <v>0</v>
      </c>
      <c r="Z88" s="18">
        <v>0</v>
      </c>
      <c r="AA88" s="18">
        <v>0</v>
      </c>
      <c r="AB88" s="18">
        <v>0</v>
      </c>
      <c r="AC88" s="18">
        <v>0</v>
      </c>
      <c r="AD88" s="18">
        <v>0</v>
      </c>
      <c r="AE88" s="18">
        <v>0</v>
      </c>
      <c r="AF88" s="18">
        <v>0</v>
      </c>
      <c r="AG88" s="18">
        <v>0</v>
      </c>
      <c r="AH88" s="18">
        <v>0</v>
      </c>
      <c r="AI88" s="18">
        <v>0</v>
      </c>
      <c r="AJ88" s="18">
        <v>0</v>
      </c>
      <c r="AK88" s="18">
        <v>0</v>
      </c>
      <c r="AL88" s="18"/>
      <c r="AM88" s="18">
        <v>0</v>
      </c>
      <c r="AN88" s="18">
        <v>0</v>
      </c>
      <c r="AO88" s="18">
        <v>0</v>
      </c>
      <c r="AP88" s="18">
        <v>0</v>
      </c>
      <c r="AQ88" s="18">
        <v>0</v>
      </c>
      <c r="AR88" s="18">
        <v>0</v>
      </c>
      <c r="AS88" s="18">
        <v>0</v>
      </c>
      <c r="AT88" s="18">
        <v>100</v>
      </c>
      <c r="AU88" s="18">
        <v>0</v>
      </c>
      <c r="AV88" s="18">
        <v>0</v>
      </c>
      <c r="AW88" s="18">
        <v>0</v>
      </c>
      <c r="AX88" s="18"/>
      <c r="AY88" s="18">
        <v>1</v>
      </c>
      <c r="AZ88" s="18">
        <v>1</v>
      </c>
      <c r="BA88" s="18">
        <v>1</v>
      </c>
      <c r="BB88" s="18">
        <v>1</v>
      </c>
      <c r="BC88" s="18">
        <v>1</v>
      </c>
      <c r="BD88" s="18">
        <v>1</v>
      </c>
      <c r="BE88" s="18">
        <v>1</v>
      </c>
      <c r="BF88" s="18">
        <v>1</v>
      </c>
      <c r="BG88" s="18">
        <v>1</v>
      </c>
      <c r="BH88" s="18">
        <v>1</v>
      </c>
      <c r="BI88" s="18">
        <v>1</v>
      </c>
      <c r="BJ88" s="19"/>
      <c r="BK88" s="18">
        <v>100</v>
      </c>
      <c r="BL88" s="18">
        <v>0</v>
      </c>
      <c r="BM88" s="18">
        <v>0</v>
      </c>
      <c r="BN88" s="18">
        <v>0</v>
      </c>
      <c r="BO88" s="18"/>
      <c r="BP88" s="18">
        <v>0</v>
      </c>
      <c r="BQ88" s="18">
        <v>0</v>
      </c>
      <c r="BR88" s="18">
        <v>1.3635501355013635</v>
      </c>
      <c r="BS88" s="18">
        <v>1.3068831168831212</v>
      </c>
      <c r="BT88" s="19"/>
      <c r="BU88" s="18">
        <v>1000</v>
      </c>
      <c r="BV88" s="18">
        <v>90</v>
      </c>
      <c r="BW88" s="18">
        <v>0</v>
      </c>
      <c r="BX88" s="18">
        <v>0</v>
      </c>
      <c r="BY88" s="18">
        <v>0</v>
      </c>
      <c r="BZ88" s="18" t="s">
        <v>217</v>
      </c>
      <c r="CA88" s="18" t="s">
        <v>217</v>
      </c>
      <c r="CB88" s="19"/>
      <c r="CC88" s="19">
        <v>0</v>
      </c>
      <c r="CD88" s="19">
        <v>0</v>
      </c>
      <c r="CE88" s="19">
        <v>0</v>
      </c>
      <c r="CF88" s="19">
        <v>0</v>
      </c>
      <c r="CG88" s="19">
        <v>0</v>
      </c>
      <c r="CH88" s="19">
        <v>0</v>
      </c>
      <c r="CI88" s="19">
        <v>0</v>
      </c>
      <c r="CJ88" s="19"/>
      <c r="CK88" s="19">
        <v>0</v>
      </c>
      <c r="CL88" s="19">
        <v>0</v>
      </c>
      <c r="CM88" s="19">
        <v>0</v>
      </c>
      <c r="CN88" s="19">
        <v>0</v>
      </c>
      <c r="CO88" s="19">
        <v>0</v>
      </c>
      <c r="CP88" s="19">
        <v>0</v>
      </c>
      <c r="CQ88" s="19">
        <v>990</v>
      </c>
      <c r="CR88" s="19">
        <v>733.37970784059962</v>
      </c>
      <c r="CS88" s="19">
        <v>0</v>
      </c>
      <c r="CT88" s="19">
        <v>0</v>
      </c>
      <c r="CU88" s="19">
        <v>0</v>
      </c>
      <c r="CV88" s="19">
        <v>0</v>
      </c>
      <c r="CW88" s="19">
        <v>0</v>
      </c>
      <c r="CX88" s="19">
        <v>0</v>
      </c>
      <c r="CY88" s="19">
        <v>0</v>
      </c>
      <c r="CZ88" s="19">
        <v>0</v>
      </c>
      <c r="DA88" s="19">
        <v>733.37970784059962</v>
      </c>
      <c r="DB88" s="19">
        <v>0</v>
      </c>
      <c r="DC88" s="19">
        <v>0</v>
      </c>
      <c r="DD88" s="19">
        <v>0</v>
      </c>
      <c r="DE88" s="19">
        <v>0</v>
      </c>
      <c r="DF88" s="23">
        <v>0</v>
      </c>
      <c r="DG88" s="23">
        <v>0</v>
      </c>
      <c r="DH88" s="23">
        <v>0</v>
      </c>
      <c r="DI88" s="19">
        <v>0</v>
      </c>
      <c r="DJ88" s="19">
        <v>0</v>
      </c>
      <c r="DK88" s="19">
        <v>0</v>
      </c>
      <c r="DL88" s="19">
        <v>0</v>
      </c>
      <c r="DM88" s="19">
        <v>0</v>
      </c>
      <c r="DN88" s="19">
        <v>0</v>
      </c>
      <c r="DO88" s="19">
        <v>0</v>
      </c>
      <c r="DP88" s="19">
        <v>0</v>
      </c>
      <c r="DQ88" s="19">
        <v>0</v>
      </c>
      <c r="DR88" s="19">
        <v>0</v>
      </c>
      <c r="DS88" s="19">
        <v>0</v>
      </c>
      <c r="DT88" s="19">
        <v>0</v>
      </c>
      <c r="DU88" s="19">
        <v>0</v>
      </c>
      <c r="DV88" s="19">
        <v>0</v>
      </c>
      <c r="DW88" s="17" t="s">
        <v>218</v>
      </c>
      <c r="DX88" s="22" t="s">
        <v>218</v>
      </c>
      <c r="DY88" s="22" t="s">
        <v>218</v>
      </c>
      <c r="DZ88" s="22" t="s">
        <v>218</v>
      </c>
      <c r="EA88" s="22" t="s">
        <v>218</v>
      </c>
      <c r="EB88" s="22" t="s">
        <v>218</v>
      </c>
      <c r="EC88" s="22" t="s">
        <v>218</v>
      </c>
      <c r="ED88" s="22" t="s">
        <v>218</v>
      </c>
      <c r="EE88" s="22" t="s">
        <v>218</v>
      </c>
      <c r="EF88" s="22" t="s">
        <v>218</v>
      </c>
      <c r="EG88" s="22" t="s">
        <v>218</v>
      </c>
      <c r="EH88" s="22" t="s">
        <v>218</v>
      </c>
      <c r="EI88" s="22" t="s">
        <v>218</v>
      </c>
      <c r="EJ88" s="22" t="s">
        <v>218</v>
      </c>
      <c r="EK88" s="22" t="s">
        <v>218</v>
      </c>
      <c r="EL88" s="22" t="s">
        <v>218</v>
      </c>
      <c r="EM88" s="22" t="s">
        <v>218</v>
      </c>
      <c r="EN88" s="22" t="s">
        <v>218</v>
      </c>
      <c r="EO88" s="22" t="s">
        <v>218</v>
      </c>
      <c r="EP88" s="22" t="s">
        <v>218</v>
      </c>
      <c r="EQ88" s="22" t="s">
        <v>218</v>
      </c>
      <c r="ER88" s="22" t="s">
        <v>218</v>
      </c>
      <c r="ES88" s="22" t="s">
        <v>218</v>
      </c>
      <c r="ET88" s="22" t="s">
        <v>218</v>
      </c>
      <c r="EU88" s="22" t="s">
        <v>218</v>
      </c>
      <c r="EV88" s="22" t="s">
        <v>218</v>
      </c>
      <c r="EW88" s="22" t="s">
        <v>218</v>
      </c>
      <c r="EX88" s="22" t="s">
        <v>218</v>
      </c>
      <c r="EY88" s="22" t="s">
        <v>218</v>
      </c>
      <c r="EZ88" s="22" t="s">
        <v>218</v>
      </c>
      <c r="FA88" s="22" t="s">
        <v>218</v>
      </c>
      <c r="FB88" s="22" t="s">
        <v>218</v>
      </c>
      <c r="FC88" s="22" t="s">
        <v>218</v>
      </c>
      <c r="FD88" s="22" t="s">
        <v>218</v>
      </c>
      <c r="FE88" s="22" t="s">
        <v>218</v>
      </c>
      <c r="FF88" s="22" t="s">
        <v>218</v>
      </c>
      <c r="FG88" s="22" t="s">
        <v>218</v>
      </c>
      <c r="FH88" s="22" t="s">
        <v>218</v>
      </c>
      <c r="FI88" s="22" t="s">
        <v>218</v>
      </c>
      <c r="FJ88" s="22" t="s">
        <v>218</v>
      </c>
      <c r="FK88" s="22" t="s">
        <v>218</v>
      </c>
      <c r="FL88" s="22" t="s">
        <v>218</v>
      </c>
      <c r="FM88" s="22" t="s">
        <v>218</v>
      </c>
      <c r="FN88" s="22" t="s">
        <v>218</v>
      </c>
      <c r="FO88" s="22" t="s">
        <v>218</v>
      </c>
      <c r="FP88" s="22" t="s">
        <v>218</v>
      </c>
      <c r="FQ88" s="22" t="s">
        <v>218</v>
      </c>
      <c r="FR88" s="22" t="s">
        <v>218</v>
      </c>
      <c r="FS88" s="22" t="s">
        <v>218</v>
      </c>
      <c r="FT88" s="22" t="s">
        <v>218</v>
      </c>
      <c r="FU88" s="22" t="s">
        <v>218</v>
      </c>
      <c r="FV88" s="22" t="s">
        <v>218</v>
      </c>
      <c r="FW88" s="22" t="s">
        <v>218</v>
      </c>
      <c r="FX88" s="22" t="s">
        <v>218</v>
      </c>
      <c r="FY88" s="22" t="s">
        <v>218</v>
      </c>
      <c r="FZ88" s="22" t="s">
        <v>218</v>
      </c>
      <c r="GA88" s="22" t="s">
        <v>218</v>
      </c>
      <c r="GB88" s="22" t="s">
        <v>218</v>
      </c>
      <c r="GC88" s="22" t="s">
        <v>218</v>
      </c>
      <c r="GD88" s="22" t="s">
        <v>218</v>
      </c>
      <c r="GE88" s="22" t="s">
        <v>218</v>
      </c>
      <c r="GF88" s="22" t="s">
        <v>218</v>
      </c>
      <c r="GG88" s="22" t="s">
        <v>218</v>
      </c>
      <c r="GH88" s="22" t="s">
        <v>218</v>
      </c>
      <c r="GI88" s="22" t="s">
        <v>218</v>
      </c>
      <c r="GJ88" s="22" t="s">
        <v>218</v>
      </c>
      <c r="GK88" s="22" t="s">
        <v>218</v>
      </c>
      <c r="GL88" s="22" t="s">
        <v>218</v>
      </c>
      <c r="GM88" s="22" t="s">
        <v>218</v>
      </c>
      <c r="GN88" s="22" t="s">
        <v>218</v>
      </c>
      <c r="GO88" s="22" t="s">
        <v>218</v>
      </c>
      <c r="GP88" s="22" t="s">
        <v>218</v>
      </c>
      <c r="GQ88" s="22" t="s">
        <v>218</v>
      </c>
      <c r="GR88" s="22" t="s">
        <v>218</v>
      </c>
      <c r="GS88" s="22" t="s">
        <v>218</v>
      </c>
      <c r="GT88" s="22" t="s">
        <v>218</v>
      </c>
      <c r="GU88" s="22" t="s">
        <v>218</v>
      </c>
      <c r="GV88" s="22" t="s">
        <v>218</v>
      </c>
      <c r="GW88" s="22" t="s">
        <v>218</v>
      </c>
      <c r="GX88" s="22" t="s">
        <v>218</v>
      </c>
      <c r="GY88" s="22" t="s">
        <v>218</v>
      </c>
      <c r="GZ88" s="22" t="s">
        <v>218</v>
      </c>
      <c r="HA88" s="22" t="s">
        <v>218</v>
      </c>
      <c r="HB88" s="22" t="s">
        <v>218</v>
      </c>
      <c r="HC88" s="22" t="s">
        <v>218</v>
      </c>
      <c r="HD88" s="22" t="s">
        <v>218</v>
      </c>
      <c r="HE88" s="22" t="s">
        <v>218</v>
      </c>
      <c r="HF88" s="22" t="s">
        <v>218</v>
      </c>
      <c r="HG88" s="22" t="s">
        <v>218</v>
      </c>
      <c r="HH88" s="22" t="s">
        <v>218</v>
      </c>
      <c r="HI88" s="22" t="s">
        <v>218</v>
      </c>
      <c r="HJ88" s="22" t="s">
        <v>218</v>
      </c>
      <c r="HK88" s="22" t="s">
        <v>218</v>
      </c>
      <c r="HL88" s="22" t="s">
        <v>218</v>
      </c>
      <c r="HM88" s="860"/>
      <c r="HN88" s="860"/>
      <c r="HO88" s="860"/>
      <c r="HP88" s="860"/>
      <c r="HQ88" s="860"/>
      <c r="HR88" s="860"/>
      <c r="HS88" s="860"/>
      <c r="HT88" s="145"/>
      <c r="HU88" s="145" t="s">
        <v>1809</v>
      </c>
      <c r="HV88" s="22" t="s">
        <v>1926</v>
      </c>
      <c r="HW88" s="22" t="s">
        <v>218</v>
      </c>
      <c r="HX88" s="22" t="s">
        <v>218</v>
      </c>
      <c r="HY88" s="22" t="s">
        <v>218</v>
      </c>
      <c r="HZ88" s="19"/>
      <c r="IA88" s="19"/>
      <c r="IB88" s="621">
        <f>'background data'!$G$10</f>
        <v>0.47300000000000003</v>
      </c>
      <c r="IC88" s="621">
        <f>'background data'!$H$10</f>
        <v>0.13</v>
      </c>
      <c r="ID88" s="621">
        <f>'background data'!$J$10</f>
        <v>0.39100000000000001</v>
      </c>
      <c r="IE88" s="621">
        <f>'background data'!$L$10</f>
        <v>5.5E-2</v>
      </c>
      <c r="IF88" s="621">
        <f>'background data'!$M$10</f>
        <v>3.97</v>
      </c>
      <c r="IG88" s="621">
        <f>'background data'!$N$10</f>
        <v>4.5999999999999999E-3</v>
      </c>
      <c r="IH88" s="621">
        <f>'background data'!$O$10</f>
        <v>2.73</v>
      </c>
      <c r="II88" s="145"/>
      <c r="IJ88" s="145"/>
      <c r="IK88" s="145"/>
      <c r="IL88" s="145"/>
      <c r="IM88" s="145"/>
      <c r="IN88" s="145"/>
      <c r="IO88" s="145"/>
      <c r="IP88" s="145"/>
      <c r="IQ88" s="145"/>
      <c r="IR88" s="145"/>
      <c r="IS88" s="145"/>
      <c r="IT88" s="145"/>
      <c r="IU88" s="145"/>
      <c r="IV88" s="145"/>
      <c r="IW88" s="145"/>
      <c r="IX88" s="145"/>
      <c r="IY88" s="145"/>
      <c r="IZ88" s="145"/>
      <c r="JA88" s="145"/>
      <c r="JB88" s="145"/>
      <c r="JC88" s="145"/>
      <c r="JD88" s="145"/>
      <c r="JE88" s="145"/>
      <c r="JF88" s="145"/>
      <c r="JG88" s="145"/>
      <c r="JH88" s="145"/>
      <c r="JI88" s="145"/>
      <c r="JJ88" s="145"/>
      <c r="JK88" s="145"/>
      <c r="JL88" s="145"/>
      <c r="JM88" s="145"/>
      <c r="JN88" s="145"/>
      <c r="JO88" s="145"/>
      <c r="JP88" s="145"/>
      <c r="JQ88" s="145"/>
      <c r="JR88" s="145"/>
      <c r="JS88" s="145"/>
      <c r="JT88" s="145"/>
      <c r="JU88" s="145"/>
      <c r="JV88" s="145"/>
      <c r="JW88" s="145"/>
      <c r="JX88" s="145"/>
      <c r="JY88" s="145"/>
      <c r="JZ88" s="145"/>
      <c r="KA88" s="145"/>
      <c r="KB88" s="145"/>
      <c r="KC88" s="145"/>
      <c r="KD88" s="145"/>
      <c r="KE88" s="145"/>
      <c r="KF88" s="145"/>
      <c r="KG88" s="145"/>
      <c r="KH88" s="145"/>
      <c r="KI88" s="145"/>
      <c r="KJ88" s="145"/>
      <c r="KK88" s="145"/>
      <c r="KL88" s="145"/>
      <c r="KM88" s="145"/>
      <c r="KN88" s="145"/>
      <c r="KO88" s="145"/>
      <c r="KP88" s="145"/>
      <c r="KQ88" s="145"/>
      <c r="KR88" s="145"/>
      <c r="KS88" s="145"/>
      <c r="KT88" s="145"/>
      <c r="KU88" s="145"/>
      <c r="KV88" s="145"/>
      <c r="KW88" s="145"/>
      <c r="KX88" s="145"/>
      <c r="KY88" s="145"/>
      <c r="KZ88" s="145"/>
      <c r="LA88" s="145"/>
      <c r="LB88" s="145"/>
      <c r="LC88" s="145"/>
      <c r="LD88" s="145"/>
      <c r="LE88" s="145"/>
      <c r="LF88" s="145"/>
      <c r="LG88" s="145"/>
      <c r="LH88" s="145"/>
      <c r="LI88" s="145"/>
      <c r="LJ88" s="145"/>
      <c r="LK88" s="145"/>
      <c r="LL88" s="145"/>
      <c r="LM88" s="145"/>
      <c r="LN88" s="145"/>
      <c r="LO88" s="145"/>
      <c r="LP88" s="145"/>
      <c r="LQ88" s="145"/>
      <c r="LR88" s="145"/>
      <c r="LS88" s="145"/>
      <c r="LT88" s="145"/>
      <c r="LU88" s="145"/>
      <c r="LV88" s="145"/>
      <c r="LW88" s="145"/>
      <c r="LX88" s="145"/>
      <c r="LY88" s="145"/>
      <c r="LZ88" s="145"/>
      <c r="MA88" s="145"/>
      <c r="MB88" s="145"/>
      <c r="MC88" s="145"/>
      <c r="MD88" s="145"/>
      <c r="ME88" s="145"/>
      <c r="MF88" s="145"/>
      <c r="MG88" s="145"/>
      <c r="MH88" s="145"/>
      <c r="MI88" s="145"/>
      <c r="MJ88" s="145"/>
      <c r="MK88" s="145"/>
      <c r="ML88" s="145"/>
      <c r="MM88" s="145"/>
      <c r="MN88" s="145"/>
      <c r="MO88" s="145"/>
      <c r="MP88" s="145"/>
      <c r="MQ88" s="145"/>
      <c r="MR88" s="145"/>
      <c r="MS88" s="145"/>
      <c r="MT88" s="145"/>
      <c r="MU88" s="145"/>
      <c r="MV88" s="145"/>
      <c r="MW88" s="145"/>
      <c r="MX88" s="145"/>
      <c r="MY88" s="145"/>
      <c r="MZ88" s="145"/>
      <c r="NA88" s="145"/>
      <c r="NB88" s="145"/>
      <c r="NC88" s="145"/>
      <c r="ND88" s="145"/>
      <c r="NE88" s="145"/>
      <c r="NF88" s="145"/>
      <c r="NG88" s="145"/>
      <c r="NH88" s="145"/>
      <c r="NI88" s="145"/>
      <c r="NJ88" s="145"/>
      <c r="NK88" s="145"/>
      <c r="NL88" s="145"/>
      <c r="NM88" s="145"/>
      <c r="NN88" s="145"/>
      <c r="NO88" s="145"/>
      <c r="NP88" s="145"/>
      <c r="NQ88" s="145"/>
      <c r="NR88" s="145"/>
      <c r="NS88" s="145"/>
    </row>
    <row r="89" spans="1:383" s="16" customFormat="1" ht="15" customHeight="1" x14ac:dyDescent="0.2">
      <c r="A89" s="15">
        <v>51000</v>
      </c>
      <c r="B89" s="25">
        <v>510</v>
      </c>
      <c r="C89" s="26">
        <v>0</v>
      </c>
      <c r="D89" s="20" t="s">
        <v>370</v>
      </c>
      <c r="E89" s="14">
        <v>42683</v>
      </c>
      <c r="F89" s="18">
        <v>1.1393234378532799</v>
      </c>
      <c r="G89" s="18">
        <v>1.1230089236790399</v>
      </c>
      <c r="H89" s="21">
        <v>90.8</v>
      </c>
      <c r="I89" s="21">
        <v>86.000039599999994</v>
      </c>
      <c r="J89" s="21">
        <v>93</v>
      </c>
      <c r="K89" s="18">
        <v>1</v>
      </c>
      <c r="L89" s="18">
        <v>85</v>
      </c>
      <c r="M89" s="18">
        <v>9.8999999999999897</v>
      </c>
      <c r="N89" s="18">
        <v>2.1</v>
      </c>
      <c r="O89" s="18">
        <v>1.5</v>
      </c>
      <c r="P89" s="18">
        <v>2.7</v>
      </c>
      <c r="Q89" s="19"/>
      <c r="R89" s="18">
        <v>83.663555300952396</v>
      </c>
      <c r="S89" s="18">
        <v>50</v>
      </c>
      <c r="T89" s="18">
        <v>54</v>
      </c>
      <c r="U89" s="18">
        <v>56</v>
      </c>
      <c r="V89" s="18">
        <v>57</v>
      </c>
      <c r="W89" s="18">
        <v>58</v>
      </c>
      <c r="X89" s="18"/>
      <c r="Y89" s="18">
        <v>0.43529411764705883</v>
      </c>
      <c r="Z89" s="18">
        <v>3.2941176470588234</v>
      </c>
      <c r="AA89" s="18">
        <v>0.1</v>
      </c>
      <c r="AB89" s="18">
        <v>1</v>
      </c>
      <c r="AC89" s="18">
        <v>5.8</v>
      </c>
      <c r="AD89" s="18">
        <v>1.2</v>
      </c>
      <c r="AE89" s="18">
        <v>1.3</v>
      </c>
      <c r="AF89" s="18">
        <v>32</v>
      </c>
      <c r="AG89" s="18">
        <v>3.2</v>
      </c>
      <c r="AH89" s="18">
        <v>29</v>
      </c>
      <c r="AI89" s="18">
        <v>40</v>
      </c>
      <c r="AJ89" s="18">
        <v>0</v>
      </c>
      <c r="AK89" s="18">
        <v>6.0000000000000123E-2</v>
      </c>
      <c r="AL89" s="18"/>
      <c r="AM89" s="18">
        <v>2.9030935294117701</v>
      </c>
      <c r="AN89" s="18">
        <v>1.5375035294117601</v>
      </c>
      <c r="AO89" s="18">
        <v>2.3079347058823498</v>
      </c>
      <c r="AP89" s="18">
        <v>2.8916517647058799</v>
      </c>
      <c r="AQ89" s="18">
        <v>1.34148882352941</v>
      </c>
      <c r="AR89" s="18">
        <v>3.3452023529411798</v>
      </c>
      <c r="AS89" s="18">
        <v>6.6590935294117601</v>
      </c>
      <c r="AT89" s="18">
        <v>2.2747205882352901</v>
      </c>
      <c r="AU89" s="18">
        <v>4.4124194117647102</v>
      </c>
      <c r="AV89" s="18">
        <v>2.7541000000000002</v>
      </c>
      <c r="AW89" s="18">
        <v>4.2787847058823498</v>
      </c>
      <c r="AX89" s="18"/>
      <c r="AY89" s="18">
        <v>0.92</v>
      </c>
      <c r="AZ89" s="18">
        <v>1</v>
      </c>
      <c r="BA89" s="18">
        <v>0.98</v>
      </c>
      <c r="BB89" s="18">
        <v>0.93</v>
      </c>
      <c r="BC89" s="18">
        <v>0.99</v>
      </c>
      <c r="BD89" s="18">
        <v>0.99</v>
      </c>
      <c r="BE89" s="18">
        <v>1</v>
      </c>
      <c r="BF89" s="18">
        <v>0.99</v>
      </c>
      <c r="BG89" s="18">
        <v>1.02</v>
      </c>
      <c r="BH89" s="18">
        <v>1</v>
      </c>
      <c r="BI89" s="18">
        <v>0.96</v>
      </c>
      <c r="BJ89" s="19"/>
      <c r="BK89" s="18">
        <v>11.647058823529401</v>
      </c>
      <c r="BL89" s="18">
        <v>2.4705882352941178</v>
      </c>
      <c r="BM89" s="18">
        <v>1.7647058823529411</v>
      </c>
      <c r="BN89" s="18">
        <v>3.1764705882352939</v>
      </c>
      <c r="BO89" s="18"/>
      <c r="BP89" s="18">
        <v>105</v>
      </c>
      <c r="BQ89" s="18">
        <v>25.941176470588353</v>
      </c>
      <c r="BR89" s="18">
        <v>1.3403805151215058</v>
      </c>
      <c r="BS89" s="18">
        <v>1.3211869690341647</v>
      </c>
      <c r="BT89" s="19"/>
      <c r="BU89" s="18">
        <v>982.35294117647061</v>
      </c>
      <c r="BV89" s="18">
        <v>694.66274060504236</v>
      </c>
      <c r="BW89" s="18">
        <v>67.360788806722709</v>
      </c>
      <c r="BX89" s="18">
        <v>670</v>
      </c>
      <c r="BY89" s="18">
        <v>18.999999999999996</v>
      </c>
      <c r="BZ89" s="18">
        <v>25</v>
      </c>
      <c r="CA89" s="18">
        <v>113</v>
      </c>
      <c r="CB89" s="19"/>
      <c r="CC89" s="19">
        <v>0.37</v>
      </c>
      <c r="CD89" s="19">
        <v>2.8</v>
      </c>
      <c r="CE89" s="19">
        <v>8.5000000000000006E-2</v>
      </c>
      <c r="CF89" s="19">
        <v>0.85</v>
      </c>
      <c r="CG89" s="19">
        <v>4.93</v>
      </c>
      <c r="CH89" s="19">
        <v>1.02</v>
      </c>
      <c r="CI89" s="19">
        <v>1.105</v>
      </c>
      <c r="CJ89" s="19"/>
      <c r="CK89" s="19">
        <v>27.2</v>
      </c>
      <c r="CL89" s="19">
        <v>2.72</v>
      </c>
      <c r="CM89" s="19">
        <v>24.65</v>
      </c>
      <c r="CN89" s="19">
        <v>34</v>
      </c>
      <c r="CO89" s="19">
        <v>0</v>
      </c>
      <c r="CP89" s="19">
        <v>5.1000000000000101E-2</v>
      </c>
      <c r="CQ89" s="19">
        <v>82.826919747942796</v>
      </c>
      <c r="CR89" s="19">
        <v>72.698337448412175</v>
      </c>
      <c r="CS89" s="19">
        <v>1.9416606720183973</v>
      </c>
      <c r="CT89" s="19">
        <v>1.1177395040930114</v>
      </c>
      <c r="CU89" s="19">
        <v>1.6442735573599407</v>
      </c>
      <c r="CV89" s="19">
        <v>2.762013061452961</v>
      </c>
      <c r="CW89" s="19">
        <v>1.9550299646971208</v>
      </c>
      <c r="CX89" s="19">
        <v>0.96548767104452948</v>
      </c>
      <c r="CY89" s="19">
        <v>2.4075874299246633</v>
      </c>
      <c r="CZ89" s="19">
        <v>4.8410502850171406</v>
      </c>
      <c r="DA89" s="19">
        <v>1.6371472087513592</v>
      </c>
      <c r="DB89" s="19">
        <v>3.2719106646760259</v>
      </c>
      <c r="DC89" s="19">
        <v>2.0021849116667174</v>
      </c>
      <c r="DD89" s="19">
        <v>5.2740955763427522</v>
      </c>
      <c r="DE89" s="19">
        <v>2.9861811304064672</v>
      </c>
      <c r="DF89" s="23">
        <v>0</v>
      </c>
      <c r="DG89" s="23">
        <v>0</v>
      </c>
      <c r="DH89" s="23">
        <v>0</v>
      </c>
      <c r="DI89" s="19">
        <v>0</v>
      </c>
      <c r="DJ89" s="19">
        <v>0</v>
      </c>
      <c r="DK89" s="19">
        <v>0</v>
      </c>
      <c r="DL89" s="19">
        <v>0</v>
      </c>
      <c r="DM89" s="19">
        <v>0</v>
      </c>
      <c r="DN89" s="19">
        <v>0</v>
      </c>
      <c r="DO89" s="19">
        <v>0</v>
      </c>
      <c r="DP89" s="19">
        <v>0</v>
      </c>
      <c r="DQ89" s="19">
        <v>0</v>
      </c>
      <c r="DR89" s="19">
        <v>0</v>
      </c>
      <c r="DS89" s="19">
        <v>0</v>
      </c>
      <c r="DT89" s="19">
        <v>0</v>
      </c>
      <c r="DU89" s="19">
        <v>0</v>
      </c>
      <c r="DV89" s="19">
        <v>0</v>
      </c>
      <c r="DW89" s="17" t="s">
        <v>371</v>
      </c>
      <c r="DX89" s="22" t="s">
        <v>218</v>
      </c>
      <c r="DY89" s="22">
        <v>32</v>
      </c>
      <c r="DZ89" s="22">
        <v>16</v>
      </c>
      <c r="EA89" s="22">
        <v>16</v>
      </c>
      <c r="EB89" s="22" t="s">
        <v>218</v>
      </c>
      <c r="EC89" s="22">
        <v>16</v>
      </c>
      <c r="ED89" s="22">
        <v>16</v>
      </c>
      <c r="EE89" s="22" t="s">
        <v>218</v>
      </c>
      <c r="EF89" s="22">
        <v>16</v>
      </c>
      <c r="EG89" s="22">
        <v>16</v>
      </c>
      <c r="EH89" s="22" t="s">
        <v>218</v>
      </c>
      <c r="EI89" s="22" t="s">
        <v>218</v>
      </c>
      <c r="EJ89" s="22" t="s">
        <v>218</v>
      </c>
      <c r="EK89" s="22" t="s">
        <v>218</v>
      </c>
      <c r="EL89" s="22" t="s">
        <v>218</v>
      </c>
      <c r="EM89" s="22" t="s">
        <v>218</v>
      </c>
      <c r="EN89" s="22" t="s">
        <v>218</v>
      </c>
      <c r="EO89" s="22" t="s">
        <v>218</v>
      </c>
      <c r="EP89" s="22" t="s">
        <v>218</v>
      </c>
      <c r="EQ89" s="22" t="s">
        <v>218</v>
      </c>
      <c r="ER89" s="22" t="s">
        <v>218</v>
      </c>
      <c r="ES89" s="22">
        <v>16</v>
      </c>
      <c r="ET89" s="22">
        <v>32</v>
      </c>
      <c r="EU89" s="22" t="s">
        <v>218</v>
      </c>
      <c r="EV89" s="22" t="s">
        <v>218</v>
      </c>
      <c r="EW89" s="22" t="s">
        <v>218</v>
      </c>
      <c r="EX89" s="22" t="s">
        <v>218</v>
      </c>
      <c r="EY89" s="22" t="s">
        <v>218</v>
      </c>
      <c r="EZ89" s="22" t="s">
        <v>218</v>
      </c>
      <c r="FA89" s="22" t="s">
        <v>218</v>
      </c>
      <c r="FB89" s="22" t="s">
        <v>218</v>
      </c>
      <c r="FC89" s="22" t="s">
        <v>218</v>
      </c>
      <c r="FD89" s="22" t="s">
        <v>218</v>
      </c>
      <c r="FE89" s="22" t="s">
        <v>218</v>
      </c>
      <c r="FF89" s="22" t="s">
        <v>218</v>
      </c>
      <c r="FG89" s="22">
        <v>0.6</v>
      </c>
      <c r="FH89" s="22">
        <v>0.3</v>
      </c>
      <c r="FI89" s="22">
        <v>0.1</v>
      </c>
      <c r="FJ89" s="22" t="s">
        <v>218</v>
      </c>
      <c r="FK89" s="22">
        <v>0.9</v>
      </c>
      <c r="FL89" s="22">
        <v>1.1000000000000001</v>
      </c>
      <c r="FM89" s="22" t="s">
        <v>218</v>
      </c>
      <c r="FN89" s="22">
        <v>1.9</v>
      </c>
      <c r="FO89" s="22">
        <v>1.6</v>
      </c>
      <c r="FP89" s="22" t="s">
        <v>218</v>
      </c>
      <c r="FQ89" s="22" t="s">
        <v>218</v>
      </c>
      <c r="FR89" s="22" t="s">
        <v>218</v>
      </c>
      <c r="FS89" s="22" t="s">
        <v>218</v>
      </c>
      <c r="FT89" s="22" t="s">
        <v>218</v>
      </c>
      <c r="FU89" s="22" t="s">
        <v>218</v>
      </c>
      <c r="FV89" s="22" t="s">
        <v>218</v>
      </c>
      <c r="FW89" s="22" t="s">
        <v>218</v>
      </c>
      <c r="FX89" s="22" t="s">
        <v>218</v>
      </c>
      <c r="FY89" s="22" t="s">
        <v>218</v>
      </c>
      <c r="FZ89" s="22" t="s">
        <v>218</v>
      </c>
      <c r="GA89" s="22">
        <v>0.1</v>
      </c>
      <c r="GB89" s="22">
        <v>0.3</v>
      </c>
      <c r="GC89" s="22" t="s">
        <v>218</v>
      </c>
      <c r="GD89" s="22" t="s">
        <v>218</v>
      </c>
      <c r="GE89" s="22" t="s">
        <v>218</v>
      </c>
      <c r="GF89" s="22" t="s">
        <v>218</v>
      </c>
      <c r="GG89" s="22" t="s">
        <v>218</v>
      </c>
      <c r="GH89" s="22" t="s">
        <v>218</v>
      </c>
      <c r="GI89" s="22" t="s">
        <v>218</v>
      </c>
      <c r="GJ89" s="22" t="s">
        <v>218</v>
      </c>
      <c r="GK89" s="22" t="s">
        <v>218</v>
      </c>
      <c r="GL89" s="22" t="s">
        <v>218</v>
      </c>
      <c r="GM89" s="22" t="s">
        <v>218</v>
      </c>
      <c r="GN89" s="22" t="s">
        <v>218</v>
      </c>
      <c r="GO89" s="22">
        <v>2016</v>
      </c>
      <c r="GP89" s="22">
        <v>2016</v>
      </c>
      <c r="GQ89" s="22">
        <v>2016</v>
      </c>
      <c r="GR89" s="22" t="s">
        <v>218</v>
      </c>
      <c r="GS89" s="22">
        <v>2016</v>
      </c>
      <c r="GT89" s="22">
        <v>2016</v>
      </c>
      <c r="GU89" s="22" t="s">
        <v>218</v>
      </c>
      <c r="GV89" s="22">
        <v>2016</v>
      </c>
      <c r="GW89" s="22">
        <v>2016</v>
      </c>
      <c r="GX89" s="22" t="s">
        <v>218</v>
      </c>
      <c r="GY89" s="22" t="s">
        <v>218</v>
      </c>
      <c r="GZ89" s="22" t="s">
        <v>218</v>
      </c>
      <c r="HA89" s="22" t="s">
        <v>218</v>
      </c>
      <c r="HB89" s="22" t="s">
        <v>218</v>
      </c>
      <c r="HC89" s="22" t="s">
        <v>218</v>
      </c>
      <c r="HD89" s="22" t="s">
        <v>218</v>
      </c>
      <c r="HE89" s="22" t="s">
        <v>218</v>
      </c>
      <c r="HF89" s="22" t="s">
        <v>218</v>
      </c>
      <c r="HG89" s="22" t="s">
        <v>218</v>
      </c>
      <c r="HH89" s="22" t="s">
        <v>218</v>
      </c>
      <c r="HI89" s="22">
        <v>2016</v>
      </c>
      <c r="HJ89" s="22">
        <v>2016</v>
      </c>
      <c r="HK89" s="22" t="s">
        <v>218</v>
      </c>
      <c r="HL89" s="22" t="s">
        <v>218</v>
      </c>
      <c r="HM89" s="622">
        <f>'background data'!$G$10</f>
        <v>0.47300000000000003</v>
      </c>
      <c r="HN89" s="622">
        <f>'background data'!$H$10</f>
        <v>0.13</v>
      </c>
      <c r="HO89" s="622">
        <f>'background data'!$J$10</f>
        <v>0.39100000000000001</v>
      </c>
      <c r="HP89" s="622">
        <f>'background data'!$L$10</f>
        <v>5.5E-2</v>
      </c>
      <c r="HQ89" s="622">
        <f>'background data'!$M$10</f>
        <v>3.97</v>
      </c>
      <c r="HR89" s="622">
        <f>'background data'!$N$10</f>
        <v>4.5999999999999999E-3</v>
      </c>
      <c r="HS89" s="622">
        <f>'background data'!$O$10</f>
        <v>2.73</v>
      </c>
      <c r="HT89" s="145" t="s">
        <v>1797</v>
      </c>
      <c r="HU89" s="145" t="s">
        <v>1809</v>
      </c>
      <c r="HV89" s="22" t="s">
        <v>1396</v>
      </c>
      <c r="HW89" s="22" t="s">
        <v>372</v>
      </c>
      <c r="HX89" s="22" t="s">
        <v>373</v>
      </c>
      <c r="HY89" s="22" t="s">
        <v>374</v>
      </c>
      <c r="HZ89" s="19"/>
      <c r="IA89" s="19"/>
      <c r="IB89" s="622">
        <f>'background data'!$G$10</f>
        <v>0.47300000000000003</v>
      </c>
      <c r="IC89" s="622">
        <f>'background data'!$H$10</f>
        <v>0.13</v>
      </c>
      <c r="ID89" s="622">
        <f>'background data'!$J$10</f>
        <v>0.39100000000000001</v>
      </c>
      <c r="IE89" s="622">
        <f>'background data'!$L$10</f>
        <v>5.5E-2</v>
      </c>
      <c r="IF89" s="622">
        <f>'background data'!$M$10</f>
        <v>3.97</v>
      </c>
      <c r="IG89" s="622">
        <f>'background data'!$N$10</f>
        <v>4.5999999999999999E-3</v>
      </c>
      <c r="IH89" s="622">
        <f>'background data'!$O$10</f>
        <v>2.73</v>
      </c>
      <c r="II89" s="145" t="s">
        <v>1797</v>
      </c>
      <c r="IJ89" s="145" t="s">
        <v>1396</v>
      </c>
      <c r="IK89" s="145"/>
      <c r="IL89" s="145"/>
      <c r="IM89" s="145"/>
      <c r="IN89" s="145"/>
      <c r="IO89" s="145"/>
      <c r="IP89" s="145"/>
      <c r="IQ89" s="145"/>
      <c r="IR89" s="145"/>
      <c r="IS89" s="145"/>
      <c r="IT89" s="145"/>
      <c r="IU89" s="145"/>
      <c r="IV89" s="145"/>
      <c r="IW89" s="145"/>
      <c r="IX89" s="145"/>
      <c r="IY89" s="145"/>
      <c r="IZ89" s="145"/>
      <c r="JA89" s="145"/>
      <c r="JB89" s="145"/>
      <c r="JC89" s="145"/>
      <c r="JD89" s="145"/>
      <c r="JE89" s="145"/>
      <c r="JF89" s="145"/>
      <c r="JG89" s="145"/>
      <c r="JH89" s="145"/>
      <c r="JI89" s="145"/>
      <c r="JJ89" s="145"/>
      <c r="JK89" s="145"/>
      <c r="JL89" s="145"/>
      <c r="JM89" s="145"/>
      <c r="JN89" s="145"/>
      <c r="JO89" s="145"/>
      <c r="JP89" s="145"/>
      <c r="JQ89" s="145"/>
      <c r="JR89" s="145"/>
      <c r="JS89" s="145"/>
      <c r="JT89" s="145"/>
      <c r="JU89" s="145"/>
      <c r="JV89" s="145"/>
      <c r="JW89" s="145"/>
      <c r="JX89" s="145"/>
      <c r="JY89" s="145"/>
      <c r="JZ89" s="145"/>
      <c r="KA89" s="145"/>
      <c r="KB89" s="145"/>
      <c r="KC89" s="145"/>
      <c r="KD89" s="145"/>
      <c r="KE89" s="145"/>
      <c r="KF89" s="145"/>
      <c r="KG89" s="145"/>
      <c r="KH89" s="145"/>
      <c r="KI89" s="145"/>
      <c r="KJ89" s="145"/>
      <c r="KK89" s="145"/>
      <c r="KL89" s="145"/>
      <c r="KM89" s="145"/>
      <c r="KN89" s="145"/>
      <c r="KO89" s="145"/>
      <c r="KP89" s="145"/>
      <c r="KQ89" s="145"/>
      <c r="KR89" s="145"/>
      <c r="KS89" s="145"/>
      <c r="KT89" s="145"/>
      <c r="KU89" s="145"/>
      <c r="KV89" s="145"/>
      <c r="KW89" s="145"/>
      <c r="KX89" s="145"/>
      <c r="KY89" s="145"/>
      <c r="KZ89" s="145"/>
      <c r="LA89" s="145"/>
      <c r="LB89" s="145"/>
      <c r="LC89" s="145"/>
      <c r="LD89" s="145"/>
      <c r="LE89" s="145"/>
      <c r="LF89" s="145"/>
      <c r="LG89" s="145"/>
      <c r="LH89" s="145"/>
      <c r="LI89" s="145"/>
      <c r="LJ89" s="145"/>
      <c r="LK89" s="145"/>
      <c r="LL89" s="145"/>
      <c r="LM89" s="145"/>
      <c r="LN89" s="145"/>
      <c r="LO89" s="145"/>
      <c r="LP89" s="145"/>
      <c r="LQ89" s="145"/>
      <c r="LR89" s="145"/>
      <c r="LS89" s="145"/>
      <c r="LT89" s="145"/>
      <c r="LU89" s="145"/>
      <c r="LV89" s="145"/>
      <c r="LW89" s="145"/>
      <c r="LX89" s="145"/>
      <c r="LY89" s="145"/>
      <c r="LZ89" s="145"/>
      <c r="MA89" s="145"/>
      <c r="MB89" s="145"/>
      <c r="MC89" s="145"/>
      <c r="MD89" s="145"/>
      <c r="ME89" s="145"/>
      <c r="MF89" s="145"/>
      <c r="MG89" s="145"/>
      <c r="MH89" s="145"/>
      <c r="MI89" s="145"/>
      <c r="MJ89" s="145"/>
      <c r="MK89" s="145"/>
      <c r="ML89" s="145"/>
      <c r="MM89" s="145"/>
      <c r="MN89" s="145"/>
      <c r="MO89" s="145"/>
      <c r="MP89" s="145"/>
      <c r="MQ89" s="145"/>
      <c r="MR89" s="145"/>
      <c r="MS89" s="145"/>
      <c r="MT89" s="145"/>
      <c r="MU89" s="145"/>
      <c r="MV89" s="145"/>
      <c r="MW89" s="145"/>
      <c r="MX89" s="145"/>
      <c r="MY89" s="145"/>
      <c r="MZ89" s="145"/>
      <c r="NA89" s="145"/>
      <c r="NB89" s="145"/>
      <c r="NC89" s="145"/>
      <c r="ND89" s="145"/>
      <c r="NE89" s="145"/>
      <c r="NF89" s="145"/>
      <c r="NG89" s="145"/>
      <c r="NH89" s="145"/>
      <c r="NI89" s="145"/>
      <c r="NJ89" s="145"/>
      <c r="NK89" s="145"/>
      <c r="NL89" s="145"/>
      <c r="NM89" s="145"/>
      <c r="NN89" s="145"/>
      <c r="NO89" s="145"/>
      <c r="NP89" s="145"/>
      <c r="NQ89" s="145"/>
      <c r="NR89" s="145"/>
      <c r="NS89" s="145"/>
    </row>
    <row r="90" spans="1:383" s="16" customFormat="1" ht="15" customHeight="1" x14ac:dyDescent="0.2">
      <c r="A90" s="15">
        <v>51001</v>
      </c>
      <c r="B90" s="25">
        <v>510</v>
      </c>
      <c r="C90" s="26">
        <v>1</v>
      </c>
      <c r="D90" s="20" t="s">
        <v>375</v>
      </c>
      <c r="E90" s="14">
        <v>42683</v>
      </c>
      <c r="F90" s="18">
        <v>1.1490208330333</v>
      </c>
      <c r="G90" s="18">
        <v>1.12982480714842</v>
      </c>
      <c r="H90" s="21">
        <v>90.8</v>
      </c>
      <c r="I90" s="21">
        <v>86.799987599999994</v>
      </c>
      <c r="J90" s="21">
        <v>93</v>
      </c>
      <c r="K90" s="18">
        <v>1</v>
      </c>
      <c r="L90" s="18">
        <v>85</v>
      </c>
      <c r="M90" s="18">
        <v>9.8999999999999897</v>
      </c>
      <c r="N90" s="18">
        <v>2.1</v>
      </c>
      <c r="O90" s="18">
        <v>1.5</v>
      </c>
      <c r="P90" s="18">
        <v>2.7</v>
      </c>
      <c r="Q90" s="19"/>
      <c r="R90" s="18">
        <v>84.299704424761899</v>
      </c>
      <c r="S90" s="18">
        <v>50</v>
      </c>
      <c r="T90" s="18">
        <v>54</v>
      </c>
      <c r="U90" s="18">
        <v>56</v>
      </c>
      <c r="V90" s="18">
        <v>57</v>
      </c>
      <c r="W90" s="18">
        <v>58</v>
      </c>
      <c r="X90" s="18"/>
      <c r="Y90" s="18">
        <v>0.43529411764705883</v>
      </c>
      <c r="Z90" s="18">
        <v>3.2941176470588234</v>
      </c>
      <c r="AA90" s="18">
        <v>0.1</v>
      </c>
      <c r="AB90" s="18">
        <v>1</v>
      </c>
      <c r="AC90" s="18">
        <v>5.8</v>
      </c>
      <c r="AD90" s="18">
        <v>1.2</v>
      </c>
      <c r="AE90" s="18">
        <v>1.3</v>
      </c>
      <c r="AF90" s="18">
        <v>32</v>
      </c>
      <c r="AG90" s="18">
        <v>3.2</v>
      </c>
      <c r="AH90" s="18">
        <v>29</v>
      </c>
      <c r="AI90" s="18">
        <v>40</v>
      </c>
      <c r="AJ90" s="18">
        <v>0</v>
      </c>
      <c r="AK90" s="18">
        <v>6.0000000000000123E-2</v>
      </c>
      <c r="AL90" s="18"/>
      <c r="AM90" s="18">
        <v>2.9030935294117701</v>
      </c>
      <c r="AN90" s="18">
        <v>1.5375035294117601</v>
      </c>
      <c r="AO90" s="18">
        <v>2.3079347058823498</v>
      </c>
      <c r="AP90" s="18">
        <v>2.8916517647058799</v>
      </c>
      <c r="AQ90" s="18">
        <v>1.34148882352941</v>
      </c>
      <c r="AR90" s="18">
        <v>3.3452023529411798</v>
      </c>
      <c r="AS90" s="18">
        <v>6.6590935294117601</v>
      </c>
      <c r="AT90" s="18">
        <v>2.2747205882352901</v>
      </c>
      <c r="AU90" s="18">
        <v>4.4124194117647102</v>
      </c>
      <c r="AV90" s="18">
        <v>2.7541000000000002</v>
      </c>
      <c r="AW90" s="18">
        <v>4.2787847058823498</v>
      </c>
      <c r="AX90" s="18"/>
      <c r="AY90" s="18">
        <v>0.92</v>
      </c>
      <c r="AZ90" s="18">
        <v>1</v>
      </c>
      <c r="BA90" s="18">
        <v>0.98</v>
      </c>
      <c r="BB90" s="18">
        <v>0.93</v>
      </c>
      <c r="BC90" s="18">
        <v>0.99</v>
      </c>
      <c r="BD90" s="18">
        <v>0.99</v>
      </c>
      <c r="BE90" s="18">
        <v>1</v>
      </c>
      <c r="BF90" s="18">
        <v>0.99</v>
      </c>
      <c r="BG90" s="18">
        <v>1.02</v>
      </c>
      <c r="BH90" s="18">
        <v>1</v>
      </c>
      <c r="BI90" s="18">
        <v>0.96</v>
      </c>
      <c r="BJ90" s="19"/>
      <c r="BK90" s="18">
        <v>11.647058823529401</v>
      </c>
      <c r="BL90" s="18">
        <v>2.4705882352941178</v>
      </c>
      <c r="BM90" s="18">
        <v>1.7647058823529411</v>
      </c>
      <c r="BN90" s="18">
        <v>3.1764705882352939</v>
      </c>
      <c r="BO90" s="18"/>
      <c r="BP90" s="18">
        <v>105</v>
      </c>
      <c r="BQ90" s="18">
        <v>25.941176470588353</v>
      </c>
      <c r="BR90" s="18">
        <v>1.3517892153332942</v>
      </c>
      <c r="BS90" s="18">
        <v>1.3292056554687295</v>
      </c>
      <c r="BT90" s="19"/>
      <c r="BU90" s="18">
        <v>982.35294117647061</v>
      </c>
      <c r="BV90" s="18">
        <v>705.88890161344466</v>
      </c>
      <c r="BW90" s="18">
        <v>56.134627798319407</v>
      </c>
      <c r="BX90" s="18">
        <v>670</v>
      </c>
      <c r="BY90" s="18">
        <v>18.999999999999996</v>
      </c>
      <c r="BZ90" s="18">
        <v>25</v>
      </c>
      <c r="CA90" s="18">
        <v>113</v>
      </c>
      <c r="CB90" s="19"/>
      <c r="CC90" s="19">
        <v>0.37</v>
      </c>
      <c r="CD90" s="19">
        <v>2.8</v>
      </c>
      <c r="CE90" s="19">
        <v>8.5000000000000006E-2</v>
      </c>
      <c r="CF90" s="19">
        <v>0.85</v>
      </c>
      <c r="CG90" s="19">
        <v>4.93</v>
      </c>
      <c r="CH90" s="19">
        <v>1.02</v>
      </c>
      <c r="CI90" s="19">
        <v>1.105</v>
      </c>
      <c r="CJ90" s="19"/>
      <c r="CK90" s="19">
        <v>27.2</v>
      </c>
      <c r="CL90" s="19">
        <v>2.72</v>
      </c>
      <c r="CM90" s="19">
        <v>24.65</v>
      </c>
      <c r="CN90" s="19">
        <v>34</v>
      </c>
      <c r="CO90" s="19">
        <v>0</v>
      </c>
      <c r="CP90" s="19">
        <v>5.1000000000000101E-2</v>
      </c>
      <c r="CQ90" s="19">
        <v>83.456707380514302</v>
      </c>
      <c r="CR90" s="19">
        <v>72.632893139280114</v>
      </c>
      <c r="CS90" s="19">
        <v>1.939912755274926</v>
      </c>
      <c r="CT90" s="19">
        <v>1.116733295530302</v>
      </c>
      <c r="CU90" s="19">
        <v>1.6427933536749328</v>
      </c>
      <c r="CV90" s="19">
        <v>2.7595266492052346</v>
      </c>
      <c r="CW90" s="19">
        <v>1.9532700126836049</v>
      </c>
      <c r="CX90" s="19">
        <v>0.96461852223280631</v>
      </c>
      <c r="CY90" s="19">
        <v>2.4054200778014088</v>
      </c>
      <c r="CZ90" s="19">
        <v>4.8366922872623563</v>
      </c>
      <c r="DA90" s="19">
        <v>1.6356734203294396</v>
      </c>
      <c r="DB90" s="19">
        <v>3.2689652337279798</v>
      </c>
      <c r="DC90" s="19">
        <v>2.0003825099489094</v>
      </c>
      <c r="DD90" s="19">
        <v>5.2693477436768985</v>
      </c>
      <c r="DE90" s="19">
        <v>2.9834929181600485</v>
      </c>
      <c r="DF90" s="23">
        <v>0</v>
      </c>
      <c r="DG90" s="23">
        <v>0</v>
      </c>
      <c r="DH90" s="23">
        <v>0</v>
      </c>
      <c r="DI90" s="19">
        <v>0</v>
      </c>
      <c r="DJ90" s="19">
        <v>0</v>
      </c>
      <c r="DK90" s="19">
        <v>0</v>
      </c>
      <c r="DL90" s="19">
        <v>0</v>
      </c>
      <c r="DM90" s="19">
        <v>0</v>
      </c>
      <c r="DN90" s="19">
        <v>0</v>
      </c>
      <c r="DO90" s="19">
        <v>0</v>
      </c>
      <c r="DP90" s="19">
        <v>0</v>
      </c>
      <c r="DQ90" s="19">
        <v>0</v>
      </c>
      <c r="DR90" s="19">
        <v>0</v>
      </c>
      <c r="DS90" s="19">
        <v>0</v>
      </c>
      <c r="DT90" s="19">
        <v>0</v>
      </c>
      <c r="DU90" s="19">
        <v>0</v>
      </c>
      <c r="DV90" s="19">
        <v>0</v>
      </c>
      <c r="DW90" s="17" t="s">
        <v>371</v>
      </c>
      <c r="DX90" s="22" t="s">
        <v>218</v>
      </c>
      <c r="DY90" s="22">
        <v>32</v>
      </c>
      <c r="DZ90" s="22">
        <v>16</v>
      </c>
      <c r="EA90" s="22">
        <v>16</v>
      </c>
      <c r="EB90" s="22" t="s">
        <v>218</v>
      </c>
      <c r="EC90" s="22">
        <v>16</v>
      </c>
      <c r="ED90" s="22">
        <v>16</v>
      </c>
      <c r="EE90" s="22" t="s">
        <v>218</v>
      </c>
      <c r="EF90" s="22">
        <v>16</v>
      </c>
      <c r="EG90" s="22">
        <v>16</v>
      </c>
      <c r="EH90" s="22" t="s">
        <v>218</v>
      </c>
      <c r="EI90" s="22" t="s">
        <v>218</v>
      </c>
      <c r="EJ90" s="22" t="s">
        <v>218</v>
      </c>
      <c r="EK90" s="22" t="s">
        <v>218</v>
      </c>
      <c r="EL90" s="22" t="s">
        <v>218</v>
      </c>
      <c r="EM90" s="22" t="s">
        <v>218</v>
      </c>
      <c r="EN90" s="22" t="s">
        <v>218</v>
      </c>
      <c r="EO90" s="22" t="s">
        <v>218</v>
      </c>
      <c r="EP90" s="22" t="s">
        <v>218</v>
      </c>
      <c r="EQ90" s="22" t="s">
        <v>218</v>
      </c>
      <c r="ER90" s="22" t="s">
        <v>218</v>
      </c>
      <c r="ES90" s="22">
        <v>16</v>
      </c>
      <c r="ET90" s="22">
        <v>32</v>
      </c>
      <c r="EU90" s="22" t="s">
        <v>218</v>
      </c>
      <c r="EV90" s="22" t="s">
        <v>218</v>
      </c>
      <c r="EW90" s="22" t="s">
        <v>218</v>
      </c>
      <c r="EX90" s="22" t="s">
        <v>218</v>
      </c>
      <c r="EY90" s="22" t="s">
        <v>218</v>
      </c>
      <c r="EZ90" s="22" t="s">
        <v>218</v>
      </c>
      <c r="FA90" s="22" t="s">
        <v>218</v>
      </c>
      <c r="FB90" s="22" t="s">
        <v>218</v>
      </c>
      <c r="FC90" s="22" t="s">
        <v>218</v>
      </c>
      <c r="FD90" s="22" t="s">
        <v>218</v>
      </c>
      <c r="FE90" s="22" t="s">
        <v>218</v>
      </c>
      <c r="FF90" s="22" t="s">
        <v>218</v>
      </c>
      <c r="FG90" s="22">
        <v>0.6</v>
      </c>
      <c r="FH90" s="22">
        <v>0.3</v>
      </c>
      <c r="FI90" s="22">
        <v>0.1</v>
      </c>
      <c r="FJ90" s="22" t="s">
        <v>218</v>
      </c>
      <c r="FK90" s="22">
        <v>0.9</v>
      </c>
      <c r="FL90" s="22">
        <v>1.1000000000000001</v>
      </c>
      <c r="FM90" s="22" t="s">
        <v>218</v>
      </c>
      <c r="FN90" s="22">
        <v>1.9</v>
      </c>
      <c r="FO90" s="22">
        <v>1.6</v>
      </c>
      <c r="FP90" s="22" t="s">
        <v>218</v>
      </c>
      <c r="FQ90" s="22" t="s">
        <v>218</v>
      </c>
      <c r="FR90" s="22" t="s">
        <v>218</v>
      </c>
      <c r="FS90" s="22" t="s">
        <v>218</v>
      </c>
      <c r="FT90" s="22" t="s">
        <v>218</v>
      </c>
      <c r="FU90" s="22" t="s">
        <v>218</v>
      </c>
      <c r="FV90" s="22" t="s">
        <v>218</v>
      </c>
      <c r="FW90" s="22" t="s">
        <v>218</v>
      </c>
      <c r="FX90" s="22" t="s">
        <v>218</v>
      </c>
      <c r="FY90" s="22" t="s">
        <v>218</v>
      </c>
      <c r="FZ90" s="22" t="s">
        <v>218</v>
      </c>
      <c r="GA90" s="22">
        <v>0.1</v>
      </c>
      <c r="GB90" s="22">
        <v>0.3</v>
      </c>
      <c r="GC90" s="22" t="s">
        <v>218</v>
      </c>
      <c r="GD90" s="22" t="s">
        <v>218</v>
      </c>
      <c r="GE90" s="22" t="s">
        <v>218</v>
      </c>
      <c r="GF90" s="22" t="s">
        <v>218</v>
      </c>
      <c r="GG90" s="22" t="s">
        <v>218</v>
      </c>
      <c r="GH90" s="22" t="s">
        <v>218</v>
      </c>
      <c r="GI90" s="22" t="s">
        <v>218</v>
      </c>
      <c r="GJ90" s="22" t="s">
        <v>218</v>
      </c>
      <c r="GK90" s="22" t="s">
        <v>218</v>
      </c>
      <c r="GL90" s="22" t="s">
        <v>218</v>
      </c>
      <c r="GM90" s="22" t="s">
        <v>218</v>
      </c>
      <c r="GN90" s="22" t="s">
        <v>218</v>
      </c>
      <c r="GO90" s="22">
        <v>2016</v>
      </c>
      <c r="GP90" s="22">
        <v>2016</v>
      </c>
      <c r="GQ90" s="22">
        <v>2016</v>
      </c>
      <c r="GR90" s="22" t="s">
        <v>218</v>
      </c>
      <c r="GS90" s="22">
        <v>2016</v>
      </c>
      <c r="GT90" s="22">
        <v>2016</v>
      </c>
      <c r="GU90" s="22" t="s">
        <v>218</v>
      </c>
      <c r="GV90" s="22">
        <v>2016</v>
      </c>
      <c r="GW90" s="22">
        <v>2016</v>
      </c>
      <c r="GX90" s="22" t="s">
        <v>218</v>
      </c>
      <c r="GY90" s="22" t="s">
        <v>218</v>
      </c>
      <c r="GZ90" s="22" t="s">
        <v>218</v>
      </c>
      <c r="HA90" s="22" t="s">
        <v>218</v>
      </c>
      <c r="HB90" s="22" t="s">
        <v>218</v>
      </c>
      <c r="HC90" s="22" t="s">
        <v>218</v>
      </c>
      <c r="HD90" s="22" t="s">
        <v>218</v>
      </c>
      <c r="HE90" s="22" t="s">
        <v>218</v>
      </c>
      <c r="HF90" s="22" t="s">
        <v>218</v>
      </c>
      <c r="HG90" s="22" t="s">
        <v>218</v>
      </c>
      <c r="HH90" s="22" t="s">
        <v>218</v>
      </c>
      <c r="HI90" s="22">
        <v>2016</v>
      </c>
      <c r="HJ90" s="22">
        <v>2016</v>
      </c>
      <c r="HK90" s="22" t="s">
        <v>218</v>
      </c>
      <c r="HL90" s="22" t="s">
        <v>218</v>
      </c>
      <c r="HM90" s="622">
        <f>'background data'!$G$10</f>
        <v>0.47300000000000003</v>
      </c>
      <c r="HN90" s="622">
        <f>'background data'!$H$10</f>
        <v>0.13</v>
      </c>
      <c r="HO90" s="622">
        <f>'background data'!$J$10</f>
        <v>0.39100000000000001</v>
      </c>
      <c r="HP90" s="622">
        <f>'background data'!$L$10</f>
        <v>5.5E-2</v>
      </c>
      <c r="HQ90" s="622">
        <f>'background data'!$M$10</f>
        <v>3.97</v>
      </c>
      <c r="HR90" s="622">
        <f>'background data'!$N$10</f>
        <v>4.5999999999999999E-3</v>
      </c>
      <c r="HS90" s="622">
        <f>'background data'!$O$10</f>
        <v>2.73</v>
      </c>
      <c r="HT90" s="145" t="s">
        <v>1797</v>
      </c>
      <c r="HU90" s="145" t="s">
        <v>1809</v>
      </c>
      <c r="HV90" s="22" t="s">
        <v>1396</v>
      </c>
      <c r="HW90" s="22" t="s">
        <v>376</v>
      </c>
      <c r="HX90" s="22" t="s">
        <v>373</v>
      </c>
      <c r="HY90" s="22" t="s">
        <v>374</v>
      </c>
      <c r="HZ90" s="19"/>
      <c r="IA90" s="19"/>
      <c r="IB90" s="622">
        <f>'background data'!$G$10</f>
        <v>0.47300000000000003</v>
      </c>
      <c r="IC90" s="622">
        <f>'background data'!$H$10</f>
        <v>0.13</v>
      </c>
      <c r="ID90" s="622">
        <f>'background data'!$J$10</f>
        <v>0.39100000000000001</v>
      </c>
      <c r="IE90" s="622">
        <f>'background data'!$L$10</f>
        <v>5.5E-2</v>
      </c>
      <c r="IF90" s="622">
        <f>'background data'!$M$10</f>
        <v>3.97</v>
      </c>
      <c r="IG90" s="622">
        <f>'background data'!$N$10</f>
        <v>4.5999999999999999E-3</v>
      </c>
      <c r="IH90" s="622">
        <f>'background data'!$O$10</f>
        <v>2.73</v>
      </c>
      <c r="II90" s="145" t="s">
        <v>1797</v>
      </c>
      <c r="IJ90" s="145" t="s">
        <v>1396</v>
      </c>
      <c r="IK90" s="145"/>
      <c r="IL90" s="145"/>
      <c r="IM90" s="145"/>
      <c r="IN90" s="145"/>
      <c r="IO90" s="145"/>
      <c r="IP90" s="145"/>
      <c r="IQ90" s="145"/>
      <c r="IR90" s="145"/>
      <c r="IS90" s="145"/>
      <c r="IT90" s="145"/>
      <c r="IU90" s="145"/>
      <c r="IV90" s="145"/>
      <c r="IW90" s="145"/>
      <c r="IX90" s="145"/>
      <c r="IY90" s="145"/>
      <c r="IZ90" s="145"/>
      <c r="JA90" s="145"/>
      <c r="JB90" s="145"/>
      <c r="JC90" s="145"/>
      <c r="JD90" s="145"/>
      <c r="JE90" s="145"/>
      <c r="JF90" s="145"/>
      <c r="JG90" s="145"/>
      <c r="JH90" s="145"/>
      <c r="JI90" s="145"/>
      <c r="JJ90" s="145"/>
      <c r="JK90" s="145"/>
      <c r="JL90" s="145"/>
      <c r="JM90" s="145"/>
      <c r="JN90" s="145"/>
      <c r="JO90" s="145"/>
      <c r="JP90" s="145"/>
      <c r="JQ90" s="145"/>
      <c r="JR90" s="145"/>
      <c r="JS90" s="145"/>
      <c r="JT90" s="145"/>
      <c r="JU90" s="145"/>
      <c r="JV90" s="145"/>
      <c r="JW90" s="145"/>
      <c r="JX90" s="145"/>
      <c r="JY90" s="145"/>
      <c r="JZ90" s="145"/>
      <c r="KA90" s="145"/>
      <c r="KB90" s="145"/>
      <c r="KC90" s="145"/>
      <c r="KD90" s="145"/>
      <c r="KE90" s="145"/>
      <c r="KF90" s="145"/>
      <c r="KG90" s="145"/>
      <c r="KH90" s="145"/>
      <c r="KI90" s="145"/>
      <c r="KJ90" s="145"/>
      <c r="KK90" s="145"/>
      <c r="KL90" s="145"/>
      <c r="KM90" s="145"/>
      <c r="KN90" s="145"/>
      <c r="KO90" s="145"/>
      <c r="KP90" s="145"/>
      <c r="KQ90" s="145"/>
      <c r="KR90" s="145"/>
      <c r="KS90" s="145"/>
      <c r="KT90" s="145"/>
      <c r="KU90" s="145"/>
      <c r="KV90" s="145"/>
      <c r="KW90" s="145"/>
      <c r="KX90" s="145"/>
      <c r="KY90" s="145"/>
      <c r="KZ90" s="145"/>
      <c r="LA90" s="145"/>
      <c r="LB90" s="145"/>
      <c r="LC90" s="145"/>
      <c r="LD90" s="145"/>
      <c r="LE90" s="145"/>
      <c r="LF90" s="145"/>
      <c r="LG90" s="145"/>
      <c r="LH90" s="145"/>
      <c r="LI90" s="145"/>
      <c r="LJ90" s="145"/>
      <c r="LK90" s="145"/>
      <c r="LL90" s="145"/>
      <c r="LM90" s="145"/>
      <c r="LN90" s="145"/>
      <c r="LO90" s="145"/>
      <c r="LP90" s="145"/>
      <c r="LQ90" s="145"/>
      <c r="LR90" s="145"/>
      <c r="LS90" s="145"/>
      <c r="LT90" s="145"/>
      <c r="LU90" s="145"/>
      <c r="LV90" s="145"/>
      <c r="LW90" s="145"/>
      <c r="LX90" s="145"/>
      <c r="LY90" s="145"/>
      <c r="LZ90" s="145"/>
      <c r="MA90" s="145"/>
      <c r="MB90" s="145"/>
      <c r="MC90" s="145"/>
      <c r="MD90" s="145"/>
      <c r="ME90" s="145"/>
      <c r="MF90" s="145"/>
      <c r="MG90" s="145"/>
      <c r="MH90" s="145"/>
      <c r="MI90" s="145"/>
      <c r="MJ90" s="145"/>
      <c r="MK90" s="145"/>
      <c r="ML90" s="145"/>
      <c r="MM90" s="145"/>
      <c r="MN90" s="145"/>
      <c r="MO90" s="145"/>
      <c r="MP90" s="145"/>
      <c r="MQ90" s="145"/>
      <c r="MR90" s="145"/>
      <c r="MS90" s="145"/>
      <c r="MT90" s="145"/>
      <c r="MU90" s="145"/>
      <c r="MV90" s="145"/>
      <c r="MW90" s="145"/>
      <c r="MX90" s="145"/>
      <c r="MY90" s="145"/>
      <c r="MZ90" s="145"/>
      <c r="NA90" s="145"/>
      <c r="NB90" s="145"/>
      <c r="NC90" s="145"/>
      <c r="ND90" s="145"/>
      <c r="NE90" s="145"/>
      <c r="NF90" s="145"/>
      <c r="NG90" s="145"/>
      <c r="NH90" s="145"/>
      <c r="NI90" s="145"/>
      <c r="NJ90" s="145"/>
      <c r="NK90" s="145"/>
      <c r="NL90" s="145"/>
      <c r="NM90" s="145"/>
      <c r="NN90" s="145"/>
      <c r="NO90" s="145"/>
      <c r="NP90" s="145"/>
      <c r="NQ90" s="145"/>
      <c r="NR90" s="145"/>
      <c r="NS90" s="145"/>
    </row>
    <row r="91" spans="1:383" s="16" customFormat="1" ht="15" customHeight="1" x14ac:dyDescent="0.2">
      <c r="A91" s="15">
        <v>51010</v>
      </c>
      <c r="B91" s="25">
        <v>510</v>
      </c>
      <c r="C91" s="26">
        <v>10</v>
      </c>
      <c r="D91" s="20" t="s">
        <v>377</v>
      </c>
      <c r="E91" s="14">
        <v>42683</v>
      </c>
      <c r="F91" s="18">
        <v>1.1393234378532799</v>
      </c>
      <c r="G91" s="18">
        <v>1.1230089236790399</v>
      </c>
      <c r="H91" s="21">
        <v>90.8</v>
      </c>
      <c r="I91" s="21">
        <v>86.000039599999994</v>
      </c>
      <c r="J91" s="21">
        <v>93</v>
      </c>
      <c r="K91" s="18">
        <v>1</v>
      </c>
      <c r="L91" s="18">
        <v>85</v>
      </c>
      <c r="M91" s="18">
        <v>9.8999999999999897</v>
      </c>
      <c r="N91" s="18">
        <v>2.1</v>
      </c>
      <c r="O91" s="18">
        <v>1.5</v>
      </c>
      <c r="P91" s="18">
        <v>2.7</v>
      </c>
      <c r="Q91" s="19"/>
      <c r="R91" s="18">
        <v>83.663555300952396</v>
      </c>
      <c r="S91" s="18">
        <v>28</v>
      </c>
      <c r="T91" s="18">
        <v>43</v>
      </c>
      <c r="U91" s="18">
        <v>48</v>
      </c>
      <c r="V91" s="18">
        <v>54</v>
      </c>
      <c r="W91" s="18">
        <v>57</v>
      </c>
      <c r="X91" s="18"/>
      <c r="Y91" s="18">
        <v>0.43529411764705883</v>
      </c>
      <c r="Z91" s="18">
        <v>3.2941176470588234</v>
      </c>
      <c r="AA91" s="18">
        <v>0.1</v>
      </c>
      <c r="AB91" s="18">
        <v>1</v>
      </c>
      <c r="AC91" s="18">
        <v>5.8</v>
      </c>
      <c r="AD91" s="18">
        <v>1.2</v>
      </c>
      <c r="AE91" s="18">
        <v>1.3</v>
      </c>
      <c r="AF91" s="18">
        <v>32</v>
      </c>
      <c r="AG91" s="18">
        <v>3.2</v>
      </c>
      <c r="AH91" s="18">
        <v>29</v>
      </c>
      <c r="AI91" s="18">
        <v>40</v>
      </c>
      <c r="AJ91" s="18">
        <v>0</v>
      </c>
      <c r="AK91" s="18">
        <v>6.0000000000000123E-2</v>
      </c>
      <c r="AL91" s="18"/>
      <c r="AM91" s="18">
        <v>2.9030935294117701</v>
      </c>
      <c r="AN91" s="18">
        <v>1.5375035294117601</v>
      </c>
      <c r="AO91" s="18">
        <v>2.3079347058823498</v>
      </c>
      <c r="AP91" s="18">
        <v>2.8916517647058799</v>
      </c>
      <c r="AQ91" s="18">
        <v>1.34148882352941</v>
      </c>
      <c r="AR91" s="18">
        <v>3.3452023529411798</v>
      </c>
      <c r="AS91" s="18">
        <v>6.6590935294117601</v>
      </c>
      <c r="AT91" s="18">
        <v>2.2747205882352901</v>
      </c>
      <c r="AU91" s="18">
        <v>4.4124194117647102</v>
      </c>
      <c r="AV91" s="18">
        <v>2.7541000000000002</v>
      </c>
      <c r="AW91" s="18">
        <v>4.2787847058823498</v>
      </c>
      <c r="AX91" s="18"/>
      <c r="AY91" s="18">
        <v>0.92</v>
      </c>
      <c r="AZ91" s="18">
        <v>1</v>
      </c>
      <c r="BA91" s="18">
        <v>0.98</v>
      </c>
      <c r="BB91" s="18">
        <v>0.93</v>
      </c>
      <c r="BC91" s="18">
        <v>0.99</v>
      </c>
      <c r="BD91" s="18">
        <v>0.99</v>
      </c>
      <c r="BE91" s="18">
        <v>1</v>
      </c>
      <c r="BF91" s="18">
        <v>0.99</v>
      </c>
      <c r="BG91" s="18">
        <v>1.02</v>
      </c>
      <c r="BH91" s="18">
        <v>1</v>
      </c>
      <c r="BI91" s="18">
        <v>0.96</v>
      </c>
      <c r="BJ91" s="19"/>
      <c r="BK91" s="18">
        <v>11.647058823529401</v>
      </c>
      <c r="BL91" s="18">
        <v>2.4705882352941178</v>
      </c>
      <c r="BM91" s="18">
        <v>1.7647058823529411</v>
      </c>
      <c r="BN91" s="18">
        <v>3.1764705882352939</v>
      </c>
      <c r="BO91" s="18"/>
      <c r="BP91" s="18">
        <v>105</v>
      </c>
      <c r="BQ91" s="18">
        <v>25.941176470588353</v>
      </c>
      <c r="BR91" s="18">
        <v>1.3403805151215058</v>
      </c>
      <c r="BS91" s="18">
        <v>1.3211869690341647</v>
      </c>
      <c r="BT91" s="19"/>
      <c r="BU91" s="18">
        <v>982.35294117647061</v>
      </c>
      <c r="BV91" s="18">
        <v>694.66274060504236</v>
      </c>
      <c r="BW91" s="18">
        <v>67.360788806722709</v>
      </c>
      <c r="BX91" s="18">
        <v>670</v>
      </c>
      <c r="BY91" s="18">
        <v>18.999999999999996</v>
      </c>
      <c r="BZ91" s="18">
        <v>25</v>
      </c>
      <c r="CA91" s="18">
        <v>113</v>
      </c>
      <c r="CB91" s="19"/>
      <c r="CC91" s="19">
        <v>0.37</v>
      </c>
      <c r="CD91" s="19">
        <v>2.8</v>
      </c>
      <c r="CE91" s="19">
        <v>8.5000000000000006E-2</v>
      </c>
      <c r="CF91" s="19">
        <v>0.85</v>
      </c>
      <c r="CG91" s="19">
        <v>4.93</v>
      </c>
      <c r="CH91" s="19">
        <v>1.02</v>
      </c>
      <c r="CI91" s="19">
        <v>1.105</v>
      </c>
      <c r="CJ91" s="19"/>
      <c r="CK91" s="19">
        <v>27.2</v>
      </c>
      <c r="CL91" s="19">
        <v>2.72</v>
      </c>
      <c r="CM91" s="19">
        <v>24.65</v>
      </c>
      <c r="CN91" s="19">
        <v>34</v>
      </c>
      <c r="CO91" s="19">
        <v>0</v>
      </c>
      <c r="CP91" s="19">
        <v>5.1000000000000101E-2</v>
      </c>
      <c r="CQ91" s="19">
        <v>82.826919747942796</v>
      </c>
      <c r="CR91" s="19">
        <v>72.698337448412175</v>
      </c>
      <c r="CS91" s="19">
        <v>1.9416606720183973</v>
      </c>
      <c r="CT91" s="19">
        <v>1.1177395040930114</v>
      </c>
      <c r="CU91" s="19">
        <v>1.6442735573599407</v>
      </c>
      <c r="CV91" s="19">
        <v>2.762013061452961</v>
      </c>
      <c r="CW91" s="19">
        <v>1.9550299646971208</v>
      </c>
      <c r="CX91" s="19">
        <v>0.96548767104452948</v>
      </c>
      <c r="CY91" s="19">
        <v>2.4075874299246633</v>
      </c>
      <c r="CZ91" s="19">
        <v>4.8410502850171406</v>
      </c>
      <c r="DA91" s="19">
        <v>1.6371472087513592</v>
      </c>
      <c r="DB91" s="19">
        <v>3.2719106646760259</v>
      </c>
      <c r="DC91" s="19">
        <v>2.0021849116667174</v>
      </c>
      <c r="DD91" s="19">
        <v>5.2740955763427522</v>
      </c>
      <c r="DE91" s="19">
        <v>2.9861811304064672</v>
      </c>
      <c r="DF91" s="23">
        <v>0</v>
      </c>
      <c r="DG91" s="23">
        <v>0</v>
      </c>
      <c r="DH91" s="23">
        <v>0</v>
      </c>
      <c r="DI91" s="19">
        <v>0</v>
      </c>
      <c r="DJ91" s="19">
        <v>0</v>
      </c>
      <c r="DK91" s="19">
        <v>0</v>
      </c>
      <c r="DL91" s="19">
        <v>0</v>
      </c>
      <c r="DM91" s="19">
        <v>0</v>
      </c>
      <c r="DN91" s="19">
        <v>0</v>
      </c>
      <c r="DO91" s="19">
        <v>0</v>
      </c>
      <c r="DP91" s="19">
        <v>0</v>
      </c>
      <c r="DQ91" s="19">
        <v>0</v>
      </c>
      <c r="DR91" s="19">
        <v>0</v>
      </c>
      <c r="DS91" s="19">
        <v>0</v>
      </c>
      <c r="DT91" s="19">
        <v>0</v>
      </c>
      <c r="DU91" s="19">
        <v>0</v>
      </c>
      <c r="DV91" s="19">
        <v>0</v>
      </c>
      <c r="DW91" s="17" t="s">
        <v>371</v>
      </c>
      <c r="DX91" s="22" t="s">
        <v>218</v>
      </c>
      <c r="DY91" s="22">
        <v>32</v>
      </c>
      <c r="DZ91" s="22">
        <v>16</v>
      </c>
      <c r="EA91" s="22">
        <v>16</v>
      </c>
      <c r="EB91" s="22" t="s">
        <v>218</v>
      </c>
      <c r="EC91" s="22">
        <v>16</v>
      </c>
      <c r="ED91" s="22">
        <v>16</v>
      </c>
      <c r="EE91" s="22" t="s">
        <v>218</v>
      </c>
      <c r="EF91" s="22">
        <v>16</v>
      </c>
      <c r="EG91" s="22">
        <v>16</v>
      </c>
      <c r="EH91" s="22" t="s">
        <v>218</v>
      </c>
      <c r="EI91" s="22" t="s">
        <v>218</v>
      </c>
      <c r="EJ91" s="22" t="s">
        <v>218</v>
      </c>
      <c r="EK91" s="22" t="s">
        <v>218</v>
      </c>
      <c r="EL91" s="22" t="s">
        <v>218</v>
      </c>
      <c r="EM91" s="22" t="s">
        <v>218</v>
      </c>
      <c r="EN91" s="22" t="s">
        <v>218</v>
      </c>
      <c r="EO91" s="22" t="s">
        <v>218</v>
      </c>
      <c r="EP91" s="22" t="s">
        <v>218</v>
      </c>
      <c r="EQ91" s="22" t="s">
        <v>218</v>
      </c>
      <c r="ER91" s="22" t="s">
        <v>218</v>
      </c>
      <c r="ES91" s="22">
        <v>16</v>
      </c>
      <c r="ET91" s="22">
        <v>32</v>
      </c>
      <c r="EU91" s="22" t="s">
        <v>218</v>
      </c>
      <c r="EV91" s="22" t="s">
        <v>218</v>
      </c>
      <c r="EW91" s="22" t="s">
        <v>218</v>
      </c>
      <c r="EX91" s="22" t="s">
        <v>218</v>
      </c>
      <c r="EY91" s="22" t="s">
        <v>218</v>
      </c>
      <c r="EZ91" s="22" t="s">
        <v>218</v>
      </c>
      <c r="FA91" s="22" t="s">
        <v>218</v>
      </c>
      <c r="FB91" s="22" t="s">
        <v>218</v>
      </c>
      <c r="FC91" s="22" t="s">
        <v>218</v>
      </c>
      <c r="FD91" s="22" t="s">
        <v>218</v>
      </c>
      <c r="FE91" s="22" t="s">
        <v>218</v>
      </c>
      <c r="FF91" s="22" t="s">
        <v>218</v>
      </c>
      <c r="FG91" s="22">
        <v>0.6</v>
      </c>
      <c r="FH91" s="22">
        <v>0.3</v>
      </c>
      <c r="FI91" s="22">
        <v>0.1</v>
      </c>
      <c r="FJ91" s="22" t="s">
        <v>218</v>
      </c>
      <c r="FK91" s="22">
        <v>0.9</v>
      </c>
      <c r="FL91" s="22">
        <v>1.1000000000000001</v>
      </c>
      <c r="FM91" s="22" t="s">
        <v>218</v>
      </c>
      <c r="FN91" s="22">
        <v>1.9</v>
      </c>
      <c r="FO91" s="22">
        <v>1.6</v>
      </c>
      <c r="FP91" s="22" t="s">
        <v>218</v>
      </c>
      <c r="FQ91" s="22" t="s">
        <v>218</v>
      </c>
      <c r="FR91" s="22" t="s">
        <v>218</v>
      </c>
      <c r="FS91" s="22" t="s">
        <v>218</v>
      </c>
      <c r="FT91" s="22" t="s">
        <v>218</v>
      </c>
      <c r="FU91" s="22" t="s">
        <v>218</v>
      </c>
      <c r="FV91" s="22" t="s">
        <v>218</v>
      </c>
      <c r="FW91" s="22" t="s">
        <v>218</v>
      </c>
      <c r="FX91" s="22" t="s">
        <v>218</v>
      </c>
      <c r="FY91" s="22" t="s">
        <v>218</v>
      </c>
      <c r="FZ91" s="22" t="s">
        <v>218</v>
      </c>
      <c r="GA91" s="22">
        <v>0.1</v>
      </c>
      <c r="GB91" s="22">
        <v>0.3</v>
      </c>
      <c r="GC91" s="22" t="s">
        <v>218</v>
      </c>
      <c r="GD91" s="22" t="s">
        <v>218</v>
      </c>
      <c r="GE91" s="22" t="s">
        <v>218</v>
      </c>
      <c r="GF91" s="22" t="s">
        <v>218</v>
      </c>
      <c r="GG91" s="22" t="s">
        <v>218</v>
      </c>
      <c r="GH91" s="22" t="s">
        <v>218</v>
      </c>
      <c r="GI91" s="22" t="s">
        <v>218</v>
      </c>
      <c r="GJ91" s="22" t="s">
        <v>218</v>
      </c>
      <c r="GK91" s="22" t="s">
        <v>218</v>
      </c>
      <c r="GL91" s="22" t="s">
        <v>218</v>
      </c>
      <c r="GM91" s="22" t="s">
        <v>218</v>
      </c>
      <c r="GN91" s="22" t="s">
        <v>218</v>
      </c>
      <c r="GO91" s="22">
        <v>2016</v>
      </c>
      <c r="GP91" s="22">
        <v>2016</v>
      </c>
      <c r="GQ91" s="22">
        <v>2016</v>
      </c>
      <c r="GR91" s="22" t="s">
        <v>218</v>
      </c>
      <c r="GS91" s="22">
        <v>2016</v>
      </c>
      <c r="GT91" s="22">
        <v>2016</v>
      </c>
      <c r="GU91" s="22" t="s">
        <v>218</v>
      </c>
      <c r="GV91" s="22">
        <v>2016</v>
      </c>
      <c r="GW91" s="22">
        <v>2016</v>
      </c>
      <c r="GX91" s="22" t="s">
        <v>218</v>
      </c>
      <c r="GY91" s="22" t="s">
        <v>218</v>
      </c>
      <c r="GZ91" s="22" t="s">
        <v>218</v>
      </c>
      <c r="HA91" s="22" t="s">
        <v>218</v>
      </c>
      <c r="HB91" s="22" t="s">
        <v>218</v>
      </c>
      <c r="HC91" s="22" t="s">
        <v>218</v>
      </c>
      <c r="HD91" s="22" t="s">
        <v>218</v>
      </c>
      <c r="HE91" s="22" t="s">
        <v>218</v>
      </c>
      <c r="HF91" s="22" t="s">
        <v>218</v>
      </c>
      <c r="HG91" s="22" t="s">
        <v>218</v>
      </c>
      <c r="HH91" s="22" t="s">
        <v>218</v>
      </c>
      <c r="HI91" s="22">
        <v>2016</v>
      </c>
      <c r="HJ91" s="22">
        <v>2016</v>
      </c>
      <c r="HK91" s="22" t="s">
        <v>218</v>
      </c>
      <c r="HL91" s="22" t="s">
        <v>218</v>
      </c>
      <c r="HM91" s="622">
        <f>'background data'!$G$10</f>
        <v>0.47300000000000003</v>
      </c>
      <c r="HN91" s="622">
        <f>'background data'!$H$10</f>
        <v>0.13</v>
      </c>
      <c r="HO91" s="622">
        <f>'background data'!$J$10</f>
        <v>0.39100000000000001</v>
      </c>
      <c r="HP91" s="622">
        <f>'background data'!$L$10</f>
        <v>5.5E-2</v>
      </c>
      <c r="HQ91" s="622">
        <f>'background data'!$M$10</f>
        <v>3.97</v>
      </c>
      <c r="HR91" s="622">
        <f>'background data'!$N$10</f>
        <v>4.5999999999999999E-3</v>
      </c>
      <c r="HS91" s="622">
        <f>'background data'!$O$10</f>
        <v>2.73</v>
      </c>
      <c r="HT91" s="145" t="s">
        <v>1797</v>
      </c>
      <c r="HU91" s="145" t="s">
        <v>1809</v>
      </c>
      <c r="HV91" s="22" t="s">
        <v>1396</v>
      </c>
      <c r="HW91" s="22" t="s">
        <v>376</v>
      </c>
      <c r="HX91" s="22" t="s">
        <v>373</v>
      </c>
      <c r="HY91" s="22" t="s">
        <v>374</v>
      </c>
      <c r="HZ91" s="19"/>
      <c r="IA91" s="19"/>
      <c r="IB91" s="622">
        <f>'background data'!$G$10</f>
        <v>0.47300000000000003</v>
      </c>
      <c r="IC91" s="622">
        <f>'background data'!$H$10</f>
        <v>0.13</v>
      </c>
      <c r="ID91" s="622">
        <f>'background data'!$J$10</f>
        <v>0.39100000000000001</v>
      </c>
      <c r="IE91" s="622">
        <f>'background data'!$L$10</f>
        <v>5.5E-2</v>
      </c>
      <c r="IF91" s="622">
        <f>'background data'!$M$10</f>
        <v>3.97</v>
      </c>
      <c r="IG91" s="622">
        <f>'background data'!$N$10</f>
        <v>4.5999999999999999E-3</v>
      </c>
      <c r="IH91" s="622">
        <f>'background data'!$O$10</f>
        <v>2.73</v>
      </c>
      <c r="II91" s="145" t="s">
        <v>1797</v>
      </c>
      <c r="IJ91" s="145" t="s">
        <v>1396</v>
      </c>
      <c r="IK91" s="145"/>
      <c r="IL91" s="145"/>
      <c r="IM91" s="145"/>
      <c r="IN91" s="145"/>
      <c r="IO91" s="145"/>
      <c r="IP91" s="145"/>
      <c r="IQ91" s="145"/>
      <c r="IR91" s="145"/>
      <c r="IS91" s="145"/>
      <c r="IT91" s="145"/>
      <c r="IU91" s="145"/>
      <c r="IV91" s="145"/>
      <c r="IW91" s="145"/>
      <c r="IX91" s="145"/>
      <c r="IY91" s="145"/>
      <c r="IZ91" s="145"/>
      <c r="JA91" s="145"/>
      <c r="JB91" s="145"/>
      <c r="JC91" s="145"/>
      <c r="JD91" s="145"/>
      <c r="JE91" s="145"/>
      <c r="JF91" s="145"/>
      <c r="JG91" s="145"/>
      <c r="JH91" s="145"/>
      <c r="JI91" s="145"/>
      <c r="JJ91" s="145"/>
      <c r="JK91" s="145"/>
      <c r="JL91" s="145"/>
      <c r="JM91" s="145"/>
      <c r="JN91" s="145"/>
      <c r="JO91" s="145"/>
      <c r="JP91" s="145"/>
      <c r="JQ91" s="145"/>
      <c r="JR91" s="145"/>
      <c r="JS91" s="145"/>
      <c r="JT91" s="145"/>
      <c r="JU91" s="145"/>
      <c r="JV91" s="145"/>
      <c r="JW91" s="145"/>
      <c r="JX91" s="145"/>
      <c r="JY91" s="145"/>
      <c r="JZ91" s="145"/>
      <c r="KA91" s="145"/>
      <c r="KB91" s="145"/>
      <c r="KC91" s="145"/>
      <c r="KD91" s="145"/>
      <c r="KE91" s="145"/>
      <c r="KF91" s="145"/>
      <c r="KG91" s="145"/>
      <c r="KH91" s="145"/>
      <c r="KI91" s="145"/>
      <c r="KJ91" s="145"/>
      <c r="KK91" s="145"/>
      <c r="KL91" s="145"/>
      <c r="KM91" s="145"/>
      <c r="KN91" s="145"/>
      <c r="KO91" s="145"/>
      <c r="KP91" s="145"/>
      <c r="KQ91" s="145"/>
      <c r="KR91" s="145"/>
      <c r="KS91" s="145"/>
      <c r="KT91" s="145"/>
      <c r="KU91" s="145"/>
      <c r="KV91" s="145"/>
      <c r="KW91" s="145"/>
      <c r="KX91" s="145"/>
      <c r="KY91" s="145"/>
      <c r="KZ91" s="145"/>
      <c r="LA91" s="145"/>
      <c r="LB91" s="145"/>
      <c r="LC91" s="145"/>
      <c r="LD91" s="145"/>
      <c r="LE91" s="145"/>
      <c r="LF91" s="145"/>
      <c r="LG91" s="145"/>
      <c r="LH91" s="145"/>
      <c r="LI91" s="145"/>
      <c r="LJ91" s="145"/>
      <c r="LK91" s="145"/>
      <c r="LL91" s="145"/>
      <c r="LM91" s="145"/>
      <c r="LN91" s="145"/>
      <c r="LO91" s="145"/>
      <c r="LP91" s="145"/>
      <c r="LQ91" s="145"/>
      <c r="LR91" s="145"/>
      <c r="LS91" s="145"/>
      <c r="LT91" s="145"/>
      <c r="LU91" s="145"/>
      <c r="LV91" s="145"/>
      <c r="LW91" s="145"/>
      <c r="LX91" s="145"/>
      <c r="LY91" s="145"/>
      <c r="LZ91" s="145"/>
      <c r="MA91" s="145"/>
      <c r="MB91" s="145"/>
      <c r="MC91" s="145"/>
      <c r="MD91" s="145"/>
      <c r="ME91" s="145"/>
      <c r="MF91" s="145"/>
      <c r="MG91" s="145"/>
      <c r="MH91" s="145"/>
      <c r="MI91" s="145"/>
      <c r="MJ91" s="145"/>
      <c r="MK91" s="145"/>
      <c r="ML91" s="145"/>
      <c r="MM91" s="145"/>
      <c r="MN91" s="145"/>
      <c r="MO91" s="145"/>
      <c r="MP91" s="145"/>
      <c r="MQ91" s="145"/>
      <c r="MR91" s="145"/>
      <c r="MS91" s="145"/>
      <c r="MT91" s="145"/>
      <c r="MU91" s="145"/>
      <c r="MV91" s="145"/>
      <c r="MW91" s="145"/>
      <c r="MX91" s="145"/>
      <c r="MY91" s="145"/>
      <c r="MZ91" s="145"/>
      <c r="NA91" s="145"/>
      <c r="NB91" s="145"/>
      <c r="NC91" s="145"/>
      <c r="ND91" s="145"/>
      <c r="NE91" s="145"/>
      <c r="NF91" s="145"/>
      <c r="NG91" s="145"/>
      <c r="NH91" s="145"/>
      <c r="NI91" s="145"/>
      <c r="NJ91" s="145"/>
      <c r="NK91" s="145"/>
      <c r="NL91" s="145"/>
      <c r="NM91" s="145"/>
      <c r="NN91" s="145"/>
      <c r="NO91" s="145"/>
      <c r="NP91" s="145"/>
      <c r="NQ91" s="145"/>
      <c r="NR91" s="145"/>
      <c r="NS91" s="145"/>
    </row>
    <row r="92" spans="1:383" s="16" customFormat="1" ht="15" customHeight="1" x14ac:dyDescent="0.2">
      <c r="A92" s="15">
        <v>51011</v>
      </c>
      <c r="B92" s="25">
        <v>510</v>
      </c>
      <c r="C92" s="26">
        <v>11</v>
      </c>
      <c r="D92" s="20" t="s">
        <v>378</v>
      </c>
      <c r="E92" s="14">
        <v>42683</v>
      </c>
      <c r="F92" s="18">
        <v>1.1490208330333</v>
      </c>
      <c r="G92" s="18">
        <v>1.12982480714842</v>
      </c>
      <c r="H92" s="21">
        <v>90.8</v>
      </c>
      <c r="I92" s="21">
        <v>86.799987599999994</v>
      </c>
      <c r="J92" s="21">
        <v>93</v>
      </c>
      <c r="K92" s="18">
        <v>1</v>
      </c>
      <c r="L92" s="18">
        <v>85</v>
      </c>
      <c r="M92" s="18">
        <v>9.8999999999999897</v>
      </c>
      <c r="N92" s="18">
        <v>2.1</v>
      </c>
      <c r="O92" s="18">
        <v>1.5</v>
      </c>
      <c r="P92" s="18">
        <v>2.7</v>
      </c>
      <c r="Q92" s="19"/>
      <c r="R92" s="18">
        <v>84.299704424761899</v>
      </c>
      <c r="S92" s="18">
        <v>28</v>
      </c>
      <c r="T92" s="18">
        <v>43</v>
      </c>
      <c r="U92" s="18">
        <v>48</v>
      </c>
      <c r="V92" s="18">
        <v>54</v>
      </c>
      <c r="W92" s="18">
        <v>57</v>
      </c>
      <c r="X92" s="18"/>
      <c r="Y92" s="18">
        <v>0.43529411764705883</v>
      </c>
      <c r="Z92" s="18">
        <v>3.2941176470588234</v>
      </c>
      <c r="AA92" s="18">
        <v>0.1</v>
      </c>
      <c r="AB92" s="18">
        <v>1</v>
      </c>
      <c r="AC92" s="18">
        <v>5.8</v>
      </c>
      <c r="AD92" s="18">
        <v>1.2</v>
      </c>
      <c r="AE92" s="18">
        <v>1.3</v>
      </c>
      <c r="AF92" s="18">
        <v>32</v>
      </c>
      <c r="AG92" s="18">
        <v>3.2</v>
      </c>
      <c r="AH92" s="18">
        <v>29</v>
      </c>
      <c r="AI92" s="18">
        <v>40</v>
      </c>
      <c r="AJ92" s="18">
        <v>0</v>
      </c>
      <c r="AK92" s="18">
        <v>6.0000000000000123E-2</v>
      </c>
      <c r="AL92" s="18"/>
      <c r="AM92" s="18">
        <v>2.9030935294117701</v>
      </c>
      <c r="AN92" s="18">
        <v>1.5375035294117601</v>
      </c>
      <c r="AO92" s="18">
        <v>2.3079347058823498</v>
      </c>
      <c r="AP92" s="18">
        <v>2.8916517647058799</v>
      </c>
      <c r="AQ92" s="18">
        <v>1.34148882352941</v>
      </c>
      <c r="AR92" s="18">
        <v>3.3452023529411798</v>
      </c>
      <c r="AS92" s="18">
        <v>6.6590935294117601</v>
      </c>
      <c r="AT92" s="18">
        <v>2.2747205882352901</v>
      </c>
      <c r="AU92" s="18">
        <v>4.4124194117647102</v>
      </c>
      <c r="AV92" s="18">
        <v>2.7541000000000002</v>
      </c>
      <c r="AW92" s="18">
        <v>4.2787847058823498</v>
      </c>
      <c r="AX92" s="18"/>
      <c r="AY92" s="18">
        <v>0.92</v>
      </c>
      <c r="AZ92" s="18">
        <v>1</v>
      </c>
      <c r="BA92" s="18">
        <v>0.98</v>
      </c>
      <c r="BB92" s="18">
        <v>0.93</v>
      </c>
      <c r="BC92" s="18">
        <v>0.99</v>
      </c>
      <c r="BD92" s="18">
        <v>0.99</v>
      </c>
      <c r="BE92" s="18">
        <v>1</v>
      </c>
      <c r="BF92" s="18">
        <v>0.99</v>
      </c>
      <c r="BG92" s="18">
        <v>1.02</v>
      </c>
      <c r="BH92" s="18">
        <v>1</v>
      </c>
      <c r="BI92" s="18">
        <v>0.96</v>
      </c>
      <c r="BJ92" s="19"/>
      <c r="BK92" s="18">
        <v>11.647058823529401</v>
      </c>
      <c r="BL92" s="18">
        <v>2.4705882352941178</v>
      </c>
      <c r="BM92" s="18">
        <v>1.7647058823529411</v>
      </c>
      <c r="BN92" s="18">
        <v>3.1764705882352939</v>
      </c>
      <c r="BO92" s="18"/>
      <c r="BP92" s="18">
        <v>105</v>
      </c>
      <c r="BQ92" s="18">
        <v>25.941176470588353</v>
      </c>
      <c r="BR92" s="18">
        <v>1.3517892153332942</v>
      </c>
      <c r="BS92" s="18">
        <v>1.3292056554687295</v>
      </c>
      <c r="BT92" s="19"/>
      <c r="BU92" s="18">
        <v>982.35294117647061</v>
      </c>
      <c r="BV92" s="18">
        <v>705.88890161344466</v>
      </c>
      <c r="BW92" s="18">
        <v>56.134627798319407</v>
      </c>
      <c r="BX92" s="18">
        <v>670</v>
      </c>
      <c r="BY92" s="18">
        <v>18.999999999999996</v>
      </c>
      <c r="BZ92" s="18">
        <v>25</v>
      </c>
      <c r="CA92" s="18">
        <v>113</v>
      </c>
      <c r="CB92" s="19"/>
      <c r="CC92" s="19">
        <v>0.37</v>
      </c>
      <c r="CD92" s="19">
        <v>2.8</v>
      </c>
      <c r="CE92" s="19">
        <v>8.5000000000000006E-2</v>
      </c>
      <c r="CF92" s="19">
        <v>0.85</v>
      </c>
      <c r="CG92" s="19">
        <v>4.93</v>
      </c>
      <c r="CH92" s="19">
        <v>1.02</v>
      </c>
      <c r="CI92" s="19">
        <v>1.105</v>
      </c>
      <c r="CJ92" s="19"/>
      <c r="CK92" s="19">
        <v>27.2</v>
      </c>
      <c r="CL92" s="19">
        <v>2.72</v>
      </c>
      <c r="CM92" s="19">
        <v>24.65</v>
      </c>
      <c r="CN92" s="19">
        <v>34</v>
      </c>
      <c r="CO92" s="19">
        <v>0</v>
      </c>
      <c r="CP92" s="19">
        <v>5.1000000000000101E-2</v>
      </c>
      <c r="CQ92" s="19">
        <v>83.456707380514302</v>
      </c>
      <c r="CR92" s="19">
        <v>72.632893139280114</v>
      </c>
      <c r="CS92" s="19">
        <v>1.939912755274926</v>
      </c>
      <c r="CT92" s="19">
        <v>1.116733295530302</v>
      </c>
      <c r="CU92" s="19">
        <v>1.6427933536749328</v>
      </c>
      <c r="CV92" s="19">
        <v>2.7595266492052346</v>
      </c>
      <c r="CW92" s="19">
        <v>1.9532700126836049</v>
      </c>
      <c r="CX92" s="19">
        <v>0.96461852223280631</v>
      </c>
      <c r="CY92" s="19">
        <v>2.4054200778014088</v>
      </c>
      <c r="CZ92" s="19">
        <v>4.8366922872623563</v>
      </c>
      <c r="DA92" s="19">
        <v>1.6356734203294396</v>
      </c>
      <c r="DB92" s="19">
        <v>3.2689652337279798</v>
      </c>
      <c r="DC92" s="19">
        <v>2.0003825099489094</v>
      </c>
      <c r="DD92" s="19">
        <v>5.2693477436768985</v>
      </c>
      <c r="DE92" s="19">
        <v>2.9834929181600485</v>
      </c>
      <c r="DF92" s="23">
        <v>0</v>
      </c>
      <c r="DG92" s="23">
        <v>0</v>
      </c>
      <c r="DH92" s="23">
        <v>0</v>
      </c>
      <c r="DI92" s="19">
        <v>0</v>
      </c>
      <c r="DJ92" s="19">
        <v>0</v>
      </c>
      <c r="DK92" s="19">
        <v>0</v>
      </c>
      <c r="DL92" s="19">
        <v>0</v>
      </c>
      <c r="DM92" s="19">
        <v>0</v>
      </c>
      <c r="DN92" s="19">
        <v>0</v>
      </c>
      <c r="DO92" s="19">
        <v>0</v>
      </c>
      <c r="DP92" s="19">
        <v>0</v>
      </c>
      <c r="DQ92" s="19">
        <v>0</v>
      </c>
      <c r="DR92" s="19">
        <v>0</v>
      </c>
      <c r="DS92" s="19">
        <v>0</v>
      </c>
      <c r="DT92" s="19">
        <v>0</v>
      </c>
      <c r="DU92" s="19">
        <v>0</v>
      </c>
      <c r="DV92" s="19">
        <v>0</v>
      </c>
      <c r="DW92" s="17" t="s">
        <v>371</v>
      </c>
      <c r="DX92" s="22" t="s">
        <v>218</v>
      </c>
      <c r="DY92" s="22">
        <v>32</v>
      </c>
      <c r="DZ92" s="22">
        <v>16</v>
      </c>
      <c r="EA92" s="22">
        <v>16</v>
      </c>
      <c r="EB92" s="22" t="s">
        <v>218</v>
      </c>
      <c r="EC92" s="22">
        <v>16</v>
      </c>
      <c r="ED92" s="22">
        <v>16</v>
      </c>
      <c r="EE92" s="22" t="s">
        <v>218</v>
      </c>
      <c r="EF92" s="22">
        <v>16</v>
      </c>
      <c r="EG92" s="22">
        <v>16</v>
      </c>
      <c r="EH92" s="22" t="s">
        <v>218</v>
      </c>
      <c r="EI92" s="22" t="s">
        <v>218</v>
      </c>
      <c r="EJ92" s="22" t="s">
        <v>218</v>
      </c>
      <c r="EK92" s="22" t="s">
        <v>218</v>
      </c>
      <c r="EL92" s="22" t="s">
        <v>218</v>
      </c>
      <c r="EM92" s="22" t="s">
        <v>218</v>
      </c>
      <c r="EN92" s="22" t="s">
        <v>218</v>
      </c>
      <c r="EO92" s="22" t="s">
        <v>218</v>
      </c>
      <c r="EP92" s="22" t="s">
        <v>218</v>
      </c>
      <c r="EQ92" s="22" t="s">
        <v>218</v>
      </c>
      <c r="ER92" s="22" t="s">
        <v>218</v>
      </c>
      <c r="ES92" s="22">
        <v>16</v>
      </c>
      <c r="ET92" s="22">
        <v>32</v>
      </c>
      <c r="EU92" s="22" t="s">
        <v>218</v>
      </c>
      <c r="EV92" s="22" t="s">
        <v>218</v>
      </c>
      <c r="EW92" s="22" t="s">
        <v>218</v>
      </c>
      <c r="EX92" s="22" t="s">
        <v>218</v>
      </c>
      <c r="EY92" s="22" t="s">
        <v>218</v>
      </c>
      <c r="EZ92" s="22" t="s">
        <v>218</v>
      </c>
      <c r="FA92" s="22" t="s">
        <v>218</v>
      </c>
      <c r="FB92" s="22" t="s">
        <v>218</v>
      </c>
      <c r="FC92" s="22" t="s">
        <v>218</v>
      </c>
      <c r="FD92" s="22" t="s">
        <v>218</v>
      </c>
      <c r="FE92" s="22" t="s">
        <v>218</v>
      </c>
      <c r="FF92" s="22" t="s">
        <v>218</v>
      </c>
      <c r="FG92" s="22">
        <v>0.6</v>
      </c>
      <c r="FH92" s="22">
        <v>0.3</v>
      </c>
      <c r="FI92" s="22">
        <v>0.1</v>
      </c>
      <c r="FJ92" s="22" t="s">
        <v>218</v>
      </c>
      <c r="FK92" s="22">
        <v>0.9</v>
      </c>
      <c r="FL92" s="22">
        <v>1.1000000000000001</v>
      </c>
      <c r="FM92" s="22" t="s">
        <v>218</v>
      </c>
      <c r="FN92" s="22">
        <v>1.9</v>
      </c>
      <c r="FO92" s="22">
        <v>1.6</v>
      </c>
      <c r="FP92" s="22" t="s">
        <v>218</v>
      </c>
      <c r="FQ92" s="22" t="s">
        <v>218</v>
      </c>
      <c r="FR92" s="22" t="s">
        <v>218</v>
      </c>
      <c r="FS92" s="22" t="s">
        <v>218</v>
      </c>
      <c r="FT92" s="22" t="s">
        <v>218</v>
      </c>
      <c r="FU92" s="22" t="s">
        <v>218</v>
      </c>
      <c r="FV92" s="22" t="s">
        <v>218</v>
      </c>
      <c r="FW92" s="22" t="s">
        <v>218</v>
      </c>
      <c r="FX92" s="22" t="s">
        <v>218</v>
      </c>
      <c r="FY92" s="22" t="s">
        <v>218</v>
      </c>
      <c r="FZ92" s="22" t="s">
        <v>218</v>
      </c>
      <c r="GA92" s="22">
        <v>0.1</v>
      </c>
      <c r="GB92" s="22">
        <v>0.3</v>
      </c>
      <c r="GC92" s="22" t="s">
        <v>218</v>
      </c>
      <c r="GD92" s="22" t="s">
        <v>218</v>
      </c>
      <c r="GE92" s="22" t="s">
        <v>218</v>
      </c>
      <c r="GF92" s="22" t="s">
        <v>218</v>
      </c>
      <c r="GG92" s="22" t="s">
        <v>218</v>
      </c>
      <c r="GH92" s="22" t="s">
        <v>218</v>
      </c>
      <c r="GI92" s="22" t="s">
        <v>218</v>
      </c>
      <c r="GJ92" s="22" t="s">
        <v>218</v>
      </c>
      <c r="GK92" s="22" t="s">
        <v>218</v>
      </c>
      <c r="GL92" s="22" t="s">
        <v>218</v>
      </c>
      <c r="GM92" s="22" t="s">
        <v>218</v>
      </c>
      <c r="GN92" s="22" t="s">
        <v>218</v>
      </c>
      <c r="GO92" s="22">
        <v>2016</v>
      </c>
      <c r="GP92" s="22">
        <v>2016</v>
      </c>
      <c r="GQ92" s="22">
        <v>2016</v>
      </c>
      <c r="GR92" s="22" t="s">
        <v>218</v>
      </c>
      <c r="GS92" s="22">
        <v>2016</v>
      </c>
      <c r="GT92" s="22">
        <v>2016</v>
      </c>
      <c r="GU92" s="22" t="s">
        <v>218</v>
      </c>
      <c r="GV92" s="22">
        <v>2016</v>
      </c>
      <c r="GW92" s="22">
        <v>2016</v>
      </c>
      <c r="GX92" s="22" t="s">
        <v>218</v>
      </c>
      <c r="GY92" s="22" t="s">
        <v>218</v>
      </c>
      <c r="GZ92" s="22" t="s">
        <v>218</v>
      </c>
      <c r="HA92" s="22" t="s">
        <v>218</v>
      </c>
      <c r="HB92" s="22" t="s">
        <v>218</v>
      </c>
      <c r="HC92" s="22" t="s">
        <v>218</v>
      </c>
      <c r="HD92" s="22" t="s">
        <v>218</v>
      </c>
      <c r="HE92" s="22" t="s">
        <v>218</v>
      </c>
      <c r="HF92" s="22" t="s">
        <v>218</v>
      </c>
      <c r="HG92" s="22" t="s">
        <v>218</v>
      </c>
      <c r="HH92" s="22" t="s">
        <v>218</v>
      </c>
      <c r="HI92" s="22">
        <v>2016</v>
      </c>
      <c r="HJ92" s="22">
        <v>2016</v>
      </c>
      <c r="HK92" s="22" t="s">
        <v>218</v>
      </c>
      <c r="HL92" s="22" t="s">
        <v>218</v>
      </c>
      <c r="HM92" s="622">
        <f>'background data'!$G$10</f>
        <v>0.47300000000000003</v>
      </c>
      <c r="HN92" s="622">
        <f>'background data'!$H$10</f>
        <v>0.13</v>
      </c>
      <c r="HO92" s="622">
        <f>'background data'!$J$10</f>
        <v>0.39100000000000001</v>
      </c>
      <c r="HP92" s="622">
        <f>'background data'!$L$10</f>
        <v>5.5E-2</v>
      </c>
      <c r="HQ92" s="622">
        <f>'background data'!$M$10</f>
        <v>3.97</v>
      </c>
      <c r="HR92" s="622">
        <f>'background data'!$N$10</f>
        <v>4.5999999999999999E-3</v>
      </c>
      <c r="HS92" s="622">
        <f>'background data'!$O$10</f>
        <v>2.73</v>
      </c>
      <c r="HT92" s="145" t="s">
        <v>1797</v>
      </c>
      <c r="HU92" s="145" t="s">
        <v>1809</v>
      </c>
      <c r="HV92" s="22" t="s">
        <v>1396</v>
      </c>
      <c r="HW92" s="22" t="s">
        <v>376</v>
      </c>
      <c r="HX92" s="22" t="s">
        <v>373</v>
      </c>
      <c r="HY92" s="22" t="s">
        <v>374</v>
      </c>
      <c r="HZ92" s="19"/>
      <c r="IA92" s="19"/>
      <c r="IB92" s="622">
        <f>'background data'!$G$10</f>
        <v>0.47300000000000003</v>
      </c>
      <c r="IC92" s="622">
        <f>'background data'!$H$10</f>
        <v>0.13</v>
      </c>
      <c r="ID92" s="622">
        <f>'background data'!$J$10</f>
        <v>0.39100000000000001</v>
      </c>
      <c r="IE92" s="622">
        <f>'background data'!$L$10</f>
        <v>5.5E-2</v>
      </c>
      <c r="IF92" s="622">
        <f>'background data'!$M$10</f>
        <v>3.97</v>
      </c>
      <c r="IG92" s="622">
        <f>'background data'!$N$10</f>
        <v>4.5999999999999999E-3</v>
      </c>
      <c r="IH92" s="622">
        <f>'background data'!$O$10</f>
        <v>2.73</v>
      </c>
      <c r="II92" s="145" t="s">
        <v>1797</v>
      </c>
      <c r="IJ92" s="145" t="s">
        <v>1396</v>
      </c>
      <c r="IK92" s="145"/>
      <c r="IL92" s="145"/>
      <c r="IM92" s="145"/>
      <c r="IN92" s="145"/>
      <c r="IO92" s="145"/>
      <c r="IP92" s="145"/>
      <c r="IQ92" s="145"/>
      <c r="IR92" s="145"/>
      <c r="IS92" s="145"/>
      <c r="IT92" s="145"/>
      <c r="IU92" s="145"/>
      <c r="IV92" s="145"/>
      <c r="IW92" s="145"/>
      <c r="IX92" s="145"/>
      <c r="IY92" s="145"/>
      <c r="IZ92" s="145"/>
      <c r="JA92" s="145"/>
      <c r="JB92" s="145"/>
      <c r="JC92" s="145"/>
      <c r="JD92" s="145"/>
      <c r="JE92" s="145"/>
      <c r="JF92" s="145"/>
      <c r="JG92" s="145"/>
      <c r="JH92" s="145"/>
      <c r="JI92" s="145"/>
      <c r="JJ92" s="145"/>
      <c r="JK92" s="145"/>
      <c r="JL92" s="145"/>
      <c r="JM92" s="145"/>
      <c r="JN92" s="145"/>
      <c r="JO92" s="145"/>
      <c r="JP92" s="145"/>
      <c r="JQ92" s="145"/>
      <c r="JR92" s="145"/>
      <c r="JS92" s="145"/>
      <c r="JT92" s="145"/>
      <c r="JU92" s="145"/>
      <c r="JV92" s="145"/>
      <c r="JW92" s="145"/>
      <c r="JX92" s="145"/>
      <c r="JY92" s="145"/>
      <c r="JZ92" s="145"/>
      <c r="KA92" s="145"/>
      <c r="KB92" s="145"/>
      <c r="KC92" s="145"/>
      <c r="KD92" s="145"/>
      <c r="KE92" s="145"/>
      <c r="KF92" s="145"/>
      <c r="KG92" s="145"/>
      <c r="KH92" s="145"/>
      <c r="KI92" s="145"/>
      <c r="KJ92" s="145"/>
      <c r="KK92" s="145"/>
      <c r="KL92" s="145"/>
      <c r="KM92" s="145"/>
      <c r="KN92" s="145"/>
      <c r="KO92" s="145"/>
      <c r="KP92" s="145"/>
      <c r="KQ92" s="145"/>
      <c r="KR92" s="145"/>
      <c r="KS92" s="145"/>
      <c r="KT92" s="145"/>
      <c r="KU92" s="145"/>
      <c r="KV92" s="145"/>
      <c r="KW92" s="145"/>
      <c r="KX92" s="145"/>
      <c r="KY92" s="145"/>
      <c r="KZ92" s="145"/>
      <c r="LA92" s="145"/>
      <c r="LB92" s="145"/>
      <c r="LC92" s="145"/>
      <c r="LD92" s="145"/>
      <c r="LE92" s="145"/>
      <c r="LF92" s="145"/>
      <c r="LG92" s="145"/>
      <c r="LH92" s="145"/>
      <c r="LI92" s="145"/>
      <c r="LJ92" s="145"/>
      <c r="LK92" s="145"/>
      <c r="LL92" s="145"/>
      <c r="LM92" s="145"/>
      <c r="LN92" s="145"/>
      <c r="LO92" s="145"/>
      <c r="LP92" s="145"/>
      <c r="LQ92" s="145"/>
      <c r="LR92" s="145"/>
      <c r="LS92" s="145"/>
      <c r="LT92" s="145"/>
      <c r="LU92" s="145"/>
      <c r="LV92" s="145"/>
      <c r="LW92" s="145"/>
      <c r="LX92" s="145"/>
      <c r="LY92" s="145"/>
      <c r="LZ92" s="145"/>
      <c r="MA92" s="145"/>
      <c r="MB92" s="145"/>
      <c r="MC92" s="145"/>
      <c r="MD92" s="145"/>
      <c r="ME92" s="145"/>
      <c r="MF92" s="145"/>
      <c r="MG92" s="145"/>
      <c r="MH92" s="145"/>
      <c r="MI92" s="145"/>
      <c r="MJ92" s="145"/>
      <c r="MK92" s="145"/>
      <c r="ML92" s="145"/>
      <c r="MM92" s="145"/>
      <c r="MN92" s="145"/>
      <c r="MO92" s="145"/>
      <c r="MP92" s="145"/>
      <c r="MQ92" s="145"/>
      <c r="MR92" s="145"/>
      <c r="MS92" s="145"/>
      <c r="MT92" s="145"/>
      <c r="MU92" s="145"/>
      <c r="MV92" s="145"/>
      <c r="MW92" s="145"/>
      <c r="MX92" s="145"/>
      <c r="MY92" s="145"/>
      <c r="MZ92" s="145"/>
      <c r="NA92" s="145"/>
      <c r="NB92" s="145"/>
      <c r="NC92" s="145"/>
      <c r="ND92" s="145"/>
      <c r="NE92" s="145"/>
      <c r="NF92" s="145"/>
      <c r="NG92" s="145"/>
      <c r="NH92" s="145"/>
      <c r="NI92" s="145"/>
      <c r="NJ92" s="145"/>
      <c r="NK92" s="145"/>
      <c r="NL92" s="145"/>
      <c r="NM92" s="145"/>
      <c r="NN92" s="145"/>
      <c r="NO92" s="145"/>
      <c r="NP92" s="145"/>
      <c r="NQ92" s="145"/>
      <c r="NR92" s="145"/>
      <c r="NS92" s="145"/>
    </row>
    <row r="93" spans="1:383" s="16" customFormat="1" ht="15" customHeight="1" x14ac:dyDescent="0.2">
      <c r="A93" s="15">
        <v>51200</v>
      </c>
      <c r="B93" s="25">
        <v>512</v>
      </c>
      <c r="C93" s="26">
        <v>0</v>
      </c>
      <c r="D93" s="20" t="s">
        <v>379</v>
      </c>
      <c r="E93" s="14">
        <v>42678</v>
      </c>
      <c r="F93" s="18">
        <v>1.14588545296168</v>
      </c>
      <c r="G93" s="18">
        <v>1.1293494768089001</v>
      </c>
      <c r="H93" s="21">
        <v>91.3</v>
      </c>
      <c r="I93" s="21">
        <v>86.199982000000006</v>
      </c>
      <c r="J93" s="21">
        <v>93</v>
      </c>
      <c r="K93" s="18">
        <v>1</v>
      </c>
      <c r="L93" s="18">
        <v>85</v>
      </c>
      <c r="M93" s="18">
        <v>8.9999999999999591</v>
      </c>
      <c r="N93" s="18">
        <v>2.1</v>
      </c>
      <c r="O93" s="18">
        <v>1.5</v>
      </c>
      <c r="P93" s="18">
        <v>2.7</v>
      </c>
      <c r="Q93" s="19"/>
      <c r="R93" s="18">
        <v>82.773614285714302</v>
      </c>
      <c r="S93" s="18">
        <v>50</v>
      </c>
      <c r="T93" s="18">
        <v>54</v>
      </c>
      <c r="U93" s="18">
        <v>56</v>
      </c>
      <c r="V93" s="18">
        <v>57</v>
      </c>
      <c r="W93" s="18">
        <v>58</v>
      </c>
      <c r="X93" s="18"/>
      <c r="Y93" s="18">
        <v>0.42352941176470588</v>
      </c>
      <c r="Z93" s="18">
        <v>3.1764705882352939</v>
      </c>
      <c r="AA93" s="18">
        <v>0.1</v>
      </c>
      <c r="AB93" s="18">
        <v>1</v>
      </c>
      <c r="AC93" s="18">
        <v>5.8</v>
      </c>
      <c r="AD93" s="18">
        <v>1.2</v>
      </c>
      <c r="AE93" s="18">
        <v>1.3</v>
      </c>
      <c r="AF93" s="18">
        <v>32</v>
      </c>
      <c r="AG93" s="18">
        <v>3.2</v>
      </c>
      <c r="AH93" s="18">
        <v>29</v>
      </c>
      <c r="AI93" s="18">
        <v>40</v>
      </c>
      <c r="AJ93" s="18">
        <v>0</v>
      </c>
      <c r="AK93" s="18">
        <v>6.0000000000000123E-2</v>
      </c>
      <c r="AL93" s="18"/>
      <c r="AM93" s="18">
        <v>3.0647441176470598</v>
      </c>
      <c r="AN93" s="18">
        <v>1.57315411764706</v>
      </c>
      <c r="AO93" s="18">
        <v>2.3666888235294099</v>
      </c>
      <c r="AP93" s="18">
        <v>2.9711270588235301</v>
      </c>
      <c r="AQ93" s="18">
        <v>1.38336529411765</v>
      </c>
      <c r="AR93" s="18">
        <v>3.3435294117647101</v>
      </c>
      <c r="AS93" s="18">
        <v>6.7149041176470599</v>
      </c>
      <c r="AT93" s="18">
        <v>2.2959923529411799</v>
      </c>
      <c r="AU93" s="18">
        <v>4.3632476470588202</v>
      </c>
      <c r="AV93" s="18">
        <v>2.74708</v>
      </c>
      <c r="AW93" s="18">
        <v>4.3238588235294104</v>
      </c>
      <c r="AX93" s="18"/>
      <c r="AY93" s="18">
        <v>0.91984139059636005</v>
      </c>
      <c r="AZ93" s="18">
        <v>0.99983194794455499</v>
      </c>
      <c r="BA93" s="18">
        <v>0.979886924127779</v>
      </c>
      <c r="BB93" s="18">
        <v>0.92986562968623399</v>
      </c>
      <c r="BC93" s="18">
        <v>0.99002632466492502</v>
      </c>
      <c r="BD93" s="18">
        <v>0.98995993262128801</v>
      </c>
      <c r="BE93" s="18">
        <v>0.99999453250972503</v>
      </c>
      <c r="BF93" s="18">
        <v>0.989953559452181</v>
      </c>
      <c r="BG93" s="18">
        <v>1.0199454358815301</v>
      </c>
      <c r="BH93" s="18">
        <v>0.99999479025510996</v>
      </c>
      <c r="BI93" s="18">
        <v>0.95993645905861302</v>
      </c>
      <c r="BJ93" s="19"/>
      <c r="BK93" s="18">
        <v>10.588235294117599</v>
      </c>
      <c r="BL93" s="18">
        <v>2.4705882352941178</v>
      </c>
      <c r="BM93" s="18">
        <v>1.7647058823529411</v>
      </c>
      <c r="BN93" s="18">
        <v>3.1764705882352939</v>
      </c>
      <c r="BO93" s="18"/>
      <c r="BP93" s="18">
        <v>105</v>
      </c>
      <c r="BQ93" s="18">
        <v>25.941176470588236</v>
      </c>
      <c r="BR93" s="18">
        <v>1.348100532896094</v>
      </c>
      <c r="BS93" s="18">
        <v>1.3286464433045884</v>
      </c>
      <c r="BT93" s="19"/>
      <c r="BU93" s="18">
        <v>982.35294117647061</v>
      </c>
      <c r="BV93" s="18">
        <v>704.99915966386584</v>
      </c>
      <c r="BW93" s="18">
        <v>71.571681176470463</v>
      </c>
      <c r="BX93" s="18">
        <v>670</v>
      </c>
      <c r="BY93" s="18">
        <v>18.999999999999996</v>
      </c>
      <c r="BZ93" s="18">
        <v>25.000000000000117</v>
      </c>
      <c r="CA93" s="18">
        <v>113</v>
      </c>
      <c r="CB93" s="19"/>
      <c r="CC93" s="19">
        <v>0.36</v>
      </c>
      <c r="CD93" s="19">
        <v>2.6999999999999997</v>
      </c>
      <c r="CE93" s="19">
        <v>8.5000000000000006E-2</v>
      </c>
      <c r="CF93" s="19">
        <v>0.85</v>
      </c>
      <c r="CG93" s="19">
        <v>4.93</v>
      </c>
      <c r="CH93" s="19">
        <v>1.02</v>
      </c>
      <c r="CI93" s="19">
        <v>1.105</v>
      </c>
      <c r="CJ93" s="19"/>
      <c r="CK93" s="19">
        <v>27.2</v>
      </c>
      <c r="CL93" s="19">
        <v>2.72</v>
      </c>
      <c r="CM93" s="19">
        <v>24.65</v>
      </c>
      <c r="CN93" s="19">
        <v>34</v>
      </c>
      <c r="CO93" s="19">
        <v>0</v>
      </c>
      <c r="CP93" s="19">
        <v>5.1000000000000101E-2</v>
      </c>
      <c r="CQ93" s="19">
        <v>74.496252857142906</v>
      </c>
      <c r="CR93" s="19">
        <v>65.011954436281826</v>
      </c>
      <c r="CS93" s="19">
        <v>1.8327380240909477</v>
      </c>
      <c r="CT93" s="19">
        <v>1.0225663649140895</v>
      </c>
      <c r="CU93" s="19">
        <v>1.5076840644056195</v>
      </c>
      <c r="CV93" s="19">
        <v>2.5302504293197003</v>
      </c>
      <c r="CW93" s="19">
        <v>1.7961170777908526</v>
      </c>
      <c r="CX93" s="19">
        <v>0.89038296171360809</v>
      </c>
      <c r="CY93" s="19">
        <v>2.1518697853493385</v>
      </c>
      <c r="CZ93" s="19">
        <v>4.3654665371283627</v>
      </c>
      <c r="DA93" s="19">
        <v>1.4776734869416781</v>
      </c>
      <c r="DB93" s="19">
        <v>2.893210445337234</v>
      </c>
      <c r="DC93" s="19">
        <v>1.7859210936864356</v>
      </c>
      <c r="DD93" s="19">
        <v>4.6791315390236772</v>
      </c>
      <c r="DE93" s="19">
        <v>2.6984055079294849</v>
      </c>
      <c r="DF93" s="23">
        <v>0</v>
      </c>
      <c r="DG93" s="23">
        <v>0</v>
      </c>
      <c r="DH93" s="23">
        <v>0</v>
      </c>
      <c r="DI93" s="19">
        <v>0</v>
      </c>
      <c r="DJ93" s="19">
        <v>0</v>
      </c>
      <c r="DK93" s="19">
        <v>0</v>
      </c>
      <c r="DL93" s="19">
        <v>0</v>
      </c>
      <c r="DM93" s="19">
        <v>0</v>
      </c>
      <c r="DN93" s="19">
        <v>0</v>
      </c>
      <c r="DO93" s="19">
        <v>0</v>
      </c>
      <c r="DP93" s="19">
        <v>0</v>
      </c>
      <c r="DQ93" s="19">
        <v>0</v>
      </c>
      <c r="DR93" s="19">
        <v>0</v>
      </c>
      <c r="DS93" s="19">
        <v>0</v>
      </c>
      <c r="DT93" s="19">
        <v>0</v>
      </c>
      <c r="DU93" s="19">
        <v>0</v>
      </c>
      <c r="DV93" s="19">
        <v>0</v>
      </c>
      <c r="DW93" s="17" t="s">
        <v>371</v>
      </c>
      <c r="DX93" s="22" t="s">
        <v>218</v>
      </c>
      <c r="DY93" s="22">
        <v>115</v>
      </c>
      <c r="DZ93" s="22">
        <v>45</v>
      </c>
      <c r="EA93" s="22">
        <v>45</v>
      </c>
      <c r="EB93" s="22" t="s">
        <v>218</v>
      </c>
      <c r="EC93" s="22">
        <v>45</v>
      </c>
      <c r="ED93" s="22">
        <v>45</v>
      </c>
      <c r="EE93" s="22" t="s">
        <v>218</v>
      </c>
      <c r="EF93" s="22">
        <v>43</v>
      </c>
      <c r="EG93" s="22">
        <v>43</v>
      </c>
      <c r="EH93" s="22" t="s">
        <v>218</v>
      </c>
      <c r="EI93" s="22" t="s">
        <v>218</v>
      </c>
      <c r="EJ93" s="22" t="s">
        <v>218</v>
      </c>
      <c r="EK93" s="22" t="s">
        <v>218</v>
      </c>
      <c r="EL93" s="22" t="s">
        <v>218</v>
      </c>
      <c r="EM93" s="22" t="s">
        <v>218</v>
      </c>
      <c r="EN93" s="22" t="s">
        <v>218</v>
      </c>
      <c r="EO93" s="22" t="s">
        <v>218</v>
      </c>
      <c r="EP93" s="22" t="s">
        <v>218</v>
      </c>
      <c r="EQ93" s="22" t="s">
        <v>218</v>
      </c>
      <c r="ER93" s="22" t="s">
        <v>218</v>
      </c>
      <c r="ES93" s="22">
        <v>45</v>
      </c>
      <c r="ET93" s="22">
        <v>115</v>
      </c>
      <c r="EU93" s="22" t="s">
        <v>218</v>
      </c>
      <c r="EV93" s="22" t="s">
        <v>218</v>
      </c>
      <c r="EW93" s="22" t="s">
        <v>218</v>
      </c>
      <c r="EX93" s="22" t="s">
        <v>218</v>
      </c>
      <c r="EY93" s="22" t="s">
        <v>218</v>
      </c>
      <c r="EZ93" s="22" t="s">
        <v>218</v>
      </c>
      <c r="FA93" s="22" t="s">
        <v>218</v>
      </c>
      <c r="FB93" s="22" t="s">
        <v>218</v>
      </c>
      <c r="FC93" s="22" t="s">
        <v>218</v>
      </c>
      <c r="FD93" s="22" t="s">
        <v>218</v>
      </c>
      <c r="FE93" s="22" t="s">
        <v>218</v>
      </c>
      <c r="FF93" s="22" t="s">
        <v>218</v>
      </c>
      <c r="FG93" s="22">
        <v>0.69</v>
      </c>
      <c r="FH93" s="22">
        <v>0.27</v>
      </c>
      <c r="FI93" s="22">
        <v>0.11</v>
      </c>
      <c r="FJ93" s="22" t="s">
        <v>218</v>
      </c>
      <c r="FK93" s="22">
        <v>0.88</v>
      </c>
      <c r="FL93" s="22">
        <v>1.18</v>
      </c>
      <c r="FM93" s="22" t="s">
        <v>218</v>
      </c>
      <c r="FN93" s="22">
        <v>1.92</v>
      </c>
      <c r="FO93" s="22">
        <v>1.56</v>
      </c>
      <c r="FP93" s="22" t="s">
        <v>218</v>
      </c>
      <c r="FQ93" s="22" t="s">
        <v>218</v>
      </c>
      <c r="FR93" s="22" t="s">
        <v>218</v>
      </c>
      <c r="FS93" s="22" t="s">
        <v>218</v>
      </c>
      <c r="FT93" s="22" t="s">
        <v>218</v>
      </c>
      <c r="FU93" s="22" t="s">
        <v>218</v>
      </c>
      <c r="FV93" s="22" t="s">
        <v>218</v>
      </c>
      <c r="FW93" s="22" t="s">
        <v>218</v>
      </c>
      <c r="FX93" s="22" t="s">
        <v>218</v>
      </c>
      <c r="FY93" s="22" t="s">
        <v>218</v>
      </c>
      <c r="FZ93" s="22" t="s">
        <v>218</v>
      </c>
      <c r="GA93" s="22">
        <v>0.08</v>
      </c>
      <c r="GB93" s="22">
        <v>0.22</v>
      </c>
      <c r="GC93" s="22" t="s">
        <v>218</v>
      </c>
      <c r="GD93" s="22" t="s">
        <v>218</v>
      </c>
      <c r="GE93" s="22" t="s">
        <v>218</v>
      </c>
      <c r="GF93" s="22" t="s">
        <v>218</v>
      </c>
      <c r="GG93" s="22" t="s">
        <v>218</v>
      </c>
      <c r="GH93" s="22" t="s">
        <v>218</v>
      </c>
      <c r="GI93" s="22" t="s">
        <v>218</v>
      </c>
      <c r="GJ93" s="22" t="s">
        <v>218</v>
      </c>
      <c r="GK93" s="22" t="s">
        <v>218</v>
      </c>
      <c r="GL93" s="22" t="s">
        <v>218</v>
      </c>
      <c r="GM93" s="22" t="s">
        <v>218</v>
      </c>
      <c r="GN93" s="22" t="s">
        <v>218</v>
      </c>
      <c r="GO93" s="22" t="s">
        <v>238</v>
      </c>
      <c r="GP93" s="22" t="s">
        <v>238</v>
      </c>
      <c r="GQ93" s="22" t="s">
        <v>238</v>
      </c>
      <c r="GR93" s="22" t="s">
        <v>218</v>
      </c>
      <c r="GS93" s="22" t="s">
        <v>238</v>
      </c>
      <c r="GT93" s="22" t="s">
        <v>238</v>
      </c>
      <c r="GU93" s="22" t="s">
        <v>218</v>
      </c>
      <c r="GV93" s="22" t="s">
        <v>238</v>
      </c>
      <c r="GW93" s="22" t="s">
        <v>238</v>
      </c>
      <c r="GX93" s="22" t="s">
        <v>218</v>
      </c>
      <c r="GY93" s="22" t="s">
        <v>218</v>
      </c>
      <c r="GZ93" s="22" t="s">
        <v>218</v>
      </c>
      <c r="HA93" s="22" t="s">
        <v>218</v>
      </c>
      <c r="HB93" s="22" t="s">
        <v>218</v>
      </c>
      <c r="HC93" s="22" t="s">
        <v>218</v>
      </c>
      <c r="HD93" s="22" t="s">
        <v>218</v>
      </c>
      <c r="HE93" s="22" t="s">
        <v>218</v>
      </c>
      <c r="HF93" s="22" t="s">
        <v>218</v>
      </c>
      <c r="HG93" s="22" t="s">
        <v>218</v>
      </c>
      <c r="HH93" s="22" t="s">
        <v>218</v>
      </c>
      <c r="HI93" s="22" t="s">
        <v>238</v>
      </c>
      <c r="HJ93" s="22" t="s">
        <v>238</v>
      </c>
      <c r="HK93" s="22" t="s">
        <v>218</v>
      </c>
      <c r="HL93" s="22" t="s">
        <v>218</v>
      </c>
      <c r="HM93" s="622">
        <f>'background data'!$G$10</f>
        <v>0.47300000000000003</v>
      </c>
      <c r="HN93" s="622">
        <f>'background data'!$H$10</f>
        <v>0.13</v>
      </c>
      <c r="HO93" s="622">
        <f>'background data'!$J$10</f>
        <v>0.39100000000000001</v>
      </c>
      <c r="HP93" s="622">
        <f>'background data'!$L$10</f>
        <v>5.5E-2</v>
      </c>
      <c r="HQ93" s="622">
        <f>'background data'!$M$10</f>
        <v>3.97</v>
      </c>
      <c r="HR93" s="622">
        <f>'background data'!$N$10</f>
        <v>4.5999999999999999E-3</v>
      </c>
      <c r="HS93" s="622">
        <f>'background data'!$O$10</f>
        <v>2.73</v>
      </c>
      <c r="HT93" s="145" t="s">
        <v>1797</v>
      </c>
      <c r="HU93" s="145" t="s">
        <v>1809</v>
      </c>
      <c r="HV93" s="22" t="s">
        <v>1396</v>
      </c>
      <c r="HW93" s="22" t="s">
        <v>376</v>
      </c>
      <c r="HX93" s="22" t="s">
        <v>373</v>
      </c>
      <c r="HY93" s="22" t="s">
        <v>374</v>
      </c>
      <c r="HZ93" s="19"/>
      <c r="IA93" s="19"/>
      <c r="IB93" s="622">
        <f>'background data'!$G$10</f>
        <v>0.47300000000000003</v>
      </c>
      <c r="IC93" s="622">
        <f>'background data'!$H$10</f>
        <v>0.13</v>
      </c>
      <c r="ID93" s="622">
        <f>'background data'!$J$10</f>
        <v>0.39100000000000001</v>
      </c>
      <c r="IE93" s="622">
        <f>'background data'!$L$10</f>
        <v>5.5E-2</v>
      </c>
      <c r="IF93" s="622">
        <f>'background data'!$M$10</f>
        <v>3.97</v>
      </c>
      <c r="IG93" s="622">
        <f>'background data'!$N$10</f>
        <v>4.5999999999999999E-3</v>
      </c>
      <c r="IH93" s="622">
        <f>'background data'!$O$10</f>
        <v>2.73</v>
      </c>
      <c r="II93" s="145" t="s">
        <v>1797</v>
      </c>
      <c r="IJ93" s="145" t="s">
        <v>1396</v>
      </c>
      <c r="IK93" s="145"/>
      <c r="IL93" s="145"/>
      <c r="IM93" s="145"/>
      <c r="IN93" s="145"/>
      <c r="IO93" s="145"/>
      <c r="IP93" s="145"/>
      <c r="IQ93" s="145"/>
      <c r="IR93" s="145"/>
      <c r="IS93" s="145"/>
      <c r="IT93" s="145"/>
      <c r="IU93" s="145"/>
      <c r="IV93" s="145"/>
      <c r="IW93" s="145"/>
      <c r="IX93" s="145"/>
      <c r="IY93" s="145"/>
      <c r="IZ93" s="145"/>
      <c r="JA93" s="145"/>
      <c r="JB93" s="145"/>
      <c r="JC93" s="145"/>
      <c r="JD93" s="145"/>
      <c r="JE93" s="145"/>
      <c r="JF93" s="145"/>
      <c r="JG93" s="145"/>
      <c r="JH93" s="145"/>
      <c r="JI93" s="145"/>
      <c r="JJ93" s="145"/>
      <c r="JK93" s="145"/>
      <c r="JL93" s="145"/>
      <c r="JM93" s="145"/>
      <c r="JN93" s="145"/>
      <c r="JO93" s="145"/>
      <c r="JP93" s="145"/>
      <c r="JQ93" s="145"/>
      <c r="JR93" s="145"/>
      <c r="JS93" s="145"/>
      <c r="JT93" s="145"/>
      <c r="JU93" s="145"/>
      <c r="JV93" s="145"/>
      <c r="JW93" s="145"/>
      <c r="JX93" s="145"/>
      <c r="JY93" s="145"/>
      <c r="JZ93" s="145"/>
      <c r="KA93" s="145"/>
      <c r="KB93" s="145"/>
      <c r="KC93" s="145"/>
      <c r="KD93" s="145"/>
      <c r="KE93" s="145"/>
      <c r="KF93" s="145"/>
      <c r="KG93" s="145"/>
      <c r="KH93" s="145"/>
      <c r="KI93" s="145"/>
      <c r="KJ93" s="145"/>
      <c r="KK93" s="145"/>
      <c r="KL93" s="145"/>
      <c r="KM93" s="145"/>
      <c r="KN93" s="145"/>
      <c r="KO93" s="145"/>
      <c r="KP93" s="145"/>
      <c r="KQ93" s="145"/>
      <c r="KR93" s="145"/>
      <c r="KS93" s="145"/>
      <c r="KT93" s="145"/>
      <c r="KU93" s="145"/>
      <c r="KV93" s="145"/>
      <c r="KW93" s="145"/>
      <c r="KX93" s="145"/>
      <c r="KY93" s="145"/>
      <c r="KZ93" s="145"/>
      <c r="LA93" s="145"/>
      <c r="LB93" s="145"/>
      <c r="LC93" s="145"/>
      <c r="LD93" s="145"/>
      <c r="LE93" s="145"/>
      <c r="LF93" s="145"/>
      <c r="LG93" s="145"/>
      <c r="LH93" s="145"/>
      <c r="LI93" s="145"/>
      <c r="LJ93" s="145"/>
      <c r="LK93" s="145"/>
      <c r="LL93" s="145"/>
      <c r="LM93" s="145"/>
      <c r="LN93" s="145"/>
      <c r="LO93" s="145"/>
      <c r="LP93" s="145"/>
      <c r="LQ93" s="145"/>
      <c r="LR93" s="145"/>
      <c r="LS93" s="145"/>
      <c r="LT93" s="145"/>
      <c r="LU93" s="145"/>
      <c r="LV93" s="145"/>
      <c r="LW93" s="145"/>
      <c r="LX93" s="145"/>
      <c r="LY93" s="145"/>
      <c r="LZ93" s="145"/>
      <c r="MA93" s="145"/>
      <c r="MB93" s="145"/>
      <c r="MC93" s="145"/>
      <c r="MD93" s="145"/>
      <c r="ME93" s="145"/>
      <c r="MF93" s="145"/>
      <c r="MG93" s="145"/>
      <c r="MH93" s="145"/>
      <c r="MI93" s="145"/>
      <c r="MJ93" s="145"/>
      <c r="MK93" s="145"/>
      <c r="ML93" s="145"/>
      <c r="MM93" s="145"/>
      <c r="MN93" s="145"/>
      <c r="MO93" s="145"/>
      <c r="MP93" s="145"/>
      <c r="MQ93" s="145"/>
      <c r="MR93" s="145"/>
      <c r="MS93" s="145"/>
      <c r="MT93" s="145"/>
      <c r="MU93" s="145"/>
      <c r="MV93" s="145"/>
      <c r="MW93" s="145"/>
      <c r="MX93" s="145"/>
      <c r="MY93" s="145"/>
      <c r="MZ93" s="145"/>
      <c r="NA93" s="145"/>
      <c r="NB93" s="145"/>
      <c r="NC93" s="145"/>
      <c r="ND93" s="145"/>
      <c r="NE93" s="145"/>
      <c r="NF93" s="145"/>
      <c r="NG93" s="145"/>
      <c r="NH93" s="145"/>
      <c r="NI93" s="145"/>
      <c r="NJ93" s="145"/>
      <c r="NK93" s="145"/>
      <c r="NL93" s="145"/>
      <c r="NM93" s="145"/>
      <c r="NN93" s="145"/>
      <c r="NO93" s="145"/>
      <c r="NP93" s="145"/>
      <c r="NQ93" s="145"/>
      <c r="NR93" s="145"/>
      <c r="NS93" s="145"/>
    </row>
    <row r="94" spans="1:383" s="16" customFormat="1" ht="15" customHeight="1" x14ac:dyDescent="0.2">
      <c r="A94" s="15">
        <v>51201</v>
      </c>
      <c r="B94" s="25">
        <v>512</v>
      </c>
      <c r="C94" s="26">
        <v>1</v>
      </c>
      <c r="D94" s="20" t="s">
        <v>380</v>
      </c>
      <c r="E94" s="14">
        <v>42678</v>
      </c>
      <c r="F94" s="18">
        <v>1.1555834785133601</v>
      </c>
      <c r="G94" s="18">
        <v>1.1361658033395201</v>
      </c>
      <c r="H94" s="21">
        <v>91.3</v>
      </c>
      <c r="I94" s="21">
        <v>87.000043899999994</v>
      </c>
      <c r="J94" s="21">
        <v>93</v>
      </c>
      <c r="K94" s="18">
        <v>1</v>
      </c>
      <c r="L94" s="18">
        <v>85</v>
      </c>
      <c r="M94" s="18">
        <v>8.9999999999999591</v>
      </c>
      <c r="N94" s="18">
        <v>2.1</v>
      </c>
      <c r="O94" s="18">
        <v>1.5</v>
      </c>
      <c r="P94" s="18">
        <v>2.7</v>
      </c>
      <c r="Q94" s="19"/>
      <c r="R94" s="18">
        <v>83.473423809523794</v>
      </c>
      <c r="S94" s="18">
        <v>50</v>
      </c>
      <c r="T94" s="18">
        <v>54</v>
      </c>
      <c r="U94" s="18">
        <v>56</v>
      </c>
      <c r="V94" s="18">
        <v>57</v>
      </c>
      <c r="W94" s="18">
        <v>58</v>
      </c>
      <c r="X94" s="18"/>
      <c r="Y94" s="18">
        <v>0.42352941176470588</v>
      </c>
      <c r="Z94" s="18">
        <v>3.1764705882352939</v>
      </c>
      <c r="AA94" s="18">
        <v>0.1</v>
      </c>
      <c r="AB94" s="18">
        <v>1</v>
      </c>
      <c r="AC94" s="18">
        <v>5.8</v>
      </c>
      <c r="AD94" s="18">
        <v>1.2</v>
      </c>
      <c r="AE94" s="18">
        <v>1.3</v>
      </c>
      <c r="AF94" s="18">
        <v>32</v>
      </c>
      <c r="AG94" s="18">
        <v>3.2</v>
      </c>
      <c r="AH94" s="18">
        <v>29</v>
      </c>
      <c r="AI94" s="18">
        <v>40</v>
      </c>
      <c r="AJ94" s="18">
        <v>0</v>
      </c>
      <c r="AK94" s="18">
        <v>6.0000000000000123E-2</v>
      </c>
      <c r="AL94" s="18"/>
      <c r="AM94" s="18">
        <v>3.0647441176470598</v>
      </c>
      <c r="AN94" s="18">
        <v>1.57315411764706</v>
      </c>
      <c r="AO94" s="18">
        <v>2.3666888235294099</v>
      </c>
      <c r="AP94" s="18">
        <v>2.9711270588235301</v>
      </c>
      <c r="AQ94" s="18">
        <v>1.38336529411765</v>
      </c>
      <c r="AR94" s="18">
        <v>3.3435294117647101</v>
      </c>
      <c r="AS94" s="18">
        <v>6.7149041176470599</v>
      </c>
      <c r="AT94" s="18">
        <v>2.2959923529411799</v>
      </c>
      <c r="AU94" s="18">
        <v>4.3632476470588202</v>
      </c>
      <c r="AV94" s="18">
        <v>2.74708</v>
      </c>
      <c r="AW94" s="18">
        <v>4.3238588235294104</v>
      </c>
      <c r="AX94" s="18"/>
      <c r="AY94" s="18">
        <v>0.91984139059636005</v>
      </c>
      <c r="AZ94" s="18">
        <v>0.99983194794455499</v>
      </c>
      <c r="BA94" s="18">
        <v>0.979886924127779</v>
      </c>
      <c r="BB94" s="18">
        <v>0.92986562968623399</v>
      </c>
      <c r="BC94" s="18">
        <v>0.99002632466492502</v>
      </c>
      <c r="BD94" s="18">
        <v>0.98995993262128801</v>
      </c>
      <c r="BE94" s="18">
        <v>0.99999453250972503</v>
      </c>
      <c r="BF94" s="18">
        <v>0.989953559452181</v>
      </c>
      <c r="BG94" s="18">
        <v>1.0199454358815301</v>
      </c>
      <c r="BH94" s="18">
        <v>0.99999479025510996</v>
      </c>
      <c r="BI94" s="18">
        <v>0.95993645905861302</v>
      </c>
      <c r="BJ94" s="19"/>
      <c r="BK94" s="18">
        <v>10.588235294117599</v>
      </c>
      <c r="BL94" s="18">
        <v>2.4705882352941178</v>
      </c>
      <c r="BM94" s="18">
        <v>1.7647058823529411</v>
      </c>
      <c r="BN94" s="18">
        <v>3.1764705882352939</v>
      </c>
      <c r="BO94" s="18"/>
      <c r="BP94" s="18">
        <v>105</v>
      </c>
      <c r="BQ94" s="18">
        <v>25.941176470588236</v>
      </c>
      <c r="BR94" s="18">
        <v>1.3595099747216002</v>
      </c>
      <c r="BS94" s="18">
        <v>1.3366656509876709</v>
      </c>
      <c r="BT94" s="19"/>
      <c r="BU94" s="18">
        <v>982.35294117647061</v>
      </c>
      <c r="BV94" s="18">
        <v>716.22605042016824</v>
      </c>
      <c r="BW94" s="18">
        <v>60.343921739495762</v>
      </c>
      <c r="BX94" s="18">
        <v>670</v>
      </c>
      <c r="BY94" s="18">
        <v>18.999999999999996</v>
      </c>
      <c r="BZ94" s="18">
        <v>25.000000000000117</v>
      </c>
      <c r="CA94" s="18">
        <v>113</v>
      </c>
      <c r="CB94" s="19"/>
      <c r="CC94" s="19">
        <v>0.36</v>
      </c>
      <c r="CD94" s="19">
        <v>2.6999999999999997</v>
      </c>
      <c r="CE94" s="19">
        <v>8.5000000000000006E-2</v>
      </c>
      <c r="CF94" s="19">
        <v>0.85</v>
      </c>
      <c r="CG94" s="19">
        <v>4.93</v>
      </c>
      <c r="CH94" s="19">
        <v>1.02</v>
      </c>
      <c r="CI94" s="19">
        <v>1.105</v>
      </c>
      <c r="CJ94" s="19"/>
      <c r="CK94" s="19">
        <v>27.2</v>
      </c>
      <c r="CL94" s="19">
        <v>2.72</v>
      </c>
      <c r="CM94" s="19">
        <v>24.65</v>
      </c>
      <c r="CN94" s="19">
        <v>34</v>
      </c>
      <c r="CO94" s="19">
        <v>0</v>
      </c>
      <c r="CP94" s="19">
        <v>5.1000000000000101E-2</v>
      </c>
      <c r="CQ94" s="19">
        <v>75.126081428571098</v>
      </c>
      <c r="CR94" s="19">
        <v>65.011384140953297</v>
      </c>
      <c r="CS94" s="19">
        <v>1.8327219470180098</v>
      </c>
      <c r="CT94" s="19">
        <v>1.0225573947973492</v>
      </c>
      <c r="CU94" s="19">
        <v>1.507670838758342</v>
      </c>
      <c r="CV94" s="19">
        <v>2.5302282335556825</v>
      </c>
      <c r="CW94" s="19">
        <v>1.7961013219627593</v>
      </c>
      <c r="CX94" s="19">
        <v>0.89037515113095689</v>
      </c>
      <c r="CY94" s="19">
        <v>2.1518509088012383</v>
      </c>
      <c r="CZ94" s="19">
        <v>4.3654282425532598</v>
      </c>
      <c r="DA94" s="19">
        <v>1.4776605245520116</v>
      </c>
      <c r="DB94" s="19">
        <v>2.8931850656295333</v>
      </c>
      <c r="DC94" s="19">
        <v>1.7859054272991584</v>
      </c>
      <c r="DD94" s="19">
        <v>4.6790904929286912</v>
      </c>
      <c r="DE94" s="19">
        <v>2.6983818370820534</v>
      </c>
      <c r="DF94" s="23">
        <v>0</v>
      </c>
      <c r="DG94" s="23">
        <v>0</v>
      </c>
      <c r="DH94" s="23">
        <v>0</v>
      </c>
      <c r="DI94" s="19">
        <v>0</v>
      </c>
      <c r="DJ94" s="19">
        <v>0</v>
      </c>
      <c r="DK94" s="19">
        <v>0</v>
      </c>
      <c r="DL94" s="19">
        <v>0</v>
      </c>
      <c r="DM94" s="19">
        <v>0</v>
      </c>
      <c r="DN94" s="19">
        <v>0</v>
      </c>
      <c r="DO94" s="19">
        <v>0</v>
      </c>
      <c r="DP94" s="19">
        <v>0</v>
      </c>
      <c r="DQ94" s="19">
        <v>0</v>
      </c>
      <c r="DR94" s="19">
        <v>0</v>
      </c>
      <c r="DS94" s="19">
        <v>0</v>
      </c>
      <c r="DT94" s="19">
        <v>0</v>
      </c>
      <c r="DU94" s="19">
        <v>0</v>
      </c>
      <c r="DV94" s="19">
        <v>0</v>
      </c>
      <c r="DW94" s="17" t="s">
        <v>371</v>
      </c>
      <c r="DX94" s="22" t="s">
        <v>218</v>
      </c>
      <c r="DY94" s="22">
        <v>115</v>
      </c>
      <c r="DZ94" s="22">
        <v>45</v>
      </c>
      <c r="EA94" s="22">
        <v>45</v>
      </c>
      <c r="EB94" s="22" t="s">
        <v>218</v>
      </c>
      <c r="EC94" s="22">
        <v>45</v>
      </c>
      <c r="ED94" s="22">
        <v>45</v>
      </c>
      <c r="EE94" s="22" t="s">
        <v>218</v>
      </c>
      <c r="EF94" s="22">
        <v>43</v>
      </c>
      <c r="EG94" s="22">
        <v>43</v>
      </c>
      <c r="EH94" s="22" t="s">
        <v>218</v>
      </c>
      <c r="EI94" s="22" t="s">
        <v>218</v>
      </c>
      <c r="EJ94" s="22" t="s">
        <v>218</v>
      </c>
      <c r="EK94" s="22" t="s">
        <v>218</v>
      </c>
      <c r="EL94" s="22" t="s">
        <v>218</v>
      </c>
      <c r="EM94" s="22" t="s">
        <v>218</v>
      </c>
      <c r="EN94" s="22" t="s">
        <v>218</v>
      </c>
      <c r="EO94" s="22" t="s">
        <v>218</v>
      </c>
      <c r="EP94" s="22" t="s">
        <v>218</v>
      </c>
      <c r="EQ94" s="22" t="s">
        <v>218</v>
      </c>
      <c r="ER94" s="22" t="s">
        <v>218</v>
      </c>
      <c r="ES94" s="22">
        <v>45</v>
      </c>
      <c r="ET94" s="22">
        <v>115</v>
      </c>
      <c r="EU94" s="22" t="s">
        <v>218</v>
      </c>
      <c r="EV94" s="22" t="s">
        <v>218</v>
      </c>
      <c r="EW94" s="22" t="s">
        <v>218</v>
      </c>
      <c r="EX94" s="22" t="s">
        <v>218</v>
      </c>
      <c r="EY94" s="22" t="s">
        <v>218</v>
      </c>
      <c r="EZ94" s="22" t="s">
        <v>218</v>
      </c>
      <c r="FA94" s="22" t="s">
        <v>218</v>
      </c>
      <c r="FB94" s="22" t="s">
        <v>218</v>
      </c>
      <c r="FC94" s="22" t="s">
        <v>218</v>
      </c>
      <c r="FD94" s="22" t="s">
        <v>218</v>
      </c>
      <c r="FE94" s="22" t="s">
        <v>218</v>
      </c>
      <c r="FF94" s="22" t="s">
        <v>218</v>
      </c>
      <c r="FG94" s="22">
        <v>0.69</v>
      </c>
      <c r="FH94" s="22">
        <v>0.27</v>
      </c>
      <c r="FI94" s="22">
        <v>0.11</v>
      </c>
      <c r="FJ94" s="22" t="s">
        <v>218</v>
      </c>
      <c r="FK94" s="22">
        <v>0.88</v>
      </c>
      <c r="FL94" s="22">
        <v>1.18</v>
      </c>
      <c r="FM94" s="22" t="s">
        <v>218</v>
      </c>
      <c r="FN94" s="22">
        <v>1.92</v>
      </c>
      <c r="FO94" s="22">
        <v>1.56</v>
      </c>
      <c r="FP94" s="22" t="s">
        <v>218</v>
      </c>
      <c r="FQ94" s="22" t="s">
        <v>218</v>
      </c>
      <c r="FR94" s="22" t="s">
        <v>218</v>
      </c>
      <c r="FS94" s="22" t="s">
        <v>218</v>
      </c>
      <c r="FT94" s="22" t="s">
        <v>218</v>
      </c>
      <c r="FU94" s="22" t="s">
        <v>218</v>
      </c>
      <c r="FV94" s="22" t="s">
        <v>218</v>
      </c>
      <c r="FW94" s="22" t="s">
        <v>218</v>
      </c>
      <c r="FX94" s="22" t="s">
        <v>218</v>
      </c>
      <c r="FY94" s="22" t="s">
        <v>218</v>
      </c>
      <c r="FZ94" s="22" t="s">
        <v>218</v>
      </c>
      <c r="GA94" s="22">
        <v>0.08</v>
      </c>
      <c r="GB94" s="22">
        <v>0.22</v>
      </c>
      <c r="GC94" s="22" t="s">
        <v>218</v>
      </c>
      <c r="GD94" s="22" t="s">
        <v>218</v>
      </c>
      <c r="GE94" s="22" t="s">
        <v>218</v>
      </c>
      <c r="GF94" s="22" t="s">
        <v>218</v>
      </c>
      <c r="GG94" s="22" t="s">
        <v>218</v>
      </c>
      <c r="GH94" s="22" t="s">
        <v>218</v>
      </c>
      <c r="GI94" s="22" t="s">
        <v>218</v>
      </c>
      <c r="GJ94" s="22" t="s">
        <v>218</v>
      </c>
      <c r="GK94" s="22" t="s">
        <v>218</v>
      </c>
      <c r="GL94" s="22" t="s">
        <v>218</v>
      </c>
      <c r="GM94" s="22" t="s">
        <v>218</v>
      </c>
      <c r="GN94" s="22" t="s">
        <v>218</v>
      </c>
      <c r="GO94" s="22" t="s">
        <v>238</v>
      </c>
      <c r="GP94" s="22" t="s">
        <v>238</v>
      </c>
      <c r="GQ94" s="22" t="s">
        <v>238</v>
      </c>
      <c r="GR94" s="22" t="s">
        <v>218</v>
      </c>
      <c r="GS94" s="22" t="s">
        <v>238</v>
      </c>
      <c r="GT94" s="22" t="s">
        <v>238</v>
      </c>
      <c r="GU94" s="22" t="s">
        <v>218</v>
      </c>
      <c r="GV94" s="22" t="s">
        <v>238</v>
      </c>
      <c r="GW94" s="22" t="s">
        <v>238</v>
      </c>
      <c r="GX94" s="22" t="s">
        <v>218</v>
      </c>
      <c r="GY94" s="22" t="s">
        <v>218</v>
      </c>
      <c r="GZ94" s="22" t="s">
        <v>218</v>
      </c>
      <c r="HA94" s="22" t="s">
        <v>218</v>
      </c>
      <c r="HB94" s="22" t="s">
        <v>218</v>
      </c>
      <c r="HC94" s="22" t="s">
        <v>218</v>
      </c>
      <c r="HD94" s="22" t="s">
        <v>218</v>
      </c>
      <c r="HE94" s="22" t="s">
        <v>218</v>
      </c>
      <c r="HF94" s="22" t="s">
        <v>218</v>
      </c>
      <c r="HG94" s="22" t="s">
        <v>218</v>
      </c>
      <c r="HH94" s="22" t="s">
        <v>218</v>
      </c>
      <c r="HI94" s="22" t="s">
        <v>238</v>
      </c>
      <c r="HJ94" s="22" t="s">
        <v>238</v>
      </c>
      <c r="HK94" s="22" t="s">
        <v>218</v>
      </c>
      <c r="HL94" s="22" t="s">
        <v>218</v>
      </c>
      <c r="HM94" s="622">
        <f>'background data'!$G$10</f>
        <v>0.47300000000000003</v>
      </c>
      <c r="HN94" s="622">
        <f>'background data'!$H$10</f>
        <v>0.13</v>
      </c>
      <c r="HO94" s="622">
        <f>'background data'!$J$10</f>
        <v>0.39100000000000001</v>
      </c>
      <c r="HP94" s="622">
        <f>'background data'!$L$10</f>
        <v>5.5E-2</v>
      </c>
      <c r="HQ94" s="622">
        <f>'background data'!$M$10</f>
        <v>3.97</v>
      </c>
      <c r="HR94" s="622">
        <f>'background data'!$N$10</f>
        <v>4.5999999999999999E-3</v>
      </c>
      <c r="HS94" s="622">
        <f>'background data'!$O$10</f>
        <v>2.73</v>
      </c>
      <c r="HT94" s="145" t="s">
        <v>1797</v>
      </c>
      <c r="HU94" s="145" t="s">
        <v>1809</v>
      </c>
      <c r="HV94" s="22" t="s">
        <v>1396</v>
      </c>
      <c r="HW94" s="22" t="s">
        <v>376</v>
      </c>
      <c r="HX94" s="22" t="s">
        <v>373</v>
      </c>
      <c r="HY94" s="22" t="s">
        <v>374</v>
      </c>
      <c r="HZ94" s="19"/>
      <c r="IA94" s="19"/>
      <c r="IB94" s="622">
        <f>'background data'!$G$10</f>
        <v>0.47300000000000003</v>
      </c>
      <c r="IC94" s="622">
        <f>'background data'!$H$10</f>
        <v>0.13</v>
      </c>
      <c r="ID94" s="622">
        <f>'background data'!$J$10</f>
        <v>0.39100000000000001</v>
      </c>
      <c r="IE94" s="622">
        <f>'background data'!$L$10</f>
        <v>5.5E-2</v>
      </c>
      <c r="IF94" s="622">
        <f>'background data'!$M$10</f>
        <v>3.97</v>
      </c>
      <c r="IG94" s="622">
        <f>'background data'!$N$10</f>
        <v>4.5999999999999999E-3</v>
      </c>
      <c r="IH94" s="622">
        <f>'background data'!$O$10</f>
        <v>2.73</v>
      </c>
      <c r="II94" s="145" t="s">
        <v>1797</v>
      </c>
      <c r="IJ94" s="145" t="s">
        <v>1396</v>
      </c>
      <c r="IK94" s="145"/>
      <c r="IL94" s="145"/>
      <c r="IM94" s="145"/>
      <c r="IN94" s="145"/>
      <c r="IO94" s="145"/>
      <c r="IP94" s="145"/>
      <c r="IQ94" s="145"/>
      <c r="IR94" s="145"/>
      <c r="IS94" s="145"/>
      <c r="IT94" s="145"/>
      <c r="IU94" s="145"/>
      <c r="IV94" s="145"/>
      <c r="IW94" s="145"/>
      <c r="IX94" s="145"/>
      <c r="IY94" s="145"/>
      <c r="IZ94" s="145"/>
      <c r="JA94" s="145"/>
      <c r="JB94" s="145"/>
      <c r="JC94" s="145"/>
      <c r="JD94" s="145"/>
      <c r="JE94" s="145"/>
      <c r="JF94" s="145"/>
      <c r="JG94" s="145"/>
      <c r="JH94" s="145"/>
      <c r="JI94" s="145"/>
      <c r="JJ94" s="145"/>
      <c r="JK94" s="145"/>
      <c r="JL94" s="145"/>
      <c r="JM94" s="145"/>
      <c r="JN94" s="145"/>
      <c r="JO94" s="145"/>
      <c r="JP94" s="145"/>
      <c r="JQ94" s="145"/>
      <c r="JR94" s="145"/>
      <c r="JS94" s="145"/>
      <c r="JT94" s="145"/>
      <c r="JU94" s="145"/>
      <c r="JV94" s="145"/>
      <c r="JW94" s="145"/>
      <c r="JX94" s="145"/>
      <c r="JY94" s="145"/>
      <c r="JZ94" s="145"/>
      <c r="KA94" s="145"/>
      <c r="KB94" s="145"/>
      <c r="KC94" s="145"/>
      <c r="KD94" s="145"/>
      <c r="KE94" s="145"/>
      <c r="KF94" s="145"/>
      <c r="KG94" s="145"/>
      <c r="KH94" s="145"/>
      <c r="KI94" s="145"/>
      <c r="KJ94" s="145"/>
      <c r="KK94" s="145"/>
      <c r="KL94" s="145"/>
      <c r="KM94" s="145"/>
      <c r="KN94" s="145"/>
      <c r="KO94" s="145"/>
      <c r="KP94" s="145"/>
      <c r="KQ94" s="145"/>
      <c r="KR94" s="145"/>
      <c r="KS94" s="145"/>
      <c r="KT94" s="145"/>
      <c r="KU94" s="145"/>
      <c r="KV94" s="145"/>
      <c r="KW94" s="145"/>
      <c r="KX94" s="145"/>
      <c r="KY94" s="145"/>
      <c r="KZ94" s="145"/>
      <c r="LA94" s="145"/>
      <c r="LB94" s="145"/>
      <c r="LC94" s="145"/>
      <c r="LD94" s="145"/>
      <c r="LE94" s="145"/>
      <c r="LF94" s="145"/>
      <c r="LG94" s="145"/>
      <c r="LH94" s="145"/>
      <c r="LI94" s="145"/>
      <c r="LJ94" s="145"/>
      <c r="LK94" s="145"/>
      <c r="LL94" s="145"/>
      <c r="LM94" s="145"/>
      <c r="LN94" s="145"/>
      <c r="LO94" s="145"/>
      <c r="LP94" s="145"/>
      <c r="LQ94" s="145"/>
      <c r="LR94" s="145"/>
      <c r="LS94" s="145"/>
      <c r="LT94" s="145"/>
      <c r="LU94" s="145"/>
      <c r="LV94" s="145"/>
      <c r="LW94" s="145"/>
      <c r="LX94" s="145"/>
      <c r="LY94" s="145"/>
      <c r="LZ94" s="145"/>
      <c r="MA94" s="145"/>
      <c r="MB94" s="145"/>
      <c r="MC94" s="145"/>
      <c r="MD94" s="145"/>
      <c r="ME94" s="145"/>
      <c r="MF94" s="145"/>
      <c r="MG94" s="145"/>
      <c r="MH94" s="145"/>
      <c r="MI94" s="145"/>
      <c r="MJ94" s="145"/>
      <c r="MK94" s="145"/>
      <c r="ML94" s="145"/>
      <c r="MM94" s="145"/>
      <c r="MN94" s="145"/>
      <c r="MO94" s="145"/>
      <c r="MP94" s="145"/>
      <c r="MQ94" s="145"/>
      <c r="MR94" s="145"/>
      <c r="MS94" s="145"/>
      <c r="MT94" s="145"/>
      <c r="MU94" s="145"/>
      <c r="MV94" s="145"/>
      <c r="MW94" s="145"/>
      <c r="MX94" s="145"/>
      <c r="MY94" s="145"/>
      <c r="MZ94" s="145"/>
      <c r="NA94" s="145"/>
      <c r="NB94" s="145"/>
      <c r="NC94" s="145"/>
      <c r="ND94" s="145"/>
      <c r="NE94" s="145"/>
      <c r="NF94" s="145"/>
      <c r="NG94" s="145"/>
      <c r="NH94" s="145"/>
      <c r="NI94" s="145"/>
      <c r="NJ94" s="145"/>
      <c r="NK94" s="145"/>
      <c r="NL94" s="145"/>
      <c r="NM94" s="145"/>
      <c r="NN94" s="145"/>
      <c r="NO94" s="145"/>
      <c r="NP94" s="145"/>
      <c r="NQ94" s="145"/>
      <c r="NR94" s="145"/>
      <c r="NS94" s="145"/>
    </row>
    <row r="95" spans="1:383" s="16" customFormat="1" ht="15" customHeight="1" x14ac:dyDescent="0.2">
      <c r="A95" s="15">
        <v>51210</v>
      </c>
      <c r="B95" s="25">
        <v>512</v>
      </c>
      <c r="C95" s="26">
        <v>10</v>
      </c>
      <c r="D95" s="20" t="s">
        <v>381</v>
      </c>
      <c r="E95" s="14">
        <v>42678</v>
      </c>
      <c r="F95" s="18">
        <v>1.14588545296168</v>
      </c>
      <c r="G95" s="18">
        <v>1.1293494768089001</v>
      </c>
      <c r="H95" s="21">
        <v>91.3</v>
      </c>
      <c r="I95" s="21">
        <v>86.199982000000006</v>
      </c>
      <c r="J95" s="21">
        <v>93</v>
      </c>
      <c r="K95" s="18">
        <v>1</v>
      </c>
      <c r="L95" s="18">
        <v>85</v>
      </c>
      <c r="M95" s="18">
        <v>8.9999999999999591</v>
      </c>
      <c r="N95" s="18">
        <v>2.1</v>
      </c>
      <c r="O95" s="18">
        <v>1.5</v>
      </c>
      <c r="P95" s="18">
        <v>2.7</v>
      </c>
      <c r="Q95" s="19"/>
      <c r="R95" s="18">
        <v>82.773614285714302</v>
      </c>
      <c r="S95" s="18">
        <v>28</v>
      </c>
      <c r="T95" s="18">
        <v>43</v>
      </c>
      <c r="U95" s="18">
        <v>48</v>
      </c>
      <c r="V95" s="18">
        <v>54</v>
      </c>
      <c r="W95" s="18">
        <v>57</v>
      </c>
      <c r="X95" s="18"/>
      <c r="Y95" s="18">
        <v>0.42352941176470588</v>
      </c>
      <c r="Z95" s="18">
        <v>3.1764705882352939</v>
      </c>
      <c r="AA95" s="18">
        <v>0.1</v>
      </c>
      <c r="AB95" s="18">
        <v>1</v>
      </c>
      <c r="AC95" s="18">
        <v>5.8</v>
      </c>
      <c r="AD95" s="18">
        <v>1.2</v>
      </c>
      <c r="AE95" s="18">
        <v>1.3</v>
      </c>
      <c r="AF95" s="18">
        <v>32</v>
      </c>
      <c r="AG95" s="18">
        <v>3.2</v>
      </c>
      <c r="AH95" s="18">
        <v>29</v>
      </c>
      <c r="AI95" s="18">
        <v>40</v>
      </c>
      <c r="AJ95" s="18">
        <v>0</v>
      </c>
      <c r="AK95" s="18">
        <v>6.0000000000000123E-2</v>
      </c>
      <c r="AL95" s="18"/>
      <c r="AM95" s="18">
        <v>3.0647441176470598</v>
      </c>
      <c r="AN95" s="18">
        <v>1.57315411764706</v>
      </c>
      <c r="AO95" s="18">
        <v>2.3666888235294099</v>
      </c>
      <c r="AP95" s="18">
        <v>2.9711270588235301</v>
      </c>
      <c r="AQ95" s="18">
        <v>1.38336529411765</v>
      </c>
      <c r="AR95" s="18">
        <v>3.3435294117647101</v>
      </c>
      <c r="AS95" s="18">
        <v>6.7149041176470599</v>
      </c>
      <c r="AT95" s="18">
        <v>2.2959923529411799</v>
      </c>
      <c r="AU95" s="18">
        <v>4.3632476470588202</v>
      </c>
      <c r="AV95" s="18">
        <v>2.74708</v>
      </c>
      <c r="AW95" s="18">
        <v>4.3238588235294104</v>
      </c>
      <c r="AX95" s="18"/>
      <c r="AY95" s="18">
        <v>0.92</v>
      </c>
      <c r="AZ95" s="18">
        <v>1</v>
      </c>
      <c r="BA95" s="18">
        <v>0.98</v>
      </c>
      <c r="BB95" s="18">
        <v>0.93</v>
      </c>
      <c r="BC95" s="18">
        <v>0.99</v>
      </c>
      <c r="BD95" s="18">
        <v>0.99</v>
      </c>
      <c r="BE95" s="18">
        <v>1</v>
      </c>
      <c r="BF95" s="18">
        <v>0.99</v>
      </c>
      <c r="BG95" s="18">
        <v>1.02</v>
      </c>
      <c r="BH95" s="18">
        <v>1</v>
      </c>
      <c r="BI95" s="18">
        <v>0.96</v>
      </c>
      <c r="BJ95" s="19"/>
      <c r="BK95" s="18">
        <v>10.588235294117599</v>
      </c>
      <c r="BL95" s="18">
        <v>2.4705882352941178</v>
      </c>
      <c r="BM95" s="18">
        <v>1.7647058823529411</v>
      </c>
      <c r="BN95" s="18">
        <v>3.1764705882352939</v>
      </c>
      <c r="BO95" s="18"/>
      <c r="BP95" s="18">
        <v>105</v>
      </c>
      <c r="BQ95" s="18">
        <v>25.941176470588236</v>
      </c>
      <c r="BR95" s="18">
        <v>1.348100532896094</v>
      </c>
      <c r="BS95" s="18">
        <v>1.3286464433045884</v>
      </c>
      <c r="BT95" s="19"/>
      <c r="BU95" s="18">
        <v>982.35294117647061</v>
      </c>
      <c r="BV95" s="18">
        <v>704.99915966386584</v>
      </c>
      <c r="BW95" s="18">
        <v>71.571681176470463</v>
      </c>
      <c r="BX95" s="18">
        <v>670</v>
      </c>
      <c r="BY95" s="18">
        <v>18.999999999999996</v>
      </c>
      <c r="BZ95" s="18">
        <v>25</v>
      </c>
      <c r="CA95" s="18">
        <v>113</v>
      </c>
      <c r="CB95" s="19"/>
      <c r="CC95" s="19">
        <v>0.36</v>
      </c>
      <c r="CD95" s="19">
        <v>2.6999999999999997</v>
      </c>
      <c r="CE95" s="19">
        <v>8.5000000000000006E-2</v>
      </c>
      <c r="CF95" s="19">
        <v>0.85</v>
      </c>
      <c r="CG95" s="19">
        <v>4.93</v>
      </c>
      <c r="CH95" s="19">
        <v>1.02</v>
      </c>
      <c r="CI95" s="19">
        <v>1.105</v>
      </c>
      <c r="CJ95" s="19"/>
      <c r="CK95" s="19">
        <v>27.2</v>
      </c>
      <c r="CL95" s="19">
        <v>2.72</v>
      </c>
      <c r="CM95" s="19">
        <v>24.65</v>
      </c>
      <c r="CN95" s="19">
        <v>34</v>
      </c>
      <c r="CO95" s="19">
        <v>0</v>
      </c>
      <c r="CP95" s="19">
        <v>5.1000000000000101E-2</v>
      </c>
      <c r="CQ95" s="19">
        <v>74.496252857142906</v>
      </c>
      <c r="CR95" s="19">
        <v>65.011954436281826</v>
      </c>
      <c r="CS95" s="19">
        <v>1.8330540454050539</v>
      </c>
      <c r="CT95" s="19">
        <v>1.0227382381771901</v>
      </c>
      <c r="CU95" s="19">
        <v>1.5078580464094793</v>
      </c>
      <c r="CV95" s="19">
        <v>2.5305962845866694</v>
      </c>
      <c r="CW95" s="19">
        <v>1.7963766258455391</v>
      </c>
      <c r="CX95" s="19">
        <v>0.89035928655209884</v>
      </c>
      <c r="CY95" s="19">
        <v>2.1519568795627366</v>
      </c>
      <c r="CZ95" s="19">
        <v>4.3654904054046977</v>
      </c>
      <c r="DA95" s="19">
        <v>1.4777428073310808</v>
      </c>
      <c r="DB95" s="19">
        <v>2.8933652236929688</v>
      </c>
      <c r="DC95" s="19">
        <v>1.7859303979282013</v>
      </c>
      <c r="DD95" s="19">
        <v>4.6792956216211783</v>
      </c>
      <c r="DE95" s="19">
        <v>2.6985841231123997</v>
      </c>
      <c r="DF95" s="23">
        <v>0</v>
      </c>
      <c r="DG95" s="23">
        <v>0</v>
      </c>
      <c r="DH95" s="23">
        <v>0</v>
      </c>
      <c r="DI95" s="19">
        <v>0</v>
      </c>
      <c r="DJ95" s="19">
        <v>0</v>
      </c>
      <c r="DK95" s="19">
        <v>0</v>
      </c>
      <c r="DL95" s="19">
        <v>0</v>
      </c>
      <c r="DM95" s="19">
        <v>0</v>
      </c>
      <c r="DN95" s="19">
        <v>0</v>
      </c>
      <c r="DO95" s="19">
        <v>0</v>
      </c>
      <c r="DP95" s="19">
        <v>0</v>
      </c>
      <c r="DQ95" s="19">
        <v>0</v>
      </c>
      <c r="DR95" s="19">
        <v>0</v>
      </c>
      <c r="DS95" s="19">
        <v>0</v>
      </c>
      <c r="DT95" s="19">
        <v>0</v>
      </c>
      <c r="DU95" s="19">
        <v>0</v>
      </c>
      <c r="DV95" s="19">
        <v>0</v>
      </c>
      <c r="DW95" s="17" t="s">
        <v>371</v>
      </c>
      <c r="DX95" s="22" t="s">
        <v>218</v>
      </c>
      <c r="DY95" s="22">
        <v>115</v>
      </c>
      <c r="DZ95" s="22">
        <v>45</v>
      </c>
      <c r="EA95" s="22">
        <v>45</v>
      </c>
      <c r="EB95" s="22" t="s">
        <v>218</v>
      </c>
      <c r="EC95" s="22">
        <v>45</v>
      </c>
      <c r="ED95" s="22">
        <v>45</v>
      </c>
      <c r="EE95" s="22" t="s">
        <v>218</v>
      </c>
      <c r="EF95" s="22">
        <v>43</v>
      </c>
      <c r="EG95" s="22">
        <v>43</v>
      </c>
      <c r="EH95" s="22" t="s">
        <v>218</v>
      </c>
      <c r="EI95" s="22" t="s">
        <v>218</v>
      </c>
      <c r="EJ95" s="22" t="s">
        <v>218</v>
      </c>
      <c r="EK95" s="22" t="s">
        <v>218</v>
      </c>
      <c r="EL95" s="22" t="s">
        <v>218</v>
      </c>
      <c r="EM95" s="22" t="s">
        <v>218</v>
      </c>
      <c r="EN95" s="22" t="s">
        <v>218</v>
      </c>
      <c r="EO95" s="22" t="s">
        <v>218</v>
      </c>
      <c r="EP95" s="22" t="s">
        <v>218</v>
      </c>
      <c r="EQ95" s="22" t="s">
        <v>218</v>
      </c>
      <c r="ER95" s="22" t="s">
        <v>218</v>
      </c>
      <c r="ES95" s="22">
        <v>45</v>
      </c>
      <c r="ET95" s="22">
        <v>115</v>
      </c>
      <c r="EU95" s="22" t="s">
        <v>218</v>
      </c>
      <c r="EV95" s="22" t="s">
        <v>218</v>
      </c>
      <c r="EW95" s="22" t="s">
        <v>218</v>
      </c>
      <c r="EX95" s="22" t="s">
        <v>218</v>
      </c>
      <c r="EY95" s="22" t="s">
        <v>218</v>
      </c>
      <c r="EZ95" s="22" t="s">
        <v>218</v>
      </c>
      <c r="FA95" s="22" t="s">
        <v>218</v>
      </c>
      <c r="FB95" s="22" t="s">
        <v>218</v>
      </c>
      <c r="FC95" s="22" t="s">
        <v>218</v>
      </c>
      <c r="FD95" s="22" t="s">
        <v>218</v>
      </c>
      <c r="FE95" s="22" t="s">
        <v>218</v>
      </c>
      <c r="FF95" s="22" t="s">
        <v>218</v>
      </c>
      <c r="FG95" s="22">
        <v>0.69</v>
      </c>
      <c r="FH95" s="22">
        <v>0.27</v>
      </c>
      <c r="FI95" s="22">
        <v>0.11</v>
      </c>
      <c r="FJ95" s="22" t="s">
        <v>218</v>
      </c>
      <c r="FK95" s="22">
        <v>0.88</v>
      </c>
      <c r="FL95" s="22">
        <v>1.18</v>
      </c>
      <c r="FM95" s="22" t="s">
        <v>218</v>
      </c>
      <c r="FN95" s="22">
        <v>1.92</v>
      </c>
      <c r="FO95" s="22">
        <v>1.56</v>
      </c>
      <c r="FP95" s="22" t="s">
        <v>218</v>
      </c>
      <c r="FQ95" s="22" t="s">
        <v>218</v>
      </c>
      <c r="FR95" s="22" t="s">
        <v>218</v>
      </c>
      <c r="FS95" s="22" t="s">
        <v>218</v>
      </c>
      <c r="FT95" s="22" t="s">
        <v>218</v>
      </c>
      <c r="FU95" s="22" t="s">
        <v>218</v>
      </c>
      <c r="FV95" s="22" t="s">
        <v>218</v>
      </c>
      <c r="FW95" s="22" t="s">
        <v>218</v>
      </c>
      <c r="FX95" s="22" t="s">
        <v>218</v>
      </c>
      <c r="FY95" s="22" t="s">
        <v>218</v>
      </c>
      <c r="FZ95" s="22" t="s">
        <v>218</v>
      </c>
      <c r="GA95" s="22">
        <v>0.08</v>
      </c>
      <c r="GB95" s="22">
        <v>0.22</v>
      </c>
      <c r="GC95" s="22" t="s">
        <v>218</v>
      </c>
      <c r="GD95" s="22" t="s">
        <v>218</v>
      </c>
      <c r="GE95" s="22" t="s">
        <v>218</v>
      </c>
      <c r="GF95" s="22" t="s">
        <v>218</v>
      </c>
      <c r="GG95" s="22" t="s">
        <v>218</v>
      </c>
      <c r="GH95" s="22" t="s">
        <v>218</v>
      </c>
      <c r="GI95" s="22" t="s">
        <v>218</v>
      </c>
      <c r="GJ95" s="22" t="s">
        <v>218</v>
      </c>
      <c r="GK95" s="22" t="s">
        <v>218</v>
      </c>
      <c r="GL95" s="22" t="s">
        <v>218</v>
      </c>
      <c r="GM95" s="22" t="s">
        <v>218</v>
      </c>
      <c r="GN95" s="22" t="s">
        <v>218</v>
      </c>
      <c r="GO95" s="22" t="s">
        <v>238</v>
      </c>
      <c r="GP95" s="22" t="s">
        <v>238</v>
      </c>
      <c r="GQ95" s="22" t="s">
        <v>238</v>
      </c>
      <c r="GR95" s="22" t="s">
        <v>218</v>
      </c>
      <c r="GS95" s="22" t="s">
        <v>238</v>
      </c>
      <c r="GT95" s="22" t="s">
        <v>238</v>
      </c>
      <c r="GU95" s="22" t="s">
        <v>218</v>
      </c>
      <c r="GV95" s="22" t="s">
        <v>238</v>
      </c>
      <c r="GW95" s="22" t="s">
        <v>238</v>
      </c>
      <c r="GX95" s="22" t="s">
        <v>218</v>
      </c>
      <c r="GY95" s="22" t="s">
        <v>218</v>
      </c>
      <c r="GZ95" s="22" t="s">
        <v>218</v>
      </c>
      <c r="HA95" s="22" t="s">
        <v>218</v>
      </c>
      <c r="HB95" s="22" t="s">
        <v>218</v>
      </c>
      <c r="HC95" s="22" t="s">
        <v>218</v>
      </c>
      <c r="HD95" s="22" t="s">
        <v>218</v>
      </c>
      <c r="HE95" s="22" t="s">
        <v>218</v>
      </c>
      <c r="HF95" s="22" t="s">
        <v>218</v>
      </c>
      <c r="HG95" s="22" t="s">
        <v>218</v>
      </c>
      <c r="HH95" s="22" t="s">
        <v>218</v>
      </c>
      <c r="HI95" s="22" t="s">
        <v>238</v>
      </c>
      <c r="HJ95" s="22" t="s">
        <v>238</v>
      </c>
      <c r="HK95" s="22" t="s">
        <v>218</v>
      </c>
      <c r="HL95" s="22" t="s">
        <v>218</v>
      </c>
      <c r="HM95" s="622">
        <f>'background data'!$G$10</f>
        <v>0.47300000000000003</v>
      </c>
      <c r="HN95" s="622">
        <f>'background data'!$H$10</f>
        <v>0.13</v>
      </c>
      <c r="HO95" s="622">
        <f>'background data'!$J$10</f>
        <v>0.39100000000000001</v>
      </c>
      <c r="HP95" s="622">
        <f>'background data'!$L$10</f>
        <v>5.5E-2</v>
      </c>
      <c r="HQ95" s="622">
        <f>'background data'!$M$10</f>
        <v>3.97</v>
      </c>
      <c r="HR95" s="622">
        <f>'background data'!$N$10</f>
        <v>4.5999999999999999E-3</v>
      </c>
      <c r="HS95" s="622">
        <f>'background data'!$O$10</f>
        <v>2.73</v>
      </c>
      <c r="HT95" s="145" t="s">
        <v>1797</v>
      </c>
      <c r="HU95" s="145" t="s">
        <v>1809</v>
      </c>
      <c r="HV95" s="22" t="s">
        <v>1396</v>
      </c>
      <c r="HW95" s="22" t="s">
        <v>376</v>
      </c>
      <c r="HX95" s="22" t="s">
        <v>373</v>
      </c>
      <c r="HY95" s="22" t="s">
        <v>374</v>
      </c>
      <c r="HZ95" s="19"/>
      <c r="IA95" s="19"/>
      <c r="IB95" s="622">
        <f>'background data'!$G$10</f>
        <v>0.47300000000000003</v>
      </c>
      <c r="IC95" s="622">
        <f>'background data'!$H$10</f>
        <v>0.13</v>
      </c>
      <c r="ID95" s="622">
        <f>'background data'!$J$10</f>
        <v>0.39100000000000001</v>
      </c>
      <c r="IE95" s="622">
        <f>'background data'!$L$10</f>
        <v>5.5E-2</v>
      </c>
      <c r="IF95" s="622">
        <f>'background data'!$M$10</f>
        <v>3.97</v>
      </c>
      <c r="IG95" s="622">
        <f>'background data'!$N$10</f>
        <v>4.5999999999999999E-3</v>
      </c>
      <c r="IH95" s="622">
        <f>'background data'!$O$10</f>
        <v>2.73</v>
      </c>
      <c r="II95" s="145" t="s">
        <v>1797</v>
      </c>
      <c r="IJ95" s="145" t="s">
        <v>1396</v>
      </c>
      <c r="IK95" s="145"/>
      <c r="IL95" s="145"/>
      <c r="IM95" s="145"/>
      <c r="IN95" s="145"/>
      <c r="IO95" s="145"/>
      <c r="IP95" s="145"/>
      <c r="IQ95" s="145"/>
      <c r="IR95" s="145"/>
      <c r="IS95" s="145"/>
      <c r="IT95" s="145"/>
      <c r="IU95" s="145"/>
      <c r="IV95" s="145"/>
      <c r="IW95" s="145"/>
      <c r="IX95" s="145"/>
      <c r="IY95" s="145"/>
      <c r="IZ95" s="145"/>
      <c r="JA95" s="145"/>
      <c r="JB95" s="145"/>
      <c r="JC95" s="145"/>
      <c r="JD95" s="145"/>
      <c r="JE95" s="145"/>
      <c r="JF95" s="145"/>
      <c r="JG95" s="145"/>
      <c r="JH95" s="145"/>
      <c r="JI95" s="145"/>
      <c r="JJ95" s="145"/>
      <c r="JK95" s="145"/>
      <c r="JL95" s="145"/>
      <c r="JM95" s="145"/>
      <c r="JN95" s="145"/>
      <c r="JO95" s="145"/>
      <c r="JP95" s="145"/>
      <c r="JQ95" s="145"/>
      <c r="JR95" s="145"/>
      <c r="JS95" s="145"/>
      <c r="JT95" s="145"/>
      <c r="JU95" s="145"/>
      <c r="JV95" s="145"/>
      <c r="JW95" s="145"/>
      <c r="JX95" s="145"/>
      <c r="JY95" s="145"/>
      <c r="JZ95" s="145"/>
      <c r="KA95" s="145"/>
      <c r="KB95" s="145"/>
      <c r="KC95" s="145"/>
      <c r="KD95" s="145"/>
      <c r="KE95" s="145"/>
      <c r="KF95" s="145"/>
      <c r="KG95" s="145"/>
      <c r="KH95" s="145"/>
      <c r="KI95" s="145"/>
      <c r="KJ95" s="145"/>
      <c r="KK95" s="145"/>
      <c r="KL95" s="145"/>
      <c r="KM95" s="145"/>
      <c r="KN95" s="145"/>
      <c r="KO95" s="145"/>
      <c r="KP95" s="145"/>
      <c r="KQ95" s="145"/>
      <c r="KR95" s="145"/>
      <c r="KS95" s="145"/>
      <c r="KT95" s="145"/>
      <c r="KU95" s="145"/>
      <c r="KV95" s="145"/>
      <c r="KW95" s="145"/>
      <c r="KX95" s="145"/>
      <c r="KY95" s="145"/>
      <c r="KZ95" s="145"/>
      <c r="LA95" s="145"/>
      <c r="LB95" s="145"/>
      <c r="LC95" s="145"/>
      <c r="LD95" s="145"/>
      <c r="LE95" s="145"/>
      <c r="LF95" s="145"/>
      <c r="LG95" s="145"/>
      <c r="LH95" s="145"/>
      <c r="LI95" s="145"/>
      <c r="LJ95" s="145"/>
      <c r="LK95" s="145"/>
      <c r="LL95" s="145"/>
      <c r="LM95" s="145"/>
      <c r="LN95" s="145"/>
      <c r="LO95" s="145"/>
      <c r="LP95" s="145"/>
      <c r="LQ95" s="145"/>
      <c r="LR95" s="145"/>
      <c r="LS95" s="145"/>
      <c r="LT95" s="145"/>
      <c r="LU95" s="145"/>
      <c r="LV95" s="145"/>
      <c r="LW95" s="145"/>
      <c r="LX95" s="145"/>
      <c r="LY95" s="145"/>
      <c r="LZ95" s="145"/>
      <c r="MA95" s="145"/>
      <c r="MB95" s="145"/>
      <c r="MC95" s="145"/>
      <c r="MD95" s="145"/>
      <c r="ME95" s="145"/>
      <c r="MF95" s="145"/>
      <c r="MG95" s="145"/>
      <c r="MH95" s="145"/>
      <c r="MI95" s="145"/>
      <c r="MJ95" s="145"/>
      <c r="MK95" s="145"/>
      <c r="ML95" s="145"/>
      <c r="MM95" s="145"/>
      <c r="MN95" s="145"/>
      <c r="MO95" s="145"/>
      <c r="MP95" s="145"/>
      <c r="MQ95" s="145"/>
      <c r="MR95" s="145"/>
      <c r="MS95" s="145"/>
      <c r="MT95" s="145"/>
      <c r="MU95" s="145"/>
      <c r="MV95" s="145"/>
      <c r="MW95" s="145"/>
      <c r="MX95" s="145"/>
      <c r="MY95" s="145"/>
      <c r="MZ95" s="145"/>
      <c r="NA95" s="145"/>
      <c r="NB95" s="145"/>
      <c r="NC95" s="145"/>
      <c r="ND95" s="145"/>
      <c r="NE95" s="145"/>
      <c r="NF95" s="145"/>
      <c r="NG95" s="145"/>
      <c r="NH95" s="145"/>
      <c r="NI95" s="145"/>
      <c r="NJ95" s="145"/>
      <c r="NK95" s="145"/>
      <c r="NL95" s="145"/>
      <c r="NM95" s="145"/>
      <c r="NN95" s="145"/>
      <c r="NO95" s="145"/>
      <c r="NP95" s="145"/>
      <c r="NQ95" s="145"/>
      <c r="NR95" s="145"/>
      <c r="NS95" s="145"/>
    </row>
    <row r="96" spans="1:383" s="16" customFormat="1" ht="15" customHeight="1" x14ac:dyDescent="0.2">
      <c r="A96" s="15">
        <v>51211</v>
      </c>
      <c r="B96" s="25">
        <v>512</v>
      </c>
      <c r="C96" s="26">
        <v>11</v>
      </c>
      <c r="D96" s="20" t="s">
        <v>382</v>
      </c>
      <c r="E96" s="14">
        <v>42678</v>
      </c>
      <c r="F96" s="18">
        <v>1.1555834785133601</v>
      </c>
      <c r="G96" s="18">
        <v>1.1361658033395201</v>
      </c>
      <c r="H96" s="21">
        <v>91.3</v>
      </c>
      <c r="I96" s="21">
        <v>87.000043899999994</v>
      </c>
      <c r="J96" s="21">
        <v>93</v>
      </c>
      <c r="K96" s="18">
        <v>1</v>
      </c>
      <c r="L96" s="18">
        <v>85</v>
      </c>
      <c r="M96" s="18">
        <v>8.9999999999999591</v>
      </c>
      <c r="N96" s="18">
        <v>2.1</v>
      </c>
      <c r="O96" s="18">
        <v>1.5</v>
      </c>
      <c r="P96" s="18">
        <v>2.7</v>
      </c>
      <c r="Q96" s="19"/>
      <c r="R96" s="18">
        <v>83.473423809523794</v>
      </c>
      <c r="S96" s="18">
        <v>28</v>
      </c>
      <c r="T96" s="18">
        <v>43</v>
      </c>
      <c r="U96" s="18">
        <v>48</v>
      </c>
      <c r="V96" s="18">
        <v>54</v>
      </c>
      <c r="W96" s="18">
        <v>57</v>
      </c>
      <c r="X96" s="18"/>
      <c r="Y96" s="18">
        <v>0.42352941176470588</v>
      </c>
      <c r="Z96" s="18">
        <v>3.1764705882352939</v>
      </c>
      <c r="AA96" s="18">
        <v>0.1</v>
      </c>
      <c r="AB96" s="18">
        <v>1</v>
      </c>
      <c r="AC96" s="18">
        <v>5.8</v>
      </c>
      <c r="AD96" s="18">
        <v>1.2</v>
      </c>
      <c r="AE96" s="18">
        <v>1.3</v>
      </c>
      <c r="AF96" s="18">
        <v>32</v>
      </c>
      <c r="AG96" s="18">
        <v>3.2</v>
      </c>
      <c r="AH96" s="18">
        <v>29</v>
      </c>
      <c r="AI96" s="18">
        <v>40</v>
      </c>
      <c r="AJ96" s="18">
        <v>0</v>
      </c>
      <c r="AK96" s="18">
        <v>6.0000000000000123E-2</v>
      </c>
      <c r="AL96" s="18"/>
      <c r="AM96" s="18">
        <v>3.0647441176470598</v>
      </c>
      <c r="AN96" s="18">
        <v>1.57315411764706</v>
      </c>
      <c r="AO96" s="18">
        <v>2.3666888235294099</v>
      </c>
      <c r="AP96" s="18">
        <v>2.9711270588235301</v>
      </c>
      <c r="AQ96" s="18">
        <v>1.38336529411765</v>
      </c>
      <c r="AR96" s="18">
        <v>3.3435294117647101</v>
      </c>
      <c r="AS96" s="18">
        <v>6.7149041176470599</v>
      </c>
      <c r="AT96" s="18">
        <v>2.2959923529411799</v>
      </c>
      <c r="AU96" s="18">
        <v>4.3632476470588202</v>
      </c>
      <c r="AV96" s="18">
        <v>2.74708</v>
      </c>
      <c r="AW96" s="18">
        <v>4.3238588235294104</v>
      </c>
      <c r="AX96" s="18"/>
      <c r="AY96" s="18">
        <v>0.92</v>
      </c>
      <c r="AZ96" s="18">
        <v>1</v>
      </c>
      <c r="BA96" s="18">
        <v>0.98</v>
      </c>
      <c r="BB96" s="18">
        <v>0.93</v>
      </c>
      <c r="BC96" s="18">
        <v>0.99</v>
      </c>
      <c r="BD96" s="18">
        <v>0.99</v>
      </c>
      <c r="BE96" s="18">
        <v>1</v>
      </c>
      <c r="BF96" s="18">
        <v>0.99</v>
      </c>
      <c r="BG96" s="18">
        <v>1.02</v>
      </c>
      <c r="BH96" s="18">
        <v>1</v>
      </c>
      <c r="BI96" s="18">
        <v>0.96</v>
      </c>
      <c r="BJ96" s="19"/>
      <c r="BK96" s="18">
        <v>10.588235294117599</v>
      </c>
      <c r="BL96" s="18">
        <v>2.4705882352941178</v>
      </c>
      <c r="BM96" s="18">
        <v>1.7647058823529411</v>
      </c>
      <c r="BN96" s="18">
        <v>3.1764705882352939</v>
      </c>
      <c r="BO96" s="18"/>
      <c r="BP96" s="18">
        <v>105</v>
      </c>
      <c r="BQ96" s="18">
        <v>25.941176470588236</v>
      </c>
      <c r="BR96" s="18">
        <v>1.3595099747216002</v>
      </c>
      <c r="BS96" s="18">
        <v>1.3366656509876709</v>
      </c>
      <c r="BT96" s="19"/>
      <c r="BU96" s="18">
        <v>982.35294117647061</v>
      </c>
      <c r="BV96" s="18">
        <v>716.22605042016824</v>
      </c>
      <c r="BW96" s="18">
        <v>60.343921739495762</v>
      </c>
      <c r="BX96" s="18">
        <v>670</v>
      </c>
      <c r="BY96" s="18">
        <v>18.999999999999996</v>
      </c>
      <c r="BZ96" s="18">
        <v>25</v>
      </c>
      <c r="CA96" s="18">
        <v>113</v>
      </c>
      <c r="CB96" s="19"/>
      <c r="CC96" s="19">
        <v>0.36</v>
      </c>
      <c r="CD96" s="19">
        <v>2.6999999999999997</v>
      </c>
      <c r="CE96" s="19">
        <v>8.5000000000000006E-2</v>
      </c>
      <c r="CF96" s="19">
        <v>0.85</v>
      </c>
      <c r="CG96" s="19">
        <v>4.93</v>
      </c>
      <c r="CH96" s="19">
        <v>1.02</v>
      </c>
      <c r="CI96" s="19">
        <v>1.105</v>
      </c>
      <c r="CJ96" s="19"/>
      <c r="CK96" s="19">
        <v>27.2</v>
      </c>
      <c r="CL96" s="19">
        <v>2.72</v>
      </c>
      <c r="CM96" s="19">
        <v>24.65</v>
      </c>
      <c r="CN96" s="19">
        <v>34</v>
      </c>
      <c r="CO96" s="19">
        <v>0</v>
      </c>
      <c r="CP96" s="19">
        <v>5.1000000000000101E-2</v>
      </c>
      <c r="CQ96" s="19">
        <v>75.126081428571098</v>
      </c>
      <c r="CR96" s="19">
        <v>65.011384140953297</v>
      </c>
      <c r="CS96" s="19">
        <v>1.8330379655599329</v>
      </c>
      <c r="CT96" s="19">
        <v>1.0227292665527463</v>
      </c>
      <c r="CU96" s="19">
        <v>1.5078448192359952</v>
      </c>
      <c r="CV96" s="19">
        <v>2.5305740857887589</v>
      </c>
      <c r="CW96" s="19">
        <v>1.7963608677406426</v>
      </c>
      <c r="CX96" s="19">
        <v>0.89035147617713606</v>
      </c>
      <c r="CY96" s="19">
        <v>2.1519380022506267</v>
      </c>
      <c r="CZ96" s="19">
        <v>4.3654521106202164</v>
      </c>
      <c r="DA96" s="19">
        <v>1.4777298443333251</v>
      </c>
      <c r="DB96" s="19">
        <v>2.8933398426275221</v>
      </c>
      <c r="DC96" s="19">
        <v>1.7859147314592989</v>
      </c>
      <c r="DD96" s="19">
        <v>4.679254574086821</v>
      </c>
      <c r="DE96" s="19">
        <v>2.6985604506981251</v>
      </c>
      <c r="DF96" s="23">
        <v>0</v>
      </c>
      <c r="DG96" s="23">
        <v>0</v>
      </c>
      <c r="DH96" s="23">
        <v>0</v>
      </c>
      <c r="DI96" s="19">
        <v>0</v>
      </c>
      <c r="DJ96" s="19">
        <v>0</v>
      </c>
      <c r="DK96" s="19">
        <v>0</v>
      </c>
      <c r="DL96" s="19">
        <v>0</v>
      </c>
      <c r="DM96" s="19">
        <v>0</v>
      </c>
      <c r="DN96" s="19">
        <v>0</v>
      </c>
      <c r="DO96" s="19">
        <v>0</v>
      </c>
      <c r="DP96" s="19">
        <v>0</v>
      </c>
      <c r="DQ96" s="19">
        <v>0</v>
      </c>
      <c r="DR96" s="19">
        <v>0</v>
      </c>
      <c r="DS96" s="19">
        <v>0</v>
      </c>
      <c r="DT96" s="19">
        <v>0</v>
      </c>
      <c r="DU96" s="19">
        <v>0</v>
      </c>
      <c r="DV96" s="19">
        <v>0</v>
      </c>
      <c r="DW96" s="17" t="s">
        <v>371</v>
      </c>
      <c r="DX96" s="22" t="s">
        <v>218</v>
      </c>
      <c r="DY96" s="22">
        <v>115</v>
      </c>
      <c r="DZ96" s="22">
        <v>45</v>
      </c>
      <c r="EA96" s="22">
        <v>45</v>
      </c>
      <c r="EB96" s="22" t="s">
        <v>218</v>
      </c>
      <c r="EC96" s="22">
        <v>45</v>
      </c>
      <c r="ED96" s="22">
        <v>45</v>
      </c>
      <c r="EE96" s="22" t="s">
        <v>218</v>
      </c>
      <c r="EF96" s="22">
        <v>43</v>
      </c>
      <c r="EG96" s="22">
        <v>43</v>
      </c>
      <c r="EH96" s="22" t="s">
        <v>218</v>
      </c>
      <c r="EI96" s="22" t="s">
        <v>218</v>
      </c>
      <c r="EJ96" s="22" t="s">
        <v>218</v>
      </c>
      <c r="EK96" s="22" t="s">
        <v>218</v>
      </c>
      <c r="EL96" s="22" t="s">
        <v>218</v>
      </c>
      <c r="EM96" s="22" t="s">
        <v>218</v>
      </c>
      <c r="EN96" s="22" t="s">
        <v>218</v>
      </c>
      <c r="EO96" s="22" t="s">
        <v>218</v>
      </c>
      <c r="EP96" s="22" t="s">
        <v>218</v>
      </c>
      <c r="EQ96" s="22" t="s">
        <v>218</v>
      </c>
      <c r="ER96" s="22" t="s">
        <v>218</v>
      </c>
      <c r="ES96" s="22">
        <v>45</v>
      </c>
      <c r="ET96" s="22">
        <v>115</v>
      </c>
      <c r="EU96" s="22" t="s">
        <v>218</v>
      </c>
      <c r="EV96" s="22" t="s">
        <v>218</v>
      </c>
      <c r="EW96" s="22" t="s">
        <v>218</v>
      </c>
      <c r="EX96" s="22" t="s">
        <v>218</v>
      </c>
      <c r="EY96" s="22" t="s">
        <v>218</v>
      </c>
      <c r="EZ96" s="22" t="s">
        <v>218</v>
      </c>
      <c r="FA96" s="22" t="s">
        <v>218</v>
      </c>
      <c r="FB96" s="22" t="s">
        <v>218</v>
      </c>
      <c r="FC96" s="22" t="s">
        <v>218</v>
      </c>
      <c r="FD96" s="22" t="s">
        <v>218</v>
      </c>
      <c r="FE96" s="22" t="s">
        <v>218</v>
      </c>
      <c r="FF96" s="22" t="s">
        <v>218</v>
      </c>
      <c r="FG96" s="22">
        <v>0.69</v>
      </c>
      <c r="FH96" s="22">
        <v>0.27</v>
      </c>
      <c r="FI96" s="22">
        <v>0.11</v>
      </c>
      <c r="FJ96" s="22" t="s">
        <v>218</v>
      </c>
      <c r="FK96" s="22">
        <v>0.88</v>
      </c>
      <c r="FL96" s="22">
        <v>1.18</v>
      </c>
      <c r="FM96" s="22" t="s">
        <v>218</v>
      </c>
      <c r="FN96" s="22">
        <v>1.92</v>
      </c>
      <c r="FO96" s="22">
        <v>1.56</v>
      </c>
      <c r="FP96" s="22" t="s">
        <v>218</v>
      </c>
      <c r="FQ96" s="22" t="s">
        <v>218</v>
      </c>
      <c r="FR96" s="22" t="s">
        <v>218</v>
      </c>
      <c r="FS96" s="22" t="s">
        <v>218</v>
      </c>
      <c r="FT96" s="22" t="s">
        <v>218</v>
      </c>
      <c r="FU96" s="22" t="s">
        <v>218</v>
      </c>
      <c r="FV96" s="22" t="s">
        <v>218</v>
      </c>
      <c r="FW96" s="22" t="s">
        <v>218</v>
      </c>
      <c r="FX96" s="22" t="s">
        <v>218</v>
      </c>
      <c r="FY96" s="22" t="s">
        <v>218</v>
      </c>
      <c r="FZ96" s="22" t="s">
        <v>218</v>
      </c>
      <c r="GA96" s="22">
        <v>0.08</v>
      </c>
      <c r="GB96" s="22">
        <v>0.22</v>
      </c>
      <c r="GC96" s="22" t="s">
        <v>218</v>
      </c>
      <c r="GD96" s="22" t="s">
        <v>218</v>
      </c>
      <c r="GE96" s="22" t="s">
        <v>218</v>
      </c>
      <c r="GF96" s="22" t="s">
        <v>218</v>
      </c>
      <c r="GG96" s="22" t="s">
        <v>218</v>
      </c>
      <c r="GH96" s="22" t="s">
        <v>218</v>
      </c>
      <c r="GI96" s="22" t="s">
        <v>218</v>
      </c>
      <c r="GJ96" s="22" t="s">
        <v>218</v>
      </c>
      <c r="GK96" s="22" t="s">
        <v>218</v>
      </c>
      <c r="GL96" s="22" t="s">
        <v>218</v>
      </c>
      <c r="GM96" s="22" t="s">
        <v>218</v>
      </c>
      <c r="GN96" s="22" t="s">
        <v>218</v>
      </c>
      <c r="GO96" s="22" t="s">
        <v>238</v>
      </c>
      <c r="GP96" s="22" t="s">
        <v>238</v>
      </c>
      <c r="GQ96" s="22" t="s">
        <v>238</v>
      </c>
      <c r="GR96" s="22" t="s">
        <v>218</v>
      </c>
      <c r="GS96" s="22" t="s">
        <v>238</v>
      </c>
      <c r="GT96" s="22" t="s">
        <v>238</v>
      </c>
      <c r="GU96" s="22" t="s">
        <v>218</v>
      </c>
      <c r="GV96" s="22" t="s">
        <v>238</v>
      </c>
      <c r="GW96" s="22" t="s">
        <v>238</v>
      </c>
      <c r="GX96" s="22" t="s">
        <v>218</v>
      </c>
      <c r="GY96" s="22" t="s">
        <v>218</v>
      </c>
      <c r="GZ96" s="22" t="s">
        <v>218</v>
      </c>
      <c r="HA96" s="22" t="s">
        <v>218</v>
      </c>
      <c r="HB96" s="22" t="s">
        <v>218</v>
      </c>
      <c r="HC96" s="22" t="s">
        <v>218</v>
      </c>
      <c r="HD96" s="22" t="s">
        <v>218</v>
      </c>
      <c r="HE96" s="22" t="s">
        <v>218</v>
      </c>
      <c r="HF96" s="22" t="s">
        <v>218</v>
      </c>
      <c r="HG96" s="22" t="s">
        <v>218</v>
      </c>
      <c r="HH96" s="22" t="s">
        <v>218</v>
      </c>
      <c r="HI96" s="22" t="s">
        <v>238</v>
      </c>
      <c r="HJ96" s="22" t="s">
        <v>238</v>
      </c>
      <c r="HK96" s="22" t="s">
        <v>218</v>
      </c>
      <c r="HL96" s="22" t="s">
        <v>218</v>
      </c>
      <c r="HM96" s="622">
        <f>'background data'!$G$10</f>
        <v>0.47300000000000003</v>
      </c>
      <c r="HN96" s="622">
        <f>'background data'!$H$10</f>
        <v>0.13</v>
      </c>
      <c r="HO96" s="622">
        <f>'background data'!$J$10</f>
        <v>0.39100000000000001</v>
      </c>
      <c r="HP96" s="622">
        <f>'background data'!$L$10</f>
        <v>5.5E-2</v>
      </c>
      <c r="HQ96" s="622">
        <f>'background data'!$M$10</f>
        <v>3.97</v>
      </c>
      <c r="HR96" s="622">
        <f>'background data'!$N$10</f>
        <v>4.5999999999999999E-3</v>
      </c>
      <c r="HS96" s="622">
        <f>'background data'!$O$10</f>
        <v>2.73</v>
      </c>
      <c r="HT96" s="145" t="s">
        <v>1797</v>
      </c>
      <c r="HU96" s="145" t="s">
        <v>1809</v>
      </c>
      <c r="HV96" s="22" t="s">
        <v>1396</v>
      </c>
      <c r="HW96" s="22" t="s">
        <v>376</v>
      </c>
      <c r="HX96" s="22" t="s">
        <v>373</v>
      </c>
      <c r="HY96" s="22" t="s">
        <v>374</v>
      </c>
      <c r="HZ96" s="19"/>
      <c r="IA96" s="19"/>
      <c r="IB96" s="622">
        <f>'background data'!$G$10</f>
        <v>0.47300000000000003</v>
      </c>
      <c r="IC96" s="622">
        <f>'background data'!$H$10</f>
        <v>0.13</v>
      </c>
      <c r="ID96" s="622">
        <f>'background data'!$J$10</f>
        <v>0.39100000000000001</v>
      </c>
      <c r="IE96" s="622">
        <f>'background data'!$L$10</f>
        <v>5.5E-2</v>
      </c>
      <c r="IF96" s="622">
        <f>'background data'!$M$10</f>
        <v>3.97</v>
      </c>
      <c r="IG96" s="622">
        <f>'background data'!$N$10</f>
        <v>4.5999999999999999E-3</v>
      </c>
      <c r="IH96" s="622">
        <f>'background data'!$O$10</f>
        <v>2.73</v>
      </c>
      <c r="II96" s="145" t="s">
        <v>1797</v>
      </c>
      <c r="IJ96" s="145" t="s">
        <v>1396</v>
      </c>
      <c r="IK96" s="145"/>
      <c r="IL96" s="145"/>
      <c r="IM96" s="145"/>
      <c r="IN96" s="145"/>
      <c r="IO96" s="145"/>
      <c r="IP96" s="145"/>
      <c r="IQ96" s="145"/>
      <c r="IR96" s="145"/>
      <c r="IS96" s="145"/>
      <c r="IT96" s="145"/>
      <c r="IU96" s="145"/>
      <c r="IV96" s="145"/>
      <c r="IW96" s="145"/>
      <c r="IX96" s="145"/>
      <c r="IY96" s="145"/>
      <c r="IZ96" s="145"/>
      <c r="JA96" s="145"/>
      <c r="JB96" s="145"/>
      <c r="JC96" s="145"/>
      <c r="JD96" s="145"/>
      <c r="JE96" s="145"/>
      <c r="JF96" s="145"/>
      <c r="JG96" s="145"/>
      <c r="JH96" s="145"/>
      <c r="JI96" s="145"/>
      <c r="JJ96" s="145"/>
      <c r="JK96" s="145"/>
      <c r="JL96" s="145"/>
      <c r="JM96" s="145"/>
      <c r="JN96" s="145"/>
      <c r="JO96" s="145"/>
      <c r="JP96" s="145"/>
      <c r="JQ96" s="145"/>
      <c r="JR96" s="145"/>
      <c r="JS96" s="145"/>
      <c r="JT96" s="145"/>
      <c r="JU96" s="145"/>
      <c r="JV96" s="145"/>
      <c r="JW96" s="145"/>
      <c r="JX96" s="145"/>
      <c r="JY96" s="145"/>
      <c r="JZ96" s="145"/>
      <c r="KA96" s="145"/>
      <c r="KB96" s="145"/>
      <c r="KC96" s="145"/>
      <c r="KD96" s="145"/>
      <c r="KE96" s="145"/>
      <c r="KF96" s="145"/>
      <c r="KG96" s="145"/>
      <c r="KH96" s="145"/>
      <c r="KI96" s="145"/>
      <c r="KJ96" s="145"/>
      <c r="KK96" s="145"/>
      <c r="KL96" s="145"/>
      <c r="KM96" s="145"/>
      <c r="KN96" s="145"/>
      <c r="KO96" s="145"/>
      <c r="KP96" s="145"/>
      <c r="KQ96" s="145"/>
      <c r="KR96" s="145"/>
      <c r="KS96" s="145"/>
      <c r="KT96" s="145"/>
      <c r="KU96" s="145"/>
      <c r="KV96" s="145"/>
      <c r="KW96" s="145"/>
      <c r="KX96" s="145"/>
      <c r="KY96" s="145"/>
      <c r="KZ96" s="145"/>
      <c r="LA96" s="145"/>
      <c r="LB96" s="145"/>
      <c r="LC96" s="145"/>
      <c r="LD96" s="145"/>
      <c r="LE96" s="145"/>
      <c r="LF96" s="145"/>
      <c r="LG96" s="145"/>
      <c r="LH96" s="145"/>
      <c r="LI96" s="145"/>
      <c r="LJ96" s="145"/>
      <c r="LK96" s="145"/>
      <c r="LL96" s="145"/>
      <c r="LM96" s="145"/>
      <c r="LN96" s="145"/>
      <c r="LO96" s="145"/>
      <c r="LP96" s="145"/>
      <c r="LQ96" s="145"/>
      <c r="LR96" s="145"/>
      <c r="LS96" s="145"/>
      <c r="LT96" s="145"/>
      <c r="LU96" s="145"/>
      <c r="LV96" s="145"/>
      <c r="LW96" s="145"/>
      <c r="LX96" s="145"/>
      <c r="LY96" s="145"/>
      <c r="LZ96" s="145"/>
      <c r="MA96" s="145"/>
      <c r="MB96" s="145"/>
      <c r="MC96" s="145"/>
      <c r="MD96" s="145"/>
      <c r="ME96" s="145"/>
      <c r="MF96" s="145"/>
      <c r="MG96" s="145"/>
      <c r="MH96" s="145"/>
      <c r="MI96" s="145"/>
      <c r="MJ96" s="145"/>
      <c r="MK96" s="145"/>
      <c r="ML96" s="145"/>
      <c r="MM96" s="145"/>
      <c r="MN96" s="145"/>
      <c r="MO96" s="145"/>
      <c r="MP96" s="145"/>
      <c r="MQ96" s="145"/>
      <c r="MR96" s="145"/>
      <c r="MS96" s="145"/>
      <c r="MT96" s="145"/>
      <c r="MU96" s="145"/>
      <c r="MV96" s="145"/>
      <c r="MW96" s="145"/>
      <c r="MX96" s="145"/>
      <c r="MY96" s="145"/>
      <c r="MZ96" s="145"/>
      <c r="NA96" s="145"/>
      <c r="NB96" s="145"/>
      <c r="NC96" s="145"/>
      <c r="ND96" s="145"/>
      <c r="NE96" s="145"/>
      <c r="NF96" s="145"/>
      <c r="NG96" s="145"/>
      <c r="NH96" s="145"/>
      <c r="NI96" s="145"/>
      <c r="NJ96" s="145"/>
      <c r="NK96" s="145"/>
      <c r="NL96" s="145"/>
      <c r="NM96" s="145"/>
      <c r="NN96" s="145"/>
      <c r="NO96" s="145"/>
      <c r="NP96" s="145"/>
      <c r="NQ96" s="145"/>
      <c r="NR96" s="145"/>
      <c r="NS96" s="145"/>
    </row>
    <row r="97" spans="1:383" s="16" customFormat="1" ht="15" customHeight="1" x14ac:dyDescent="0.2">
      <c r="A97" s="15">
        <v>51300</v>
      </c>
      <c r="B97" s="25">
        <v>513</v>
      </c>
      <c r="C97" s="26">
        <v>0</v>
      </c>
      <c r="D97" s="20" t="s">
        <v>383</v>
      </c>
      <c r="E97" s="14">
        <v>42678</v>
      </c>
      <c r="F97" s="18">
        <v>1.1391011420828501</v>
      </c>
      <c r="G97" s="18">
        <v>1.1227959888682799</v>
      </c>
      <c r="H97" s="21">
        <v>90.8</v>
      </c>
      <c r="I97" s="21">
        <v>86.000039599999994</v>
      </c>
      <c r="J97" s="21">
        <v>93</v>
      </c>
      <c r="K97" s="18">
        <v>1</v>
      </c>
      <c r="L97" s="18">
        <v>85</v>
      </c>
      <c r="M97" s="18">
        <v>9.9999999999999591</v>
      </c>
      <c r="N97" s="18">
        <v>2.1</v>
      </c>
      <c r="O97" s="18">
        <v>1.5</v>
      </c>
      <c r="P97" s="18">
        <v>2.7</v>
      </c>
      <c r="Q97" s="19"/>
      <c r="R97" s="18">
        <v>83.756888571428505</v>
      </c>
      <c r="S97" s="18">
        <v>50</v>
      </c>
      <c r="T97" s="18">
        <v>54</v>
      </c>
      <c r="U97" s="18">
        <v>56</v>
      </c>
      <c r="V97" s="18">
        <v>57</v>
      </c>
      <c r="W97" s="18">
        <v>58</v>
      </c>
      <c r="X97" s="18"/>
      <c r="Y97" s="18">
        <v>0.43529411764705883</v>
      </c>
      <c r="Z97" s="18">
        <v>3.2941176470588234</v>
      </c>
      <c r="AA97" s="18">
        <v>0.1</v>
      </c>
      <c r="AB97" s="18">
        <v>1</v>
      </c>
      <c r="AC97" s="18">
        <v>5.8</v>
      </c>
      <c r="AD97" s="18">
        <v>1.2</v>
      </c>
      <c r="AE97" s="18">
        <v>1.3</v>
      </c>
      <c r="AF97" s="18">
        <v>32</v>
      </c>
      <c r="AG97" s="18">
        <v>3.2</v>
      </c>
      <c r="AH97" s="18">
        <v>29</v>
      </c>
      <c r="AI97" s="18">
        <v>40</v>
      </c>
      <c r="AJ97" s="18">
        <v>0</v>
      </c>
      <c r="AK97" s="18">
        <v>6.0000000000000123E-2</v>
      </c>
      <c r="AL97" s="18"/>
      <c r="AM97" s="18">
        <v>2.8851323529411799</v>
      </c>
      <c r="AN97" s="18">
        <v>1.53354235294118</v>
      </c>
      <c r="AO97" s="18">
        <v>2.30140647058824</v>
      </c>
      <c r="AP97" s="18">
        <v>2.88282117647059</v>
      </c>
      <c r="AQ97" s="18">
        <v>1.33683588235294</v>
      </c>
      <c r="AR97" s="18">
        <v>3.34538823529412</v>
      </c>
      <c r="AS97" s="18">
        <v>6.6528923529411799</v>
      </c>
      <c r="AT97" s="18">
        <v>2.27235705882353</v>
      </c>
      <c r="AU97" s="18">
        <v>4.4178829411764697</v>
      </c>
      <c r="AV97" s="18">
        <v>2.75488</v>
      </c>
      <c r="AW97" s="18">
        <v>4.2737764705882402</v>
      </c>
      <c r="AX97" s="18"/>
      <c r="AY97" s="18">
        <v>0.91984139059636005</v>
      </c>
      <c r="AZ97" s="18">
        <v>0.99983194794455499</v>
      </c>
      <c r="BA97" s="18">
        <v>0.979886924127779</v>
      </c>
      <c r="BB97" s="18">
        <v>0.92986562968623399</v>
      </c>
      <c r="BC97" s="18">
        <v>0.99002632466492502</v>
      </c>
      <c r="BD97" s="18">
        <v>0.98995993262128801</v>
      </c>
      <c r="BE97" s="18">
        <v>0.99999453250972503</v>
      </c>
      <c r="BF97" s="18">
        <v>0.989953559452181</v>
      </c>
      <c r="BG97" s="18">
        <v>1.0199454358815301</v>
      </c>
      <c r="BH97" s="18">
        <v>0.99999479025510996</v>
      </c>
      <c r="BI97" s="18">
        <v>0.95993645905861302</v>
      </c>
      <c r="BJ97" s="19"/>
      <c r="BK97" s="18">
        <v>11.764705882352892</v>
      </c>
      <c r="BL97" s="18">
        <v>2.4705882352941178</v>
      </c>
      <c r="BM97" s="18">
        <v>1.7647058823529411</v>
      </c>
      <c r="BN97" s="18">
        <v>3.1764705882352939</v>
      </c>
      <c r="BO97" s="18"/>
      <c r="BP97" s="18">
        <v>105</v>
      </c>
      <c r="BQ97" s="18">
        <v>25.941176470588236</v>
      </c>
      <c r="BR97" s="18">
        <v>1.3401189906857061</v>
      </c>
      <c r="BS97" s="18">
        <v>1.3209364574920941</v>
      </c>
      <c r="BT97" s="19"/>
      <c r="BU97" s="18">
        <v>982.35294117647061</v>
      </c>
      <c r="BV97" s="18">
        <v>693.59159663865648</v>
      </c>
      <c r="BW97" s="18">
        <v>67.360788806722709</v>
      </c>
      <c r="BX97" s="18">
        <v>670</v>
      </c>
      <c r="BY97" s="18">
        <v>18.999999999999996</v>
      </c>
      <c r="BZ97" s="18">
        <v>25.000000000000117</v>
      </c>
      <c r="CA97" s="18">
        <v>113</v>
      </c>
      <c r="CB97" s="19"/>
      <c r="CC97" s="19">
        <v>0.37</v>
      </c>
      <c r="CD97" s="19">
        <v>2.8</v>
      </c>
      <c r="CE97" s="19">
        <v>8.5000000000000006E-2</v>
      </c>
      <c r="CF97" s="19">
        <v>0.85</v>
      </c>
      <c r="CG97" s="19">
        <v>4.93</v>
      </c>
      <c r="CH97" s="19">
        <v>1.02</v>
      </c>
      <c r="CI97" s="19">
        <v>1.105</v>
      </c>
      <c r="CJ97" s="19"/>
      <c r="CK97" s="19">
        <v>27.2</v>
      </c>
      <c r="CL97" s="19">
        <v>2.72</v>
      </c>
      <c r="CM97" s="19">
        <v>24.65</v>
      </c>
      <c r="CN97" s="19">
        <v>34</v>
      </c>
      <c r="CO97" s="19">
        <v>0</v>
      </c>
      <c r="CP97" s="19">
        <v>5.1000000000000101E-2</v>
      </c>
      <c r="CQ97" s="19">
        <v>83.756888571428306</v>
      </c>
      <c r="CR97" s="19">
        <v>73.528930379508324</v>
      </c>
      <c r="CS97" s="19">
        <v>1.9513579273260531</v>
      </c>
      <c r="CT97" s="19">
        <v>1.12740779399226</v>
      </c>
      <c r="CU97" s="19">
        <v>1.6581642233367639</v>
      </c>
      <c r="CV97" s="19">
        <v>2.7855720173290242</v>
      </c>
      <c r="CW97" s="19">
        <v>1.9710432197338266</v>
      </c>
      <c r="CX97" s="19">
        <v>0.97315739009360402</v>
      </c>
      <c r="CY97" s="19">
        <v>2.4351313457216244</v>
      </c>
      <c r="CZ97" s="19">
        <v>4.891773840545615</v>
      </c>
      <c r="DA97" s="19">
        <v>1.6540538466411543</v>
      </c>
      <c r="DB97" s="19">
        <v>3.3132132662203579</v>
      </c>
      <c r="DC97" s="19">
        <v>2.0256232442036715</v>
      </c>
      <c r="DD97" s="19">
        <v>5.3388365104240298</v>
      </c>
      <c r="DE97" s="19">
        <v>3.0165639656075136</v>
      </c>
      <c r="DF97" s="23">
        <v>0</v>
      </c>
      <c r="DG97" s="23">
        <v>0</v>
      </c>
      <c r="DH97" s="23">
        <v>0</v>
      </c>
      <c r="DI97" s="19">
        <v>0</v>
      </c>
      <c r="DJ97" s="19">
        <v>0</v>
      </c>
      <c r="DK97" s="19">
        <v>0</v>
      </c>
      <c r="DL97" s="19">
        <v>0</v>
      </c>
      <c r="DM97" s="19">
        <v>0</v>
      </c>
      <c r="DN97" s="19">
        <v>0</v>
      </c>
      <c r="DO97" s="19">
        <v>0</v>
      </c>
      <c r="DP97" s="19">
        <v>0</v>
      </c>
      <c r="DQ97" s="19">
        <v>0</v>
      </c>
      <c r="DR97" s="19">
        <v>0</v>
      </c>
      <c r="DS97" s="19">
        <v>0</v>
      </c>
      <c r="DT97" s="19">
        <v>0</v>
      </c>
      <c r="DU97" s="19">
        <v>0</v>
      </c>
      <c r="DV97" s="19">
        <v>0</v>
      </c>
      <c r="DW97" s="17" t="s">
        <v>218</v>
      </c>
      <c r="DX97" s="22" t="s">
        <v>218</v>
      </c>
      <c r="DY97" s="22" t="s">
        <v>218</v>
      </c>
      <c r="DZ97" s="22" t="s">
        <v>218</v>
      </c>
      <c r="EA97" s="22" t="s">
        <v>218</v>
      </c>
      <c r="EB97" s="22" t="s">
        <v>218</v>
      </c>
      <c r="EC97" s="22" t="s">
        <v>218</v>
      </c>
      <c r="ED97" s="22" t="s">
        <v>218</v>
      </c>
      <c r="EE97" s="22" t="s">
        <v>218</v>
      </c>
      <c r="EF97" s="22" t="s">
        <v>218</v>
      </c>
      <c r="EG97" s="22" t="s">
        <v>218</v>
      </c>
      <c r="EH97" s="22" t="s">
        <v>218</v>
      </c>
      <c r="EI97" s="22" t="s">
        <v>218</v>
      </c>
      <c r="EJ97" s="22" t="s">
        <v>218</v>
      </c>
      <c r="EK97" s="22" t="s">
        <v>218</v>
      </c>
      <c r="EL97" s="22" t="s">
        <v>218</v>
      </c>
      <c r="EM97" s="22" t="s">
        <v>218</v>
      </c>
      <c r="EN97" s="22" t="s">
        <v>218</v>
      </c>
      <c r="EO97" s="22" t="s">
        <v>218</v>
      </c>
      <c r="EP97" s="22" t="s">
        <v>218</v>
      </c>
      <c r="EQ97" s="22" t="s">
        <v>218</v>
      </c>
      <c r="ER97" s="22" t="s">
        <v>218</v>
      </c>
      <c r="ES97" s="22" t="s">
        <v>218</v>
      </c>
      <c r="ET97" s="22" t="s">
        <v>218</v>
      </c>
      <c r="EU97" s="22" t="s">
        <v>218</v>
      </c>
      <c r="EV97" s="22" t="s">
        <v>218</v>
      </c>
      <c r="EW97" s="22" t="s">
        <v>218</v>
      </c>
      <c r="EX97" s="22" t="s">
        <v>218</v>
      </c>
      <c r="EY97" s="22" t="s">
        <v>218</v>
      </c>
      <c r="EZ97" s="22" t="s">
        <v>218</v>
      </c>
      <c r="FA97" s="22" t="s">
        <v>218</v>
      </c>
      <c r="FB97" s="22" t="s">
        <v>218</v>
      </c>
      <c r="FC97" s="22" t="s">
        <v>218</v>
      </c>
      <c r="FD97" s="22" t="s">
        <v>218</v>
      </c>
      <c r="FE97" s="22" t="s">
        <v>218</v>
      </c>
      <c r="FF97" s="22" t="s">
        <v>218</v>
      </c>
      <c r="FG97" s="22" t="s">
        <v>218</v>
      </c>
      <c r="FH97" s="22" t="s">
        <v>218</v>
      </c>
      <c r="FI97" s="22" t="s">
        <v>218</v>
      </c>
      <c r="FJ97" s="22" t="s">
        <v>218</v>
      </c>
      <c r="FK97" s="22" t="s">
        <v>218</v>
      </c>
      <c r="FL97" s="22" t="s">
        <v>218</v>
      </c>
      <c r="FM97" s="22" t="s">
        <v>218</v>
      </c>
      <c r="FN97" s="22" t="s">
        <v>218</v>
      </c>
      <c r="FO97" s="22" t="s">
        <v>218</v>
      </c>
      <c r="FP97" s="22" t="s">
        <v>218</v>
      </c>
      <c r="FQ97" s="22" t="s">
        <v>218</v>
      </c>
      <c r="FR97" s="22" t="s">
        <v>218</v>
      </c>
      <c r="FS97" s="22" t="s">
        <v>218</v>
      </c>
      <c r="FT97" s="22" t="s">
        <v>218</v>
      </c>
      <c r="FU97" s="22" t="s">
        <v>218</v>
      </c>
      <c r="FV97" s="22" t="s">
        <v>218</v>
      </c>
      <c r="FW97" s="22" t="s">
        <v>218</v>
      </c>
      <c r="FX97" s="22" t="s">
        <v>218</v>
      </c>
      <c r="FY97" s="22" t="s">
        <v>218</v>
      </c>
      <c r="FZ97" s="22" t="s">
        <v>218</v>
      </c>
      <c r="GA97" s="22" t="s">
        <v>218</v>
      </c>
      <c r="GB97" s="22" t="s">
        <v>218</v>
      </c>
      <c r="GC97" s="22" t="s">
        <v>218</v>
      </c>
      <c r="GD97" s="22" t="s">
        <v>218</v>
      </c>
      <c r="GE97" s="22" t="s">
        <v>218</v>
      </c>
      <c r="GF97" s="22" t="s">
        <v>218</v>
      </c>
      <c r="GG97" s="22" t="s">
        <v>218</v>
      </c>
      <c r="GH97" s="22" t="s">
        <v>218</v>
      </c>
      <c r="GI97" s="22" t="s">
        <v>218</v>
      </c>
      <c r="GJ97" s="22" t="s">
        <v>218</v>
      </c>
      <c r="GK97" s="22" t="s">
        <v>218</v>
      </c>
      <c r="GL97" s="22" t="s">
        <v>218</v>
      </c>
      <c r="GM97" s="22" t="s">
        <v>218</v>
      </c>
      <c r="GN97" s="22" t="s">
        <v>218</v>
      </c>
      <c r="GO97" s="22" t="s">
        <v>218</v>
      </c>
      <c r="GP97" s="22" t="s">
        <v>218</v>
      </c>
      <c r="GQ97" s="22" t="s">
        <v>218</v>
      </c>
      <c r="GR97" s="22" t="s">
        <v>218</v>
      </c>
      <c r="GS97" s="22" t="s">
        <v>218</v>
      </c>
      <c r="GT97" s="22" t="s">
        <v>218</v>
      </c>
      <c r="GU97" s="22" t="s">
        <v>218</v>
      </c>
      <c r="GV97" s="22" t="s">
        <v>218</v>
      </c>
      <c r="GW97" s="22" t="s">
        <v>218</v>
      </c>
      <c r="GX97" s="22" t="s">
        <v>218</v>
      </c>
      <c r="GY97" s="22" t="s">
        <v>218</v>
      </c>
      <c r="GZ97" s="22" t="s">
        <v>218</v>
      </c>
      <c r="HA97" s="22" t="s">
        <v>218</v>
      </c>
      <c r="HB97" s="22" t="s">
        <v>218</v>
      </c>
      <c r="HC97" s="22" t="s">
        <v>218</v>
      </c>
      <c r="HD97" s="22" t="s">
        <v>218</v>
      </c>
      <c r="HE97" s="22" t="s">
        <v>218</v>
      </c>
      <c r="HF97" s="22" t="s">
        <v>218</v>
      </c>
      <c r="HG97" s="22" t="s">
        <v>218</v>
      </c>
      <c r="HH97" s="22" t="s">
        <v>218</v>
      </c>
      <c r="HI97" s="22" t="s">
        <v>218</v>
      </c>
      <c r="HJ97" s="22" t="s">
        <v>218</v>
      </c>
      <c r="HK97" s="22" t="s">
        <v>218</v>
      </c>
      <c r="HL97" s="22" t="s">
        <v>218</v>
      </c>
      <c r="HM97" s="622">
        <f>'background data'!$G$10</f>
        <v>0.47300000000000003</v>
      </c>
      <c r="HN97" s="622">
        <f>'background data'!$H$10</f>
        <v>0.13</v>
      </c>
      <c r="HO97" s="622">
        <f>'background data'!$J$10</f>
        <v>0.39100000000000001</v>
      </c>
      <c r="HP97" s="622">
        <f>'background data'!$L$10</f>
        <v>5.5E-2</v>
      </c>
      <c r="HQ97" s="622">
        <f>'background data'!$M$10</f>
        <v>3.97</v>
      </c>
      <c r="HR97" s="622">
        <f>'background data'!$N$10</f>
        <v>4.5999999999999999E-3</v>
      </c>
      <c r="HS97" s="622">
        <f>'background data'!$O$10</f>
        <v>2.73</v>
      </c>
      <c r="HT97" s="145" t="s">
        <v>1797</v>
      </c>
      <c r="HU97" s="145" t="s">
        <v>1809</v>
      </c>
      <c r="HV97" s="22" t="s">
        <v>1396</v>
      </c>
      <c r="HW97" s="22" t="s">
        <v>218</v>
      </c>
      <c r="HX97" s="22" t="s">
        <v>218</v>
      </c>
      <c r="HY97" s="22" t="s">
        <v>218</v>
      </c>
      <c r="HZ97" s="19"/>
      <c r="IA97" s="19"/>
      <c r="IB97" s="622">
        <f>'background data'!$G$10</f>
        <v>0.47300000000000003</v>
      </c>
      <c r="IC97" s="622">
        <f>'background data'!$H$10</f>
        <v>0.13</v>
      </c>
      <c r="ID97" s="622">
        <f>'background data'!$J$10</f>
        <v>0.39100000000000001</v>
      </c>
      <c r="IE97" s="622">
        <f>'background data'!$L$10</f>
        <v>5.5E-2</v>
      </c>
      <c r="IF97" s="622">
        <f>'background data'!$M$10</f>
        <v>3.97</v>
      </c>
      <c r="IG97" s="622">
        <f>'background data'!$N$10</f>
        <v>4.5999999999999999E-3</v>
      </c>
      <c r="IH97" s="622">
        <f>'background data'!$O$10</f>
        <v>2.73</v>
      </c>
      <c r="II97" s="145" t="s">
        <v>1797</v>
      </c>
      <c r="IJ97" s="145" t="s">
        <v>1396</v>
      </c>
      <c r="IK97" s="145"/>
      <c r="IL97" s="145"/>
      <c r="IM97" s="145"/>
      <c r="IN97" s="145"/>
      <c r="IO97" s="145"/>
      <c r="IP97" s="145"/>
      <c r="IQ97" s="145"/>
      <c r="IR97" s="145"/>
      <c r="IS97" s="145"/>
      <c r="IT97" s="145"/>
      <c r="IU97" s="145"/>
      <c r="IV97" s="145"/>
      <c r="IW97" s="145"/>
      <c r="IX97" s="145"/>
      <c r="IY97" s="145"/>
      <c r="IZ97" s="145"/>
      <c r="JA97" s="145"/>
      <c r="JB97" s="145"/>
      <c r="JC97" s="145"/>
      <c r="JD97" s="145"/>
      <c r="JE97" s="145"/>
      <c r="JF97" s="145"/>
      <c r="JG97" s="145"/>
      <c r="JH97" s="145"/>
      <c r="JI97" s="145"/>
      <c r="JJ97" s="145"/>
      <c r="JK97" s="145"/>
      <c r="JL97" s="145"/>
      <c r="JM97" s="145"/>
      <c r="JN97" s="145"/>
      <c r="JO97" s="145"/>
      <c r="JP97" s="145"/>
      <c r="JQ97" s="145"/>
      <c r="JR97" s="145"/>
      <c r="JS97" s="145"/>
      <c r="JT97" s="145"/>
      <c r="JU97" s="145"/>
      <c r="JV97" s="145"/>
      <c r="JW97" s="145"/>
      <c r="JX97" s="145"/>
      <c r="JY97" s="145"/>
      <c r="JZ97" s="145"/>
      <c r="KA97" s="145"/>
      <c r="KB97" s="145"/>
      <c r="KC97" s="145"/>
      <c r="KD97" s="145"/>
      <c r="KE97" s="145"/>
      <c r="KF97" s="145"/>
      <c r="KG97" s="145"/>
      <c r="KH97" s="145"/>
      <c r="KI97" s="145"/>
      <c r="KJ97" s="145"/>
      <c r="KK97" s="145"/>
      <c r="KL97" s="145"/>
      <c r="KM97" s="145"/>
      <c r="KN97" s="145"/>
      <c r="KO97" s="145"/>
      <c r="KP97" s="145"/>
      <c r="KQ97" s="145"/>
      <c r="KR97" s="145"/>
      <c r="KS97" s="145"/>
      <c r="KT97" s="145"/>
      <c r="KU97" s="145"/>
      <c r="KV97" s="145"/>
      <c r="KW97" s="145"/>
      <c r="KX97" s="145"/>
      <c r="KY97" s="145"/>
      <c r="KZ97" s="145"/>
      <c r="LA97" s="145"/>
      <c r="LB97" s="145"/>
      <c r="LC97" s="145"/>
      <c r="LD97" s="145"/>
      <c r="LE97" s="145"/>
      <c r="LF97" s="145"/>
      <c r="LG97" s="145"/>
      <c r="LH97" s="145"/>
      <c r="LI97" s="145"/>
      <c r="LJ97" s="145"/>
      <c r="LK97" s="145"/>
      <c r="LL97" s="145"/>
      <c r="LM97" s="145"/>
      <c r="LN97" s="145"/>
      <c r="LO97" s="145"/>
      <c r="LP97" s="145"/>
      <c r="LQ97" s="145"/>
      <c r="LR97" s="145"/>
      <c r="LS97" s="145"/>
      <c r="LT97" s="145"/>
      <c r="LU97" s="145"/>
      <c r="LV97" s="145"/>
      <c r="LW97" s="145"/>
      <c r="LX97" s="145"/>
      <c r="LY97" s="145"/>
      <c r="LZ97" s="145"/>
      <c r="MA97" s="145"/>
      <c r="MB97" s="145"/>
      <c r="MC97" s="145"/>
      <c r="MD97" s="145"/>
      <c r="ME97" s="145"/>
      <c r="MF97" s="145"/>
      <c r="MG97" s="145"/>
      <c r="MH97" s="145"/>
      <c r="MI97" s="145"/>
      <c r="MJ97" s="145"/>
      <c r="MK97" s="145"/>
      <c r="ML97" s="145"/>
      <c r="MM97" s="145"/>
      <c r="MN97" s="145"/>
      <c r="MO97" s="145"/>
      <c r="MP97" s="145"/>
      <c r="MQ97" s="145"/>
      <c r="MR97" s="145"/>
      <c r="MS97" s="145"/>
      <c r="MT97" s="145"/>
      <c r="MU97" s="145"/>
      <c r="MV97" s="145"/>
      <c r="MW97" s="145"/>
      <c r="MX97" s="145"/>
      <c r="MY97" s="145"/>
      <c r="MZ97" s="145"/>
      <c r="NA97" s="145"/>
      <c r="NB97" s="145"/>
      <c r="NC97" s="145"/>
      <c r="ND97" s="145"/>
      <c r="NE97" s="145"/>
      <c r="NF97" s="145"/>
      <c r="NG97" s="145"/>
      <c r="NH97" s="145"/>
      <c r="NI97" s="145"/>
      <c r="NJ97" s="145"/>
      <c r="NK97" s="145"/>
      <c r="NL97" s="145"/>
      <c r="NM97" s="145"/>
      <c r="NN97" s="145"/>
      <c r="NO97" s="145"/>
      <c r="NP97" s="145"/>
      <c r="NQ97" s="145"/>
      <c r="NR97" s="145"/>
      <c r="NS97" s="145"/>
    </row>
    <row r="98" spans="1:383" s="16" customFormat="1" ht="15" customHeight="1" x14ac:dyDescent="0.2">
      <c r="A98" s="15">
        <v>51311</v>
      </c>
      <c r="B98" s="25">
        <v>513</v>
      </c>
      <c r="C98" s="26">
        <v>11</v>
      </c>
      <c r="D98" s="20" t="s">
        <v>384</v>
      </c>
      <c r="E98" s="14">
        <v>42678</v>
      </c>
      <c r="F98" s="18">
        <v>1.1487991676345399</v>
      </c>
      <c r="G98" s="18">
        <v>1.12961231539889</v>
      </c>
      <c r="H98" s="21">
        <v>90.8</v>
      </c>
      <c r="I98" s="21">
        <v>86.799987599999994</v>
      </c>
      <c r="J98" s="21">
        <v>93</v>
      </c>
      <c r="K98" s="18">
        <v>1</v>
      </c>
      <c r="L98" s="18">
        <v>85</v>
      </c>
      <c r="M98" s="18">
        <v>9.9999999999999591</v>
      </c>
      <c r="N98" s="18">
        <v>2.1</v>
      </c>
      <c r="O98" s="18">
        <v>1.5</v>
      </c>
      <c r="P98" s="18">
        <v>2.7</v>
      </c>
      <c r="Q98" s="19"/>
      <c r="R98" s="18">
        <v>84.386717142857094</v>
      </c>
      <c r="S98" s="18">
        <v>28</v>
      </c>
      <c r="T98" s="18">
        <v>43</v>
      </c>
      <c r="U98" s="18">
        <v>48</v>
      </c>
      <c r="V98" s="18">
        <v>54</v>
      </c>
      <c r="W98" s="18">
        <v>57</v>
      </c>
      <c r="X98" s="18"/>
      <c r="Y98" s="18">
        <v>0.43529411764705883</v>
      </c>
      <c r="Z98" s="18">
        <v>3.2941176470588234</v>
      </c>
      <c r="AA98" s="18">
        <v>0.1</v>
      </c>
      <c r="AB98" s="18">
        <v>1</v>
      </c>
      <c r="AC98" s="18">
        <v>5.8</v>
      </c>
      <c r="AD98" s="18">
        <v>1.2</v>
      </c>
      <c r="AE98" s="18">
        <v>1.3</v>
      </c>
      <c r="AF98" s="18">
        <v>32</v>
      </c>
      <c r="AG98" s="18">
        <v>3.2</v>
      </c>
      <c r="AH98" s="18">
        <v>29</v>
      </c>
      <c r="AI98" s="18">
        <v>40</v>
      </c>
      <c r="AJ98" s="18">
        <v>0</v>
      </c>
      <c r="AK98" s="18">
        <v>6.0000000000000123E-2</v>
      </c>
      <c r="AL98" s="18"/>
      <c r="AM98" s="18">
        <v>2.8851323529411799</v>
      </c>
      <c r="AN98" s="18">
        <v>1.53354235294118</v>
      </c>
      <c r="AO98" s="18">
        <v>2.30140647058824</v>
      </c>
      <c r="AP98" s="18">
        <v>2.88282117647059</v>
      </c>
      <c r="AQ98" s="18">
        <v>1.33683588235294</v>
      </c>
      <c r="AR98" s="18">
        <v>3.34538823529412</v>
      </c>
      <c r="AS98" s="18">
        <v>6.6528923529411799</v>
      </c>
      <c r="AT98" s="18">
        <v>2.27235705882353</v>
      </c>
      <c r="AU98" s="18">
        <v>4.4178829411764697</v>
      </c>
      <c r="AV98" s="18">
        <v>2.75488</v>
      </c>
      <c r="AW98" s="18">
        <v>4.2737764705882402</v>
      </c>
      <c r="AX98" s="18"/>
      <c r="AY98" s="18">
        <v>0.92</v>
      </c>
      <c r="AZ98" s="18">
        <v>1</v>
      </c>
      <c r="BA98" s="18">
        <v>0.98</v>
      </c>
      <c r="BB98" s="18">
        <v>0.93</v>
      </c>
      <c r="BC98" s="18">
        <v>0.99</v>
      </c>
      <c r="BD98" s="18">
        <v>0.99</v>
      </c>
      <c r="BE98" s="18">
        <v>1</v>
      </c>
      <c r="BF98" s="18">
        <v>0.99</v>
      </c>
      <c r="BG98" s="18">
        <v>1.02</v>
      </c>
      <c r="BH98" s="18">
        <v>1</v>
      </c>
      <c r="BI98" s="18">
        <v>0.96</v>
      </c>
      <c r="BJ98" s="19"/>
      <c r="BK98" s="18">
        <v>11.764705882352892</v>
      </c>
      <c r="BL98" s="18">
        <v>2.4705882352941178</v>
      </c>
      <c r="BM98" s="18">
        <v>1.7647058823529411</v>
      </c>
      <c r="BN98" s="18">
        <v>3.1764705882352939</v>
      </c>
      <c r="BO98" s="18"/>
      <c r="BP98" s="18">
        <v>105</v>
      </c>
      <c r="BQ98" s="18">
        <v>25.941176470588236</v>
      </c>
      <c r="BR98" s="18">
        <v>1.3515284325112233</v>
      </c>
      <c r="BS98" s="18">
        <v>1.3289556651751646</v>
      </c>
      <c r="BT98" s="19"/>
      <c r="BU98" s="18">
        <v>982.35294117647061</v>
      </c>
      <c r="BV98" s="18">
        <v>704.81848739495774</v>
      </c>
      <c r="BW98" s="18">
        <v>56.134627798319173</v>
      </c>
      <c r="BX98" s="18">
        <v>670</v>
      </c>
      <c r="BY98" s="18">
        <v>18.999999999999996</v>
      </c>
      <c r="BZ98" s="18">
        <v>25</v>
      </c>
      <c r="CA98" s="18">
        <v>113</v>
      </c>
      <c r="CB98" s="19"/>
      <c r="CC98" s="19">
        <v>0.37</v>
      </c>
      <c r="CD98" s="19">
        <v>2.8</v>
      </c>
      <c r="CE98" s="19">
        <v>8.5000000000000006E-2</v>
      </c>
      <c r="CF98" s="19">
        <v>0.85</v>
      </c>
      <c r="CG98" s="19">
        <v>4.93</v>
      </c>
      <c r="CH98" s="19">
        <v>1.02</v>
      </c>
      <c r="CI98" s="19">
        <v>1.105</v>
      </c>
      <c r="CJ98" s="19"/>
      <c r="CK98" s="19">
        <v>27.2</v>
      </c>
      <c r="CL98" s="19">
        <v>2.72</v>
      </c>
      <c r="CM98" s="19">
        <v>24.65</v>
      </c>
      <c r="CN98" s="19">
        <v>34</v>
      </c>
      <c r="CO98" s="19">
        <v>0</v>
      </c>
      <c r="CP98" s="19">
        <v>5.1000000000000101E-2</v>
      </c>
      <c r="CQ98" s="19">
        <v>84.386717142856796</v>
      </c>
      <c r="CR98" s="19">
        <v>73.456457421200184</v>
      </c>
      <c r="CS98" s="19">
        <v>1.9497707369128277</v>
      </c>
      <c r="CT98" s="19">
        <v>1.1264858855243145</v>
      </c>
      <c r="CU98" s="19">
        <v>1.6567210308732618</v>
      </c>
      <c r="CV98" s="19">
        <v>2.7832069163975763</v>
      </c>
      <c r="CW98" s="19">
        <v>1.9693850283218184</v>
      </c>
      <c r="CX98" s="19">
        <v>0.97217235790479806</v>
      </c>
      <c r="CY98" s="19">
        <v>2.4328296477863414</v>
      </c>
      <c r="CZ98" s="19">
        <v>4.8869790385165182</v>
      </c>
      <c r="DA98" s="19">
        <v>1.652501065418619</v>
      </c>
      <c r="DB98" s="19">
        <v>3.310124707635842</v>
      </c>
      <c r="DC98" s="19">
        <v>2.0236372542051568</v>
      </c>
      <c r="DD98" s="19">
        <v>5.3337619618409988</v>
      </c>
      <c r="DE98" s="19">
        <v>3.0137902016591296</v>
      </c>
      <c r="DF98" s="23">
        <v>0</v>
      </c>
      <c r="DG98" s="23">
        <v>0</v>
      </c>
      <c r="DH98" s="23">
        <v>0</v>
      </c>
      <c r="DI98" s="19">
        <v>0</v>
      </c>
      <c r="DJ98" s="19">
        <v>0</v>
      </c>
      <c r="DK98" s="19">
        <v>0</v>
      </c>
      <c r="DL98" s="19">
        <v>0</v>
      </c>
      <c r="DM98" s="19">
        <v>0</v>
      </c>
      <c r="DN98" s="19">
        <v>0</v>
      </c>
      <c r="DO98" s="19">
        <v>0</v>
      </c>
      <c r="DP98" s="19">
        <v>0</v>
      </c>
      <c r="DQ98" s="19">
        <v>0</v>
      </c>
      <c r="DR98" s="19">
        <v>0</v>
      </c>
      <c r="DS98" s="19">
        <v>0</v>
      </c>
      <c r="DT98" s="19">
        <v>0</v>
      </c>
      <c r="DU98" s="19">
        <v>0</v>
      </c>
      <c r="DV98" s="19">
        <v>0</v>
      </c>
      <c r="DW98" s="17" t="s">
        <v>371</v>
      </c>
      <c r="DX98" s="22" t="s">
        <v>218</v>
      </c>
      <c r="DY98" s="22" t="s">
        <v>218</v>
      </c>
      <c r="DZ98" s="22" t="s">
        <v>218</v>
      </c>
      <c r="EA98" s="22" t="s">
        <v>218</v>
      </c>
      <c r="EB98" s="22" t="s">
        <v>218</v>
      </c>
      <c r="EC98" s="22" t="s">
        <v>218</v>
      </c>
      <c r="ED98" s="22" t="s">
        <v>218</v>
      </c>
      <c r="EE98" s="22" t="s">
        <v>218</v>
      </c>
      <c r="EF98" s="22" t="s">
        <v>218</v>
      </c>
      <c r="EG98" s="22" t="s">
        <v>218</v>
      </c>
      <c r="EH98" s="22" t="s">
        <v>218</v>
      </c>
      <c r="EI98" s="22" t="s">
        <v>218</v>
      </c>
      <c r="EJ98" s="22" t="s">
        <v>218</v>
      </c>
      <c r="EK98" s="22" t="s">
        <v>218</v>
      </c>
      <c r="EL98" s="22" t="s">
        <v>218</v>
      </c>
      <c r="EM98" s="22" t="s">
        <v>218</v>
      </c>
      <c r="EN98" s="22" t="s">
        <v>218</v>
      </c>
      <c r="EO98" s="22" t="s">
        <v>218</v>
      </c>
      <c r="EP98" s="22" t="s">
        <v>218</v>
      </c>
      <c r="EQ98" s="22" t="s">
        <v>218</v>
      </c>
      <c r="ER98" s="22" t="s">
        <v>218</v>
      </c>
      <c r="ES98" s="22" t="s">
        <v>218</v>
      </c>
      <c r="ET98" s="22" t="s">
        <v>218</v>
      </c>
      <c r="EU98" s="22" t="s">
        <v>218</v>
      </c>
      <c r="EV98" s="22" t="s">
        <v>218</v>
      </c>
      <c r="EW98" s="22" t="s">
        <v>218</v>
      </c>
      <c r="EX98" s="22" t="s">
        <v>218</v>
      </c>
      <c r="EY98" s="22" t="s">
        <v>218</v>
      </c>
      <c r="EZ98" s="22" t="s">
        <v>218</v>
      </c>
      <c r="FA98" s="22" t="s">
        <v>218</v>
      </c>
      <c r="FB98" s="22" t="s">
        <v>218</v>
      </c>
      <c r="FC98" s="22" t="s">
        <v>218</v>
      </c>
      <c r="FD98" s="22" t="s">
        <v>218</v>
      </c>
      <c r="FE98" s="22" t="s">
        <v>218</v>
      </c>
      <c r="FF98" s="22" t="s">
        <v>218</v>
      </c>
      <c r="FG98" s="22" t="s">
        <v>218</v>
      </c>
      <c r="FH98" s="22" t="s">
        <v>218</v>
      </c>
      <c r="FI98" s="22" t="s">
        <v>218</v>
      </c>
      <c r="FJ98" s="22" t="s">
        <v>218</v>
      </c>
      <c r="FK98" s="22" t="s">
        <v>218</v>
      </c>
      <c r="FL98" s="22" t="s">
        <v>218</v>
      </c>
      <c r="FM98" s="22" t="s">
        <v>218</v>
      </c>
      <c r="FN98" s="22" t="s">
        <v>218</v>
      </c>
      <c r="FO98" s="22" t="s">
        <v>218</v>
      </c>
      <c r="FP98" s="22" t="s">
        <v>218</v>
      </c>
      <c r="FQ98" s="22" t="s">
        <v>218</v>
      </c>
      <c r="FR98" s="22" t="s">
        <v>218</v>
      </c>
      <c r="FS98" s="22" t="s">
        <v>218</v>
      </c>
      <c r="FT98" s="22" t="s">
        <v>218</v>
      </c>
      <c r="FU98" s="22" t="s">
        <v>218</v>
      </c>
      <c r="FV98" s="22" t="s">
        <v>218</v>
      </c>
      <c r="FW98" s="22" t="s">
        <v>218</v>
      </c>
      <c r="FX98" s="22" t="s">
        <v>218</v>
      </c>
      <c r="FY98" s="22" t="s">
        <v>218</v>
      </c>
      <c r="FZ98" s="22" t="s">
        <v>218</v>
      </c>
      <c r="GA98" s="22" t="s">
        <v>218</v>
      </c>
      <c r="GB98" s="22" t="s">
        <v>218</v>
      </c>
      <c r="GC98" s="22" t="s">
        <v>218</v>
      </c>
      <c r="GD98" s="22" t="s">
        <v>218</v>
      </c>
      <c r="GE98" s="22" t="s">
        <v>218</v>
      </c>
      <c r="GF98" s="22" t="s">
        <v>218</v>
      </c>
      <c r="GG98" s="22" t="s">
        <v>218</v>
      </c>
      <c r="GH98" s="22" t="s">
        <v>218</v>
      </c>
      <c r="GI98" s="22" t="s">
        <v>218</v>
      </c>
      <c r="GJ98" s="22" t="s">
        <v>218</v>
      </c>
      <c r="GK98" s="22" t="s">
        <v>218</v>
      </c>
      <c r="GL98" s="22" t="s">
        <v>218</v>
      </c>
      <c r="GM98" s="22" t="s">
        <v>218</v>
      </c>
      <c r="GN98" s="22" t="s">
        <v>218</v>
      </c>
      <c r="GO98" s="22" t="s">
        <v>218</v>
      </c>
      <c r="GP98" s="22" t="s">
        <v>218</v>
      </c>
      <c r="GQ98" s="22" t="s">
        <v>218</v>
      </c>
      <c r="GR98" s="22" t="s">
        <v>218</v>
      </c>
      <c r="GS98" s="22" t="s">
        <v>218</v>
      </c>
      <c r="GT98" s="22" t="s">
        <v>218</v>
      </c>
      <c r="GU98" s="22" t="s">
        <v>218</v>
      </c>
      <c r="GV98" s="22" t="s">
        <v>218</v>
      </c>
      <c r="GW98" s="22" t="s">
        <v>218</v>
      </c>
      <c r="GX98" s="22" t="s">
        <v>218</v>
      </c>
      <c r="GY98" s="22" t="s">
        <v>218</v>
      </c>
      <c r="GZ98" s="22" t="s">
        <v>218</v>
      </c>
      <c r="HA98" s="22" t="s">
        <v>218</v>
      </c>
      <c r="HB98" s="22" t="s">
        <v>218</v>
      </c>
      <c r="HC98" s="22" t="s">
        <v>218</v>
      </c>
      <c r="HD98" s="22" t="s">
        <v>218</v>
      </c>
      <c r="HE98" s="22" t="s">
        <v>218</v>
      </c>
      <c r="HF98" s="22" t="s">
        <v>218</v>
      </c>
      <c r="HG98" s="22" t="s">
        <v>218</v>
      </c>
      <c r="HH98" s="22" t="s">
        <v>218</v>
      </c>
      <c r="HI98" s="22" t="s">
        <v>218</v>
      </c>
      <c r="HJ98" s="22" t="s">
        <v>218</v>
      </c>
      <c r="HK98" s="22" t="s">
        <v>218</v>
      </c>
      <c r="HL98" s="22" t="s">
        <v>218</v>
      </c>
      <c r="HM98" s="622">
        <f>'background data'!$G$10</f>
        <v>0.47300000000000003</v>
      </c>
      <c r="HN98" s="622">
        <f>'background data'!$H$10</f>
        <v>0.13</v>
      </c>
      <c r="HO98" s="622">
        <f>'background data'!$J$10</f>
        <v>0.39100000000000001</v>
      </c>
      <c r="HP98" s="622">
        <f>'background data'!$L$10</f>
        <v>5.5E-2</v>
      </c>
      <c r="HQ98" s="622">
        <f>'background data'!$M$10</f>
        <v>3.97</v>
      </c>
      <c r="HR98" s="622">
        <f>'background data'!$N$10</f>
        <v>4.5999999999999999E-3</v>
      </c>
      <c r="HS98" s="622">
        <f>'background data'!$O$10</f>
        <v>2.73</v>
      </c>
      <c r="HT98" s="145" t="s">
        <v>1797</v>
      </c>
      <c r="HU98" s="145" t="s">
        <v>1809</v>
      </c>
      <c r="HV98" s="22" t="s">
        <v>1396</v>
      </c>
      <c r="HW98" s="22" t="s">
        <v>385</v>
      </c>
      <c r="HX98" s="22" t="s">
        <v>373</v>
      </c>
      <c r="HY98" s="22" t="s">
        <v>374</v>
      </c>
      <c r="HZ98" s="19"/>
      <c r="IA98" s="19"/>
      <c r="IB98" s="622">
        <f>'background data'!$G$10</f>
        <v>0.47300000000000003</v>
      </c>
      <c r="IC98" s="622">
        <f>'background data'!$H$10</f>
        <v>0.13</v>
      </c>
      <c r="ID98" s="622">
        <f>'background data'!$J$10</f>
        <v>0.39100000000000001</v>
      </c>
      <c r="IE98" s="622">
        <f>'background data'!$L$10</f>
        <v>5.5E-2</v>
      </c>
      <c r="IF98" s="622">
        <f>'background data'!$M$10</f>
        <v>3.97</v>
      </c>
      <c r="IG98" s="622">
        <f>'background data'!$N$10</f>
        <v>4.5999999999999999E-3</v>
      </c>
      <c r="IH98" s="622">
        <f>'background data'!$O$10</f>
        <v>2.73</v>
      </c>
      <c r="II98" s="145" t="s">
        <v>1797</v>
      </c>
      <c r="IJ98" s="145" t="s">
        <v>1396</v>
      </c>
      <c r="IK98" s="145"/>
      <c r="IL98" s="145"/>
      <c r="IM98" s="145"/>
      <c r="IN98" s="145"/>
      <c r="IO98" s="145"/>
      <c r="IP98" s="145"/>
      <c r="IQ98" s="145"/>
      <c r="IR98" s="145"/>
      <c r="IS98" s="145"/>
      <c r="IT98" s="145"/>
      <c r="IU98" s="145"/>
      <c r="IV98" s="145"/>
      <c r="IW98" s="145"/>
      <c r="IX98" s="145"/>
      <c r="IY98" s="145"/>
      <c r="IZ98" s="145"/>
      <c r="JA98" s="145"/>
      <c r="JB98" s="145"/>
      <c r="JC98" s="145"/>
      <c r="JD98" s="145"/>
      <c r="JE98" s="145"/>
      <c r="JF98" s="145"/>
      <c r="JG98" s="145"/>
      <c r="JH98" s="145"/>
      <c r="JI98" s="145"/>
      <c r="JJ98" s="145"/>
      <c r="JK98" s="145"/>
      <c r="JL98" s="145"/>
      <c r="JM98" s="145"/>
      <c r="JN98" s="145"/>
      <c r="JO98" s="145"/>
      <c r="JP98" s="145"/>
      <c r="JQ98" s="145"/>
      <c r="JR98" s="145"/>
      <c r="JS98" s="145"/>
      <c r="JT98" s="145"/>
      <c r="JU98" s="145"/>
      <c r="JV98" s="145"/>
      <c r="JW98" s="145"/>
      <c r="JX98" s="145"/>
      <c r="JY98" s="145"/>
      <c r="JZ98" s="145"/>
      <c r="KA98" s="145"/>
      <c r="KB98" s="145"/>
      <c r="KC98" s="145"/>
      <c r="KD98" s="145"/>
      <c r="KE98" s="145"/>
      <c r="KF98" s="145"/>
      <c r="KG98" s="145"/>
      <c r="KH98" s="145"/>
      <c r="KI98" s="145"/>
      <c r="KJ98" s="145"/>
      <c r="KK98" s="145"/>
      <c r="KL98" s="145"/>
      <c r="KM98" s="145"/>
      <c r="KN98" s="145"/>
      <c r="KO98" s="145"/>
      <c r="KP98" s="145"/>
      <c r="KQ98" s="145"/>
      <c r="KR98" s="145"/>
      <c r="KS98" s="145"/>
      <c r="KT98" s="145"/>
      <c r="KU98" s="145"/>
      <c r="KV98" s="145"/>
      <c r="KW98" s="145"/>
      <c r="KX98" s="145"/>
      <c r="KY98" s="145"/>
      <c r="KZ98" s="145"/>
      <c r="LA98" s="145"/>
      <c r="LB98" s="145"/>
      <c r="LC98" s="145"/>
      <c r="LD98" s="145"/>
      <c r="LE98" s="145"/>
      <c r="LF98" s="145"/>
      <c r="LG98" s="145"/>
      <c r="LH98" s="145"/>
      <c r="LI98" s="145"/>
      <c r="LJ98" s="145"/>
      <c r="LK98" s="145"/>
      <c r="LL98" s="145"/>
      <c r="LM98" s="145"/>
      <c r="LN98" s="145"/>
      <c r="LO98" s="145"/>
      <c r="LP98" s="145"/>
      <c r="LQ98" s="145"/>
      <c r="LR98" s="145"/>
      <c r="LS98" s="145"/>
      <c r="LT98" s="145"/>
      <c r="LU98" s="145"/>
      <c r="LV98" s="145"/>
      <c r="LW98" s="145"/>
      <c r="LX98" s="145"/>
      <c r="LY98" s="145"/>
      <c r="LZ98" s="145"/>
      <c r="MA98" s="145"/>
      <c r="MB98" s="145"/>
      <c r="MC98" s="145"/>
      <c r="MD98" s="145"/>
      <c r="ME98" s="145"/>
      <c r="MF98" s="145"/>
      <c r="MG98" s="145"/>
      <c r="MH98" s="145"/>
      <c r="MI98" s="145"/>
      <c r="MJ98" s="145"/>
      <c r="MK98" s="145"/>
      <c r="ML98" s="145"/>
      <c r="MM98" s="145"/>
      <c r="MN98" s="145"/>
      <c r="MO98" s="145"/>
      <c r="MP98" s="145"/>
      <c r="MQ98" s="145"/>
      <c r="MR98" s="145"/>
      <c r="MS98" s="145"/>
      <c r="MT98" s="145"/>
      <c r="MU98" s="145"/>
      <c r="MV98" s="145"/>
      <c r="MW98" s="145"/>
      <c r="MX98" s="145"/>
      <c r="MY98" s="145"/>
      <c r="MZ98" s="145"/>
      <c r="NA98" s="145"/>
      <c r="NB98" s="145"/>
      <c r="NC98" s="145"/>
      <c r="ND98" s="145"/>
      <c r="NE98" s="145"/>
      <c r="NF98" s="145"/>
      <c r="NG98" s="145"/>
      <c r="NH98" s="145"/>
      <c r="NI98" s="145"/>
      <c r="NJ98" s="145"/>
      <c r="NK98" s="145"/>
      <c r="NL98" s="145"/>
      <c r="NM98" s="145"/>
      <c r="NN98" s="145"/>
      <c r="NO98" s="145"/>
      <c r="NP98" s="145"/>
      <c r="NQ98" s="145"/>
      <c r="NR98" s="145"/>
      <c r="NS98" s="145"/>
    </row>
    <row r="99" spans="1:383" s="16" customFormat="1" ht="15" customHeight="1" x14ac:dyDescent="0.2">
      <c r="A99" s="15">
        <v>51361</v>
      </c>
      <c r="B99" s="25">
        <v>513</v>
      </c>
      <c r="C99" s="26">
        <v>61</v>
      </c>
      <c r="D99" s="20" t="s">
        <v>386</v>
      </c>
      <c r="E99" s="14">
        <v>42678</v>
      </c>
      <c r="F99" s="18">
        <v>1.14547193186217</v>
      </c>
      <c r="G99" s="18">
        <v>1.12642335435992</v>
      </c>
      <c r="H99" s="21">
        <v>90.8</v>
      </c>
      <c r="I99" s="21">
        <v>86.799987599999994</v>
      </c>
      <c r="J99" s="21">
        <v>93</v>
      </c>
      <c r="K99" s="18">
        <v>1</v>
      </c>
      <c r="L99" s="18">
        <v>85</v>
      </c>
      <c r="M99" s="18">
        <v>11.5</v>
      </c>
      <c r="N99" s="18">
        <v>2.1</v>
      </c>
      <c r="O99" s="18">
        <v>1.5</v>
      </c>
      <c r="P99" s="18">
        <v>2.7</v>
      </c>
      <c r="Q99" s="19"/>
      <c r="R99" s="18">
        <v>85.510188819875793</v>
      </c>
      <c r="S99" s="18">
        <v>28</v>
      </c>
      <c r="T99" s="18">
        <v>43</v>
      </c>
      <c r="U99" s="18">
        <v>48</v>
      </c>
      <c r="V99" s="18">
        <v>54</v>
      </c>
      <c r="W99" s="18">
        <v>57</v>
      </c>
      <c r="X99" s="18"/>
      <c r="Y99" s="18">
        <v>0.43529411764705883</v>
      </c>
      <c r="Z99" s="18">
        <v>3.2941176470588234</v>
      </c>
      <c r="AA99" s="18">
        <v>0.1</v>
      </c>
      <c r="AB99" s="18">
        <v>1</v>
      </c>
      <c r="AC99" s="18">
        <v>5.8</v>
      </c>
      <c r="AD99" s="18">
        <v>1.2</v>
      </c>
      <c r="AE99" s="18">
        <v>1.3</v>
      </c>
      <c r="AF99" s="18">
        <v>32</v>
      </c>
      <c r="AG99" s="18">
        <v>3.2</v>
      </c>
      <c r="AH99" s="18">
        <v>29</v>
      </c>
      <c r="AI99" s="18">
        <v>40</v>
      </c>
      <c r="AJ99" s="18">
        <v>0</v>
      </c>
      <c r="AK99" s="18">
        <v>6.0000000000000123E-2</v>
      </c>
      <c r="AL99" s="18"/>
      <c r="AM99" s="18">
        <v>2.61571470588235</v>
      </c>
      <c r="AN99" s="18">
        <v>1.4741247058823499</v>
      </c>
      <c r="AO99" s="18">
        <v>2.2034829411764698</v>
      </c>
      <c r="AP99" s="18">
        <v>2.7503623529411798</v>
      </c>
      <c r="AQ99" s="18">
        <v>1.26704176470588</v>
      </c>
      <c r="AR99" s="18">
        <v>3.3481764705882302</v>
      </c>
      <c r="AS99" s="18">
        <v>6.5598747058823497</v>
      </c>
      <c r="AT99" s="18">
        <v>2.2369041176470601</v>
      </c>
      <c r="AU99" s="18">
        <v>4.4998358823529401</v>
      </c>
      <c r="AV99" s="18">
        <v>2.7665799999999998</v>
      </c>
      <c r="AW99" s="18">
        <v>4.1986529411764701</v>
      </c>
      <c r="AX99" s="18"/>
      <c r="AY99" s="18">
        <v>0.92</v>
      </c>
      <c r="AZ99" s="18">
        <v>1</v>
      </c>
      <c r="BA99" s="18">
        <v>0.98</v>
      </c>
      <c r="BB99" s="18">
        <v>0.93</v>
      </c>
      <c r="BC99" s="18">
        <v>0.99</v>
      </c>
      <c r="BD99" s="18">
        <v>0.99</v>
      </c>
      <c r="BE99" s="18">
        <v>1</v>
      </c>
      <c r="BF99" s="18">
        <v>0.99</v>
      </c>
      <c r="BG99" s="18">
        <v>1.02</v>
      </c>
      <c r="BH99" s="18">
        <v>1</v>
      </c>
      <c r="BI99" s="18">
        <v>0.96</v>
      </c>
      <c r="BJ99" s="19"/>
      <c r="BK99" s="18">
        <v>13.529411764705882</v>
      </c>
      <c r="BL99" s="18">
        <v>2.4705882352941178</v>
      </c>
      <c r="BM99" s="18">
        <v>1.7647058823529411</v>
      </c>
      <c r="BN99" s="18">
        <v>3.1764705882352939</v>
      </c>
      <c r="BO99" s="18"/>
      <c r="BP99" s="18">
        <v>105</v>
      </c>
      <c r="BQ99" s="18">
        <v>25.941176470588236</v>
      </c>
      <c r="BR99" s="18">
        <v>1.3476140374849059</v>
      </c>
      <c r="BS99" s="18">
        <v>1.3252039463057883</v>
      </c>
      <c r="BT99" s="19"/>
      <c r="BU99" s="18">
        <v>982.35294117647061</v>
      </c>
      <c r="BV99" s="18">
        <v>688.75966386554592</v>
      </c>
      <c r="BW99" s="18">
        <v>56.134627798319173</v>
      </c>
      <c r="BX99" s="18">
        <v>670</v>
      </c>
      <c r="BY99" s="18">
        <v>18.999999999999996</v>
      </c>
      <c r="BZ99" s="18">
        <v>25</v>
      </c>
      <c r="CA99" s="18">
        <v>113</v>
      </c>
      <c r="CB99" s="19"/>
      <c r="CC99" s="19">
        <v>0.37</v>
      </c>
      <c r="CD99" s="19">
        <v>2.8</v>
      </c>
      <c r="CE99" s="19">
        <v>8.5000000000000006E-2</v>
      </c>
      <c r="CF99" s="19">
        <v>0.85</v>
      </c>
      <c r="CG99" s="19">
        <v>4.93</v>
      </c>
      <c r="CH99" s="19">
        <v>1.02</v>
      </c>
      <c r="CI99" s="19">
        <v>1.105</v>
      </c>
      <c r="CJ99" s="19"/>
      <c r="CK99" s="19">
        <v>27.2</v>
      </c>
      <c r="CL99" s="19">
        <v>2.72</v>
      </c>
      <c r="CM99" s="19">
        <v>24.65</v>
      </c>
      <c r="CN99" s="19">
        <v>34</v>
      </c>
      <c r="CO99" s="19">
        <v>0</v>
      </c>
      <c r="CP99" s="19">
        <v>5.1000000000000101E-2</v>
      </c>
      <c r="CQ99" s="19">
        <v>98.336717142857196</v>
      </c>
      <c r="CR99" s="19">
        <v>85.848211909473179</v>
      </c>
      <c r="CS99" s="19">
        <v>2.0659007593608876</v>
      </c>
      <c r="CT99" s="19">
        <v>1.265509701315785</v>
      </c>
      <c r="CU99" s="19">
        <v>1.8538176906356636</v>
      </c>
      <c r="CV99" s="19">
        <v>3.1193273919514395</v>
      </c>
      <c r="CW99" s="19">
        <v>2.1958573179591321</v>
      </c>
      <c r="CX99" s="19">
        <v>1.0768553721547696</v>
      </c>
      <c r="CY99" s="19">
        <v>2.8456061352579698</v>
      </c>
      <c r="CZ99" s="19">
        <v>5.6315351385018175</v>
      </c>
      <c r="DA99" s="19">
        <v>1.901138765258086</v>
      </c>
      <c r="DB99" s="19">
        <v>3.9402892167380839</v>
      </c>
      <c r="DC99" s="19">
        <v>2.3750594610451041</v>
      </c>
      <c r="DD99" s="19">
        <v>6.3153486777831889</v>
      </c>
      <c r="DE99" s="19">
        <v>3.4602897353131321</v>
      </c>
      <c r="DF99" s="23">
        <v>0</v>
      </c>
      <c r="DG99" s="23">
        <v>0</v>
      </c>
      <c r="DH99" s="23">
        <v>0</v>
      </c>
      <c r="DI99" s="19">
        <v>0</v>
      </c>
      <c r="DJ99" s="19">
        <v>0</v>
      </c>
      <c r="DK99" s="19">
        <v>0</v>
      </c>
      <c r="DL99" s="19">
        <v>0</v>
      </c>
      <c r="DM99" s="19">
        <v>0</v>
      </c>
      <c r="DN99" s="19">
        <v>0</v>
      </c>
      <c r="DO99" s="19">
        <v>0</v>
      </c>
      <c r="DP99" s="19">
        <v>0</v>
      </c>
      <c r="DQ99" s="19">
        <v>0</v>
      </c>
      <c r="DR99" s="19">
        <v>0</v>
      </c>
      <c r="DS99" s="19">
        <v>0</v>
      </c>
      <c r="DT99" s="19">
        <v>0</v>
      </c>
      <c r="DU99" s="19">
        <v>0</v>
      </c>
      <c r="DV99" s="19">
        <v>0</v>
      </c>
      <c r="DW99" s="17" t="s">
        <v>371</v>
      </c>
      <c r="DX99" s="22" t="s">
        <v>218</v>
      </c>
      <c r="DY99" s="22" t="s">
        <v>218</v>
      </c>
      <c r="DZ99" s="22" t="s">
        <v>218</v>
      </c>
      <c r="EA99" s="22" t="s">
        <v>218</v>
      </c>
      <c r="EB99" s="22" t="s">
        <v>218</v>
      </c>
      <c r="EC99" s="22" t="s">
        <v>218</v>
      </c>
      <c r="ED99" s="22" t="s">
        <v>218</v>
      </c>
      <c r="EE99" s="22" t="s">
        <v>218</v>
      </c>
      <c r="EF99" s="22" t="s">
        <v>218</v>
      </c>
      <c r="EG99" s="22" t="s">
        <v>218</v>
      </c>
      <c r="EH99" s="22" t="s">
        <v>218</v>
      </c>
      <c r="EI99" s="22" t="s">
        <v>218</v>
      </c>
      <c r="EJ99" s="22" t="s">
        <v>218</v>
      </c>
      <c r="EK99" s="22" t="s">
        <v>218</v>
      </c>
      <c r="EL99" s="22" t="s">
        <v>218</v>
      </c>
      <c r="EM99" s="22" t="s">
        <v>218</v>
      </c>
      <c r="EN99" s="22" t="s">
        <v>218</v>
      </c>
      <c r="EO99" s="22" t="s">
        <v>218</v>
      </c>
      <c r="EP99" s="22" t="s">
        <v>218</v>
      </c>
      <c r="EQ99" s="22" t="s">
        <v>218</v>
      </c>
      <c r="ER99" s="22" t="s">
        <v>218</v>
      </c>
      <c r="ES99" s="22" t="s">
        <v>218</v>
      </c>
      <c r="ET99" s="22" t="s">
        <v>218</v>
      </c>
      <c r="EU99" s="22" t="s">
        <v>218</v>
      </c>
      <c r="EV99" s="22" t="s">
        <v>218</v>
      </c>
      <c r="EW99" s="22" t="s">
        <v>218</v>
      </c>
      <c r="EX99" s="22" t="s">
        <v>218</v>
      </c>
      <c r="EY99" s="22" t="s">
        <v>218</v>
      </c>
      <c r="EZ99" s="22" t="s">
        <v>218</v>
      </c>
      <c r="FA99" s="22" t="s">
        <v>218</v>
      </c>
      <c r="FB99" s="22" t="s">
        <v>218</v>
      </c>
      <c r="FC99" s="22" t="s">
        <v>218</v>
      </c>
      <c r="FD99" s="22" t="s">
        <v>218</v>
      </c>
      <c r="FE99" s="22" t="s">
        <v>218</v>
      </c>
      <c r="FF99" s="22" t="s">
        <v>218</v>
      </c>
      <c r="FG99" s="22" t="s">
        <v>218</v>
      </c>
      <c r="FH99" s="22" t="s">
        <v>218</v>
      </c>
      <c r="FI99" s="22" t="s">
        <v>218</v>
      </c>
      <c r="FJ99" s="22" t="s">
        <v>218</v>
      </c>
      <c r="FK99" s="22" t="s">
        <v>218</v>
      </c>
      <c r="FL99" s="22" t="s">
        <v>218</v>
      </c>
      <c r="FM99" s="22" t="s">
        <v>218</v>
      </c>
      <c r="FN99" s="22" t="s">
        <v>218</v>
      </c>
      <c r="FO99" s="22" t="s">
        <v>218</v>
      </c>
      <c r="FP99" s="22" t="s">
        <v>218</v>
      </c>
      <c r="FQ99" s="22" t="s">
        <v>218</v>
      </c>
      <c r="FR99" s="22" t="s">
        <v>218</v>
      </c>
      <c r="FS99" s="22" t="s">
        <v>218</v>
      </c>
      <c r="FT99" s="22" t="s">
        <v>218</v>
      </c>
      <c r="FU99" s="22" t="s">
        <v>218</v>
      </c>
      <c r="FV99" s="22" t="s">
        <v>218</v>
      </c>
      <c r="FW99" s="22" t="s">
        <v>218</v>
      </c>
      <c r="FX99" s="22" t="s">
        <v>218</v>
      </c>
      <c r="FY99" s="22" t="s">
        <v>218</v>
      </c>
      <c r="FZ99" s="22" t="s">
        <v>218</v>
      </c>
      <c r="GA99" s="22" t="s">
        <v>218</v>
      </c>
      <c r="GB99" s="22" t="s">
        <v>218</v>
      </c>
      <c r="GC99" s="22" t="s">
        <v>218</v>
      </c>
      <c r="GD99" s="22" t="s">
        <v>218</v>
      </c>
      <c r="GE99" s="22" t="s">
        <v>218</v>
      </c>
      <c r="GF99" s="22" t="s">
        <v>218</v>
      </c>
      <c r="GG99" s="22" t="s">
        <v>218</v>
      </c>
      <c r="GH99" s="22" t="s">
        <v>218</v>
      </c>
      <c r="GI99" s="22" t="s">
        <v>218</v>
      </c>
      <c r="GJ99" s="22" t="s">
        <v>218</v>
      </c>
      <c r="GK99" s="22" t="s">
        <v>218</v>
      </c>
      <c r="GL99" s="22" t="s">
        <v>218</v>
      </c>
      <c r="GM99" s="22" t="s">
        <v>218</v>
      </c>
      <c r="GN99" s="22" t="s">
        <v>218</v>
      </c>
      <c r="GO99" s="22" t="s">
        <v>218</v>
      </c>
      <c r="GP99" s="22" t="s">
        <v>218</v>
      </c>
      <c r="GQ99" s="22" t="s">
        <v>218</v>
      </c>
      <c r="GR99" s="22" t="s">
        <v>218</v>
      </c>
      <c r="GS99" s="22" t="s">
        <v>218</v>
      </c>
      <c r="GT99" s="22" t="s">
        <v>218</v>
      </c>
      <c r="GU99" s="22" t="s">
        <v>218</v>
      </c>
      <c r="GV99" s="22" t="s">
        <v>218</v>
      </c>
      <c r="GW99" s="22" t="s">
        <v>218</v>
      </c>
      <c r="GX99" s="22" t="s">
        <v>218</v>
      </c>
      <c r="GY99" s="22" t="s">
        <v>218</v>
      </c>
      <c r="GZ99" s="22" t="s">
        <v>218</v>
      </c>
      <c r="HA99" s="22" t="s">
        <v>218</v>
      </c>
      <c r="HB99" s="22" t="s">
        <v>218</v>
      </c>
      <c r="HC99" s="22" t="s">
        <v>218</v>
      </c>
      <c r="HD99" s="22" t="s">
        <v>218</v>
      </c>
      <c r="HE99" s="22" t="s">
        <v>218</v>
      </c>
      <c r="HF99" s="22" t="s">
        <v>218</v>
      </c>
      <c r="HG99" s="22" t="s">
        <v>218</v>
      </c>
      <c r="HH99" s="22" t="s">
        <v>218</v>
      </c>
      <c r="HI99" s="22" t="s">
        <v>218</v>
      </c>
      <c r="HJ99" s="22" t="s">
        <v>218</v>
      </c>
      <c r="HK99" s="22" t="s">
        <v>218</v>
      </c>
      <c r="HL99" s="22" t="s">
        <v>218</v>
      </c>
      <c r="HM99" s="622">
        <f>'background data'!$G$10</f>
        <v>0.47300000000000003</v>
      </c>
      <c r="HN99" s="622">
        <f>'background data'!$H$10</f>
        <v>0.13</v>
      </c>
      <c r="HO99" s="622">
        <f>'background data'!$J$10</f>
        <v>0.39100000000000001</v>
      </c>
      <c r="HP99" s="622">
        <f>'background data'!$L$10</f>
        <v>5.5E-2</v>
      </c>
      <c r="HQ99" s="622">
        <f>'background data'!$M$10</f>
        <v>3.97</v>
      </c>
      <c r="HR99" s="622">
        <f>'background data'!$N$10</f>
        <v>4.5999999999999999E-3</v>
      </c>
      <c r="HS99" s="622">
        <f>'background data'!$O$10</f>
        <v>2.73</v>
      </c>
      <c r="HT99" s="145" t="s">
        <v>1797</v>
      </c>
      <c r="HU99" s="145" t="s">
        <v>1809</v>
      </c>
      <c r="HV99" s="22" t="s">
        <v>1396</v>
      </c>
      <c r="HW99" s="22" t="s">
        <v>385</v>
      </c>
      <c r="HX99" s="22" t="s">
        <v>373</v>
      </c>
      <c r="HY99" s="22" t="s">
        <v>374</v>
      </c>
      <c r="HZ99" s="19"/>
      <c r="IA99" s="19"/>
      <c r="IB99" s="622">
        <f>'background data'!$G$10</f>
        <v>0.47300000000000003</v>
      </c>
      <c r="IC99" s="622">
        <f>'background data'!$H$10</f>
        <v>0.13</v>
      </c>
      <c r="ID99" s="622">
        <f>'background data'!$J$10</f>
        <v>0.39100000000000001</v>
      </c>
      <c r="IE99" s="622">
        <f>'background data'!$L$10</f>
        <v>5.5E-2</v>
      </c>
      <c r="IF99" s="622">
        <f>'background data'!$M$10</f>
        <v>3.97</v>
      </c>
      <c r="IG99" s="622">
        <f>'background data'!$N$10</f>
        <v>4.5999999999999999E-3</v>
      </c>
      <c r="IH99" s="622">
        <f>'background data'!$O$10</f>
        <v>2.73</v>
      </c>
      <c r="II99" s="145" t="s">
        <v>1797</v>
      </c>
      <c r="IJ99" s="145" t="s">
        <v>1396</v>
      </c>
      <c r="IK99" s="145"/>
      <c r="IL99" s="145"/>
      <c r="IM99" s="145"/>
      <c r="IN99" s="145"/>
      <c r="IO99" s="145"/>
      <c r="IP99" s="145"/>
      <c r="IQ99" s="145"/>
      <c r="IR99" s="145"/>
      <c r="IS99" s="145"/>
      <c r="IT99" s="145"/>
      <c r="IU99" s="145"/>
      <c r="IV99" s="145"/>
      <c r="IW99" s="145"/>
      <c r="IX99" s="145"/>
      <c r="IY99" s="145"/>
      <c r="IZ99" s="145"/>
      <c r="JA99" s="145"/>
      <c r="JB99" s="145"/>
      <c r="JC99" s="145"/>
      <c r="JD99" s="145"/>
      <c r="JE99" s="145"/>
      <c r="JF99" s="145"/>
      <c r="JG99" s="145"/>
      <c r="JH99" s="145"/>
      <c r="JI99" s="145"/>
      <c r="JJ99" s="145"/>
      <c r="JK99" s="145"/>
      <c r="JL99" s="145"/>
      <c r="JM99" s="145"/>
      <c r="JN99" s="145"/>
      <c r="JO99" s="145"/>
      <c r="JP99" s="145"/>
      <c r="JQ99" s="145"/>
      <c r="JR99" s="145"/>
      <c r="JS99" s="145"/>
      <c r="JT99" s="145"/>
      <c r="JU99" s="145"/>
      <c r="JV99" s="145"/>
      <c r="JW99" s="145"/>
      <c r="JX99" s="145"/>
      <c r="JY99" s="145"/>
      <c r="JZ99" s="145"/>
      <c r="KA99" s="145"/>
      <c r="KB99" s="145"/>
      <c r="KC99" s="145"/>
      <c r="KD99" s="145"/>
      <c r="KE99" s="145"/>
      <c r="KF99" s="145"/>
      <c r="KG99" s="145"/>
      <c r="KH99" s="145"/>
      <c r="KI99" s="145"/>
      <c r="KJ99" s="145"/>
      <c r="KK99" s="145"/>
      <c r="KL99" s="145"/>
      <c r="KM99" s="145"/>
      <c r="KN99" s="145"/>
      <c r="KO99" s="145"/>
      <c r="KP99" s="145"/>
      <c r="KQ99" s="145"/>
      <c r="KR99" s="145"/>
      <c r="KS99" s="145"/>
      <c r="KT99" s="145"/>
      <c r="KU99" s="145"/>
      <c r="KV99" s="145"/>
      <c r="KW99" s="145"/>
      <c r="KX99" s="145"/>
      <c r="KY99" s="145"/>
      <c r="KZ99" s="145"/>
      <c r="LA99" s="145"/>
      <c r="LB99" s="145"/>
      <c r="LC99" s="145"/>
      <c r="LD99" s="145"/>
      <c r="LE99" s="145"/>
      <c r="LF99" s="145"/>
      <c r="LG99" s="145"/>
      <c r="LH99" s="145"/>
      <c r="LI99" s="145"/>
      <c r="LJ99" s="145"/>
      <c r="LK99" s="145"/>
      <c r="LL99" s="145"/>
      <c r="LM99" s="145"/>
      <c r="LN99" s="145"/>
      <c r="LO99" s="145"/>
      <c r="LP99" s="145"/>
      <c r="LQ99" s="145"/>
      <c r="LR99" s="145"/>
      <c r="LS99" s="145"/>
      <c r="LT99" s="145"/>
      <c r="LU99" s="145"/>
      <c r="LV99" s="145"/>
      <c r="LW99" s="145"/>
      <c r="LX99" s="145"/>
      <c r="LY99" s="145"/>
      <c r="LZ99" s="145"/>
      <c r="MA99" s="145"/>
      <c r="MB99" s="145"/>
      <c r="MC99" s="145"/>
      <c r="MD99" s="145"/>
      <c r="ME99" s="145"/>
      <c r="MF99" s="145"/>
      <c r="MG99" s="145"/>
      <c r="MH99" s="145"/>
      <c r="MI99" s="145"/>
      <c r="MJ99" s="145"/>
      <c r="MK99" s="145"/>
      <c r="ML99" s="145"/>
      <c r="MM99" s="145"/>
      <c r="MN99" s="145"/>
      <c r="MO99" s="145"/>
      <c r="MP99" s="145"/>
      <c r="MQ99" s="145"/>
      <c r="MR99" s="145"/>
      <c r="MS99" s="145"/>
      <c r="MT99" s="145"/>
      <c r="MU99" s="145"/>
      <c r="MV99" s="145"/>
      <c r="MW99" s="145"/>
      <c r="MX99" s="145"/>
      <c r="MY99" s="145"/>
      <c r="MZ99" s="145"/>
      <c r="NA99" s="145"/>
      <c r="NB99" s="145"/>
      <c r="NC99" s="145"/>
      <c r="ND99" s="145"/>
      <c r="NE99" s="145"/>
      <c r="NF99" s="145"/>
      <c r="NG99" s="145"/>
      <c r="NH99" s="145"/>
      <c r="NI99" s="145"/>
      <c r="NJ99" s="145"/>
      <c r="NK99" s="145"/>
      <c r="NL99" s="145"/>
      <c r="NM99" s="145"/>
      <c r="NN99" s="145"/>
      <c r="NO99" s="145"/>
      <c r="NP99" s="145"/>
      <c r="NQ99" s="145"/>
      <c r="NR99" s="145"/>
      <c r="NS99" s="145"/>
    </row>
    <row r="100" spans="1:383" s="16" customFormat="1" ht="15" customHeight="1" x14ac:dyDescent="0.2">
      <c r="A100" s="15">
        <v>51100</v>
      </c>
      <c r="B100" s="25">
        <v>511</v>
      </c>
      <c r="C100" s="26">
        <v>0</v>
      </c>
      <c r="D100" s="20" t="s">
        <v>387</v>
      </c>
      <c r="E100" s="14">
        <v>42304</v>
      </c>
      <c r="F100" s="18">
        <v>1.1504822106078201</v>
      </c>
      <c r="G100" s="18">
        <v>1.1335380074211501</v>
      </c>
      <c r="H100" s="21">
        <v>91.6</v>
      </c>
      <c r="I100" s="21">
        <v>86.399959600000003</v>
      </c>
      <c r="J100" s="21">
        <v>93</v>
      </c>
      <c r="K100" s="18">
        <v>1</v>
      </c>
      <c r="L100" s="18">
        <v>85</v>
      </c>
      <c r="M100" s="18">
        <v>8.5999999999999694</v>
      </c>
      <c r="N100" s="18">
        <v>2.1</v>
      </c>
      <c r="O100" s="18">
        <v>1.5</v>
      </c>
      <c r="P100" s="18">
        <v>2.7</v>
      </c>
      <c r="Q100" s="19"/>
      <c r="R100" s="18">
        <v>82.398667774086405</v>
      </c>
      <c r="S100" s="18">
        <v>50</v>
      </c>
      <c r="T100" s="18">
        <v>54</v>
      </c>
      <c r="U100" s="18">
        <v>56</v>
      </c>
      <c r="V100" s="18">
        <v>57</v>
      </c>
      <c r="W100" s="18">
        <v>58</v>
      </c>
      <c r="X100" s="18"/>
      <c r="Y100" s="18">
        <v>0.42352941176470588</v>
      </c>
      <c r="Z100" s="18">
        <v>3.0588235294117645</v>
      </c>
      <c r="AA100" s="18">
        <v>0.1</v>
      </c>
      <c r="AB100" s="18">
        <v>1</v>
      </c>
      <c r="AC100" s="18">
        <v>5.8</v>
      </c>
      <c r="AD100" s="18">
        <v>1.2</v>
      </c>
      <c r="AE100" s="18">
        <v>1.3</v>
      </c>
      <c r="AF100" s="18">
        <v>32</v>
      </c>
      <c r="AG100" s="18">
        <v>3.2</v>
      </c>
      <c r="AH100" s="18">
        <v>29</v>
      </c>
      <c r="AI100" s="18">
        <v>40</v>
      </c>
      <c r="AJ100" s="18">
        <v>0</v>
      </c>
      <c r="AK100" s="18">
        <v>6.0000000000000123E-2</v>
      </c>
      <c r="AL100" s="18"/>
      <c r="AM100" s="18">
        <v>3.1365888235294102</v>
      </c>
      <c r="AN100" s="18">
        <v>1.5889988235294099</v>
      </c>
      <c r="AO100" s="18">
        <v>2.3928017647058799</v>
      </c>
      <c r="AP100" s="18">
        <v>3.0064494117647098</v>
      </c>
      <c r="AQ100" s="18">
        <v>1.4019770588235301</v>
      </c>
      <c r="AR100" s="18">
        <v>3.3427858823529402</v>
      </c>
      <c r="AS100" s="18">
        <v>6.7397088235294103</v>
      </c>
      <c r="AT100" s="18">
        <v>2.3054464705882398</v>
      </c>
      <c r="AU100" s="18">
        <v>4.3413935294117598</v>
      </c>
      <c r="AV100" s="18">
        <v>2.74396</v>
      </c>
      <c r="AW100" s="18">
        <v>4.3438917647058801</v>
      </c>
      <c r="AX100" s="18"/>
      <c r="AY100" s="18">
        <v>0.92</v>
      </c>
      <c r="AZ100" s="18">
        <v>1</v>
      </c>
      <c r="BA100" s="18">
        <v>0.98</v>
      </c>
      <c r="BB100" s="18">
        <v>0.93</v>
      </c>
      <c r="BC100" s="18">
        <v>0.99</v>
      </c>
      <c r="BD100" s="18">
        <v>0.99</v>
      </c>
      <c r="BE100" s="18">
        <v>1</v>
      </c>
      <c r="BF100" s="18">
        <v>0.99</v>
      </c>
      <c r="BG100" s="18">
        <v>1.02</v>
      </c>
      <c r="BH100" s="18">
        <v>1</v>
      </c>
      <c r="BI100" s="18">
        <v>0.96</v>
      </c>
      <c r="BJ100" s="19"/>
      <c r="BK100" s="18">
        <v>10.117647058823493</v>
      </c>
      <c r="BL100" s="18">
        <v>2.4705882352941178</v>
      </c>
      <c r="BM100" s="18">
        <v>1.7647058823529411</v>
      </c>
      <c r="BN100" s="18">
        <v>3.1764705882352939</v>
      </c>
      <c r="BO100" s="18"/>
      <c r="BP100" s="18">
        <v>105</v>
      </c>
      <c r="BQ100" s="18">
        <v>25.941176470588236</v>
      </c>
      <c r="BR100" s="18">
        <v>1.3535084830680237</v>
      </c>
      <c r="BS100" s="18">
        <v>1.3335741263778236</v>
      </c>
      <c r="BT100" s="19"/>
      <c r="BU100" s="18">
        <v>982.35294117647061</v>
      </c>
      <c r="BV100" s="18">
        <v>710.8252100840341</v>
      </c>
      <c r="BW100" s="18">
        <v>72.975356873949778</v>
      </c>
      <c r="BX100" s="18">
        <v>670</v>
      </c>
      <c r="BY100" s="18">
        <v>18.999999999999996</v>
      </c>
      <c r="BZ100" s="18">
        <v>25</v>
      </c>
      <c r="CA100" s="18">
        <v>113</v>
      </c>
      <c r="CB100" s="19"/>
      <c r="CC100" s="19">
        <v>0.36</v>
      </c>
      <c r="CD100" s="19">
        <v>2.5999999999999996</v>
      </c>
      <c r="CE100" s="19">
        <v>8.5000000000000006E-2</v>
      </c>
      <c r="CF100" s="19">
        <v>0.85</v>
      </c>
      <c r="CG100" s="19">
        <v>4.93</v>
      </c>
      <c r="CH100" s="19">
        <v>1.02</v>
      </c>
      <c r="CI100" s="19">
        <v>1.105</v>
      </c>
      <c r="CJ100" s="19"/>
      <c r="CK100" s="19">
        <v>27.2</v>
      </c>
      <c r="CL100" s="19">
        <v>2.72</v>
      </c>
      <c r="CM100" s="19">
        <v>24.65</v>
      </c>
      <c r="CN100" s="19">
        <v>34</v>
      </c>
      <c r="CO100" s="19">
        <v>0</v>
      </c>
      <c r="CP100" s="19">
        <v>5.1000000000000101E-2</v>
      </c>
      <c r="CQ100" s="19">
        <v>70.862854285714306</v>
      </c>
      <c r="CR100" s="19">
        <v>61.594046072451839</v>
      </c>
      <c r="CS100" s="19">
        <v>1.7773958078626293</v>
      </c>
      <c r="CT100" s="19">
        <v>0.97872866745542197</v>
      </c>
      <c r="CU100" s="19">
        <v>1.4443469529478747</v>
      </c>
      <c r="CV100" s="19">
        <v>2.4230756204032882</v>
      </c>
      <c r="CW100" s="19">
        <v>1.7221682673193979</v>
      </c>
      <c r="CX100" s="19">
        <v>0.85489905158159918</v>
      </c>
      <c r="CY100" s="19">
        <v>2.038367505715077</v>
      </c>
      <c r="CZ100" s="19">
        <v>4.1512593579138013</v>
      </c>
      <c r="DA100" s="19">
        <v>1.4058175836571309</v>
      </c>
      <c r="DB100" s="19">
        <v>2.7275207293061645</v>
      </c>
      <c r="DC100" s="19">
        <v>1.690115986609644</v>
      </c>
      <c r="DD100" s="19">
        <v>4.4176367159158083</v>
      </c>
      <c r="DE100" s="19">
        <v>2.5685555470947614</v>
      </c>
      <c r="DF100" s="23">
        <v>0</v>
      </c>
      <c r="DG100" s="23">
        <v>0</v>
      </c>
      <c r="DH100" s="23">
        <v>0</v>
      </c>
      <c r="DI100" s="19">
        <v>0</v>
      </c>
      <c r="DJ100" s="19">
        <v>0</v>
      </c>
      <c r="DK100" s="19">
        <v>0</v>
      </c>
      <c r="DL100" s="19">
        <v>0</v>
      </c>
      <c r="DM100" s="19">
        <v>0</v>
      </c>
      <c r="DN100" s="19">
        <v>0</v>
      </c>
      <c r="DO100" s="19">
        <v>0</v>
      </c>
      <c r="DP100" s="19">
        <v>0</v>
      </c>
      <c r="DQ100" s="19">
        <v>0</v>
      </c>
      <c r="DR100" s="19">
        <v>0</v>
      </c>
      <c r="DS100" s="19">
        <v>0</v>
      </c>
      <c r="DT100" s="19">
        <v>0</v>
      </c>
      <c r="DU100" s="19">
        <v>0</v>
      </c>
      <c r="DV100" s="19">
        <v>0</v>
      </c>
      <c r="DW100" s="17" t="s">
        <v>371</v>
      </c>
      <c r="DX100" s="22" t="s">
        <v>218</v>
      </c>
      <c r="DY100" s="22">
        <v>32</v>
      </c>
      <c r="DZ100" s="22">
        <v>16</v>
      </c>
      <c r="EA100" s="22">
        <v>16</v>
      </c>
      <c r="EB100" s="22" t="s">
        <v>218</v>
      </c>
      <c r="EC100" s="22">
        <v>16</v>
      </c>
      <c r="ED100" s="22">
        <v>16</v>
      </c>
      <c r="EE100" s="22" t="s">
        <v>218</v>
      </c>
      <c r="EF100" s="22">
        <v>16</v>
      </c>
      <c r="EG100" s="22">
        <v>16</v>
      </c>
      <c r="EH100" s="22" t="s">
        <v>218</v>
      </c>
      <c r="EI100" s="22" t="s">
        <v>218</v>
      </c>
      <c r="EJ100" s="22" t="s">
        <v>218</v>
      </c>
      <c r="EK100" s="22" t="s">
        <v>218</v>
      </c>
      <c r="EL100" s="22" t="s">
        <v>218</v>
      </c>
      <c r="EM100" s="22" t="s">
        <v>218</v>
      </c>
      <c r="EN100" s="22" t="s">
        <v>218</v>
      </c>
      <c r="EO100" s="22" t="s">
        <v>218</v>
      </c>
      <c r="EP100" s="22" t="s">
        <v>218</v>
      </c>
      <c r="EQ100" s="22" t="s">
        <v>218</v>
      </c>
      <c r="ER100" s="22" t="s">
        <v>218</v>
      </c>
      <c r="ES100" s="22">
        <v>16</v>
      </c>
      <c r="ET100" s="22">
        <v>32</v>
      </c>
      <c r="EU100" s="22" t="s">
        <v>218</v>
      </c>
      <c r="EV100" s="22" t="s">
        <v>218</v>
      </c>
      <c r="EW100" s="22" t="s">
        <v>218</v>
      </c>
      <c r="EX100" s="22" t="s">
        <v>218</v>
      </c>
      <c r="EY100" s="22" t="s">
        <v>218</v>
      </c>
      <c r="EZ100" s="22" t="s">
        <v>218</v>
      </c>
      <c r="FA100" s="22" t="s">
        <v>218</v>
      </c>
      <c r="FB100" s="22" t="s">
        <v>218</v>
      </c>
      <c r="FC100" s="22" t="s">
        <v>218</v>
      </c>
      <c r="FD100" s="22" t="s">
        <v>218</v>
      </c>
      <c r="FE100" s="22" t="s">
        <v>218</v>
      </c>
      <c r="FF100" s="22" t="s">
        <v>218</v>
      </c>
      <c r="FG100" s="22">
        <v>0.6</v>
      </c>
      <c r="FH100" s="22">
        <v>0.3</v>
      </c>
      <c r="FI100" s="22">
        <v>0.1</v>
      </c>
      <c r="FJ100" s="22" t="s">
        <v>218</v>
      </c>
      <c r="FK100" s="22">
        <v>0.9</v>
      </c>
      <c r="FL100" s="22">
        <v>1.1000000000000001</v>
      </c>
      <c r="FM100" s="22" t="s">
        <v>218</v>
      </c>
      <c r="FN100" s="22">
        <v>1.9</v>
      </c>
      <c r="FO100" s="22">
        <v>1.6</v>
      </c>
      <c r="FP100" s="22" t="s">
        <v>218</v>
      </c>
      <c r="FQ100" s="22" t="s">
        <v>218</v>
      </c>
      <c r="FR100" s="22" t="s">
        <v>218</v>
      </c>
      <c r="FS100" s="22" t="s">
        <v>218</v>
      </c>
      <c r="FT100" s="22" t="s">
        <v>218</v>
      </c>
      <c r="FU100" s="22" t="s">
        <v>218</v>
      </c>
      <c r="FV100" s="22" t="s">
        <v>218</v>
      </c>
      <c r="FW100" s="22" t="s">
        <v>218</v>
      </c>
      <c r="FX100" s="22" t="s">
        <v>218</v>
      </c>
      <c r="FY100" s="22" t="s">
        <v>218</v>
      </c>
      <c r="FZ100" s="22" t="s">
        <v>218</v>
      </c>
      <c r="GA100" s="22">
        <v>0.1</v>
      </c>
      <c r="GB100" s="22">
        <v>0.3</v>
      </c>
      <c r="GC100" s="22" t="s">
        <v>218</v>
      </c>
      <c r="GD100" s="22" t="s">
        <v>218</v>
      </c>
      <c r="GE100" s="22" t="s">
        <v>218</v>
      </c>
      <c r="GF100" s="22" t="s">
        <v>218</v>
      </c>
      <c r="GG100" s="22" t="s">
        <v>218</v>
      </c>
      <c r="GH100" s="22" t="s">
        <v>218</v>
      </c>
      <c r="GI100" s="22" t="s">
        <v>218</v>
      </c>
      <c r="GJ100" s="22" t="s">
        <v>218</v>
      </c>
      <c r="GK100" s="22" t="s">
        <v>218</v>
      </c>
      <c r="GL100" s="22" t="s">
        <v>218</v>
      </c>
      <c r="GM100" s="22" t="s">
        <v>218</v>
      </c>
      <c r="GN100" s="22" t="s">
        <v>218</v>
      </c>
      <c r="GO100" s="22">
        <v>2015</v>
      </c>
      <c r="GP100" s="22">
        <v>2015</v>
      </c>
      <c r="GQ100" s="22">
        <v>2015</v>
      </c>
      <c r="GR100" s="22" t="s">
        <v>218</v>
      </c>
      <c r="GS100" s="22">
        <v>2015</v>
      </c>
      <c r="GT100" s="22">
        <v>2015</v>
      </c>
      <c r="GU100" s="22" t="s">
        <v>218</v>
      </c>
      <c r="GV100" s="22">
        <v>2015</v>
      </c>
      <c r="GW100" s="22">
        <v>2015</v>
      </c>
      <c r="GX100" s="22" t="s">
        <v>218</v>
      </c>
      <c r="GY100" s="22" t="s">
        <v>218</v>
      </c>
      <c r="GZ100" s="22" t="s">
        <v>218</v>
      </c>
      <c r="HA100" s="22" t="s">
        <v>218</v>
      </c>
      <c r="HB100" s="22" t="s">
        <v>218</v>
      </c>
      <c r="HC100" s="22" t="s">
        <v>218</v>
      </c>
      <c r="HD100" s="22" t="s">
        <v>218</v>
      </c>
      <c r="HE100" s="22" t="s">
        <v>218</v>
      </c>
      <c r="HF100" s="22" t="s">
        <v>218</v>
      </c>
      <c r="HG100" s="22" t="s">
        <v>218</v>
      </c>
      <c r="HH100" s="22" t="s">
        <v>218</v>
      </c>
      <c r="HI100" s="22">
        <v>2015</v>
      </c>
      <c r="HJ100" s="22">
        <v>2015</v>
      </c>
      <c r="HK100" s="22" t="s">
        <v>218</v>
      </c>
      <c r="HL100" s="22" t="s">
        <v>218</v>
      </c>
      <c r="HM100" s="622">
        <f>'background data'!$G$10</f>
        <v>0.47300000000000003</v>
      </c>
      <c r="HN100" s="622">
        <f>'background data'!$H$10</f>
        <v>0.13</v>
      </c>
      <c r="HO100" s="622">
        <f>'background data'!$J$10</f>
        <v>0.39100000000000001</v>
      </c>
      <c r="HP100" s="622">
        <f>'background data'!$L$10</f>
        <v>5.5E-2</v>
      </c>
      <c r="HQ100" s="622">
        <f>'background data'!$M$10</f>
        <v>3.97</v>
      </c>
      <c r="HR100" s="622">
        <f>'background data'!$N$10</f>
        <v>4.5999999999999999E-3</v>
      </c>
      <c r="HS100" s="622">
        <f>'background data'!$O$10</f>
        <v>2.73</v>
      </c>
      <c r="HT100" s="145" t="s">
        <v>1797</v>
      </c>
      <c r="HU100" s="145" t="s">
        <v>1809</v>
      </c>
      <c r="HV100" s="22" t="s">
        <v>1396</v>
      </c>
      <c r="HW100" s="22" t="s">
        <v>376</v>
      </c>
      <c r="HX100" s="22" t="s">
        <v>373</v>
      </c>
      <c r="HY100" s="22" t="s">
        <v>374</v>
      </c>
      <c r="HZ100" s="19"/>
      <c r="IA100" s="19"/>
      <c r="IB100" s="622">
        <f>'background data'!$G$10</f>
        <v>0.47300000000000003</v>
      </c>
      <c r="IC100" s="622">
        <f>'background data'!$H$10</f>
        <v>0.13</v>
      </c>
      <c r="ID100" s="622">
        <f>'background data'!$J$10</f>
        <v>0.39100000000000001</v>
      </c>
      <c r="IE100" s="622">
        <f>'background data'!$L$10</f>
        <v>5.5E-2</v>
      </c>
      <c r="IF100" s="622">
        <f>'background data'!$M$10</f>
        <v>3.97</v>
      </c>
      <c r="IG100" s="622">
        <f>'background data'!$N$10</f>
        <v>4.5999999999999999E-3</v>
      </c>
      <c r="IH100" s="622">
        <f>'background data'!$O$10</f>
        <v>2.73</v>
      </c>
      <c r="II100" s="145" t="s">
        <v>1797</v>
      </c>
      <c r="IJ100" s="145" t="s">
        <v>1396</v>
      </c>
      <c r="IK100" s="145"/>
      <c r="IL100" s="145"/>
      <c r="IM100" s="145"/>
      <c r="IN100" s="145"/>
      <c r="IO100" s="145"/>
      <c r="IP100" s="145"/>
      <c r="IQ100" s="145"/>
      <c r="IR100" s="145"/>
      <c r="IS100" s="145"/>
      <c r="IT100" s="145"/>
      <c r="IU100" s="145"/>
      <c r="IV100" s="145"/>
      <c r="IW100" s="145"/>
      <c r="IX100" s="145"/>
      <c r="IY100" s="145"/>
      <c r="IZ100" s="145"/>
      <c r="JA100" s="145"/>
      <c r="JB100" s="145"/>
      <c r="JC100" s="145"/>
      <c r="JD100" s="145"/>
      <c r="JE100" s="145"/>
      <c r="JF100" s="145"/>
      <c r="JG100" s="145"/>
      <c r="JH100" s="145"/>
      <c r="JI100" s="145"/>
      <c r="JJ100" s="145"/>
      <c r="JK100" s="145"/>
      <c r="JL100" s="145"/>
      <c r="JM100" s="145"/>
      <c r="JN100" s="145"/>
      <c r="JO100" s="145"/>
      <c r="JP100" s="145"/>
      <c r="JQ100" s="145"/>
      <c r="JR100" s="145"/>
      <c r="JS100" s="145"/>
      <c r="JT100" s="145"/>
      <c r="JU100" s="145"/>
      <c r="JV100" s="145"/>
      <c r="JW100" s="145"/>
      <c r="JX100" s="145"/>
      <c r="JY100" s="145"/>
      <c r="JZ100" s="145"/>
      <c r="KA100" s="145"/>
      <c r="KB100" s="145"/>
      <c r="KC100" s="145"/>
      <c r="KD100" s="145"/>
      <c r="KE100" s="145"/>
      <c r="KF100" s="145"/>
      <c r="KG100" s="145"/>
      <c r="KH100" s="145"/>
      <c r="KI100" s="145"/>
      <c r="KJ100" s="145"/>
      <c r="KK100" s="145"/>
      <c r="KL100" s="145"/>
      <c r="KM100" s="145"/>
      <c r="KN100" s="145"/>
      <c r="KO100" s="145"/>
      <c r="KP100" s="145"/>
      <c r="KQ100" s="145"/>
      <c r="KR100" s="145"/>
      <c r="KS100" s="145"/>
      <c r="KT100" s="145"/>
      <c r="KU100" s="145"/>
      <c r="KV100" s="145"/>
      <c r="KW100" s="145"/>
      <c r="KX100" s="145"/>
      <c r="KY100" s="145"/>
      <c r="KZ100" s="145"/>
      <c r="LA100" s="145"/>
      <c r="LB100" s="145"/>
      <c r="LC100" s="145"/>
      <c r="LD100" s="145"/>
      <c r="LE100" s="145"/>
      <c r="LF100" s="145"/>
      <c r="LG100" s="145"/>
      <c r="LH100" s="145"/>
      <c r="LI100" s="145"/>
      <c r="LJ100" s="145"/>
      <c r="LK100" s="145"/>
      <c r="LL100" s="145"/>
      <c r="LM100" s="145"/>
      <c r="LN100" s="145"/>
      <c r="LO100" s="145"/>
      <c r="LP100" s="145"/>
      <c r="LQ100" s="145"/>
      <c r="LR100" s="145"/>
      <c r="LS100" s="145"/>
      <c r="LT100" s="145"/>
      <c r="LU100" s="145"/>
      <c r="LV100" s="145"/>
      <c r="LW100" s="145"/>
      <c r="LX100" s="145"/>
      <c r="LY100" s="145"/>
      <c r="LZ100" s="145"/>
      <c r="MA100" s="145"/>
      <c r="MB100" s="145"/>
      <c r="MC100" s="145"/>
      <c r="MD100" s="145"/>
      <c r="ME100" s="145"/>
      <c r="MF100" s="145"/>
      <c r="MG100" s="145"/>
      <c r="MH100" s="145"/>
      <c r="MI100" s="145"/>
      <c r="MJ100" s="145"/>
      <c r="MK100" s="145"/>
      <c r="ML100" s="145"/>
      <c r="MM100" s="145"/>
      <c r="MN100" s="145"/>
      <c r="MO100" s="145"/>
      <c r="MP100" s="145"/>
      <c r="MQ100" s="145"/>
      <c r="MR100" s="145"/>
      <c r="MS100" s="145"/>
      <c r="MT100" s="145"/>
      <c r="MU100" s="145"/>
      <c r="MV100" s="145"/>
      <c r="MW100" s="145"/>
      <c r="MX100" s="145"/>
      <c r="MY100" s="145"/>
      <c r="MZ100" s="145"/>
      <c r="NA100" s="145"/>
      <c r="NB100" s="145"/>
      <c r="NC100" s="145"/>
      <c r="ND100" s="145"/>
      <c r="NE100" s="145"/>
      <c r="NF100" s="145"/>
      <c r="NG100" s="145"/>
      <c r="NH100" s="145"/>
      <c r="NI100" s="145"/>
      <c r="NJ100" s="145"/>
      <c r="NK100" s="145"/>
      <c r="NL100" s="145"/>
      <c r="NM100" s="145"/>
      <c r="NN100" s="145"/>
      <c r="NO100" s="145"/>
      <c r="NP100" s="145"/>
      <c r="NQ100" s="145"/>
      <c r="NR100" s="145"/>
      <c r="NS100" s="145"/>
    </row>
    <row r="101" spans="1:383" s="16" customFormat="1" ht="15" customHeight="1" x14ac:dyDescent="0.2">
      <c r="A101" s="15">
        <v>51101</v>
      </c>
      <c r="B101" s="25">
        <v>511</v>
      </c>
      <c r="C101" s="26">
        <v>1</v>
      </c>
      <c r="D101" s="20" t="s">
        <v>388</v>
      </c>
      <c r="E101" s="14">
        <v>42304</v>
      </c>
      <c r="F101" s="18">
        <v>1.1601802361594999</v>
      </c>
      <c r="G101" s="18">
        <v>1.1403543339517701</v>
      </c>
      <c r="H101" s="21">
        <v>91.6</v>
      </c>
      <c r="I101" s="21">
        <v>87.199994000000004</v>
      </c>
      <c r="J101" s="21">
        <v>93</v>
      </c>
      <c r="K101" s="18">
        <v>1</v>
      </c>
      <c r="L101" s="18">
        <v>85</v>
      </c>
      <c r="M101" s="18">
        <v>8.5999999999999694</v>
      </c>
      <c r="N101" s="18">
        <v>2.1</v>
      </c>
      <c r="O101" s="18">
        <v>1.5</v>
      </c>
      <c r="P101" s="18">
        <v>2.7</v>
      </c>
      <c r="Q101" s="19"/>
      <c r="R101" s="18">
        <v>83.131026578073104</v>
      </c>
      <c r="S101" s="18">
        <v>50</v>
      </c>
      <c r="T101" s="18">
        <v>54</v>
      </c>
      <c r="U101" s="18">
        <v>56</v>
      </c>
      <c r="V101" s="18">
        <v>57</v>
      </c>
      <c r="W101" s="18">
        <v>58</v>
      </c>
      <c r="X101" s="18"/>
      <c r="Y101" s="18">
        <v>0.42352941176470588</v>
      </c>
      <c r="Z101" s="18">
        <v>3.0588235294117645</v>
      </c>
      <c r="AA101" s="18">
        <v>0.1</v>
      </c>
      <c r="AB101" s="18">
        <v>1</v>
      </c>
      <c r="AC101" s="18">
        <v>5.8</v>
      </c>
      <c r="AD101" s="18">
        <v>1.2</v>
      </c>
      <c r="AE101" s="18">
        <v>1.3</v>
      </c>
      <c r="AF101" s="18">
        <v>32</v>
      </c>
      <c r="AG101" s="18">
        <v>3.2</v>
      </c>
      <c r="AH101" s="18">
        <v>29</v>
      </c>
      <c r="AI101" s="18">
        <v>40</v>
      </c>
      <c r="AJ101" s="18">
        <v>0</v>
      </c>
      <c r="AK101" s="18">
        <v>6.0000000000000123E-2</v>
      </c>
      <c r="AL101" s="18"/>
      <c r="AM101" s="18">
        <v>3.1365888235294102</v>
      </c>
      <c r="AN101" s="18">
        <v>1.5889988235294099</v>
      </c>
      <c r="AO101" s="18">
        <v>2.3928017647058799</v>
      </c>
      <c r="AP101" s="18">
        <v>3.0064494117647098</v>
      </c>
      <c r="AQ101" s="18">
        <v>1.4019770588235301</v>
      </c>
      <c r="AR101" s="18">
        <v>3.3427858823529402</v>
      </c>
      <c r="AS101" s="18">
        <v>6.7397088235294103</v>
      </c>
      <c r="AT101" s="18">
        <v>2.3054464705882398</v>
      </c>
      <c r="AU101" s="18">
        <v>4.3413935294117598</v>
      </c>
      <c r="AV101" s="18">
        <v>2.74396</v>
      </c>
      <c r="AW101" s="18">
        <v>4.3438917647058801</v>
      </c>
      <c r="AX101" s="18"/>
      <c r="AY101" s="18">
        <v>0.92</v>
      </c>
      <c r="AZ101" s="18">
        <v>1</v>
      </c>
      <c r="BA101" s="18">
        <v>0.98</v>
      </c>
      <c r="BB101" s="18">
        <v>0.93</v>
      </c>
      <c r="BC101" s="18">
        <v>0.99</v>
      </c>
      <c r="BD101" s="18">
        <v>0.99</v>
      </c>
      <c r="BE101" s="18">
        <v>1</v>
      </c>
      <c r="BF101" s="18">
        <v>0.99</v>
      </c>
      <c r="BG101" s="18">
        <v>1.02</v>
      </c>
      <c r="BH101" s="18">
        <v>1</v>
      </c>
      <c r="BI101" s="18">
        <v>0.96</v>
      </c>
      <c r="BJ101" s="19"/>
      <c r="BK101" s="18">
        <v>10.117647058823493</v>
      </c>
      <c r="BL101" s="18">
        <v>2.4705882352941178</v>
      </c>
      <c r="BM101" s="18">
        <v>1.7647058823529411</v>
      </c>
      <c r="BN101" s="18">
        <v>3.1764705882352939</v>
      </c>
      <c r="BO101" s="18"/>
      <c r="BP101" s="18">
        <v>105</v>
      </c>
      <c r="BQ101" s="18">
        <v>25.941176470588236</v>
      </c>
      <c r="BR101" s="18">
        <v>1.3649179248935295</v>
      </c>
      <c r="BS101" s="18">
        <v>1.3415933340609061</v>
      </c>
      <c r="BT101" s="19"/>
      <c r="BU101" s="18">
        <v>982.35294117647061</v>
      </c>
      <c r="BV101" s="18">
        <v>722.05210084033638</v>
      </c>
      <c r="BW101" s="18">
        <v>61.747983361344588</v>
      </c>
      <c r="BX101" s="18">
        <v>670</v>
      </c>
      <c r="BY101" s="18">
        <v>18.999999999999996</v>
      </c>
      <c r="BZ101" s="18">
        <v>25</v>
      </c>
      <c r="CA101" s="18">
        <v>113</v>
      </c>
      <c r="CB101" s="19"/>
      <c r="CC101" s="19">
        <v>0.36</v>
      </c>
      <c r="CD101" s="19">
        <v>2.5999999999999996</v>
      </c>
      <c r="CE101" s="19">
        <v>8.5000000000000006E-2</v>
      </c>
      <c r="CF101" s="19">
        <v>0.85</v>
      </c>
      <c r="CG101" s="19">
        <v>4.93</v>
      </c>
      <c r="CH101" s="19">
        <v>1.02</v>
      </c>
      <c r="CI101" s="19">
        <v>1.105</v>
      </c>
      <c r="CJ101" s="19"/>
      <c r="CK101" s="19">
        <v>27.2</v>
      </c>
      <c r="CL101" s="19">
        <v>2.72</v>
      </c>
      <c r="CM101" s="19">
        <v>24.65</v>
      </c>
      <c r="CN101" s="19">
        <v>34</v>
      </c>
      <c r="CO101" s="19">
        <v>0</v>
      </c>
      <c r="CP101" s="19">
        <v>5.1000000000000101E-2</v>
      </c>
      <c r="CQ101" s="19">
        <v>71.492682857142896</v>
      </c>
      <c r="CR101" s="19">
        <v>61.622048565318075</v>
      </c>
      <c r="CS101" s="19">
        <v>1.7782038650792586</v>
      </c>
      <c r="CT101" s="19">
        <v>0.97917362673762343</v>
      </c>
      <c r="CU101" s="19">
        <v>1.4450035962084617</v>
      </c>
      <c r="CV101" s="19">
        <v>2.4241772229460938</v>
      </c>
      <c r="CW101" s="19">
        <v>1.7229512164467085</v>
      </c>
      <c r="CX101" s="19">
        <v>0.85528771422221817</v>
      </c>
      <c r="CY101" s="19">
        <v>2.0392942084595407</v>
      </c>
      <c r="CZ101" s="19">
        <v>4.1531466443963048</v>
      </c>
      <c r="DA101" s="19">
        <v>1.4064567103157499</v>
      </c>
      <c r="DB101" s="19">
        <v>2.7287607416877964</v>
      </c>
      <c r="DC101" s="19">
        <v>1.6908843638128948</v>
      </c>
      <c r="DD101" s="19">
        <v>4.4196451055006909</v>
      </c>
      <c r="DE101" s="19">
        <v>2.5697232891570301</v>
      </c>
      <c r="DF101" s="23">
        <v>0</v>
      </c>
      <c r="DG101" s="23">
        <v>0</v>
      </c>
      <c r="DH101" s="23">
        <v>0</v>
      </c>
      <c r="DI101" s="19">
        <v>0</v>
      </c>
      <c r="DJ101" s="19">
        <v>0</v>
      </c>
      <c r="DK101" s="19">
        <v>0</v>
      </c>
      <c r="DL101" s="19">
        <v>0</v>
      </c>
      <c r="DM101" s="19">
        <v>0</v>
      </c>
      <c r="DN101" s="19">
        <v>0</v>
      </c>
      <c r="DO101" s="19">
        <v>0</v>
      </c>
      <c r="DP101" s="19">
        <v>0</v>
      </c>
      <c r="DQ101" s="19">
        <v>0</v>
      </c>
      <c r="DR101" s="19">
        <v>0</v>
      </c>
      <c r="DS101" s="19">
        <v>0</v>
      </c>
      <c r="DT101" s="19">
        <v>0</v>
      </c>
      <c r="DU101" s="19">
        <v>0</v>
      </c>
      <c r="DV101" s="19">
        <v>0</v>
      </c>
      <c r="DW101" s="17" t="s">
        <v>371</v>
      </c>
      <c r="DX101" s="22" t="s">
        <v>218</v>
      </c>
      <c r="DY101" s="22">
        <v>32</v>
      </c>
      <c r="DZ101" s="22">
        <v>16</v>
      </c>
      <c r="EA101" s="22">
        <v>16</v>
      </c>
      <c r="EB101" s="22" t="s">
        <v>218</v>
      </c>
      <c r="EC101" s="22">
        <v>16</v>
      </c>
      <c r="ED101" s="22">
        <v>16</v>
      </c>
      <c r="EE101" s="22" t="s">
        <v>218</v>
      </c>
      <c r="EF101" s="22">
        <v>16</v>
      </c>
      <c r="EG101" s="22">
        <v>16</v>
      </c>
      <c r="EH101" s="22" t="s">
        <v>218</v>
      </c>
      <c r="EI101" s="22" t="s">
        <v>218</v>
      </c>
      <c r="EJ101" s="22" t="s">
        <v>218</v>
      </c>
      <c r="EK101" s="22" t="s">
        <v>218</v>
      </c>
      <c r="EL101" s="22" t="s">
        <v>218</v>
      </c>
      <c r="EM101" s="22" t="s">
        <v>218</v>
      </c>
      <c r="EN101" s="22" t="s">
        <v>218</v>
      </c>
      <c r="EO101" s="22" t="s">
        <v>218</v>
      </c>
      <c r="EP101" s="22" t="s">
        <v>218</v>
      </c>
      <c r="EQ101" s="22" t="s">
        <v>218</v>
      </c>
      <c r="ER101" s="22" t="s">
        <v>218</v>
      </c>
      <c r="ES101" s="22">
        <v>16</v>
      </c>
      <c r="ET101" s="22">
        <v>32</v>
      </c>
      <c r="EU101" s="22" t="s">
        <v>218</v>
      </c>
      <c r="EV101" s="22" t="s">
        <v>218</v>
      </c>
      <c r="EW101" s="22" t="s">
        <v>218</v>
      </c>
      <c r="EX101" s="22" t="s">
        <v>218</v>
      </c>
      <c r="EY101" s="22" t="s">
        <v>218</v>
      </c>
      <c r="EZ101" s="22" t="s">
        <v>218</v>
      </c>
      <c r="FA101" s="22" t="s">
        <v>218</v>
      </c>
      <c r="FB101" s="22" t="s">
        <v>218</v>
      </c>
      <c r="FC101" s="22" t="s">
        <v>218</v>
      </c>
      <c r="FD101" s="22" t="s">
        <v>218</v>
      </c>
      <c r="FE101" s="22" t="s">
        <v>218</v>
      </c>
      <c r="FF101" s="22" t="s">
        <v>218</v>
      </c>
      <c r="FG101" s="22">
        <v>0.6</v>
      </c>
      <c r="FH101" s="22">
        <v>0.3</v>
      </c>
      <c r="FI101" s="22">
        <v>0.1</v>
      </c>
      <c r="FJ101" s="22" t="s">
        <v>218</v>
      </c>
      <c r="FK101" s="22">
        <v>0.9</v>
      </c>
      <c r="FL101" s="22">
        <v>1.1000000000000001</v>
      </c>
      <c r="FM101" s="22" t="s">
        <v>218</v>
      </c>
      <c r="FN101" s="22">
        <v>1.9</v>
      </c>
      <c r="FO101" s="22">
        <v>1.6</v>
      </c>
      <c r="FP101" s="22" t="s">
        <v>218</v>
      </c>
      <c r="FQ101" s="22" t="s">
        <v>218</v>
      </c>
      <c r="FR101" s="22" t="s">
        <v>218</v>
      </c>
      <c r="FS101" s="22" t="s">
        <v>218</v>
      </c>
      <c r="FT101" s="22" t="s">
        <v>218</v>
      </c>
      <c r="FU101" s="22" t="s">
        <v>218</v>
      </c>
      <c r="FV101" s="22" t="s">
        <v>218</v>
      </c>
      <c r="FW101" s="22" t="s">
        <v>218</v>
      </c>
      <c r="FX101" s="22" t="s">
        <v>218</v>
      </c>
      <c r="FY101" s="22" t="s">
        <v>218</v>
      </c>
      <c r="FZ101" s="22" t="s">
        <v>218</v>
      </c>
      <c r="GA101" s="22">
        <v>0.1</v>
      </c>
      <c r="GB101" s="22">
        <v>0.3</v>
      </c>
      <c r="GC101" s="22" t="s">
        <v>218</v>
      </c>
      <c r="GD101" s="22" t="s">
        <v>218</v>
      </c>
      <c r="GE101" s="22" t="s">
        <v>218</v>
      </c>
      <c r="GF101" s="22" t="s">
        <v>218</v>
      </c>
      <c r="GG101" s="22" t="s">
        <v>218</v>
      </c>
      <c r="GH101" s="22" t="s">
        <v>218</v>
      </c>
      <c r="GI101" s="22" t="s">
        <v>218</v>
      </c>
      <c r="GJ101" s="22" t="s">
        <v>218</v>
      </c>
      <c r="GK101" s="22" t="s">
        <v>218</v>
      </c>
      <c r="GL101" s="22" t="s">
        <v>218</v>
      </c>
      <c r="GM101" s="22" t="s">
        <v>218</v>
      </c>
      <c r="GN101" s="22" t="s">
        <v>218</v>
      </c>
      <c r="GO101" s="22">
        <v>2015</v>
      </c>
      <c r="GP101" s="22">
        <v>2015</v>
      </c>
      <c r="GQ101" s="22">
        <v>2015</v>
      </c>
      <c r="GR101" s="22" t="s">
        <v>218</v>
      </c>
      <c r="GS101" s="22">
        <v>2015</v>
      </c>
      <c r="GT101" s="22">
        <v>2015</v>
      </c>
      <c r="GU101" s="22" t="s">
        <v>218</v>
      </c>
      <c r="GV101" s="22">
        <v>2015</v>
      </c>
      <c r="GW101" s="22">
        <v>2015</v>
      </c>
      <c r="GX101" s="22" t="s">
        <v>218</v>
      </c>
      <c r="GY101" s="22" t="s">
        <v>218</v>
      </c>
      <c r="GZ101" s="22" t="s">
        <v>218</v>
      </c>
      <c r="HA101" s="22" t="s">
        <v>218</v>
      </c>
      <c r="HB101" s="22" t="s">
        <v>218</v>
      </c>
      <c r="HC101" s="22" t="s">
        <v>218</v>
      </c>
      <c r="HD101" s="22" t="s">
        <v>218</v>
      </c>
      <c r="HE101" s="22" t="s">
        <v>218</v>
      </c>
      <c r="HF101" s="22" t="s">
        <v>218</v>
      </c>
      <c r="HG101" s="22" t="s">
        <v>218</v>
      </c>
      <c r="HH101" s="22" t="s">
        <v>218</v>
      </c>
      <c r="HI101" s="22">
        <v>2015</v>
      </c>
      <c r="HJ101" s="22">
        <v>2015</v>
      </c>
      <c r="HK101" s="22" t="s">
        <v>218</v>
      </c>
      <c r="HL101" s="22" t="s">
        <v>218</v>
      </c>
      <c r="HM101" s="622">
        <f>'background data'!$G$10</f>
        <v>0.47300000000000003</v>
      </c>
      <c r="HN101" s="622">
        <f>'background data'!$H$10</f>
        <v>0.13</v>
      </c>
      <c r="HO101" s="622">
        <f>'background data'!$J$10</f>
        <v>0.39100000000000001</v>
      </c>
      <c r="HP101" s="622">
        <f>'background data'!$L$10</f>
        <v>5.5E-2</v>
      </c>
      <c r="HQ101" s="622">
        <f>'background data'!$M$10</f>
        <v>3.97</v>
      </c>
      <c r="HR101" s="622">
        <f>'background data'!$N$10</f>
        <v>4.5999999999999999E-3</v>
      </c>
      <c r="HS101" s="622">
        <f>'background data'!$O$10</f>
        <v>2.73</v>
      </c>
      <c r="HT101" s="145" t="s">
        <v>1797</v>
      </c>
      <c r="HU101" s="145" t="s">
        <v>1809</v>
      </c>
      <c r="HV101" s="22" t="s">
        <v>1396</v>
      </c>
      <c r="HW101" s="22" t="s">
        <v>376</v>
      </c>
      <c r="HX101" s="22" t="s">
        <v>373</v>
      </c>
      <c r="HY101" s="22" t="s">
        <v>374</v>
      </c>
      <c r="HZ101" s="19"/>
      <c r="IA101" s="19"/>
      <c r="IB101" s="622">
        <f>'background data'!$G$10</f>
        <v>0.47300000000000003</v>
      </c>
      <c r="IC101" s="622">
        <f>'background data'!$H$10</f>
        <v>0.13</v>
      </c>
      <c r="ID101" s="622">
        <f>'background data'!$J$10</f>
        <v>0.39100000000000001</v>
      </c>
      <c r="IE101" s="622">
        <f>'background data'!$L$10</f>
        <v>5.5E-2</v>
      </c>
      <c r="IF101" s="622">
        <f>'background data'!$M$10</f>
        <v>3.97</v>
      </c>
      <c r="IG101" s="622">
        <f>'background data'!$N$10</f>
        <v>4.5999999999999999E-3</v>
      </c>
      <c r="IH101" s="622">
        <f>'background data'!$O$10</f>
        <v>2.73</v>
      </c>
      <c r="II101" s="145" t="s">
        <v>1797</v>
      </c>
      <c r="IJ101" s="145" t="s">
        <v>1396</v>
      </c>
      <c r="IK101" s="145"/>
      <c r="IL101" s="145"/>
      <c r="IM101" s="145"/>
      <c r="IN101" s="145"/>
      <c r="IO101" s="145"/>
      <c r="IP101" s="145"/>
      <c r="IQ101" s="145"/>
      <c r="IR101" s="145"/>
      <c r="IS101" s="145"/>
      <c r="IT101" s="145"/>
      <c r="IU101" s="145"/>
      <c r="IV101" s="145"/>
      <c r="IW101" s="145"/>
      <c r="IX101" s="145"/>
      <c r="IY101" s="145"/>
      <c r="IZ101" s="145"/>
      <c r="JA101" s="145"/>
      <c r="JB101" s="145"/>
      <c r="JC101" s="145"/>
      <c r="JD101" s="145"/>
      <c r="JE101" s="145"/>
      <c r="JF101" s="145"/>
      <c r="JG101" s="145"/>
      <c r="JH101" s="145"/>
      <c r="JI101" s="145"/>
      <c r="JJ101" s="145"/>
      <c r="JK101" s="145"/>
      <c r="JL101" s="145"/>
      <c r="JM101" s="145"/>
      <c r="JN101" s="145"/>
      <c r="JO101" s="145"/>
      <c r="JP101" s="145"/>
      <c r="JQ101" s="145"/>
      <c r="JR101" s="145"/>
      <c r="JS101" s="145"/>
      <c r="JT101" s="145"/>
      <c r="JU101" s="145"/>
      <c r="JV101" s="145"/>
      <c r="JW101" s="145"/>
      <c r="JX101" s="145"/>
      <c r="JY101" s="145"/>
      <c r="JZ101" s="145"/>
      <c r="KA101" s="145"/>
      <c r="KB101" s="145"/>
      <c r="KC101" s="145"/>
      <c r="KD101" s="145"/>
      <c r="KE101" s="145"/>
      <c r="KF101" s="145"/>
      <c r="KG101" s="145"/>
      <c r="KH101" s="145"/>
      <c r="KI101" s="145"/>
      <c r="KJ101" s="145"/>
      <c r="KK101" s="145"/>
      <c r="KL101" s="145"/>
      <c r="KM101" s="145"/>
      <c r="KN101" s="145"/>
      <c r="KO101" s="145"/>
      <c r="KP101" s="145"/>
      <c r="KQ101" s="145"/>
      <c r="KR101" s="145"/>
      <c r="KS101" s="145"/>
      <c r="KT101" s="145"/>
      <c r="KU101" s="145"/>
      <c r="KV101" s="145"/>
      <c r="KW101" s="145"/>
      <c r="KX101" s="145"/>
      <c r="KY101" s="145"/>
      <c r="KZ101" s="145"/>
      <c r="LA101" s="145"/>
      <c r="LB101" s="145"/>
      <c r="LC101" s="145"/>
      <c r="LD101" s="145"/>
      <c r="LE101" s="145"/>
      <c r="LF101" s="145"/>
      <c r="LG101" s="145"/>
      <c r="LH101" s="145"/>
      <c r="LI101" s="145"/>
      <c r="LJ101" s="145"/>
      <c r="LK101" s="145"/>
      <c r="LL101" s="145"/>
      <c r="LM101" s="145"/>
      <c r="LN101" s="145"/>
      <c r="LO101" s="145"/>
      <c r="LP101" s="145"/>
      <c r="LQ101" s="145"/>
      <c r="LR101" s="145"/>
      <c r="LS101" s="145"/>
      <c r="LT101" s="145"/>
      <c r="LU101" s="145"/>
      <c r="LV101" s="145"/>
      <c r="LW101" s="145"/>
      <c r="LX101" s="145"/>
      <c r="LY101" s="145"/>
      <c r="LZ101" s="145"/>
      <c r="MA101" s="145"/>
      <c r="MB101" s="145"/>
      <c r="MC101" s="145"/>
      <c r="MD101" s="145"/>
      <c r="ME101" s="145"/>
      <c r="MF101" s="145"/>
      <c r="MG101" s="145"/>
      <c r="MH101" s="145"/>
      <c r="MI101" s="145"/>
      <c r="MJ101" s="145"/>
      <c r="MK101" s="145"/>
      <c r="ML101" s="145"/>
      <c r="MM101" s="145"/>
      <c r="MN101" s="145"/>
      <c r="MO101" s="145"/>
      <c r="MP101" s="145"/>
      <c r="MQ101" s="145"/>
      <c r="MR101" s="145"/>
      <c r="MS101" s="145"/>
      <c r="MT101" s="145"/>
      <c r="MU101" s="145"/>
      <c r="MV101" s="145"/>
      <c r="MW101" s="145"/>
      <c r="MX101" s="145"/>
      <c r="MY101" s="145"/>
      <c r="MZ101" s="145"/>
      <c r="NA101" s="145"/>
      <c r="NB101" s="145"/>
      <c r="NC101" s="145"/>
      <c r="ND101" s="145"/>
      <c r="NE101" s="145"/>
      <c r="NF101" s="145"/>
      <c r="NG101" s="145"/>
      <c r="NH101" s="145"/>
      <c r="NI101" s="145"/>
      <c r="NJ101" s="145"/>
      <c r="NK101" s="145"/>
      <c r="NL101" s="145"/>
      <c r="NM101" s="145"/>
      <c r="NN101" s="145"/>
      <c r="NO101" s="145"/>
      <c r="NP101" s="145"/>
      <c r="NQ101" s="145"/>
      <c r="NR101" s="145"/>
      <c r="NS101" s="145"/>
    </row>
    <row r="102" spans="1:383" s="16" customFormat="1" ht="15" customHeight="1" x14ac:dyDescent="0.2">
      <c r="A102" s="15">
        <v>51110</v>
      </c>
      <c r="B102" s="25">
        <v>511</v>
      </c>
      <c r="C102" s="26">
        <v>10</v>
      </c>
      <c r="D102" s="20" t="s">
        <v>389</v>
      </c>
      <c r="E102" s="14">
        <v>42304</v>
      </c>
      <c r="F102" s="18">
        <v>1.1504822106078201</v>
      </c>
      <c r="G102" s="18">
        <v>1.1335380074211501</v>
      </c>
      <c r="H102" s="21">
        <v>91.6</v>
      </c>
      <c r="I102" s="21">
        <v>86.399959600000003</v>
      </c>
      <c r="J102" s="21">
        <v>93</v>
      </c>
      <c r="K102" s="18">
        <v>1</v>
      </c>
      <c r="L102" s="18">
        <v>85</v>
      </c>
      <c r="M102" s="18">
        <v>8.5999999999999694</v>
      </c>
      <c r="N102" s="18">
        <v>2.1</v>
      </c>
      <c r="O102" s="18">
        <v>1.5</v>
      </c>
      <c r="P102" s="18">
        <v>2.7</v>
      </c>
      <c r="Q102" s="19"/>
      <c r="R102" s="18">
        <v>82.398667774086405</v>
      </c>
      <c r="S102" s="18">
        <v>28</v>
      </c>
      <c r="T102" s="18">
        <v>43</v>
      </c>
      <c r="U102" s="18">
        <v>48</v>
      </c>
      <c r="V102" s="18">
        <v>54</v>
      </c>
      <c r="W102" s="18">
        <v>57</v>
      </c>
      <c r="X102" s="18"/>
      <c r="Y102" s="18">
        <v>0.42352941176470588</v>
      </c>
      <c r="Z102" s="18">
        <v>3.0588235294117645</v>
      </c>
      <c r="AA102" s="18">
        <v>0.1</v>
      </c>
      <c r="AB102" s="18">
        <v>1</v>
      </c>
      <c r="AC102" s="18">
        <v>5.8</v>
      </c>
      <c r="AD102" s="18">
        <v>1.2</v>
      </c>
      <c r="AE102" s="18">
        <v>1.3</v>
      </c>
      <c r="AF102" s="18">
        <v>32</v>
      </c>
      <c r="AG102" s="18">
        <v>3.2</v>
      </c>
      <c r="AH102" s="18">
        <v>29</v>
      </c>
      <c r="AI102" s="18">
        <v>40</v>
      </c>
      <c r="AJ102" s="18">
        <v>0</v>
      </c>
      <c r="AK102" s="18">
        <v>6.0000000000000123E-2</v>
      </c>
      <c r="AL102" s="18"/>
      <c r="AM102" s="18">
        <v>3.1365888235294102</v>
      </c>
      <c r="AN102" s="18">
        <v>1.5889988235294099</v>
      </c>
      <c r="AO102" s="18">
        <v>2.3928017647058799</v>
      </c>
      <c r="AP102" s="18">
        <v>3.0064494117647098</v>
      </c>
      <c r="AQ102" s="18">
        <v>1.4019770588235301</v>
      </c>
      <c r="AR102" s="18">
        <v>3.3427858823529402</v>
      </c>
      <c r="AS102" s="18">
        <v>6.7397088235294103</v>
      </c>
      <c r="AT102" s="18">
        <v>2.3054464705882398</v>
      </c>
      <c r="AU102" s="18">
        <v>4.3413935294117598</v>
      </c>
      <c r="AV102" s="18">
        <v>2.74396</v>
      </c>
      <c r="AW102" s="18">
        <v>4.3438917647058801</v>
      </c>
      <c r="AX102" s="18"/>
      <c r="AY102" s="18">
        <v>0.92</v>
      </c>
      <c r="AZ102" s="18">
        <v>1</v>
      </c>
      <c r="BA102" s="18">
        <v>0.98</v>
      </c>
      <c r="BB102" s="18">
        <v>0.93</v>
      </c>
      <c r="BC102" s="18">
        <v>0.99</v>
      </c>
      <c r="BD102" s="18">
        <v>0.99</v>
      </c>
      <c r="BE102" s="18">
        <v>1</v>
      </c>
      <c r="BF102" s="18">
        <v>0.99</v>
      </c>
      <c r="BG102" s="18">
        <v>1.02</v>
      </c>
      <c r="BH102" s="18">
        <v>1</v>
      </c>
      <c r="BI102" s="18">
        <v>0.96</v>
      </c>
      <c r="BJ102" s="19"/>
      <c r="BK102" s="18">
        <v>10.117647058823493</v>
      </c>
      <c r="BL102" s="18">
        <v>2.4705882352941178</v>
      </c>
      <c r="BM102" s="18">
        <v>1.7647058823529411</v>
      </c>
      <c r="BN102" s="18">
        <v>3.1764705882352939</v>
      </c>
      <c r="BO102" s="18"/>
      <c r="BP102" s="18">
        <v>105</v>
      </c>
      <c r="BQ102" s="18">
        <v>25.941176470588236</v>
      </c>
      <c r="BR102" s="18">
        <v>1.3535084830680237</v>
      </c>
      <c r="BS102" s="18">
        <v>1.3335741263778236</v>
      </c>
      <c r="BT102" s="19"/>
      <c r="BU102" s="18">
        <v>982.35294117647061</v>
      </c>
      <c r="BV102" s="18">
        <v>710.8252100840341</v>
      </c>
      <c r="BW102" s="18">
        <v>72.975356873949778</v>
      </c>
      <c r="BX102" s="18">
        <v>670</v>
      </c>
      <c r="BY102" s="18">
        <v>18.999999999999996</v>
      </c>
      <c r="BZ102" s="18">
        <v>25</v>
      </c>
      <c r="CA102" s="18">
        <v>113</v>
      </c>
      <c r="CB102" s="19"/>
      <c r="CC102" s="19">
        <v>0.36</v>
      </c>
      <c r="CD102" s="19">
        <v>2.5999999999999996</v>
      </c>
      <c r="CE102" s="19">
        <v>8.5000000000000006E-2</v>
      </c>
      <c r="CF102" s="19">
        <v>0.85</v>
      </c>
      <c r="CG102" s="19">
        <v>4.93</v>
      </c>
      <c r="CH102" s="19">
        <v>1.02</v>
      </c>
      <c r="CI102" s="19">
        <v>1.105</v>
      </c>
      <c r="CJ102" s="19"/>
      <c r="CK102" s="19">
        <v>27.2</v>
      </c>
      <c r="CL102" s="19">
        <v>2.72</v>
      </c>
      <c r="CM102" s="19">
        <v>24.65</v>
      </c>
      <c r="CN102" s="19">
        <v>34</v>
      </c>
      <c r="CO102" s="19">
        <v>0</v>
      </c>
      <c r="CP102" s="19">
        <v>5.1000000000000101E-2</v>
      </c>
      <c r="CQ102" s="19">
        <v>70.862854285714306</v>
      </c>
      <c r="CR102" s="19">
        <v>61.594046072451839</v>
      </c>
      <c r="CS102" s="19">
        <v>1.7773958078626293</v>
      </c>
      <c r="CT102" s="19">
        <v>0.97872866745542197</v>
      </c>
      <c r="CU102" s="19">
        <v>1.4443469529478747</v>
      </c>
      <c r="CV102" s="19">
        <v>2.4230756204032882</v>
      </c>
      <c r="CW102" s="19">
        <v>1.7221682673193979</v>
      </c>
      <c r="CX102" s="19">
        <v>0.85489905158159918</v>
      </c>
      <c r="CY102" s="19">
        <v>2.038367505715077</v>
      </c>
      <c r="CZ102" s="19">
        <v>4.1512593579138013</v>
      </c>
      <c r="DA102" s="19">
        <v>1.4058175836571309</v>
      </c>
      <c r="DB102" s="19">
        <v>2.7275207293061645</v>
      </c>
      <c r="DC102" s="19">
        <v>1.690115986609644</v>
      </c>
      <c r="DD102" s="19">
        <v>4.4176367159158083</v>
      </c>
      <c r="DE102" s="19">
        <v>2.5685555470947614</v>
      </c>
      <c r="DF102" s="23">
        <v>0</v>
      </c>
      <c r="DG102" s="23">
        <v>0</v>
      </c>
      <c r="DH102" s="23">
        <v>0</v>
      </c>
      <c r="DI102" s="19">
        <v>0</v>
      </c>
      <c r="DJ102" s="19">
        <v>0</v>
      </c>
      <c r="DK102" s="19">
        <v>0</v>
      </c>
      <c r="DL102" s="19">
        <v>0</v>
      </c>
      <c r="DM102" s="19">
        <v>0</v>
      </c>
      <c r="DN102" s="19">
        <v>0</v>
      </c>
      <c r="DO102" s="19">
        <v>0</v>
      </c>
      <c r="DP102" s="19">
        <v>0</v>
      </c>
      <c r="DQ102" s="19">
        <v>0</v>
      </c>
      <c r="DR102" s="19">
        <v>0</v>
      </c>
      <c r="DS102" s="19">
        <v>0</v>
      </c>
      <c r="DT102" s="19">
        <v>0</v>
      </c>
      <c r="DU102" s="19">
        <v>0</v>
      </c>
      <c r="DV102" s="19">
        <v>0</v>
      </c>
      <c r="DW102" s="17" t="s">
        <v>371</v>
      </c>
      <c r="DX102" s="22" t="s">
        <v>218</v>
      </c>
      <c r="DY102" s="22">
        <v>32</v>
      </c>
      <c r="DZ102" s="22">
        <v>16</v>
      </c>
      <c r="EA102" s="22">
        <v>16</v>
      </c>
      <c r="EB102" s="22" t="s">
        <v>218</v>
      </c>
      <c r="EC102" s="22">
        <v>16</v>
      </c>
      <c r="ED102" s="22">
        <v>16</v>
      </c>
      <c r="EE102" s="22" t="s">
        <v>218</v>
      </c>
      <c r="EF102" s="22">
        <v>16</v>
      </c>
      <c r="EG102" s="22">
        <v>16</v>
      </c>
      <c r="EH102" s="22" t="s">
        <v>218</v>
      </c>
      <c r="EI102" s="22" t="s">
        <v>218</v>
      </c>
      <c r="EJ102" s="22" t="s">
        <v>218</v>
      </c>
      <c r="EK102" s="22" t="s">
        <v>218</v>
      </c>
      <c r="EL102" s="22" t="s">
        <v>218</v>
      </c>
      <c r="EM102" s="22" t="s">
        <v>218</v>
      </c>
      <c r="EN102" s="22" t="s">
        <v>218</v>
      </c>
      <c r="EO102" s="22" t="s">
        <v>218</v>
      </c>
      <c r="EP102" s="22" t="s">
        <v>218</v>
      </c>
      <c r="EQ102" s="22" t="s">
        <v>218</v>
      </c>
      <c r="ER102" s="22" t="s">
        <v>218</v>
      </c>
      <c r="ES102" s="22">
        <v>16</v>
      </c>
      <c r="ET102" s="22">
        <v>32</v>
      </c>
      <c r="EU102" s="22" t="s">
        <v>218</v>
      </c>
      <c r="EV102" s="22" t="s">
        <v>218</v>
      </c>
      <c r="EW102" s="22" t="s">
        <v>218</v>
      </c>
      <c r="EX102" s="22" t="s">
        <v>218</v>
      </c>
      <c r="EY102" s="22" t="s">
        <v>218</v>
      </c>
      <c r="EZ102" s="22" t="s">
        <v>218</v>
      </c>
      <c r="FA102" s="22" t="s">
        <v>218</v>
      </c>
      <c r="FB102" s="22" t="s">
        <v>218</v>
      </c>
      <c r="FC102" s="22" t="s">
        <v>218</v>
      </c>
      <c r="FD102" s="22" t="s">
        <v>218</v>
      </c>
      <c r="FE102" s="22" t="s">
        <v>218</v>
      </c>
      <c r="FF102" s="22" t="s">
        <v>218</v>
      </c>
      <c r="FG102" s="22">
        <v>0.6</v>
      </c>
      <c r="FH102" s="22">
        <v>0.3</v>
      </c>
      <c r="FI102" s="22">
        <v>0.1</v>
      </c>
      <c r="FJ102" s="22" t="s">
        <v>218</v>
      </c>
      <c r="FK102" s="22">
        <v>0.9</v>
      </c>
      <c r="FL102" s="22">
        <v>1.1000000000000001</v>
      </c>
      <c r="FM102" s="22" t="s">
        <v>218</v>
      </c>
      <c r="FN102" s="22">
        <v>1.9</v>
      </c>
      <c r="FO102" s="22">
        <v>1.6</v>
      </c>
      <c r="FP102" s="22" t="s">
        <v>218</v>
      </c>
      <c r="FQ102" s="22" t="s">
        <v>218</v>
      </c>
      <c r="FR102" s="22" t="s">
        <v>218</v>
      </c>
      <c r="FS102" s="22" t="s">
        <v>218</v>
      </c>
      <c r="FT102" s="22" t="s">
        <v>218</v>
      </c>
      <c r="FU102" s="22" t="s">
        <v>218</v>
      </c>
      <c r="FV102" s="22" t="s">
        <v>218</v>
      </c>
      <c r="FW102" s="22" t="s">
        <v>218</v>
      </c>
      <c r="FX102" s="22" t="s">
        <v>218</v>
      </c>
      <c r="FY102" s="22" t="s">
        <v>218</v>
      </c>
      <c r="FZ102" s="22" t="s">
        <v>218</v>
      </c>
      <c r="GA102" s="22">
        <v>0.1</v>
      </c>
      <c r="GB102" s="22">
        <v>0.3</v>
      </c>
      <c r="GC102" s="22" t="s">
        <v>218</v>
      </c>
      <c r="GD102" s="22" t="s">
        <v>218</v>
      </c>
      <c r="GE102" s="22" t="s">
        <v>218</v>
      </c>
      <c r="GF102" s="22" t="s">
        <v>218</v>
      </c>
      <c r="GG102" s="22" t="s">
        <v>218</v>
      </c>
      <c r="GH102" s="22" t="s">
        <v>218</v>
      </c>
      <c r="GI102" s="22" t="s">
        <v>218</v>
      </c>
      <c r="GJ102" s="22" t="s">
        <v>218</v>
      </c>
      <c r="GK102" s="22" t="s">
        <v>218</v>
      </c>
      <c r="GL102" s="22" t="s">
        <v>218</v>
      </c>
      <c r="GM102" s="22" t="s">
        <v>218</v>
      </c>
      <c r="GN102" s="22" t="s">
        <v>218</v>
      </c>
      <c r="GO102" s="22">
        <v>2015</v>
      </c>
      <c r="GP102" s="22">
        <v>2015</v>
      </c>
      <c r="GQ102" s="22">
        <v>2015</v>
      </c>
      <c r="GR102" s="22" t="s">
        <v>218</v>
      </c>
      <c r="GS102" s="22">
        <v>2015</v>
      </c>
      <c r="GT102" s="22">
        <v>2015</v>
      </c>
      <c r="GU102" s="22" t="s">
        <v>218</v>
      </c>
      <c r="GV102" s="22">
        <v>2015</v>
      </c>
      <c r="GW102" s="22">
        <v>2015</v>
      </c>
      <c r="GX102" s="22" t="s">
        <v>218</v>
      </c>
      <c r="GY102" s="22" t="s">
        <v>218</v>
      </c>
      <c r="GZ102" s="22" t="s">
        <v>218</v>
      </c>
      <c r="HA102" s="22" t="s">
        <v>218</v>
      </c>
      <c r="HB102" s="22" t="s">
        <v>218</v>
      </c>
      <c r="HC102" s="22" t="s">
        <v>218</v>
      </c>
      <c r="HD102" s="22" t="s">
        <v>218</v>
      </c>
      <c r="HE102" s="22" t="s">
        <v>218</v>
      </c>
      <c r="HF102" s="22" t="s">
        <v>218</v>
      </c>
      <c r="HG102" s="22" t="s">
        <v>218</v>
      </c>
      <c r="HH102" s="22" t="s">
        <v>218</v>
      </c>
      <c r="HI102" s="22">
        <v>2015</v>
      </c>
      <c r="HJ102" s="22">
        <v>2015</v>
      </c>
      <c r="HK102" s="22" t="s">
        <v>218</v>
      </c>
      <c r="HL102" s="22" t="s">
        <v>218</v>
      </c>
      <c r="HM102" s="622">
        <f>'background data'!$G$10</f>
        <v>0.47300000000000003</v>
      </c>
      <c r="HN102" s="622">
        <f>'background data'!$H$10</f>
        <v>0.13</v>
      </c>
      <c r="HO102" s="622">
        <f>'background data'!$J$10</f>
        <v>0.39100000000000001</v>
      </c>
      <c r="HP102" s="622">
        <f>'background data'!$L$10</f>
        <v>5.5E-2</v>
      </c>
      <c r="HQ102" s="622">
        <f>'background data'!$M$10</f>
        <v>3.97</v>
      </c>
      <c r="HR102" s="622">
        <f>'background data'!$N$10</f>
        <v>4.5999999999999999E-3</v>
      </c>
      <c r="HS102" s="622">
        <f>'background data'!$O$10</f>
        <v>2.73</v>
      </c>
      <c r="HT102" s="145" t="s">
        <v>1797</v>
      </c>
      <c r="HU102" s="145" t="s">
        <v>1809</v>
      </c>
      <c r="HV102" s="22" t="s">
        <v>1396</v>
      </c>
      <c r="HW102" s="22" t="s">
        <v>376</v>
      </c>
      <c r="HX102" s="22" t="s">
        <v>373</v>
      </c>
      <c r="HY102" s="22" t="s">
        <v>374</v>
      </c>
      <c r="HZ102" s="19"/>
      <c r="IA102" s="19"/>
      <c r="IB102" s="622">
        <f>'background data'!$G$10</f>
        <v>0.47300000000000003</v>
      </c>
      <c r="IC102" s="622">
        <f>'background data'!$H$10</f>
        <v>0.13</v>
      </c>
      <c r="ID102" s="622">
        <f>'background data'!$J$10</f>
        <v>0.39100000000000001</v>
      </c>
      <c r="IE102" s="622">
        <f>'background data'!$L$10</f>
        <v>5.5E-2</v>
      </c>
      <c r="IF102" s="622">
        <f>'background data'!$M$10</f>
        <v>3.97</v>
      </c>
      <c r="IG102" s="622">
        <f>'background data'!$N$10</f>
        <v>4.5999999999999999E-3</v>
      </c>
      <c r="IH102" s="622">
        <f>'background data'!$O$10</f>
        <v>2.73</v>
      </c>
      <c r="II102" s="145" t="s">
        <v>1797</v>
      </c>
      <c r="IJ102" s="145" t="s">
        <v>1396</v>
      </c>
      <c r="IK102" s="145"/>
      <c r="IL102" s="145"/>
      <c r="IM102" s="145"/>
      <c r="IN102" s="145"/>
      <c r="IO102" s="145"/>
      <c r="IP102" s="145"/>
      <c r="IQ102" s="145"/>
      <c r="IR102" s="145"/>
      <c r="IS102" s="145"/>
      <c r="IT102" s="145"/>
      <c r="IU102" s="145"/>
      <c r="IV102" s="145"/>
      <c r="IW102" s="145"/>
      <c r="IX102" s="145"/>
      <c r="IY102" s="145"/>
      <c r="IZ102" s="145"/>
      <c r="JA102" s="145"/>
      <c r="JB102" s="145"/>
      <c r="JC102" s="145"/>
      <c r="JD102" s="145"/>
      <c r="JE102" s="145"/>
      <c r="JF102" s="145"/>
      <c r="JG102" s="145"/>
      <c r="JH102" s="145"/>
      <c r="JI102" s="145"/>
      <c r="JJ102" s="145"/>
      <c r="JK102" s="145"/>
      <c r="JL102" s="145"/>
      <c r="JM102" s="145"/>
      <c r="JN102" s="145"/>
      <c r="JO102" s="145"/>
      <c r="JP102" s="145"/>
      <c r="JQ102" s="145"/>
      <c r="JR102" s="145"/>
      <c r="JS102" s="145"/>
      <c r="JT102" s="145"/>
      <c r="JU102" s="145"/>
      <c r="JV102" s="145"/>
      <c r="JW102" s="145"/>
      <c r="JX102" s="145"/>
      <c r="JY102" s="145"/>
      <c r="JZ102" s="145"/>
      <c r="KA102" s="145"/>
      <c r="KB102" s="145"/>
      <c r="KC102" s="145"/>
      <c r="KD102" s="145"/>
      <c r="KE102" s="145"/>
      <c r="KF102" s="145"/>
      <c r="KG102" s="145"/>
      <c r="KH102" s="145"/>
      <c r="KI102" s="145"/>
      <c r="KJ102" s="145"/>
      <c r="KK102" s="145"/>
      <c r="KL102" s="145"/>
      <c r="KM102" s="145"/>
      <c r="KN102" s="145"/>
      <c r="KO102" s="145"/>
      <c r="KP102" s="145"/>
      <c r="KQ102" s="145"/>
      <c r="KR102" s="145"/>
      <c r="KS102" s="145"/>
      <c r="KT102" s="145"/>
      <c r="KU102" s="145"/>
      <c r="KV102" s="145"/>
      <c r="KW102" s="145"/>
      <c r="KX102" s="145"/>
      <c r="KY102" s="145"/>
      <c r="KZ102" s="145"/>
      <c r="LA102" s="145"/>
      <c r="LB102" s="145"/>
      <c r="LC102" s="145"/>
      <c r="LD102" s="145"/>
      <c r="LE102" s="145"/>
      <c r="LF102" s="145"/>
      <c r="LG102" s="145"/>
      <c r="LH102" s="145"/>
      <c r="LI102" s="145"/>
      <c r="LJ102" s="145"/>
      <c r="LK102" s="145"/>
      <c r="LL102" s="145"/>
      <c r="LM102" s="145"/>
      <c r="LN102" s="145"/>
      <c r="LO102" s="145"/>
      <c r="LP102" s="145"/>
      <c r="LQ102" s="145"/>
      <c r="LR102" s="145"/>
      <c r="LS102" s="145"/>
      <c r="LT102" s="145"/>
      <c r="LU102" s="145"/>
      <c r="LV102" s="145"/>
      <c r="LW102" s="145"/>
      <c r="LX102" s="145"/>
      <c r="LY102" s="145"/>
      <c r="LZ102" s="145"/>
      <c r="MA102" s="145"/>
      <c r="MB102" s="145"/>
      <c r="MC102" s="145"/>
      <c r="MD102" s="145"/>
      <c r="ME102" s="145"/>
      <c r="MF102" s="145"/>
      <c r="MG102" s="145"/>
      <c r="MH102" s="145"/>
      <c r="MI102" s="145"/>
      <c r="MJ102" s="145"/>
      <c r="MK102" s="145"/>
      <c r="ML102" s="145"/>
      <c r="MM102" s="145"/>
      <c r="MN102" s="145"/>
      <c r="MO102" s="145"/>
      <c r="MP102" s="145"/>
      <c r="MQ102" s="145"/>
      <c r="MR102" s="145"/>
      <c r="MS102" s="145"/>
      <c r="MT102" s="145"/>
      <c r="MU102" s="145"/>
      <c r="MV102" s="145"/>
      <c r="MW102" s="145"/>
      <c r="MX102" s="145"/>
      <c r="MY102" s="145"/>
      <c r="MZ102" s="145"/>
      <c r="NA102" s="145"/>
      <c r="NB102" s="145"/>
      <c r="NC102" s="145"/>
      <c r="ND102" s="145"/>
      <c r="NE102" s="145"/>
      <c r="NF102" s="145"/>
      <c r="NG102" s="145"/>
      <c r="NH102" s="145"/>
      <c r="NI102" s="145"/>
      <c r="NJ102" s="145"/>
      <c r="NK102" s="145"/>
      <c r="NL102" s="145"/>
      <c r="NM102" s="145"/>
      <c r="NN102" s="145"/>
      <c r="NO102" s="145"/>
      <c r="NP102" s="145"/>
      <c r="NQ102" s="145"/>
      <c r="NR102" s="145"/>
      <c r="NS102" s="145"/>
    </row>
    <row r="103" spans="1:383" s="16" customFormat="1" ht="15" customHeight="1" x14ac:dyDescent="0.2">
      <c r="A103" s="15">
        <v>51111</v>
      </c>
      <c r="B103" s="25">
        <v>511</v>
      </c>
      <c r="C103" s="26">
        <v>11</v>
      </c>
      <c r="D103" s="20" t="s">
        <v>390</v>
      </c>
      <c r="E103" s="14">
        <v>42304</v>
      </c>
      <c r="F103" s="18">
        <v>1.1601802361594999</v>
      </c>
      <c r="G103" s="18">
        <v>1.1403543339517701</v>
      </c>
      <c r="H103" s="21">
        <v>91.6</v>
      </c>
      <c r="I103" s="21">
        <v>87.199994000000004</v>
      </c>
      <c r="J103" s="21">
        <v>93</v>
      </c>
      <c r="K103" s="18">
        <v>1</v>
      </c>
      <c r="L103" s="18">
        <v>85</v>
      </c>
      <c r="M103" s="18">
        <v>8.5999999999999694</v>
      </c>
      <c r="N103" s="18">
        <v>2.1</v>
      </c>
      <c r="O103" s="18">
        <v>1.5</v>
      </c>
      <c r="P103" s="18">
        <v>2.7</v>
      </c>
      <c r="Q103" s="19"/>
      <c r="R103" s="18">
        <v>83.131026578073104</v>
      </c>
      <c r="S103" s="18">
        <v>28</v>
      </c>
      <c r="T103" s="18">
        <v>43</v>
      </c>
      <c r="U103" s="18">
        <v>48</v>
      </c>
      <c r="V103" s="18">
        <v>54</v>
      </c>
      <c r="W103" s="18">
        <v>57</v>
      </c>
      <c r="X103" s="18"/>
      <c r="Y103" s="18">
        <v>0.42352941176470588</v>
      </c>
      <c r="Z103" s="18">
        <v>3.0588235294117645</v>
      </c>
      <c r="AA103" s="18">
        <v>0.1</v>
      </c>
      <c r="AB103" s="18">
        <v>1</v>
      </c>
      <c r="AC103" s="18">
        <v>5.8</v>
      </c>
      <c r="AD103" s="18">
        <v>1.2</v>
      </c>
      <c r="AE103" s="18">
        <v>1.3</v>
      </c>
      <c r="AF103" s="18">
        <v>32</v>
      </c>
      <c r="AG103" s="18">
        <v>3.2</v>
      </c>
      <c r="AH103" s="18">
        <v>29</v>
      </c>
      <c r="AI103" s="18">
        <v>40</v>
      </c>
      <c r="AJ103" s="18">
        <v>0</v>
      </c>
      <c r="AK103" s="18">
        <v>6.0000000000000123E-2</v>
      </c>
      <c r="AL103" s="18"/>
      <c r="AM103" s="18">
        <v>3.1365888235294102</v>
      </c>
      <c r="AN103" s="18">
        <v>1.5889988235294099</v>
      </c>
      <c r="AO103" s="18">
        <v>2.3928017647058799</v>
      </c>
      <c r="AP103" s="18">
        <v>3.0064494117647098</v>
      </c>
      <c r="AQ103" s="18">
        <v>1.4019770588235301</v>
      </c>
      <c r="AR103" s="18">
        <v>3.3427858823529402</v>
      </c>
      <c r="AS103" s="18">
        <v>6.7397088235294103</v>
      </c>
      <c r="AT103" s="18">
        <v>2.3054464705882398</v>
      </c>
      <c r="AU103" s="18">
        <v>4.3413935294117598</v>
      </c>
      <c r="AV103" s="18">
        <v>2.74396</v>
      </c>
      <c r="AW103" s="18">
        <v>4.3438917647058801</v>
      </c>
      <c r="AX103" s="18"/>
      <c r="AY103" s="18">
        <v>0.92</v>
      </c>
      <c r="AZ103" s="18">
        <v>1</v>
      </c>
      <c r="BA103" s="18">
        <v>0.98</v>
      </c>
      <c r="BB103" s="18">
        <v>0.93</v>
      </c>
      <c r="BC103" s="18">
        <v>0.99</v>
      </c>
      <c r="BD103" s="18">
        <v>0.99</v>
      </c>
      <c r="BE103" s="18">
        <v>1</v>
      </c>
      <c r="BF103" s="18">
        <v>0.99</v>
      </c>
      <c r="BG103" s="18">
        <v>1.02</v>
      </c>
      <c r="BH103" s="18">
        <v>1</v>
      </c>
      <c r="BI103" s="18">
        <v>0.96</v>
      </c>
      <c r="BJ103" s="19"/>
      <c r="BK103" s="18">
        <v>10.117647058823493</v>
      </c>
      <c r="BL103" s="18">
        <v>2.4705882352941178</v>
      </c>
      <c r="BM103" s="18">
        <v>1.7647058823529411</v>
      </c>
      <c r="BN103" s="18">
        <v>3.1764705882352939</v>
      </c>
      <c r="BO103" s="18"/>
      <c r="BP103" s="18">
        <v>105</v>
      </c>
      <c r="BQ103" s="18">
        <v>25.941176470588236</v>
      </c>
      <c r="BR103" s="18">
        <v>1.3649179248935295</v>
      </c>
      <c r="BS103" s="18">
        <v>1.3415933340609061</v>
      </c>
      <c r="BT103" s="19"/>
      <c r="BU103" s="18">
        <v>982.35294117647061</v>
      </c>
      <c r="BV103" s="18">
        <v>722.05210084033638</v>
      </c>
      <c r="BW103" s="18">
        <v>61.747983361344588</v>
      </c>
      <c r="BX103" s="18">
        <v>670</v>
      </c>
      <c r="BY103" s="18">
        <v>18.999999999999996</v>
      </c>
      <c r="BZ103" s="18">
        <v>25</v>
      </c>
      <c r="CA103" s="18">
        <v>113</v>
      </c>
      <c r="CB103" s="19"/>
      <c r="CC103" s="19">
        <v>0.36</v>
      </c>
      <c r="CD103" s="19">
        <v>2.5999999999999996</v>
      </c>
      <c r="CE103" s="19">
        <v>8.5000000000000006E-2</v>
      </c>
      <c r="CF103" s="19">
        <v>0.85</v>
      </c>
      <c r="CG103" s="19">
        <v>4.93</v>
      </c>
      <c r="CH103" s="19">
        <v>1.02</v>
      </c>
      <c r="CI103" s="19">
        <v>1.105</v>
      </c>
      <c r="CJ103" s="19"/>
      <c r="CK103" s="19">
        <v>27.2</v>
      </c>
      <c r="CL103" s="19">
        <v>2.72</v>
      </c>
      <c r="CM103" s="19">
        <v>24.65</v>
      </c>
      <c r="CN103" s="19">
        <v>34</v>
      </c>
      <c r="CO103" s="19">
        <v>0</v>
      </c>
      <c r="CP103" s="19">
        <v>5.1000000000000101E-2</v>
      </c>
      <c r="CQ103" s="19">
        <v>71.492682857142896</v>
      </c>
      <c r="CR103" s="19">
        <v>61.622048565318075</v>
      </c>
      <c r="CS103" s="19">
        <v>1.7782038650792586</v>
      </c>
      <c r="CT103" s="19">
        <v>0.97917362673762343</v>
      </c>
      <c r="CU103" s="19">
        <v>1.4450035962084617</v>
      </c>
      <c r="CV103" s="19">
        <v>2.4241772229460938</v>
      </c>
      <c r="CW103" s="19">
        <v>1.7229512164467085</v>
      </c>
      <c r="CX103" s="19">
        <v>0.85528771422221817</v>
      </c>
      <c r="CY103" s="19">
        <v>2.0392942084595407</v>
      </c>
      <c r="CZ103" s="19">
        <v>4.1531466443963048</v>
      </c>
      <c r="DA103" s="19">
        <v>1.4064567103157499</v>
      </c>
      <c r="DB103" s="19">
        <v>2.7287607416877964</v>
      </c>
      <c r="DC103" s="19">
        <v>1.6908843638128948</v>
      </c>
      <c r="DD103" s="19">
        <v>4.4196451055006909</v>
      </c>
      <c r="DE103" s="19">
        <v>2.5697232891570301</v>
      </c>
      <c r="DF103" s="23">
        <v>0</v>
      </c>
      <c r="DG103" s="23">
        <v>0</v>
      </c>
      <c r="DH103" s="23">
        <v>0</v>
      </c>
      <c r="DI103" s="19">
        <v>0</v>
      </c>
      <c r="DJ103" s="19">
        <v>0</v>
      </c>
      <c r="DK103" s="19">
        <v>0</v>
      </c>
      <c r="DL103" s="19">
        <v>0</v>
      </c>
      <c r="DM103" s="19">
        <v>0</v>
      </c>
      <c r="DN103" s="19">
        <v>0</v>
      </c>
      <c r="DO103" s="19">
        <v>0</v>
      </c>
      <c r="DP103" s="19">
        <v>0</v>
      </c>
      <c r="DQ103" s="19">
        <v>0</v>
      </c>
      <c r="DR103" s="19">
        <v>0</v>
      </c>
      <c r="DS103" s="19">
        <v>0</v>
      </c>
      <c r="DT103" s="19">
        <v>0</v>
      </c>
      <c r="DU103" s="19">
        <v>0</v>
      </c>
      <c r="DV103" s="19">
        <v>0</v>
      </c>
      <c r="DW103" s="17" t="s">
        <v>371</v>
      </c>
      <c r="DX103" s="22" t="s">
        <v>218</v>
      </c>
      <c r="DY103" s="22">
        <v>32</v>
      </c>
      <c r="DZ103" s="22">
        <v>16</v>
      </c>
      <c r="EA103" s="22">
        <v>16</v>
      </c>
      <c r="EB103" s="22" t="s">
        <v>218</v>
      </c>
      <c r="EC103" s="22">
        <v>16</v>
      </c>
      <c r="ED103" s="22">
        <v>16</v>
      </c>
      <c r="EE103" s="22" t="s">
        <v>218</v>
      </c>
      <c r="EF103" s="22">
        <v>16</v>
      </c>
      <c r="EG103" s="22">
        <v>16</v>
      </c>
      <c r="EH103" s="22" t="s">
        <v>218</v>
      </c>
      <c r="EI103" s="22" t="s">
        <v>218</v>
      </c>
      <c r="EJ103" s="22" t="s">
        <v>218</v>
      </c>
      <c r="EK103" s="22" t="s">
        <v>218</v>
      </c>
      <c r="EL103" s="22" t="s">
        <v>218</v>
      </c>
      <c r="EM103" s="22" t="s">
        <v>218</v>
      </c>
      <c r="EN103" s="22" t="s">
        <v>218</v>
      </c>
      <c r="EO103" s="22" t="s">
        <v>218</v>
      </c>
      <c r="EP103" s="22" t="s">
        <v>218</v>
      </c>
      <c r="EQ103" s="22" t="s">
        <v>218</v>
      </c>
      <c r="ER103" s="22" t="s">
        <v>218</v>
      </c>
      <c r="ES103" s="22">
        <v>16</v>
      </c>
      <c r="ET103" s="22">
        <v>32</v>
      </c>
      <c r="EU103" s="22" t="s">
        <v>218</v>
      </c>
      <c r="EV103" s="22" t="s">
        <v>218</v>
      </c>
      <c r="EW103" s="22" t="s">
        <v>218</v>
      </c>
      <c r="EX103" s="22" t="s">
        <v>218</v>
      </c>
      <c r="EY103" s="22" t="s">
        <v>218</v>
      </c>
      <c r="EZ103" s="22" t="s">
        <v>218</v>
      </c>
      <c r="FA103" s="22" t="s">
        <v>218</v>
      </c>
      <c r="FB103" s="22" t="s">
        <v>218</v>
      </c>
      <c r="FC103" s="22" t="s">
        <v>218</v>
      </c>
      <c r="FD103" s="22" t="s">
        <v>218</v>
      </c>
      <c r="FE103" s="22" t="s">
        <v>218</v>
      </c>
      <c r="FF103" s="22" t="s">
        <v>218</v>
      </c>
      <c r="FG103" s="22">
        <v>0.6</v>
      </c>
      <c r="FH103" s="22">
        <v>0.3</v>
      </c>
      <c r="FI103" s="22">
        <v>0.1</v>
      </c>
      <c r="FJ103" s="22" t="s">
        <v>218</v>
      </c>
      <c r="FK103" s="22">
        <v>0.9</v>
      </c>
      <c r="FL103" s="22">
        <v>1.1000000000000001</v>
      </c>
      <c r="FM103" s="22" t="s">
        <v>218</v>
      </c>
      <c r="FN103" s="22">
        <v>1.9</v>
      </c>
      <c r="FO103" s="22">
        <v>1.6</v>
      </c>
      <c r="FP103" s="22" t="s">
        <v>218</v>
      </c>
      <c r="FQ103" s="22" t="s">
        <v>218</v>
      </c>
      <c r="FR103" s="22" t="s">
        <v>218</v>
      </c>
      <c r="FS103" s="22" t="s">
        <v>218</v>
      </c>
      <c r="FT103" s="22" t="s">
        <v>218</v>
      </c>
      <c r="FU103" s="22" t="s">
        <v>218</v>
      </c>
      <c r="FV103" s="22" t="s">
        <v>218</v>
      </c>
      <c r="FW103" s="22" t="s">
        <v>218</v>
      </c>
      <c r="FX103" s="22" t="s">
        <v>218</v>
      </c>
      <c r="FY103" s="22" t="s">
        <v>218</v>
      </c>
      <c r="FZ103" s="22" t="s">
        <v>218</v>
      </c>
      <c r="GA103" s="22">
        <v>0.1</v>
      </c>
      <c r="GB103" s="22">
        <v>0.3</v>
      </c>
      <c r="GC103" s="22" t="s">
        <v>218</v>
      </c>
      <c r="GD103" s="22" t="s">
        <v>218</v>
      </c>
      <c r="GE103" s="22" t="s">
        <v>218</v>
      </c>
      <c r="GF103" s="22" t="s">
        <v>218</v>
      </c>
      <c r="GG103" s="22" t="s">
        <v>218</v>
      </c>
      <c r="GH103" s="22" t="s">
        <v>218</v>
      </c>
      <c r="GI103" s="22" t="s">
        <v>218</v>
      </c>
      <c r="GJ103" s="22" t="s">
        <v>218</v>
      </c>
      <c r="GK103" s="22" t="s">
        <v>218</v>
      </c>
      <c r="GL103" s="22" t="s">
        <v>218</v>
      </c>
      <c r="GM103" s="22" t="s">
        <v>218</v>
      </c>
      <c r="GN103" s="22" t="s">
        <v>218</v>
      </c>
      <c r="GO103" s="22">
        <v>2015</v>
      </c>
      <c r="GP103" s="22">
        <v>2015</v>
      </c>
      <c r="GQ103" s="22">
        <v>2015</v>
      </c>
      <c r="GR103" s="22" t="s">
        <v>218</v>
      </c>
      <c r="GS103" s="22">
        <v>2015</v>
      </c>
      <c r="GT103" s="22">
        <v>2015</v>
      </c>
      <c r="GU103" s="22" t="s">
        <v>218</v>
      </c>
      <c r="GV103" s="22">
        <v>2015</v>
      </c>
      <c r="GW103" s="22">
        <v>2015</v>
      </c>
      <c r="GX103" s="22" t="s">
        <v>218</v>
      </c>
      <c r="GY103" s="22" t="s">
        <v>218</v>
      </c>
      <c r="GZ103" s="22" t="s">
        <v>218</v>
      </c>
      <c r="HA103" s="22" t="s">
        <v>218</v>
      </c>
      <c r="HB103" s="22" t="s">
        <v>218</v>
      </c>
      <c r="HC103" s="22" t="s">
        <v>218</v>
      </c>
      <c r="HD103" s="22" t="s">
        <v>218</v>
      </c>
      <c r="HE103" s="22" t="s">
        <v>218</v>
      </c>
      <c r="HF103" s="22" t="s">
        <v>218</v>
      </c>
      <c r="HG103" s="22" t="s">
        <v>218</v>
      </c>
      <c r="HH103" s="22" t="s">
        <v>218</v>
      </c>
      <c r="HI103" s="22">
        <v>2015</v>
      </c>
      <c r="HJ103" s="22">
        <v>2015</v>
      </c>
      <c r="HK103" s="22" t="s">
        <v>218</v>
      </c>
      <c r="HL103" s="22" t="s">
        <v>218</v>
      </c>
      <c r="HM103" s="622">
        <f>'background data'!$G$10</f>
        <v>0.47300000000000003</v>
      </c>
      <c r="HN103" s="622">
        <f>'background data'!$H$10</f>
        <v>0.13</v>
      </c>
      <c r="HO103" s="622">
        <f>'background data'!$J$10</f>
        <v>0.39100000000000001</v>
      </c>
      <c r="HP103" s="622">
        <f>'background data'!$L$10</f>
        <v>5.5E-2</v>
      </c>
      <c r="HQ103" s="622">
        <f>'background data'!$M$10</f>
        <v>3.97</v>
      </c>
      <c r="HR103" s="622">
        <f>'background data'!$N$10</f>
        <v>4.5999999999999999E-3</v>
      </c>
      <c r="HS103" s="622">
        <f>'background data'!$O$10</f>
        <v>2.73</v>
      </c>
      <c r="HT103" s="145" t="s">
        <v>1797</v>
      </c>
      <c r="HU103" s="145" t="s">
        <v>1809</v>
      </c>
      <c r="HV103" s="22" t="s">
        <v>1396</v>
      </c>
      <c r="HW103" s="22" t="s">
        <v>376</v>
      </c>
      <c r="HX103" s="22" t="s">
        <v>373</v>
      </c>
      <c r="HY103" s="22" t="s">
        <v>374</v>
      </c>
      <c r="HZ103" s="19"/>
      <c r="IA103" s="19"/>
      <c r="IB103" s="622">
        <f>'background data'!$G$10</f>
        <v>0.47300000000000003</v>
      </c>
      <c r="IC103" s="622">
        <f>'background data'!$H$10</f>
        <v>0.13</v>
      </c>
      <c r="ID103" s="622">
        <f>'background data'!$J$10</f>
        <v>0.39100000000000001</v>
      </c>
      <c r="IE103" s="622">
        <f>'background data'!$L$10</f>
        <v>5.5E-2</v>
      </c>
      <c r="IF103" s="622">
        <f>'background data'!$M$10</f>
        <v>3.97</v>
      </c>
      <c r="IG103" s="622">
        <f>'background data'!$N$10</f>
        <v>4.5999999999999999E-3</v>
      </c>
      <c r="IH103" s="622">
        <f>'background data'!$O$10</f>
        <v>2.73</v>
      </c>
      <c r="II103" s="145" t="s">
        <v>1797</v>
      </c>
      <c r="IJ103" s="145" t="s">
        <v>1396</v>
      </c>
      <c r="IK103" s="145"/>
      <c r="IL103" s="145"/>
      <c r="IM103" s="145"/>
      <c r="IN103" s="145"/>
      <c r="IO103" s="145"/>
      <c r="IP103" s="145"/>
      <c r="IQ103" s="145"/>
      <c r="IR103" s="145"/>
      <c r="IS103" s="145"/>
      <c r="IT103" s="145"/>
      <c r="IU103" s="145"/>
      <c r="IV103" s="145"/>
      <c r="IW103" s="145"/>
      <c r="IX103" s="145"/>
      <c r="IY103" s="145"/>
      <c r="IZ103" s="145"/>
      <c r="JA103" s="145"/>
      <c r="JB103" s="145"/>
      <c r="JC103" s="145"/>
      <c r="JD103" s="145"/>
      <c r="JE103" s="145"/>
      <c r="JF103" s="145"/>
      <c r="JG103" s="145"/>
      <c r="JH103" s="145"/>
      <c r="JI103" s="145"/>
      <c r="JJ103" s="145"/>
      <c r="JK103" s="145"/>
      <c r="JL103" s="145"/>
      <c r="JM103" s="145"/>
      <c r="JN103" s="145"/>
      <c r="JO103" s="145"/>
      <c r="JP103" s="145"/>
      <c r="JQ103" s="145"/>
      <c r="JR103" s="145"/>
      <c r="JS103" s="145"/>
      <c r="JT103" s="145"/>
      <c r="JU103" s="145"/>
      <c r="JV103" s="145"/>
      <c r="JW103" s="145"/>
      <c r="JX103" s="145"/>
      <c r="JY103" s="145"/>
      <c r="JZ103" s="145"/>
      <c r="KA103" s="145"/>
      <c r="KB103" s="145"/>
      <c r="KC103" s="145"/>
      <c r="KD103" s="145"/>
      <c r="KE103" s="145"/>
      <c r="KF103" s="145"/>
      <c r="KG103" s="145"/>
      <c r="KH103" s="145"/>
      <c r="KI103" s="145"/>
      <c r="KJ103" s="145"/>
      <c r="KK103" s="145"/>
      <c r="KL103" s="145"/>
      <c r="KM103" s="145"/>
      <c r="KN103" s="145"/>
      <c r="KO103" s="145"/>
      <c r="KP103" s="145"/>
      <c r="KQ103" s="145"/>
      <c r="KR103" s="145"/>
      <c r="KS103" s="145"/>
      <c r="KT103" s="145"/>
      <c r="KU103" s="145"/>
      <c r="KV103" s="145"/>
      <c r="KW103" s="145"/>
      <c r="KX103" s="145"/>
      <c r="KY103" s="145"/>
      <c r="KZ103" s="145"/>
      <c r="LA103" s="145"/>
      <c r="LB103" s="145"/>
      <c r="LC103" s="145"/>
      <c r="LD103" s="145"/>
      <c r="LE103" s="145"/>
      <c r="LF103" s="145"/>
      <c r="LG103" s="145"/>
      <c r="LH103" s="145"/>
      <c r="LI103" s="145"/>
      <c r="LJ103" s="145"/>
      <c r="LK103" s="145"/>
      <c r="LL103" s="145"/>
      <c r="LM103" s="145"/>
      <c r="LN103" s="145"/>
      <c r="LO103" s="145"/>
      <c r="LP103" s="145"/>
      <c r="LQ103" s="145"/>
      <c r="LR103" s="145"/>
      <c r="LS103" s="145"/>
      <c r="LT103" s="145"/>
      <c r="LU103" s="145"/>
      <c r="LV103" s="145"/>
      <c r="LW103" s="145"/>
      <c r="LX103" s="145"/>
      <c r="LY103" s="145"/>
      <c r="LZ103" s="145"/>
      <c r="MA103" s="145"/>
      <c r="MB103" s="145"/>
      <c r="MC103" s="145"/>
      <c r="MD103" s="145"/>
      <c r="ME103" s="145"/>
      <c r="MF103" s="145"/>
      <c r="MG103" s="145"/>
      <c r="MH103" s="145"/>
      <c r="MI103" s="145"/>
      <c r="MJ103" s="145"/>
      <c r="MK103" s="145"/>
      <c r="ML103" s="145"/>
      <c r="MM103" s="145"/>
      <c r="MN103" s="145"/>
      <c r="MO103" s="145"/>
      <c r="MP103" s="145"/>
      <c r="MQ103" s="145"/>
      <c r="MR103" s="145"/>
      <c r="MS103" s="145"/>
      <c r="MT103" s="145"/>
      <c r="MU103" s="145"/>
      <c r="MV103" s="145"/>
      <c r="MW103" s="145"/>
      <c r="MX103" s="145"/>
      <c r="MY103" s="145"/>
      <c r="MZ103" s="145"/>
      <c r="NA103" s="145"/>
      <c r="NB103" s="145"/>
      <c r="NC103" s="145"/>
      <c r="ND103" s="145"/>
      <c r="NE103" s="145"/>
      <c r="NF103" s="145"/>
      <c r="NG103" s="145"/>
      <c r="NH103" s="145"/>
      <c r="NI103" s="145"/>
      <c r="NJ103" s="145"/>
      <c r="NK103" s="145"/>
      <c r="NL103" s="145"/>
      <c r="NM103" s="145"/>
      <c r="NN103" s="145"/>
      <c r="NO103" s="145"/>
      <c r="NP103" s="145"/>
      <c r="NQ103" s="145"/>
      <c r="NR103" s="145"/>
      <c r="NS103" s="145"/>
    </row>
    <row r="104" spans="1:383" s="16" customFormat="1" ht="15" customHeight="1" x14ac:dyDescent="0.2">
      <c r="A104" s="15">
        <v>51400</v>
      </c>
      <c r="B104" s="25">
        <v>514</v>
      </c>
      <c r="C104" s="26">
        <v>0</v>
      </c>
      <c r="D104" s="20" t="s">
        <v>391</v>
      </c>
      <c r="E104" s="14">
        <v>42517</v>
      </c>
      <c r="F104" s="18">
        <v>1.29950735578784</v>
      </c>
      <c r="G104" s="18">
        <v>1.26482970686456</v>
      </c>
      <c r="H104" s="21">
        <v>94.6</v>
      </c>
      <c r="I104" s="21">
        <v>92</v>
      </c>
      <c r="J104" s="21">
        <v>93</v>
      </c>
      <c r="K104" s="18">
        <v>1</v>
      </c>
      <c r="L104" s="18">
        <v>93</v>
      </c>
      <c r="M104" s="18">
        <v>80</v>
      </c>
      <c r="N104" s="18">
        <v>6.6</v>
      </c>
      <c r="O104" s="18">
        <v>0.999999999999999</v>
      </c>
      <c r="P104" s="18">
        <v>0.999999999999999</v>
      </c>
      <c r="Q104" s="19"/>
      <c r="R104" s="18">
        <v>92.245360714285695</v>
      </c>
      <c r="S104" s="18">
        <v>20</v>
      </c>
      <c r="T104" s="18">
        <v>37</v>
      </c>
      <c r="U104" s="18">
        <v>44</v>
      </c>
      <c r="V104" s="18">
        <v>50</v>
      </c>
      <c r="W104" s="18">
        <v>54</v>
      </c>
      <c r="X104" s="18"/>
      <c r="Y104" s="18" t="s">
        <v>217</v>
      </c>
      <c r="Z104" s="18" t="s">
        <v>217</v>
      </c>
      <c r="AA104" s="18">
        <v>0</v>
      </c>
      <c r="AB104" s="18">
        <v>0</v>
      </c>
      <c r="AC104" s="18">
        <v>0</v>
      </c>
      <c r="AD104" s="18">
        <v>0</v>
      </c>
      <c r="AE104" s="18">
        <v>0</v>
      </c>
      <c r="AF104" s="18">
        <v>0</v>
      </c>
      <c r="AG104" s="18">
        <v>0</v>
      </c>
      <c r="AH104" s="18">
        <v>0</v>
      </c>
      <c r="AI104" s="18">
        <v>0</v>
      </c>
      <c r="AJ104" s="18">
        <v>0</v>
      </c>
      <c r="AK104" s="18">
        <v>0</v>
      </c>
      <c r="AL104" s="18"/>
      <c r="AM104" s="18" t="s">
        <v>217</v>
      </c>
      <c r="AN104" s="18" t="s">
        <v>217</v>
      </c>
      <c r="AO104" s="18" t="s">
        <v>217</v>
      </c>
      <c r="AP104" s="18" t="s">
        <v>217</v>
      </c>
      <c r="AQ104" s="18" t="s">
        <v>217</v>
      </c>
      <c r="AR104" s="18" t="s">
        <v>217</v>
      </c>
      <c r="AS104" s="18" t="s">
        <v>217</v>
      </c>
      <c r="AT104" s="18" t="s">
        <v>217</v>
      </c>
      <c r="AU104" s="18" t="s">
        <v>217</v>
      </c>
      <c r="AV104" s="18" t="s">
        <v>217</v>
      </c>
      <c r="AW104" s="18" t="s">
        <v>217</v>
      </c>
      <c r="AX104" s="18"/>
      <c r="AY104" s="18">
        <v>1</v>
      </c>
      <c r="AZ104" s="18">
        <v>1</v>
      </c>
      <c r="BA104" s="18">
        <v>1</v>
      </c>
      <c r="BB104" s="18">
        <v>1</v>
      </c>
      <c r="BC104" s="18">
        <v>1</v>
      </c>
      <c r="BD104" s="18">
        <v>1</v>
      </c>
      <c r="BE104" s="18">
        <v>1</v>
      </c>
      <c r="BF104" s="18">
        <v>1</v>
      </c>
      <c r="BG104" s="18">
        <v>1</v>
      </c>
      <c r="BH104" s="18">
        <v>1</v>
      </c>
      <c r="BI104" s="18">
        <v>1</v>
      </c>
      <c r="BJ104" s="19"/>
      <c r="BK104" s="18">
        <v>86.021505376344081</v>
      </c>
      <c r="BL104" s="18">
        <v>7.096774193548387</v>
      </c>
      <c r="BM104" s="18">
        <v>1.0752688172042999</v>
      </c>
      <c r="BN104" s="18">
        <v>1.0752688172042999</v>
      </c>
      <c r="BO104" s="18"/>
      <c r="BP104" s="18">
        <v>0</v>
      </c>
      <c r="BQ104" s="18">
        <v>0</v>
      </c>
      <c r="BR104" s="18">
        <v>1.3973197374062796</v>
      </c>
      <c r="BS104" s="18">
        <v>1.3600319428651182</v>
      </c>
      <c r="BT104" s="19"/>
      <c r="BU104" s="18">
        <v>989.24731182795699</v>
      </c>
      <c r="BV104" s="18">
        <v>47.450076804915476</v>
      </c>
      <c r="BW104" s="18">
        <v>36.743471582181186</v>
      </c>
      <c r="BX104" s="18" t="s">
        <v>217</v>
      </c>
      <c r="BY104" s="18" t="s">
        <v>217</v>
      </c>
      <c r="BZ104" s="18">
        <v>1.7117050691244191</v>
      </c>
      <c r="CA104" s="18">
        <v>26.816712749616023</v>
      </c>
      <c r="CB104" s="19"/>
      <c r="CC104" s="19" t="s">
        <v>217</v>
      </c>
      <c r="CD104" s="19" t="s">
        <v>217</v>
      </c>
      <c r="CE104" s="19">
        <v>0</v>
      </c>
      <c r="CF104" s="19">
        <v>0</v>
      </c>
      <c r="CG104" s="19">
        <v>0</v>
      </c>
      <c r="CH104" s="19">
        <v>0</v>
      </c>
      <c r="CI104" s="19">
        <v>0</v>
      </c>
      <c r="CJ104" s="19"/>
      <c r="CK104" s="19">
        <v>0</v>
      </c>
      <c r="CL104" s="19">
        <v>0</v>
      </c>
      <c r="CM104" s="19">
        <v>0</v>
      </c>
      <c r="CN104" s="19">
        <v>0</v>
      </c>
      <c r="CO104" s="19">
        <v>0</v>
      </c>
      <c r="CP104" s="19">
        <v>0</v>
      </c>
      <c r="CQ104" s="19">
        <v>737.96288571428602</v>
      </c>
      <c r="CR104" s="19">
        <v>567.87895999779721</v>
      </c>
      <c r="CS104" s="19" t="s">
        <v>217</v>
      </c>
      <c r="CT104" s="19" t="s">
        <v>217</v>
      </c>
      <c r="CU104" s="19" t="s">
        <v>217</v>
      </c>
      <c r="CV104" s="19" t="s">
        <v>217</v>
      </c>
      <c r="CW104" s="19" t="s">
        <v>217</v>
      </c>
      <c r="CX104" s="19" t="s">
        <v>217</v>
      </c>
      <c r="CY104" s="19" t="s">
        <v>217</v>
      </c>
      <c r="CZ104" s="19" t="s">
        <v>217</v>
      </c>
      <c r="DA104" s="19" t="s">
        <v>217</v>
      </c>
      <c r="DB104" s="19" t="s">
        <v>217</v>
      </c>
      <c r="DC104" s="19" t="s">
        <v>217</v>
      </c>
      <c r="DD104" s="19" t="s">
        <v>217</v>
      </c>
      <c r="DE104" s="19" t="s">
        <v>217</v>
      </c>
      <c r="DF104" s="23">
        <v>0</v>
      </c>
      <c r="DG104" s="23">
        <v>0</v>
      </c>
      <c r="DH104" s="23">
        <v>0</v>
      </c>
      <c r="DI104" s="19">
        <v>0</v>
      </c>
      <c r="DJ104" s="19">
        <v>0</v>
      </c>
      <c r="DK104" s="19">
        <v>0</v>
      </c>
      <c r="DL104" s="19">
        <v>0</v>
      </c>
      <c r="DM104" s="19">
        <v>0</v>
      </c>
      <c r="DN104" s="19">
        <v>0</v>
      </c>
      <c r="DO104" s="19">
        <v>0</v>
      </c>
      <c r="DP104" s="19">
        <v>0</v>
      </c>
      <c r="DQ104" s="19">
        <v>0</v>
      </c>
      <c r="DR104" s="19">
        <v>0</v>
      </c>
      <c r="DS104" s="19">
        <v>0</v>
      </c>
      <c r="DT104" s="19">
        <v>0</v>
      </c>
      <c r="DU104" s="19">
        <v>0</v>
      </c>
      <c r="DV104" s="19">
        <v>0</v>
      </c>
      <c r="DW104" s="17" t="s">
        <v>392</v>
      </c>
      <c r="DX104" s="22" t="s">
        <v>218</v>
      </c>
      <c r="DY104" s="22" t="s">
        <v>218</v>
      </c>
      <c r="DZ104" s="22" t="s">
        <v>218</v>
      </c>
      <c r="EA104" s="22" t="s">
        <v>218</v>
      </c>
      <c r="EB104" s="22" t="s">
        <v>218</v>
      </c>
      <c r="EC104" s="22" t="s">
        <v>218</v>
      </c>
      <c r="ED104" s="22" t="s">
        <v>218</v>
      </c>
      <c r="EE104" s="22" t="s">
        <v>218</v>
      </c>
      <c r="EF104" s="22" t="s">
        <v>218</v>
      </c>
      <c r="EG104" s="22" t="s">
        <v>218</v>
      </c>
      <c r="EH104" s="22" t="s">
        <v>218</v>
      </c>
      <c r="EI104" s="22" t="s">
        <v>218</v>
      </c>
      <c r="EJ104" s="22" t="s">
        <v>218</v>
      </c>
      <c r="EK104" s="22" t="s">
        <v>218</v>
      </c>
      <c r="EL104" s="22" t="s">
        <v>218</v>
      </c>
      <c r="EM104" s="22" t="s">
        <v>218</v>
      </c>
      <c r="EN104" s="22" t="s">
        <v>218</v>
      </c>
      <c r="EO104" s="22" t="s">
        <v>218</v>
      </c>
      <c r="EP104" s="22" t="s">
        <v>218</v>
      </c>
      <c r="EQ104" s="22" t="s">
        <v>218</v>
      </c>
      <c r="ER104" s="22" t="s">
        <v>218</v>
      </c>
      <c r="ES104" s="22" t="s">
        <v>218</v>
      </c>
      <c r="ET104" s="22" t="s">
        <v>218</v>
      </c>
      <c r="EU104" s="22" t="s">
        <v>218</v>
      </c>
      <c r="EV104" s="22" t="s">
        <v>218</v>
      </c>
      <c r="EW104" s="22" t="s">
        <v>218</v>
      </c>
      <c r="EX104" s="22" t="s">
        <v>218</v>
      </c>
      <c r="EY104" s="22" t="s">
        <v>218</v>
      </c>
      <c r="EZ104" s="22" t="s">
        <v>218</v>
      </c>
      <c r="FA104" s="22" t="s">
        <v>218</v>
      </c>
      <c r="FB104" s="22" t="s">
        <v>218</v>
      </c>
      <c r="FC104" s="22" t="s">
        <v>218</v>
      </c>
      <c r="FD104" s="22" t="s">
        <v>218</v>
      </c>
      <c r="FE104" s="22" t="s">
        <v>218</v>
      </c>
      <c r="FF104" s="22" t="s">
        <v>218</v>
      </c>
      <c r="FG104" s="22" t="s">
        <v>218</v>
      </c>
      <c r="FH104" s="22" t="s">
        <v>218</v>
      </c>
      <c r="FI104" s="22" t="s">
        <v>218</v>
      </c>
      <c r="FJ104" s="22" t="s">
        <v>218</v>
      </c>
      <c r="FK104" s="22" t="s">
        <v>218</v>
      </c>
      <c r="FL104" s="22" t="s">
        <v>218</v>
      </c>
      <c r="FM104" s="22" t="s">
        <v>218</v>
      </c>
      <c r="FN104" s="22" t="s">
        <v>218</v>
      </c>
      <c r="FO104" s="22" t="s">
        <v>218</v>
      </c>
      <c r="FP104" s="22" t="s">
        <v>218</v>
      </c>
      <c r="FQ104" s="22" t="s">
        <v>218</v>
      </c>
      <c r="FR104" s="22" t="s">
        <v>218</v>
      </c>
      <c r="FS104" s="22" t="s">
        <v>218</v>
      </c>
      <c r="FT104" s="22" t="s">
        <v>218</v>
      </c>
      <c r="FU104" s="22" t="s">
        <v>218</v>
      </c>
      <c r="FV104" s="22" t="s">
        <v>218</v>
      </c>
      <c r="FW104" s="22" t="s">
        <v>218</v>
      </c>
      <c r="FX104" s="22" t="s">
        <v>218</v>
      </c>
      <c r="FY104" s="22" t="s">
        <v>218</v>
      </c>
      <c r="FZ104" s="22" t="s">
        <v>218</v>
      </c>
      <c r="GA104" s="22" t="s">
        <v>218</v>
      </c>
      <c r="GB104" s="22" t="s">
        <v>218</v>
      </c>
      <c r="GC104" s="22" t="s">
        <v>218</v>
      </c>
      <c r="GD104" s="22" t="s">
        <v>218</v>
      </c>
      <c r="GE104" s="22" t="s">
        <v>218</v>
      </c>
      <c r="GF104" s="22" t="s">
        <v>218</v>
      </c>
      <c r="GG104" s="22" t="s">
        <v>218</v>
      </c>
      <c r="GH104" s="22" t="s">
        <v>218</v>
      </c>
      <c r="GI104" s="22" t="s">
        <v>218</v>
      </c>
      <c r="GJ104" s="22" t="s">
        <v>218</v>
      </c>
      <c r="GK104" s="22" t="s">
        <v>218</v>
      </c>
      <c r="GL104" s="22" t="s">
        <v>218</v>
      </c>
      <c r="GM104" s="22" t="s">
        <v>218</v>
      </c>
      <c r="GN104" s="22" t="s">
        <v>218</v>
      </c>
      <c r="GO104" s="22" t="s">
        <v>218</v>
      </c>
      <c r="GP104" s="22" t="s">
        <v>218</v>
      </c>
      <c r="GQ104" s="22" t="s">
        <v>218</v>
      </c>
      <c r="GR104" s="22" t="s">
        <v>218</v>
      </c>
      <c r="GS104" s="22" t="s">
        <v>218</v>
      </c>
      <c r="GT104" s="22" t="s">
        <v>218</v>
      </c>
      <c r="GU104" s="22" t="s">
        <v>218</v>
      </c>
      <c r="GV104" s="22" t="s">
        <v>218</v>
      </c>
      <c r="GW104" s="22" t="s">
        <v>218</v>
      </c>
      <c r="GX104" s="22" t="s">
        <v>218</v>
      </c>
      <c r="GY104" s="22" t="s">
        <v>218</v>
      </c>
      <c r="GZ104" s="22" t="s">
        <v>218</v>
      </c>
      <c r="HA104" s="22" t="s">
        <v>218</v>
      </c>
      <c r="HB104" s="22" t="s">
        <v>218</v>
      </c>
      <c r="HC104" s="22" t="s">
        <v>218</v>
      </c>
      <c r="HD104" s="22" t="s">
        <v>218</v>
      </c>
      <c r="HE104" s="22" t="s">
        <v>218</v>
      </c>
      <c r="HF104" s="22" t="s">
        <v>218</v>
      </c>
      <c r="HG104" s="22" t="s">
        <v>218</v>
      </c>
      <c r="HH104" s="22" t="s">
        <v>218</v>
      </c>
      <c r="HI104" s="22" t="s">
        <v>218</v>
      </c>
      <c r="HJ104" s="22" t="s">
        <v>218</v>
      </c>
      <c r="HK104" s="22" t="s">
        <v>218</v>
      </c>
      <c r="HL104" s="22" t="s">
        <v>218</v>
      </c>
      <c r="HM104" s="622">
        <f>'background data'!$G$10</f>
        <v>0.47300000000000003</v>
      </c>
      <c r="HN104" s="622">
        <f>'background data'!$H$10</f>
        <v>0.13</v>
      </c>
      <c r="HO104" s="622">
        <f>'background data'!$J$10</f>
        <v>0.39100000000000001</v>
      </c>
      <c r="HP104" s="622">
        <f>'background data'!$L$10</f>
        <v>5.5E-2</v>
      </c>
      <c r="HQ104" s="622">
        <f>'background data'!$M$10</f>
        <v>3.97</v>
      </c>
      <c r="HR104" s="622">
        <f>'background data'!$N$10</f>
        <v>4.5999999999999999E-3</v>
      </c>
      <c r="HS104" s="622">
        <f>'background data'!$O$10</f>
        <v>2.73</v>
      </c>
      <c r="HT104" s="145" t="s">
        <v>1797</v>
      </c>
      <c r="HU104" s="145" t="s">
        <v>1809</v>
      </c>
      <c r="HV104" s="22" t="s">
        <v>1941</v>
      </c>
      <c r="HW104" s="22" t="s">
        <v>393</v>
      </c>
      <c r="HX104" s="22">
        <v>0</v>
      </c>
      <c r="HY104" s="22" t="s">
        <v>394</v>
      </c>
      <c r="HZ104" s="19"/>
      <c r="IA104" s="19"/>
      <c r="IB104" s="622">
        <f>'background data'!$G$10</f>
        <v>0.47300000000000003</v>
      </c>
      <c r="IC104" s="622">
        <f>'background data'!$H$10</f>
        <v>0.13</v>
      </c>
      <c r="ID104" s="622">
        <f>'background data'!$J$10</f>
        <v>0.39100000000000001</v>
      </c>
      <c r="IE104" s="622">
        <f>'background data'!$L$10</f>
        <v>5.5E-2</v>
      </c>
      <c r="IF104" s="622">
        <f>'background data'!$M$10</f>
        <v>3.97</v>
      </c>
      <c r="IG104" s="622">
        <f>'background data'!$N$10</f>
        <v>4.5999999999999999E-3</v>
      </c>
      <c r="IH104" s="622">
        <f>'background data'!$O$10</f>
        <v>2.73</v>
      </c>
      <c r="II104" s="145" t="s">
        <v>1797</v>
      </c>
      <c r="IJ104" s="145"/>
      <c r="IK104" s="145"/>
      <c r="IL104" s="145"/>
      <c r="IM104" s="145"/>
      <c r="IN104" s="145"/>
      <c r="IO104" s="145"/>
      <c r="IP104" s="145"/>
      <c r="IQ104" s="145"/>
      <c r="IR104" s="145"/>
      <c r="IS104" s="145"/>
      <c r="IT104" s="145"/>
      <c r="IU104" s="145"/>
      <c r="IV104" s="145"/>
      <c r="IW104" s="145"/>
      <c r="IX104" s="145"/>
      <c r="IY104" s="145"/>
      <c r="IZ104" s="145"/>
      <c r="JA104" s="145"/>
      <c r="JB104" s="145"/>
      <c r="JC104" s="145"/>
      <c r="JD104" s="145"/>
      <c r="JE104" s="145"/>
      <c r="JF104" s="145"/>
      <c r="JG104" s="145"/>
      <c r="JH104" s="145"/>
      <c r="JI104" s="145"/>
      <c r="JJ104" s="145"/>
      <c r="JK104" s="145"/>
      <c r="JL104" s="145"/>
      <c r="JM104" s="145"/>
      <c r="JN104" s="145"/>
      <c r="JO104" s="145"/>
      <c r="JP104" s="145"/>
      <c r="JQ104" s="145"/>
      <c r="JR104" s="145"/>
      <c r="JS104" s="145"/>
      <c r="JT104" s="145"/>
      <c r="JU104" s="145"/>
      <c r="JV104" s="145"/>
      <c r="JW104" s="145"/>
      <c r="JX104" s="145"/>
      <c r="JY104" s="145"/>
      <c r="JZ104" s="145"/>
      <c r="KA104" s="145"/>
      <c r="KB104" s="145"/>
      <c r="KC104" s="145"/>
      <c r="KD104" s="145"/>
      <c r="KE104" s="145"/>
      <c r="KF104" s="145"/>
      <c r="KG104" s="145"/>
      <c r="KH104" s="145"/>
      <c r="KI104" s="145"/>
      <c r="KJ104" s="145"/>
      <c r="KK104" s="145"/>
      <c r="KL104" s="145"/>
      <c r="KM104" s="145"/>
      <c r="KN104" s="145"/>
      <c r="KO104" s="145"/>
      <c r="KP104" s="145"/>
      <c r="KQ104" s="145"/>
      <c r="KR104" s="145"/>
      <c r="KS104" s="145"/>
      <c r="KT104" s="145"/>
      <c r="KU104" s="145"/>
      <c r="KV104" s="145"/>
      <c r="KW104" s="145"/>
      <c r="KX104" s="145"/>
      <c r="KY104" s="145"/>
      <c r="KZ104" s="145"/>
      <c r="LA104" s="145"/>
      <c r="LB104" s="145"/>
      <c r="LC104" s="145"/>
      <c r="LD104" s="145"/>
      <c r="LE104" s="145"/>
      <c r="LF104" s="145"/>
      <c r="LG104" s="145"/>
      <c r="LH104" s="145"/>
      <c r="LI104" s="145"/>
      <c r="LJ104" s="145"/>
      <c r="LK104" s="145"/>
      <c r="LL104" s="145"/>
      <c r="LM104" s="145"/>
      <c r="LN104" s="145"/>
      <c r="LO104" s="145"/>
      <c r="LP104" s="145"/>
      <c r="LQ104" s="145"/>
      <c r="LR104" s="145"/>
      <c r="LS104" s="145"/>
      <c r="LT104" s="145"/>
      <c r="LU104" s="145"/>
      <c r="LV104" s="145"/>
      <c r="LW104" s="145"/>
      <c r="LX104" s="145"/>
      <c r="LY104" s="145"/>
      <c r="LZ104" s="145"/>
      <c r="MA104" s="145"/>
      <c r="MB104" s="145"/>
      <c r="MC104" s="145"/>
      <c r="MD104" s="145"/>
      <c r="ME104" s="145"/>
      <c r="MF104" s="145"/>
      <c r="MG104" s="145"/>
      <c r="MH104" s="145"/>
      <c r="MI104" s="145"/>
      <c r="MJ104" s="145"/>
      <c r="MK104" s="145"/>
      <c r="ML104" s="145"/>
      <c r="MM104" s="145"/>
      <c r="MN104" s="145"/>
      <c r="MO104" s="145"/>
      <c r="MP104" s="145"/>
      <c r="MQ104" s="145"/>
      <c r="MR104" s="145"/>
      <c r="MS104" s="145"/>
      <c r="MT104" s="145"/>
      <c r="MU104" s="145"/>
      <c r="MV104" s="145"/>
      <c r="MW104" s="145"/>
      <c r="MX104" s="145"/>
      <c r="MY104" s="145"/>
      <c r="MZ104" s="145"/>
      <c r="NA104" s="145"/>
      <c r="NB104" s="145"/>
      <c r="NC104" s="145"/>
      <c r="ND104" s="145"/>
      <c r="NE104" s="145"/>
      <c r="NF104" s="145"/>
      <c r="NG104" s="145"/>
      <c r="NH104" s="145"/>
      <c r="NI104" s="145"/>
      <c r="NJ104" s="145"/>
      <c r="NK104" s="145"/>
      <c r="NL104" s="145"/>
      <c r="NM104" s="145"/>
      <c r="NN104" s="145"/>
      <c r="NO104" s="145"/>
      <c r="NP104" s="145"/>
      <c r="NQ104" s="145"/>
      <c r="NR104" s="145"/>
      <c r="NS104" s="145"/>
    </row>
    <row r="105" spans="1:383" s="16" customFormat="1" ht="15" customHeight="1" x14ac:dyDescent="0.2">
      <c r="A105" s="15">
        <v>51500</v>
      </c>
      <c r="B105" s="25">
        <v>515</v>
      </c>
      <c r="C105" s="26">
        <v>0</v>
      </c>
      <c r="D105" s="20" t="s">
        <v>395</v>
      </c>
      <c r="E105" s="14">
        <v>42517</v>
      </c>
      <c r="F105" s="18">
        <v>0.84558178353658597</v>
      </c>
      <c r="G105" s="18">
        <v>0.88886649212987001</v>
      </c>
      <c r="H105" s="21">
        <v>74.099999999999994</v>
      </c>
      <c r="I105" s="21">
        <v>63.7</v>
      </c>
      <c r="J105" s="21">
        <v>84</v>
      </c>
      <c r="K105" s="18">
        <v>1</v>
      </c>
      <c r="L105" s="18">
        <v>90.5</v>
      </c>
      <c r="M105" s="18">
        <v>15.023</v>
      </c>
      <c r="N105" s="18">
        <v>4.6154999999999999</v>
      </c>
      <c r="O105" s="18">
        <v>6.2445000000000004</v>
      </c>
      <c r="P105" s="18">
        <v>5.2115171650055396</v>
      </c>
      <c r="Q105" s="19"/>
      <c r="R105" s="18">
        <v>67.948521686747</v>
      </c>
      <c r="S105" s="18">
        <v>26</v>
      </c>
      <c r="T105" s="18">
        <v>40</v>
      </c>
      <c r="U105" s="18">
        <v>46</v>
      </c>
      <c r="V105" s="18">
        <v>51</v>
      </c>
      <c r="W105" s="18">
        <v>54</v>
      </c>
      <c r="X105" s="18"/>
      <c r="Y105" s="18">
        <v>1.8</v>
      </c>
      <c r="Z105" s="18">
        <v>9.9</v>
      </c>
      <c r="AA105" s="18">
        <v>5.8011049723756907</v>
      </c>
      <c r="AB105" s="18" t="s">
        <v>217</v>
      </c>
      <c r="AC105" s="18">
        <v>15</v>
      </c>
      <c r="AD105" s="18">
        <v>3.4</v>
      </c>
      <c r="AE105" s="18">
        <v>4.5</v>
      </c>
      <c r="AF105" s="18">
        <v>160.00000000000003</v>
      </c>
      <c r="AG105" s="18">
        <v>10.000000000000002</v>
      </c>
      <c r="AH105" s="18">
        <v>99</v>
      </c>
      <c r="AI105" s="18">
        <v>64</v>
      </c>
      <c r="AJ105" s="18">
        <v>0</v>
      </c>
      <c r="AK105" s="18">
        <v>0</v>
      </c>
      <c r="AL105" s="18"/>
      <c r="AM105" s="18">
        <v>2.7988058428403901</v>
      </c>
      <c r="AN105" s="18">
        <v>1.39940292142019</v>
      </c>
      <c r="AO105" s="18">
        <v>1.9991470306002801</v>
      </c>
      <c r="AP105" s="18">
        <v>3.1319970146071001</v>
      </c>
      <c r="AQ105" s="18">
        <v>1.2661264527135101</v>
      </c>
      <c r="AR105" s="18">
        <v>2.99872054590042</v>
      </c>
      <c r="AS105" s="18">
        <v>6.1307175605075201</v>
      </c>
      <c r="AT105" s="18">
        <v>2.3989764367203299</v>
      </c>
      <c r="AU105" s="18">
        <v>3.9316558268472099</v>
      </c>
      <c r="AV105" s="18">
        <v>2.4656146710736699</v>
      </c>
      <c r="AW105" s="18">
        <v>4.4647617016739503</v>
      </c>
      <c r="AX105" s="18"/>
      <c r="AY105" s="18">
        <v>1</v>
      </c>
      <c r="AZ105" s="18">
        <v>1.1100000000000001</v>
      </c>
      <c r="BA105" s="18">
        <v>1.07</v>
      </c>
      <c r="BB105" s="18">
        <v>1.03</v>
      </c>
      <c r="BC105" s="18">
        <v>1.07</v>
      </c>
      <c r="BD105" s="18">
        <v>1.08</v>
      </c>
      <c r="BE105" s="18">
        <v>1.08</v>
      </c>
      <c r="BF105" s="18">
        <v>1.07</v>
      </c>
      <c r="BG105" s="18">
        <v>1.08</v>
      </c>
      <c r="BH105" s="18">
        <v>1.1000000000000001</v>
      </c>
      <c r="BI105" s="18">
        <v>1.05</v>
      </c>
      <c r="BJ105" s="19"/>
      <c r="BK105" s="18">
        <v>16.599999999999998</v>
      </c>
      <c r="BL105" s="18">
        <v>5.1000000000000005</v>
      </c>
      <c r="BM105" s="18">
        <v>6.9</v>
      </c>
      <c r="BN105" s="18">
        <v>5.7585825027685527</v>
      </c>
      <c r="BO105" s="18"/>
      <c r="BP105" s="18">
        <v>105</v>
      </c>
      <c r="BQ105" s="18">
        <v>53.55</v>
      </c>
      <c r="BR105" s="18">
        <v>0.93434451219512271</v>
      </c>
      <c r="BS105" s="18">
        <v>0.98217291948051932</v>
      </c>
      <c r="BT105" s="19"/>
      <c r="BU105" s="18">
        <v>931</v>
      </c>
      <c r="BV105" s="18">
        <v>351.02100000000002</v>
      </c>
      <c r="BW105" s="18">
        <v>138.32</v>
      </c>
      <c r="BX105" s="18">
        <v>276.54867256637237</v>
      </c>
      <c r="BY105" s="18">
        <v>33.185840707964644</v>
      </c>
      <c r="BZ105" s="18">
        <v>21.08154</v>
      </c>
      <c r="CA105" s="18">
        <v>330.27746000000002</v>
      </c>
      <c r="CB105" s="19"/>
      <c r="CC105" s="19">
        <v>1.629</v>
      </c>
      <c r="CD105" s="19">
        <v>8.9595000000000002</v>
      </c>
      <c r="CE105" s="19">
        <v>5.25</v>
      </c>
      <c r="CF105" s="19" t="s">
        <v>217</v>
      </c>
      <c r="CG105" s="19">
        <v>13.575000000000001</v>
      </c>
      <c r="CH105" s="19">
        <v>3.077</v>
      </c>
      <c r="CI105" s="19">
        <v>4.0724999999999998</v>
      </c>
      <c r="CJ105" s="19"/>
      <c r="CK105" s="19">
        <v>144.80000000000004</v>
      </c>
      <c r="CL105" s="19">
        <v>9.0500000000000025</v>
      </c>
      <c r="CM105" s="19">
        <v>89.594999999999999</v>
      </c>
      <c r="CN105" s="19">
        <v>57.92</v>
      </c>
      <c r="CO105" s="19">
        <v>0</v>
      </c>
      <c r="CP105" s="19">
        <v>0</v>
      </c>
      <c r="CQ105" s="19">
        <v>102.07906413000001</v>
      </c>
      <c r="CR105" s="19">
        <v>120.72050997014333</v>
      </c>
      <c r="CS105" s="19">
        <v>3.3787326865510763</v>
      </c>
      <c r="CT105" s="19">
        <v>1.8751966410358509</v>
      </c>
      <c r="CU105" s="19">
        <v>2.5823171247211989</v>
      </c>
      <c r="CV105" s="19">
        <v>4.4575137657570263</v>
      </c>
      <c r="CW105" s="19">
        <v>3.8943916513318544</v>
      </c>
      <c r="CX105" s="19">
        <v>1.635467512323419</v>
      </c>
      <c r="CY105" s="19">
        <v>3.9096763944376893</v>
      </c>
      <c r="CZ105" s="19">
        <v>7.993116184183708</v>
      </c>
      <c r="DA105" s="19">
        <v>3.0987805496654106</v>
      </c>
      <c r="DB105" s="19">
        <v>5.1260201615960659</v>
      </c>
      <c r="DC105" s="19">
        <v>3.2741528653006893</v>
      </c>
      <c r="DD105" s="19">
        <v>8.4001730268967538</v>
      </c>
      <c r="DE105" s="19">
        <v>5.6593772499730601</v>
      </c>
      <c r="DF105" s="23">
        <v>0</v>
      </c>
      <c r="DG105" s="23">
        <v>0</v>
      </c>
      <c r="DH105" s="23">
        <v>0</v>
      </c>
      <c r="DI105" s="19">
        <v>0</v>
      </c>
      <c r="DJ105" s="19">
        <v>0</v>
      </c>
      <c r="DK105" s="19">
        <v>0</v>
      </c>
      <c r="DL105" s="19">
        <v>0</v>
      </c>
      <c r="DM105" s="19">
        <v>0</v>
      </c>
      <c r="DN105" s="19">
        <v>0</v>
      </c>
      <c r="DO105" s="19">
        <v>0</v>
      </c>
      <c r="DP105" s="19">
        <v>0</v>
      </c>
      <c r="DQ105" s="19">
        <v>0</v>
      </c>
      <c r="DR105" s="19">
        <v>0</v>
      </c>
      <c r="DS105" s="19">
        <v>0</v>
      </c>
      <c r="DT105" s="19">
        <v>0</v>
      </c>
      <c r="DU105" s="19">
        <v>0</v>
      </c>
      <c r="DV105" s="19">
        <v>0</v>
      </c>
      <c r="DW105" s="17" t="s">
        <v>396</v>
      </c>
      <c r="DX105" s="22" t="s">
        <v>218</v>
      </c>
      <c r="DY105" s="22" t="s">
        <v>218</v>
      </c>
      <c r="DZ105" s="22">
        <v>2</v>
      </c>
      <c r="EA105" s="22">
        <v>2</v>
      </c>
      <c r="EB105" s="22" t="s">
        <v>218</v>
      </c>
      <c r="EC105" s="22">
        <v>2</v>
      </c>
      <c r="ED105" s="22">
        <v>2</v>
      </c>
      <c r="EE105" s="22" t="s">
        <v>218</v>
      </c>
      <c r="EF105" s="22">
        <v>2</v>
      </c>
      <c r="EG105" s="22" t="s">
        <v>218</v>
      </c>
      <c r="EH105" s="22" t="s">
        <v>218</v>
      </c>
      <c r="EI105" s="22" t="s">
        <v>218</v>
      </c>
      <c r="EJ105" s="22" t="s">
        <v>218</v>
      </c>
      <c r="EK105" s="22" t="s">
        <v>218</v>
      </c>
      <c r="EL105" s="22" t="s">
        <v>218</v>
      </c>
      <c r="EM105" s="22" t="s">
        <v>218</v>
      </c>
      <c r="EN105" s="22" t="s">
        <v>218</v>
      </c>
      <c r="EO105" s="22" t="s">
        <v>218</v>
      </c>
      <c r="EP105" s="22" t="s">
        <v>218</v>
      </c>
      <c r="EQ105" s="22" t="s">
        <v>218</v>
      </c>
      <c r="ER105" s="22" t="s">
        <v>218</v>
      </c>
      <c r="ES105" s="22">
        <v>2</v>
      </c>
      <c r="ET105" s="22">
        <v>2</v>
      </c>
      <c r="EU105" s="22">
        <v>2</v>
      </c>
      <c r="EV105" s="22" t="s">
        <v>218</v>
      </c>
      <c r="EW105" s="22">
        <v>2</v>
      </c>
      <c r="EX105" s="22">
        <v>2</v>
      </c>
      <c r="EY105" s="22">
        <v>2</v>
      </c>
      <c r="EZ105" s="22">
        <v>2</v>
      </c>
      <c r="FA105" s="22">
        <v>2</v>
      </c>
      <c r="FB105" s="22">
        <v>2</v>
      </c>
      <c r="FC105" s="22">
        <v>2</v>
      </c>
      <c r="FD105" s="22" t="s">
        <v>218</v>
      </c>
      <c r="FE105" s="22" t="s">
        <v>218</v>
      </c>
      <c r="FF105" s="22" t="s">
        <v>218</v>
      </c>
      <c r="FG105" s="22" t="s">
        <v>218</v>
      </c>
      <c r="FH105" s="22">
        <v>0.4</v>
      </c>
      <c r="FI105" s="22">
        <v>1.2</v>
      </c>
      <c r="FJ105" s="22" t="s">
        <v>218</v>
      </c>
      <c r="FK105" s="22">
        <v>3.5</v>
      </c>
      <c r="FL105" s="22">
        <v>3.5</v>
      </c>
      <c r="FM105" s="22" t="s">
        <v>218</v>
      </c>
      <c r="FN105" s="22">
        <v>3.2</v>
      </c>
      <c r="FO105" s="22" t="s">
        <v>218</v>
      </c>
      <c r="FP105" s="22" t="s">
        <v>218</v>
      </c>
      <c r="FQ105" s="22" t="s">
        <v>218</v>
      </c>
      <c r="FR105" s="22" t="s">
        <v>218</v>
      </c>
      <c r="FS105" s="22" t="s">
        <v>218</v>
      </c>
      <c r="FT105" s="22" t="s">
        <v>218</v>
      </c>
      <c r="FU105" s="22" t="s">
        <v>218</v>
      </c>
      <c r="FV105" s="22" t="s">
        <v>218</v>
      </c>
      <c r="FW105" s="22" t="s">
        <v>218</v>
      </c>
      <c r="FX105" s="22" t="s">
        <v>218</v>
      </c>
      <c r="FY105" s="22" t="s">
        <v>218</v>
      </c>
      <c r="FZ105" s="22" t="s">
        <v>218</v>
      </c>
      <c r="GA105" s="22">
        <v>1.06</v>
      </c>
      <c r="GB105" s="22">
        <v>1.6</v>
      </c>
      <c r="GC105" s="22">
        <v>6.83</v>
      </c>
      <c r="GD105" s="22" t="s">
        <v>218</v>
      </c>
      <c r="GE105" s="22">
        <v>4.74</v>
      </c>
      <c r="GF105" s="22">
        <v>0.56000000000000005</v>
      </c>
      <c r="GG105" s="22">
        <v>3.6</v>
      </c>
      <c r="GH105" s="22">
        <v>24.08</v>
      </c>
      <c r="GI105" s="22">
        <v>0.83</v>
      </c>
      <c r="GJ105" s="22">
        <v>30.8</v>
      </c>
      <c r="GK105" s="22">
        <v>24.42</v>
      </c>
      <c r="GL105" s="22" t="s">
        <v>218</v>
      </c>
      <c r="GM105" s="22" t="s">
        <v>218</v>
      </c>
      <c r="GN105" s="22" t="s">
        <v>218</v>
      </c>
      <c r="GO105" s="22" t="s">
        <v>218</v>
      </c>
      <c r="GP105" s="22">
        <v>2005</v>
      </c>
      <c r="GQ105" s="22">
        <v>2005</v>
      </c>
      <c r="GR105" s="22" t="s">
        <v>218</v>
      </c>
      <c r="GS105" s="22">
        <v>2005</v>
      </c>
      <c r="GT105" s="22">
        <v>2005</v>
      </c>
      <c r="GU105" s="22" t="s">
        <v>218</v>
      </c>
      <c r="GV105" s="22">
        <v>2005</v>
      </c>
      <c r="GW105" s="22" t="s">
        <v>218</v>
      </c>
      <c r="GX105" s="22" t="s">
        <v>218</v>
      </c>
      <c r="GY105" s="22" t="s">
        <v>218</v>
      </c>
      <c r="GZ105" s="22" t="s">
        <v>218</v>
      </c>
      <c r="HA105" s="22" t="s">
        <v>218</v>
      </c>
      <c r="HB105" s="22" t="s">
        <v>218</v>
      </c>
      <c r="HC105" s="22" t="s">
        <v>218</v>
      </c>
      <c r="HD105" s="22" t="s">
        <v>218</v>
      </c>
      <c r="HE105" s="22" t="s">
        <v>218</v>
      </c>
      <c r="HF105" s="22" t="s">
        <v>218</v>
      </c>
      <c r="HG105" s="22" t="s">
        <v>218</v>
      </c>
      <c r="HH105" s="22" t="s">
        <v>218</v>
      </c>
      <c r="HI105" s="22">
        <v>2005</v>
      </c>
      <c r="HJ105" s="22">
        <v>2005</v>
      </c>
      <c r="HK105" s="22">
        <v>2005</v>
      </c>
      <c r="HL105" s="22" t="s">
        <v>218</v>
      </c>
      <c r="HM105" s="622">
        <f>'background data'!$G$10</f>
        <v>0.47300000000000003</v>
      </c>
      <c r="HN105" s="622">
        <f>'background data'!$H$10</f>
        <v>0.13</v>
      </c>
      <c r="HO105" s="622">
        <f>'background data'!$J$10</f>
        <v>0.39100000000000001</v>
      </c>
      <c r="HP105" s="622">
        <f>'background data'!$L$10</f>
        <v>5.5E-2</v>
      </c>
      <c r="HQ105" s="622">
        <f>'background data'!$M$10</f>
        <v>3.97</v>
      </c>
      <c r="HR105" s="622">
        <f>'background data'!$N$10</f>
        <v>4.5999999999999999E-3</v>
      </c>
      <c r="HS105" s="622">
        <f>'background data'!$O$10</f>
        <v>2.73</v>
      </c>
      <c r="HT105" s="145" t="s">
        <v>1797</v>
      </c>
      <c r="HU105" s="145" t="s">
        <v>1809</v>
      </c>
      <c r="HV105" s="22" t="s">
        <v>1942</v>
      </c>
      <c r="HW105" s="22" t="s">
        <v>397</v>
      </c>
      <c r="HX105" s="22">
        <v>0</v>
      </c>
      <c r="HY105" s="22" t="s">
        <v>398</v>
      </c>
      <c r="HZ105" s="19"/>
      <c r="IA105" s="19"/>
      <c r="IB105" s="622">
        <f>'background data'!$G$10</f>
        <v>0.47300000000000003</v>
      </c>
      <c r="IC105" s="622">
        <f>'background data'!$H$10</f>
        <v>0.13</v>
      </c>
      <c r="ID105" s="622">
        <f>'background data'!$J$10</f>
        <v>0.39100000000000001</v>
      </c>
      <c r="IE105" s="622">
        <f>'background data'!$L$10</f>
        <v>5.5E-2</v>
      </c>
      <c r="IF105" s="622">
        <f>'background data'!$M$10</f>
        <v>3.97</v>
      </c>
      <c r="IG105" s="622">
        <f>'background data'!$N$10</f>
        <v>4.5999999999999999E-3</v>
      </c>
      <c r="IH105" s="622">
        <f>'background data'!$O$10</f>
        <v>2.73</v>
      </c>
      <c r="II105" s="145" t="s">
        <v>1797</v>
      </c>
      <c r="IJ105" s="145"/>
      <c r="IK105" s="145"/>
      <c r="IL105" s="145"/>
      <c r="IM105" s="145"/>
      <c r="IN105" s="145"/>
      <c r="IO105" s="145"/>
      <c r="IP105" s="145"/>
      <c r="IQ105" s="145"/>
      <c r="IR105" s="145"/>
      <c r="IS105" s="145"/>
      <c r="IT105" s="145"/>
      <c r="IU105" s="145"/>
      <c r="IV105" s="145"/>
      <c r="IW105" s="145"/>
      <c r="IX105" s="145"/>
      <c r="IY105" s="145"/>
      <c r="IZ105" s="145"/>
      <c r="JA105" s="145"/>
      <c r="JB105" s="145"/>
      <c r="JC105" s="145"/>
      <c r="JD105" s="145"/>
      <c r="JE105" s="145"/>
      <c r="JF105" s="145"/>
      <c r="JG105" s="145"/>
      <c r="JH105" s="145"/>
      <c r="JI105" s="145"/>
      <c r="JJ105" s="145"/>
      <c r="JK105" s="145"/>
      <c r="JL105" s="145"/>
      <c r="JM105" s="145"/>
      <c r="JN105" s="145"/>
      <c r="JO105" s="145"/>
      <c r="JP105" s="145"/>
      <c r="JQ105" s="145"/>
      <c r="JR105" s="145"/>
      <c r="JS105" s="145"/>
      <c r="JT105" s="145"/>
      <c r="JU105" s="145"/>
      <c r="JV105" s="145"/>
      <c r="JW105" s="145"/>
      <c r="JX105" s="145"/>
      <c r="JY105" s="145"/>
      <c r="JZ105" s="145"/>
      <c r="KA105" s="145"/>
      <c r="KB105" s="145"/>
      <c r="KC105" s="145"/>
      <c r="KD105" s="145"/>
      <c r="KE105" s="145"/>
      <c r="KF105" s="145"/>
      <c r="KG105" s="145"/>
      <c r="KH105" s="145"/>
      <c r="KI105" s="145"/>
      <c r="KJ105" s="145"/>
      <c r="KK105" s="145"/>
      <c r="KL105" s="145"/>
      <c r="KM105" s="145"/>
      <c r="KN105" s="145"/>
      <c r="KO105" s="145"/>
      <c r="KP105" s="145"/>
      <c r="KQ105" s="145"/>
      <c r="KR105" s="145"/>
      <c r="KS105" s="145"/>
      <c r="KT105" s="145"/>
      <c r="KU105" s="145"/>
      <c r="KV105" s="145"/>
      <c r="KW105" s="145"/>
      <c r="KX105" s="145"/>
      <c r="KY105" s="145"/>
      <c r="KZ105" s="145"/>
      <c r="LA105" s="145"/>
      <c r="LB105" s="145"/>
      <c r="LC105" s="145"/>
      <c r="LD105" s="145"/>
      <c r="LE105" s="145"/>
      <c r="LF105" s="145"/>
      <c r="LG105" s="145"/>
      <c r="LH105" s="145"/>
      <c r="LI105" s="145"/>
      <c r="LJ105" s="145"/>
      <c r="LK105" s="145"/>
      <c r="LL105" s="145"/>
      <c r="LM105" s="145"/>
      <c r="LN105" s="145"/>
      <c r="LO105" s="145"/>
      <c r="LP105" s="145"/>
      <c r="LQ105" s="145"/>
      <c r="LR105" s="145"/>
      <c r="LS105" s="145"/>
      <c r="LT105" s="145"/>
      <c r="LU105" s="145"/>
      <c r="LV105" s="145"/>
      <c r="LW105" s="145"/>
      <c r="LX105" s="145"/>
      <c r="LY105" s="145"/>
      <c r="LZ105" s="145"/>
      <c r="MA105" s="145"/>
      <c r="MB105" s="145"/>
      <c r="MC105" s="145"/>
      <c r="MD105" s="145"/>
      <c r="ME105" s="145"/>
      <c r="MF105" s="145"/>
      <c r="MG105" s="145"/>
      <c r="MH105" s="145"/>
      <c r="MI105" s="145"/>
      <c r="MJ105" s="145"/>
      <c r="MK105" s="145"/>
      <c r="ML105" s="145"/>
      <c r="MM105" s="145"/>
      <c r="MN105" s="145"/>
      <c r="MO105" s="145"/>
      <c r="MP105" s="145"/>
      <c r="MQ105" s="145"/>
      <c r="MR105" s="145"/>
      <c r="MS105" s="145"/>
      <c r="MT105" s="145"/>
      <c r="MU105" s="145"/>
      <c r="MV105" s="145"/>
      <c r="MW105" s="145"/>
      <c r="MX105" s="145"/>
      <c r="MY105" s="145"/>
      <c r="MZ105" s="145"/>
      <c r="NA105" s="145"/>
      <c r="NB105" s="145"/>
      <c r="NC105" s="145"/>
      <c r="ND105" s="145"/>
      <c r="NE105" s="145"/>
      <c r="NF105" s="145"/>
      <c r="NG105" s="145"/>
      <c r="NH105" s="145"/>
      <c r="NI105" s="145"/>
      <c r="NJ105" s="145"/>
      <c r="NK105" s="145"/>
      <c r="NL105" s="145"/>
      <c r="NM105" s="145"/>
      <c r="NN105" s="145"/>
      <c r="NO105" s="145"/>
      <c r="NP105" s="145"/>
      <c r="NQ105" s="145"/>
      <c r="NR105" s="145"/>
      <c r="NS105" s="145"/>
    </row>
    <row r="106" spans="1:383" s="16" customFormat="1" ht="15" customHeight="1" x14ac:dyDescent="0.2">
      <c r="A106" s="15">
        <v>51800</v>
      </c>
      <c r="B106" s="25">
        <v>518</v>
      </c>
      <c r="C106" s="26">
        <v>0</v>
      </c>
      <c r="D106" s="20" t="s">
        <v>399</v>
      </c>
      <c r="E106" s="14">
        <v>42695</v>
      </c>
      <c r="F106" s="18">
        <v>0.63203029376720599</v>
      </c>
      <c r="G106" s="18">
        <v>0.70147547631317198</v>
      </c>
      <c r="H106" s="21">
        <v>62.2</v>
      </c>
      <c r="I106" s="21">
        <v>52.299999200000002</v>
      </c>
      <c r="J106" s="21">
        <v>83</v>
      </c>
      <c r="K106" s="18">
        <v>1</v>
      </c>
      <c r="L106" s="18">
        <v>87.3</v>
      </c>
      <c r="M106" s="18">
        <v>14.4918</v>
      </c>
      <c r="N106" s="18">
        <v>4.1031000000000004</v>
      </c>
      <c r="O106" s="18">
        <v>4.9760999999999997</v>
      </c>
      <c r="P106" s="18">
        <v>8.6426999999999996</v>
      </c>
      <c r="Q106" s="19"/>
      <c r="R106" s="18">
        <v>62.714496729776201</v>
      </c>
      <c r="S106" s="18">
        <v>20</v>
      </c>
      <c r="T106" s="18">
        <v>37</v>
      </c>
      <c r="U106" s="18">
        <v>44</v>
      </c>
      <c r="V106" s="18">
        <v>50</v>
      </c>
      <c r="W106" s="18">
        <v>54</v>
      </c>
      <c r="X106" s="18"/>
      <c r="Y106" s="18">
        <v>3.3</v>
      </c>
      <c r="Z106" s="18">
        <v>9.6000000000000014</v>
      </c>
      <c r="AA106" s="18">
        <v>0.1</v>
      </c>
      <c r="AB106" s="18">
        <v>0</v>
      </c>
      <c r="AC106" s="18">
        <v>15</v>
      </c>
      <c r="AD106" s="18">
        <v>4.5</v>
      </c>
      <c r="AE106" s="18">
        <v>1.9000000000000001</v>
      </c>
      <c r="AF106" s="18">
        <v>185</v>
      </c>
      <c r="AG106" s="18">
        <v>12.000000000000002</v>
      </c>
      <c r="AH106" s="18">
        <v>111.00000000000001</v>
      </c>
      <c r="AI106" s="18">
        <v>89.000000000000014</v>
      </c>
      <c r="AJ106" s="18">
        <v>0</v>
      </c>
      <c r="AK106" s="18">
        <v>0.05</v>
      </c>
      <c r="AL106" s="18"/>
      <c r="AM106" s="18">
        <v>3.9</v>
      </c>
      <c r="AN106" s="18">
        <v>1.6</v>
      </c>
      <c r="AO106" s="18">
        <v>2</v>
      </c>
      <c r="AP106" s="18">
        <v>3.29</v>
      </c>
      <c r="AQ106" s="18">
        <v>1.4</v>
      </c>
      <c r="AR106" s="18">
        <v>3.29</v>
      </c>
      <c r="AS106" s="18">
        <v>6.19</v>
      </c>
      <c r="AT106" s="18">
        <v>2.59</v>
      </c>
      <c r="AU106" s="18">
        <v>3.89</v>
      </c>
      <c r="AV106" s="18">
        <v>2.81</v>
      </c>
      <c r="AW106" s="18">
        <v>4.79</v>
      </c>
      <c r="AX106" s="18"/>
      <c r="AY106" s="18">
        <v>1</v>
      </c>
      <c r="AZ106" s="18">
        <v>1.1000000000000001</v>
      </c>
      <c r="BA106" s="18">
        <v>1.04</v>
      </c>
      <c r="BB106" s="18">
        <v>1.03</v>
      </c>
      <c r="BC106" s="18">
        <v>1.04</v>
      </c>
      <c r="BD106" s="18">
        <v>1.07</v>
      </c>
      <c r="BE106" s="18">
        <v>1.08</v>
      </c>
      <c r="BF106" s="18">
        <v>1.1499999999999999</v>
      </c>
      <c r="BG106" s="18">
        <v>1.1299999999999999</v>
      </c>
      <c r="BH106" s="18">
        <v>1.1399999999999999</v>
      </c>
      <c r="BI106" s="18">
        <v>1.04</v>
      </c>
      <c r="BJ106" s="19"/>
      <c r="BK106" s="18">
        <v>16.600000000000001</v>
      </c>
      <c r="BL106" s="18">
        <v>4.7000000000000011</v>
      </c>
      <c r="BM106" s="18">
        <v>5.6999999999999993</v>
      </c>
      <c r="BN106" s="18">
        <v>9.9</v>
      </c>
      <c r="BO106" s="18"/>
      <c r="BP106" s="18">
        <v>105</v>
      </c>
      <c r="BQ106" s="18">
        <v>49.35</v>
      </c>
      <c r="BR106" s="18">
        <v>0.72397513604490948</v>
      </c>
      <c r="BS106" s="18">
        <v>0.80352288237476743</v>
      </c>
      <c r="BT106" s="19"/>
      <c r="BU106" s="18">
        <v>943.00000000000011</v>
      </c>
      <c r="BV106" s="18">
        <v>256.52885714285685</v>
      </c>
      <c r="BW106" s="18">
        <v>133.36715363428638</v>
      </c>
      <c r="BX106" s="18">
        <v>220</v>
      </c>
      <c r="BY106" s="18">
        <v>37.000000000000007</v>
      </c>
      <c r="BZ106" s="18">
        <v>27.611468571428638</v>
      </c>
      <c r="CA106" s="18">
        <v>432.57967428571368</v>
      </c>
      <c r="CB106" s="19"/>
      <c r="CC106" s="19">
        <v>2.8809</v>
      </c>
      <c r="CD106" s="19">
        <v>8.3808000000000007</v>
      </c>
      <c r="CE106" s="19">
        <v>8.7300000000000003E-2</v>
      </c>
      <c r="CF106" s="19">
        <v>0</v>
      </c>
      <c r="CG106" s="19">
        <v>13.095000000000001</v>
      </c>
      <c r="CH106" s="19">
        <v>3.9285000000000001</v>
      </c>
      <c r="CI106" s="19">
        <v>1.6587000000000001</v>
      </c>
      <c r="CJ106" s="19"/>
      <c r="CK106" s="19">
        <v>161.505</v>
      </c>
      <c r="CL106" s="19">
        <v>10.476000000000001</v>
      </c>
      <c r="CM106" s="19">
        <v>96.903000000000006</v>
      </c>
      <c r="CN106" s="19">
        <v>77.697000000000017</v>
      </c>
      <c r="CO106" s="19">
        <v>0</v>
      </c>
      <c r="CP106" s="19">
        <v>4.3650000000000001E-2</v>
      </c>
      <c r="CQ106" s="19">
        <v>90.884594370857499</v>
      </c>
      <c r="CR106" s="19">
        <v>143.79784524115354</v>
      </c>
      <c r="CS106" s="19">
        <v>5.6081159644049521</v>
      </c>
      <c r="CT106" s="19">
        <v>2.5308420762442836</v>
      </c>
      <c r="CU106" s="19">
        <v>2.9909951810159843</v>
      </c>
      <c r="CV106" s="19">
        <v>5.521837257260283</v>
      </c>
      <c r="CW106" s="19">
        <v>4.8728775816869572</v>
      </c>
      <c r="CX106" s="19">
        <v>2.0936966267111874</v>
      </c>
      <c r="CY106" s="19">
        <v>5.0621155460243017</v>
      </c>
      <c r="CZ106" s="19">
        <v>9.6131735500615569</v>
      </c>
      <c r="DA106" s="19">
        <v>4.283018820507726</v>
      </c>
      <c r="DB106" s="19">
        <v>6.32092188326535</v>
      </c>
      <c r="DC106" s="19">
        <v>4.6064201744550823</v>
      </c>
      <c r="DD106" s="19">
        <v>10.927342057720448</v>
      </c>
      <c r="DE106" s="19">
        <v>7.1634334585332615</v>
      </c>
      <c r="DF106" s="23">
        <v>0</v>
      </c>
      <c r="DG106" s="23">
        <v>0</v>
      </c>
      <c r="DH106" s="23">
        <v>0</v>
      </c>
      <c r="DI106" s="19">
        <v>0</v>
      </c>
      <c r="DJ106" s="19">
        <v>0</v>
      </c>
      <c r="DK106" s="19">
        <v>0</v>
      </c>
      <c r="DL106" s="19">
        <v>0</v>
      </c>
      <c r="DM106" s="19">
        <v>0</v>
      </c>
      <c r="DN106" s="19">
        <v>0</v>
      </c>
      <c r="DO106" s="19">
        <v>0</v>
      </c>
      <c r="DP106" s="19">
        <v>0</v>
      </c>
      <c r="DQ106" s="19">
        <v>0</v>
      </c>
      <c r="DR106" s="19">
        <v>0</v>
      </c>
      <c r="DS106" s="19">
        <v>0</v>
      </c>
      <c r="DT106" s="19">
        <v>0</v>
      </c>
      <c r="DU106" s="19">
        <v>0</v>
      </c>
      <c r="DV106" s="19">
        <v>0</v>
      </c>
      <c r="DW106" s="17" t="s">
        <v>400</v>
      </c>
      <c r="DX106" s="22">
        <v>9</v>
      </c>
      <c r="DY106" s="22">
        <v>9</v>
      </c>
      <c r="DZ106" s="22">
        <v>9</v>
      </c>
      <c r="EA106" s="22">
        <v>9</v>
      </c>
      <c r="EB106" s="22">
        <v>9</v>
      </c>
      <c r="EC106" s="22">
        <v>9</v>
      </c>
      <c r="ED106" s="22">
        <v>9</v>
      </c>
      <c r="EE106" s="22" t="s">
        <v>218</v>
      </c>
      <c r="EF106" s="22">
        <v>9</v>
      </c>
      <c r="EG106" s="22">
        <v>9</v>
      </c>
      <c r="EH106" s="22" t="s">
        <v>218</v>
      </c>
      <c r="EI106" s="22" t="s">
        <v>218</v>
      </c>
      <c r="EJ106" s="22" t="s">
        <v>218</v>
      </c>
      <c r="EK106" s="22" t="s">
        <v>218</v>
      </c>
      <c r="EL106" s="22" t="s">
        <v>218</v>
      </c>
      <c r="EM106" s="22" t="s">
        <v>218</v>
      </c>
      <c r="EN106" s="22" t="s">
        <v>218</v>
      </c>
      <c r="EO106" s="22" t="s">
        <v>218</v>
      </c>
      <c r="EP106" s="22" t="s">
        <v>218</v>
      </c>
      <c r="EQ106" s="22" t="s">
        <v>218</v>
      </c>
      <c r="ER106" s="22" t="s">
        <v>218</v>
      </c>
      <c r="ES106" s="22">
        <v>6</v>
      </c>
      <c r="ET106" s="22">
        <v>6</v>
      </c>
      <c r="EU106" s="22">
        <v>5</v>
      </c>
      <c r="EV106" s="22" t="s">
        <v>218</v>
      </c>
      <c r="EW106" s="22">
        <v>5</v>
      </c>
      <c r="EX106" s="22">
        <v>5</v>
      </c>
      <c r="EY106" s="22">
        <v>5</v>
      </c>
      <c r="EZ106" s="22">
        <v>5</v>
      </c>
      <c r="FA106" s="22">
        <v>5</v>
      </c>
      <c r="FB106" s="22">
        <v>5</v>
      </c>
      <c r="FC106" s="22">
        <v>5</v>
      </c>
      <c r="FD106" s="22" t="s">
        <v>218</v>
      </c>
      <c r="FE106" s="22" t="s">
        <v>218</v>
      </c>
      <c r="FF106" s="22">
        <v>0.8</v>
      </c>
      <c r="FG106" s="22">
        <v>1</v>
      </c>
      <c r="FH106" s="22">
        <v>0.2</v>
      </c>
      <c r="FI106" s="22">
        <v>1.3</v>
      </c>
      <c r="FJ106" s="22">
        <v>1.3</v>
      </c>
      <c r="FK106" s="22">
        <v>3.3</v>
      </c>
      <c r="FL106" s="22">
        <v>3.3</v>
      </c>
      <c r="FM106" s="22" t="s">
        <v>218</v>
      </c>
      <c r="FN106" s="22">
        <v>6</v>
      </c>
      <c r="FO106" s="22">
        <v>5</v>
      </c>
      <c r="FP106" s="22" t="s">
        <v>218</v>
      </c>
      <c r="FQ106" s="22" t="s">
        <v>218</v>
      </c>
      <c r="FR106" s="22" t="s">
        <v>218</v>
      </c>
      <c r="FS106" s="22" t="s">
        <v>218</v>
      </c>
      <c r="FT106" s="22" t="s">
        <v>218</v>
      </c>
      <c r="FU106" s="22" t="s">
        <v>218</v>
      </c>
      <c r="FV106" s="22" t="s">
        <v>218</v>
      </c>
      <c r="FW106" s="22" t="s">
        <v>218</v>
      </c>
      <c r="FX106" s="22" t="s">
        <v>218</v>
      </c>
      <c r="FY106" s="22" t="s">
        <v>218</v>
      </c>
      <c r="FZ106" s="22" t="s">
        <v>218</v>
      </c>
      <c r="GA106" s="22">
        <v>0.42</v>
      </c>
      <c r="GB106" s="22">
        <v>1.58</v>
      </c>
      <c r="GC106" s="22">
        <v>0.03</v>
      </c>
      <c r="GD106" s="22" t="s">
        <v>218</v>
      </c>
      <c r="GE106" s="22">
        <v>0.79</v>
      </c>
      <c r="GF106" s="22">
        <v>0.13</v>
      </c>
      <c r="GG106" s="22">
        <v>0.08</v>
      </c>
      <c r="GH106" s="22">
        <v>29.61</v>
      </c>
      <c r="GI106" s="22">
        <v>1.51</v>
      </c>
      <c r="GJ106" s="22">
        <v>5.81</v>
      </c>
      <c r="GK106" s="22">
        <v>5.17</v>
      </c>
      <c r="GL106" s="22" t="s">
        <v>218</v>
      </c>
      <c r="GM106" s="22" t="s">
        <v>218</v>
      </c>
      <c r="GN106" s="22">
        <v>2016</v>
      </c>
      <c r="GO106" s="22">
        <v>2016</v>
      </c>
      <c r="GP106" s="22">
        <v>2016</v>
      </c>
      <c r="GQ106" s="22">
        <v>2016</v>
      </c>
      <c r="GR106" s="22">
        <v>2016</v>
      </c>
      <c r="GS106" s="22">
        <v>2016</v>
      </c>
      <c r="GT106" s="22">
        <v>2016</v>
      </c>
      <c r="GU106" s="22" t="s">
        <v>218</v>
      </c>
      <c r="GV106" s="22">
        <v>2016</v>
      </c>
      <c r="GW106" s="22">
        <v>2016</v>
      </c>
      <c r="GX106" s="22" t="s">
        <v>218</v>
      </c>
      <c r="GY106" s="22" t="s">
        <v>218</v>
      </c>
      <c r="GZ106" s="22" t="s">
        <v>218</v>
      </c>
      <c r="HA106" s="22" t="s">
        <v>218</v>
      </c>
      <c r="HB106" s="22" t="s">
        <v>218</v>
      </c>
      <c r="HC106" s="22" t="s">
        <v>218</v>
      </c>
      <c r="HD106" s="22" t="s">
        <v>218</v>
      </c>
      <c r="HE106" s="22" t="s">
        <v>218</v>
      </c>
      <c r="HF106" s="22" t="s">
        <v>218</v>
      </c>
      <c r="HG106" s="22" t="s">
        <v>218</v>
      </c>
      <c r="HH106" s="22" t="s">
        <v>218</v>
      </c>
      <c r="HI106" s="22">
        <v>2016</v>
      </c>
      <c r="HJ106" s="22">
        <v>2016</v>
      </c>
      <c r="HK106" s="22">
        <v>2005</v>
      </c>
      <c r="HL106" s="22" t="s">
        <v>218</v>
      </c>
      <c r="HM106" s="622">
        <f>'background data'!$G$10</f>
        <v>0.47300000000000003</v>
      </c>
      <c r="HN106" s="622">
        <f>'background data'!$H$10</f>
        <v>0.13</v>
      </c>
      <c r="HO106" s="622">
        <f>'background data'!$J$10</f>
        <v>0.39100000000000001</v>
      </c>
      <c r="HP106" s="622">
        <f>'background data'!$L$10</f>
        <v>5.5E-2</v>
      </c>
      <c r="HQ106" s="622">
        <f>'background data'!$M$10</f>
        <v>3.97</v>
      </c>
      <c r="HR106" s="622">
        <f>'background data'!$N$10</f>
        <v>4.5999999999999999E-3</v>
      </c>
      <c r="HS106" s="622">
        <f>'background data'!$O$10</f>
        <v>2.73</v>
      </c>
      <c r="HT106" s="145" t="s">
        <v>1797</v>
      </c>
      <c r="HU106" s="145" t="s">
        <v>1809</v>
      </c>
      <c r="HV106" s="22" t="s">
        <v>1943</v>
      </c>
      <c r="HW106" s="22" t="s">
        <v>401</v>
      </c>
      <c r="HX106" s="22" t="s">
        <v>402</v>
      </c>
      <c r="HY106" s="22" t="s">
        <v>403</v>
      </c>
      <c r="HZ106" s="19"/>
      <c r="IA106" s="19"/>
      <c r="IB106" s="622">
        <f>'background data'!$G$10</f>
        <v>0.47300000000000003</v>
      </c>
      <c r="IC106" s="622">
        <f>'background data'!$H$10</f>
        <v>0.13</v>
      </c>
      <c r="ID106" s="622">
        <f>'background data'!$J$10</f>
        <v>0.39100000000000001</v>
      </c>
      <c r="IE106" s="622">
        <f>'background data'!$L$10</f>
        <v>5.5E-2</v>
      </c>
      <c r="IF106" s="622">
        <f>'background data'!$M$10</f>
        <v>3.97</v>
      </c>
      <c r="IG106" s="622">
        <f>'background data'!$N$10</f>
        <v>4.5999999999999999E-3</v>
      </c>
      <c r="IH106" s="622">
        <f>'background data'!$O$10</f>
        <v>2.73</v>
      </c>
      <c r="II106" s="145" t="s">
        <v>1797</v>
      </c>
      <c r="IJ106" s="145"/>
      <c r="IK106" s="145"/>
      <c r="IL106" s="145"/>
      <c r="IM106" s="145"/>
      <c r="IN106" s="145"/>
      <c r="IO106" s="145"/>
      <c r="IP106" s="145"/>
      <c r="IQ106" s="145"/>
      <c r="IR106" s="145"/>
      <c r="IS106" s="145"/>
      <c r="IT106" s="145"/>
      <c r="IU106" s="145"/>
      <c r="IV106" s="145"/>
      <c r="IW106" s="145"/>
      <c r="IX106" s="145"/>
      <c r="IY106" s="145"/>
      <c r="IZ106" s="145"/>
      <c r="JA106" s="145"/>
      <c r="JB106" s="145"/>
      <c r="JC106" s="145"/>
      <c r="JD106" s="145"/>
      <c r="JE106" s="145"/>
      <c r="JF106" s="145"/>
      <c r="JG106" s="145"/>
      <c r="JH106" s="145"/>
      <c r="JI106" s="145"/>
      <c r="JJ106" s="145"/>
      <c r="JK106" s="145"/>
      <c r="JL106" s="145"/>
      <c r="JM106" s="145"/>
      <c r="JN106" s="145"/>
      <c r="JO106" s="145"/>
      <c r="JP106" s="145"/>
      <c r="JQ106" s="145"/>
      <c r="JR106" s="145"/>
      <c r="JS106" s="145"/>
      <c r="JT106" s="145"/>
      <c r="JU106" s="145"/>
      <c r="JV106" s="145"/>
      <c r="JW106" s="145"/>
      <c r="JX106" s="145"/>
      <c r="JY106" s="145"/>
      <c r="JZ106" s="145"/>
      <c r="KA106" s="145"/>
      <c r="KB106" s="145"/>
      <c r="KC106" s="145"/>
      <c r="KD106" s="145"/>
      <c r="KE106" s="145"/>
      <c r="KF106" s="145"/>
      <c r="KG106" s="145"/>
      <c r="KH106" s="145"/>
      <c r="KI106" s="145"/>
      <c r="KJ106" s="145"/>
      <c r="KK106" s="145"/>
      <c r="KL106" s="145"/>
      <c r="KM106" s="145"/>
      <c r="KN106" s="145"/>
      <c r="KO106" s="145"/>
      <c r="KP106" s="145"/>
      <c r="KQ106" s="145"/>
      <c r="KR106" s="145"/>
      <c r="KS106" s="145"/>
      <c r="KT106" s="145"/>
      <c r="KU106" s="145"/>
      <c r="KV106" s="145"/>
      <c r="KW106" s="145"/>
      <c r="KX106" s="145"/>
      <c r="KY106" s="145"/>
      <c r="KZ106" s="145"/>
      <c r="LA106" s="145"/>
      <c r="LB106" s="145"/>
      <c r="LC106" s="145"/>
      <c r="LD106" s="145"/>
      <c r="LE106" s="145"/>
      <c r="LF106" s="145"/>
      <c r="LG106" s="145"/>
      <c r="LH106" s="145"/>
      <c r="LI106" s="145"/>
      <c r="LJ106" s="145"/>
      <c r="LK106" s="145"/>
      <c r="LL106" s="145"/>
      <c r="LM106" s="145"/>
      <c r="LN106" s="145"/>
      <c r="LO106" s="145"/>
      <c r="LP106" s="145"/>
      <c r="LQ106" s="145"/>
      <c r="LR106" s="145"/>
      <c r="LS106" s="145"/>
      <c r="LT106" s="145"/>
      <c r="LU106" s="145"/>
      <c r="LV106" s="145"/>
      <c r="LW106" s="145"/>
      <c r="LX106" s="145"/>
      <c r="LY106" s="145"/>
      <c r="LZ106" s="145"/>
      <c r="MA106" s="145"/>
      <c r="MB106" s="145"/>
      <c r="MC106" s="145"/>
      <c r="MD106" s="145"/>
      <c r="ME106" s="145"/>
      <c r="MF106" s="145"/>
      <c r="MG106" s="145"/>
      <c r="MH106" s="145"/>
      <c r="MI106" s="145"/>
      <c r="MJ106" s="145"/>
      <c r="MK106" s="145"/>
      <c r="ML106" s="145"/>
      <c r="MM106" s="145"/>
      <c r="MN106" s="145"/>
      <c r="MO106" s="145"/>
      <c r="MP106" s="145"/>
      <c r="MQ106" s="145"/>
      <c r="MR106" s="145"/>
      <c r="MS106" s="145"/>
      <c r="MT106" s="145"/>
      <c r="MU106" s="145"/>
      <c r="MV106" s="145"/>
      <c r="MW106" s="145"/>
      <c r="MX106" s="145"/>
      <c r="MY106" s="145"/>
      <c r="MZ106" s="145"/>
      <c r="NA106" s="145"/>
      <c r="NB106" s="145"/>
      <c r="NC106" s="145"/>
      <c r="ND106" s="145"/>
      <c r="NE106" s="145"/>
      <c r="NF106" s="145"/>
      <c r="NG106" s="145"/>
      <c r="NH106" s="145"/>
      <c r="NI106" s="145"/>
      <c r="NJ106" s="145"/>
      <c r="NK106" s="145"/>
      <c r="NL106" s="145"/>
      <c r="NM106" s="145"/>
      <c r="NN106" s="145"/>
      <c r="NO106" s="145"/>
      <c r="NP106" s="145"/>
      <c r="NQ106" s="145"/>
      <c r="NR106" s="145"/>
      <c r="NS106" s="145"/>
    </row>
    <row r="107" spans="1:383" s="16" customFormat="1" ht="15" customHeight="1" x14ac:dyDescent="0.2">
      <c r="A107" s="15">
        <v>51801</v>
      </c>
      <c r="B107" s="25">
        <v>518</v>
      </c>
      <c r="C107" s="26">
        <v>1</v>
      </c>
      <c r="D107" s="20" t="s">
        <v>404</v>
      </c>
      <c r="E107" s="14">
        <v>42695</v>
      </c>
      <c r="F107" s="18">
        <v>0.63561593433849095</v>
      </c>
      <c r="G107" s="18">
        <v>0.70399559570092796</v>
      </c>
      <c r="H107" s="21">
        <v>62.2</v>
      </c>
      <c r="I107" s="21">
        <v>52.599989800000003</v>
      </c>
      <c r="J107" s="21">
        <v>83</v>
      </c>
      <c r="K107" s="18">
        <v>1</v>
      </c>
      <c r="L107" s="18">
        <v>87.3</v>
      </c>
      <c r="M107" s="18">
        <v>14.4918</v>
      </c>
      <c r="N107" s="18">
        <v>4.1031000000000004</v>
      </c>
      <c r="O107" s="18">
        <v>4.9760999999999997</v>
      </c>
      <c r="P107" s="18">
        <v>8.6426999999999996</v>
      </c>
      <c r="Q107" s="19"/>
      <c r="R107" s="18">
        <v>62.875180034423401</v>
      </c>
      <c r="S107" s="18">
        <v>20</v>
      </c>
      <c r="T107" s="18">
        <v>37</v>
      </c>
      <c r="U107" s="18">
        <v>44</v>
      </c>
      <c r="V107" s="18">
        <v>50</v>
      </c>
      <c r="W107" s="18">
        <v>54</v>
      </c>
      <c r="X107" s="18"/>
      <c r="Y107" s="18">
        <v>3.3</v>
      </c>
      <c r="Z107" s="18">
        <v>9.6000000000000014</v>
      </c>
      <c r="AA107" s="18">
        <v>0.1</v>
      </c>
      <c r="AB107" s="18">
        <v>0</v>
      </c>
      <c r="AC107" s="18">
        <v>15</v>
      </c>
      <c r="AD107" s="18">
        <v>4.5</v>
      </c>
      <c r="AE107" s="18">
        <v>1.9000000000000001</v>
      </c>
      <c r="AF107" s="18">
        <v>185</v>
      </c>
      <c r="AG107" s="18">
        <v>12.000000000000002</v>
      </c>
      <c r="AH107" s="18">
        <v>111.00000000000001</v>
      </c>
      <c r="AI107" s="18">
        <v>89.000000000000014</v>
      </c>
      <c r="AJ107" s="18">
        <v>0</v>
      </c>
      <c r="AK107" s="18">
        <v>0.05</v>
      </c>
      <c r="AL107" s="18"/>
      <c r="AM107" s="18">
        <v>3.9</v>
      </c>
      <c r="AN107" s="18">
        <v>1.6</v>
      </c>
      <c r="AO107" s="18">
        <v>2</v>
      </c>
      <c r="AP107" s="18">
        <v>3.29</v>
      </c>
      <c r="AQ107" s="18">
        <v>1.4</v>
      </c>
      <c r="AR107" s="18">
        <v>3.29</v>
      </c>
      <c r="AS107" s="18">
        <v>6.19</v>
      </c>
      <c r="AT107" s="18">
        <v>2.59</v>
      </c>
      <c r="AU107" s="18">
        <v>3.89</v>
      </c>
      <c r="AV107" s="18">
        <v>2.81</v>
      </c>
      <c r="AW107" s="18">
        <v>4.79</v>
      </c>
      <c r="AX107" s="18"/>
      <c r="AY107" s="18">
        <v>1</v>
      </c>
      <c r="AZ107" s="18">
        <v>1.1000000000000001</v>
      </c>
      <c r="BA107" s="18">
        <v>1.04</v>
      </c>
      <c r="BB107" s="18">
        <v>1.03</v>
      </c>
      <c r="BC107" s="18">
        <v>1.04</v>
      </c>
      <c r="BD107" s="18">
        <v>1.07</v>
      </c>
      <c r="BE107" s="18">
        <v>1.08</v>
      </c>
      <c r="BF107" s="18">
        <v>1.1499999999999999</v>
      </c>
      <c r="BG107" s="18">
        <v>1.1299999999999999</v>
      </c>
      <c r="BH107" s="18">
        <v>1.1399999999999999</v>
      </c>
      <c r="BI107" s="18">
        <v>1.04</v>
      </c>
      <c r="BJ107" s="19"/>
      <c r="BK107" s="18">
        <v>16.600000000000001</v>
      </c>
      <c r="BL107" s="18">
        <v>4.7000000000000011</v>
      </c>
      <c r="BM107" s="18">
        <v>5.6999999999999993</v>
      </c>
      <c r="BN107" s="18">
        <v>9.9</v>
      </c>
      <c r="BO107" s="18"/>
      <c r="BP107" s="18">
        <v>105</v>
      </c>
      <c r="BQ107" s="18">
        <v>49.35</v>
      </c>
      <c r="BR107" s="18">
        <v>0.72808239901316263</v>
      </c>
      <c r="BS107" s="18">
        <v>0.806409617068646</v>
      </c>
      <c r="BT107" s="19"/>
      <c r="BU107" s="18">
        <v>943.00000000000011</v>
      </c>
      <c r="BV107" s="18">
        <v>260.5702857142864</v>
      </c>
      <c r="BW107" s="18">
        <v>129.32585169428637</v>
      </c>
      <c r="BX107" s="18">
        <v>220</v>
      </c>
      <c r="BY107" s="18">
        <v>37.000000000000007</v>
      </c>
      <c r="BZ107" s="18">
        <v>27.368982857142839</v>
      </c>
      <c r="CA107" s="18">
        <v>428.78073142857045</v>
      </c>
      <c r="CB107" s="19"/>
      <c r="CC107" s="19">
        <v>2.8809</v>
      </c>
      <c r="CD107" s="19">
        <v>8.3808000000000007</v>
      </c>
      <c r="CE107" s="19">
        <v>8.7300000000000003E-2</v>
      </c>
      <c r="CF107" s="19">
        <v>0</v>
      </c>
      <c r="CG107" s="19">
        <v>13.095000000000001</v>
      </c>
      <c r="CH107" s="19">
        <v>3.9285000000000001</v>
      </c>
      <c r="CI107" s="19">
        <v>1.6587000000000001</v>
      </c>
      <c r="CJ107" s="19"/>
      <c r="CK107" s="19">
        <v>161.505</v>
      </c>
      <c r="CL107" s="19">
        <v>10.476000000000001</v>
      </c>
      <c r="CM107" s="19">
        <v>96.903000000000006</v>
      </c>
      <c r="CN107" s="19">
        <v>77.697000000000017</v>
      </c>
      <c r="CO107" s="19">
        <v>0</v>
      </c>
      <c r="CP107" s="19">
        <v>4.3650000000000001E-2</v>
      </c>
      <c r="CQ107" s="19">
        <v>91.117453402285804</v>
      </c>
      <c r="CR107" s="19">
        <v>143.35300372404149</v>
      </c>
      <c r="CS107" s="19">
        <v>5.5907671452376082</v>
      </c>
      <c r="CT107" s="19">
        <v>2.5230128655431301</v>
      </c>
      <c r="CU107" s="19">
        <v>2.9817424774600716</v>
      </c>
      <c r="CV107" s="19">
        <v>5.5047553430031853</v>
      </c>
      <c r="CW107" s="19">
        <v>4.8578032371965953</v>
      </c>
      <c r="CX107" s="19">
        <v>2.087219734222042</v>
      </c>
      <c r="CY107" s="19">
        <v>5.0464557900974372</v>
      </c>
      <c r="CZ107" s="19">
        <v>9.583435004959604</v>
      </c>
      <c r="DA107" s="19">
        <v>4.2697692159205713</v>
      </c>
      <c r="DB107" s="19">
        <v>6.3013679846976807</v>
      </c>
      <c r="DC107" s="19">
        <v>4.5921701212959398</v>
      </c>
      <c r="DD107" s="19">
        <v>10.893538105993636</v>
      </c>
      <c r="DE107" s="19">
        <v>7.1412732335168512</v>
      </c>
      <c r="DF107" s="23">
        <v>0</v>
      </c>
      <c r="DG107" s="23">
        <v>0</v>
      </c>
      <c r="DH107" s="23">
        <v>0</v>
      </c>
      <c r="DI107" s="19">
        <v>0</v>
      </c>
      <c r="DJ107" s="19">
        <v>0</v>
      </c>
      <c r="DK107" s="19">
        <v>0</v>
      </c>
      <c r="DL107" s="19">
        <v>0</v>
      </c>
      <c r="DM107" s="19">
        <v>0</v>
      </c>
      <c r="DN107" s="19">
        <v>0</v>
      </c>
      <c r="DO107" s="19">
        <v>0</v>
      </c>
      <c r="DP107" s="19">
        <v>0</v>
      </c>
      <c r="DQ107" s="19">
        <v>0</v>
      </c>
      <c r="DR107" s="19">
        <v>0</v>
      </c>
      <c r="DS107" s="19">
        <v>0</v>
      </c>
      <c r="DT107" s="19">
        <v>0</v>
      </c>
      <c r="DU107" s="19">
        <v>0</v>
      </c>
      <c r="DV107" s="19">
        <v>0</v>
      </c>
      <c r="DW107" s="17" t="s">
        <v>400</v>
      </c>
      <c r="DX107" s="22">
        <v>9</v>
      </c>
      <c r="DY107" s="22">
        <v>9</v>
      </c>
      <c r="DZ107" s="22">
        <v>9</v>
      </c>
      <c r="EA107" s="22">
        <v>9</v>
      </c>
      <c r="EB107" s="22">
        <v>9</v>
      </c>
      <c r="EC107" s="22">
        <v>9</v>
      </c>
      <c r="ED107" s="22">
        <v>9</v>
      </c>
      <c r="EE107" s="22" t="s">
        <v>218</v>
      </c>
      <c r="EF107" s="22">
        <v>9</v>
      </c>
      <c r="EG107" s="22">
        <v>9</v>
      </c>
      <c r="EH107" s="22" t="s">
        <v>218</v>
      </c>
      <c r="EI107" s="22" t="s">
        <v>218</v>
      </c>
      <c r="EJ107" s="22" t="s">
        <v>218</v>
      </c>
      <c r="EK107" s="22" t="s">
        <v>218</v>
      </c>
      <c r="EL107" s="22" t="s">
        <v>218</v>
      </c>
      <c r="EM107" s="22" t="s">
        <v>218</v>
      </c>
      <c r="EN107" s="22" t="s">
        <v>218</v>
      </c>
      <c r="EO107" s="22" t="s">
        <v>218</v>
      </c>
      <c r="EP107" s="22" t="s">
        <v>218</v>
      </c>
      <c r="EQ107" s="22" t="s">
        <v>218</v>
      </c>
      <c r="ER107" s="22" t="s">
        <v>218</v>
      </c>
      <c r="ES107" s="22">
        <v>6</v>
      </c>
      <c r="ET107" s="22">
        <v>6</v>
      </c>
      <c r="EU107" s="22">
        <v>5</v>
      </c>
      <c r="EV107" s="22" t="s">
        <v>218</v>
      </c>
      <c r="EW107" s="22">
        <v>5</v>
      </c>
      <c r="EX107" s="22">
        <v>5</v>
      </c>
      <c r="EY107" s="22">
        <v>5</v>
      </c>
      <c r="EZ107" s="22">
        <v>5</v>
      </c>
      <c r="FA107" s="22">
        <v>5</v>
      </c>
      <c r="FB107" s="22">
        <v>5</v>
      </c>
      <c r="FC107" s="22">
        <v>5</v>
      </c>
      <c r="FD107" s="22" t="s">
        <v>218</v>
      </c>
      <c r="FE107" s="22" t="s">
        <v>218</v>
      </c>
      <c r="FF107" s="22">
        <v>0.8</v>
      </c>
      <c r="FG107" s="22">
        <v>1</v>
      </c>
      <c r="FH107" s="22">
        <v>0.2</v>
      </c>
      <c r="FI107" s="22">
        <v>1.3</v>
      </c>
      <c r="FJ107" s="22">
        <v>1.3</v>
      </c>
      <c r="FK107" s="22">
        <v>3.3</v>
      </c>
      <c r="FL107" s="22">
        <v>3.3</v>
      </c>
      <c r="FM107" s="22" t="s">
        <v>218</v>
      </c>
      <c r="FN107" s="22">
        <v>6</v>
      </c>
      <c r="FO107" s="22">
        <v>5</v>
      </c>
      <c r="FP107" s="22" t="s">
        <v>218</v>
      </c>
      <c r="FQ107" s="22" t="s">
        <v>218</v>
      </c>
      <c r="FR107" s="22" t="s">
        <v>218</v>
      </c>
      <c r="FS107" s="22" t="s">
        <v>218</v>
      </c>
      <c r="FT107" s="22" t="s">
        <v>218</v>
      </c>
      <c r="FU107" s="22" t="s">
        <v>218</v>
      </c>
      <c r="FV107" s="22" t="s">
        <v>218</v>
      </c>
      <c r="FW107" s="22" t="s">
        <v>218</v>
      </c>
      <c r="FX107" s="22" t="s">
        <v>218</v>
      </c>
      <c r="FY107" s="22" t="s">
        <v>218</v>
      </c>
      <c r="FZ107" s="22" t="s">
        <v>218</v>
      </c>
      <c r="GA107" s="22">
        <v>0.42</v>
      </c>
      <c r="GB107" s="22">
        <v>1.58</v>
      </c>
      <c r="GC107" s="22">
        <v>0.03</v>
      </c>
      <c r="GD107" s="22" t="s">
        <v>218</v>
      </c>
      <c r="GE107" s="22">
        <v>0.79</v>
      </c>
      <c r="GF107" s="22">
        <v>0.13</v>
      </c>
      <c r="GG107" s="22">
        <v>0.08</v>
      </c>
      <c r="GH107" s="22">
        <v>29.61</v>
      </c>
      <c r="GI107" s="22">
        <v>1.51</v>
      </c>
      <c r="GJ107" s="22">
        <v>5.81</v>
      </c>
      <c r="GK107" s="22">
        <v>5.17</v>
      </c>
      <c r="GL107" s="22" t="s">
        <v>218</v>
      </c>
      <c r="GM107" s="22" t="s">
        <v>218</v>
      </c>
      <c r="GN107" s="22">
        <v>2016</v>
      </c>
      <c r="GO107" s="22">
        <v>2016</v>
      </c>
      <c r="GP107" s="22">
        <v>2016</v>
      </c>
      <c r="GQ107" s="22">
        <v>2016</v>
      </c>
      <c r="GR107" s="22">
        <v>2016</v>
      </c>
      <c r="GS107" s="22">
        <v>2016</v>
      </c>
      <c r="GT107" s="22">
        <v>2016</v>
      </c>
      <c r="GU107" s="22" t="s">
        <v>218</v>
      </c>
      <c r="GV107" s="22">
        <v>2016</v>
      </c>
      <c r="GW107" s="22">
        <v>2016</v>
      </c>
      <c r="GX107" s="22" t="s">
        <v>218</v>
      </c>
      <c r="GY107" s="22" t="s">
        <v>218</v>
      </c>
      <c r="GZ107" s="22" t="s">
        <v>218</v>
      </c>
      <c r="HA107" s="22" t="s">
        <v>218</v>
      </c>
      <c r="HB107" s="22" t="s">
        <v>218</v>
      </c>
      <c r="HC107" s="22" t="s">
        <v>218</v>
      </c>
      <c r="HD107" s="22" t="s">
        <v>218</v>
      </c>
      <c r="HE107" s="22" t="s">
        <v>218</v>
      </c>
      <c r="HF107" s="22" t="s">
        <v>218</v>
      </c>
      <c r="HG107" s="22" t="s">
        <v>218</v>
      </c>
      <c r="HH107" s="22" t="s">
        <v>218</v>
      </c>
      <c r="HI107" s="22">
        <v>2016</v>
      </c>
      <c r="HJ107" s="22">
        <v>2016</v>
      </c>
      <c r="HK107" s="22">
        <v>2005</v>
      </c>
      <c r="HL107" s="22" t="s">
        <v>218</v>
      </c>
      <c r="HM107" s="622">
        <f>'background data'!$G$10</f>
        <v>0.47300000000000003</v>
      </c>
      <c r="HN107" s="622">
        <f>'background data'!$H$10</f>
        <v>0.13</v>
      </c>
      <c r="HO107" s="622">
        <f>'background data'!$J$10</f>
        <v>0.39100000000000001</v>
      </c>
      <c r="HP107" s="622">
        <f>'background data'!$L$10</f>
        <v>5.5E-2</v>
      </c>
      <c r="HQ107" s="622">
        <f>'background data'!$M$10</f>
        <v>3.97</v>
      </c>
      <c r="HR107" s="622">
        <f>'background data'!$N$10</f>
        <v>4.5999999999999999E-3</v>
      </c>
      <c r="HS107" s="622">
        <f>'background data'!$O$10</f>
        <v>2.73</v>
      </c>
      <c r="HT107" s="145" t="s">
        <v>1797</v>
      </c>
      <c r="HU107" s="145" t="s">
        <v>1809</v>
      </c>
      <c r="HV107" s="22" t="s">
        <v>1943</v>
      </c>
      <c r="HW107" s="22" t="s">
        <v>401</v>
      </c>
      <c r="HX107" s="22" t="s">
        <v>402</v>
      </c>
      <c r="HY107" s="22" t="s">
        <v>405</v>
      </c>
      <c r="HZ107" s="19"/>
      <c r="IA107" s="19"/>
      <c r="IB107" s="622">
        <f>'background data'!$G$10</f>
        <v>0.47300000000000003</v>
      </c>
      <c r="IC107" s="622">
        <f>'background data'!$H$10</f>
        <v>0.13</v>
      </c>
      <c r="ID107" s="622">
        <f>'background data'!$J$10</f>
        <v>0.39100000000000001</v>
      </c>
      <c r="IE107" s="622">
        <f>'background data'!$L$10</f>
        <v>5.5E-2</v>
      </c>
      <c r="IF107" s="622">
        <f>'background data'!$M$10</f>
        <v>3.97</v>
      </c>
      <c r="IG107" s="622">
        <f>'background data'!$N$10</f>
        <v>4.5999999999999999E-3</v>
      </c>
      <c r="IH107" s="622">
        <f>'background data'!$O$10</f>
        <v>2.73</v>
      </c>
      <c r="II107" s="145" t="s">
        <v>1797</v>
      </c>
      <c r="IJ107" s="145"/>
      <c r="IK107" s="145"/>
      <c r="IL107" s="145"/>
      <c r="IM107" s="145"/>
      <c r="IN107" s="145"/>
      <c r="IO107" s="145"/>
      <c r="IP107" s="145"/>
      <c r="IQ107" s="145"/>
      <c r="IR107" s="145"/>
      <c r="IS107" s="145"/>
      <c r="IT107" s="145"/>
      <c r="IU107" s="145"/>
      <c r="IV107" s="145"/>
      <c r="IW107" s="145"/>
      <c r="IX107" s="145"/>
      <c r="IY107" s="145"/>
      <c r="IZ107" s="145"/>
      <c r="JA107" s="145"/>
      <c r="JB107" s="145"/>
      <c r="JC107" s="145"/>
      <c r="JD107" s="145"/>
      <c r="JE107" s="145"/>
      <c r="JF107" s="145"/>
      <c r="JG107" s="145"/>
      <c r="JH107" s="145"/>
      <c r="JI107" s="145"/>
      <c r="JJ107" s="145"/>
      <c r="JK107" s="145"/>
      <c r="JL107" s="145"/>
      <c r="JM107" s="145"/>
      <c r="JN107" s="145"/>
      <c r="JO107" s="145"/>
      <c r="JP107" s="145"/>
      <c r="JQ107" s="145"/>
      <c r="JR107" s="145"/>
      <c r="JS107" s="145"/>
      <c r="JT107" s="145"/>
      <c r="JU107" s="145"/>
      <c r="JV107" s="145"/>
      <c r="JW107" s="145"/>
      <c r="JX107" s="145"/>
      <c r="JY107" s="145"/>
      <c r="JZ107" s="145"/>
      <c r="KA107" s="145"/>
      <c r="KB107" s="145"/>
      <c r="KC107" s="145"/>
      <c r="KD107" s="145"/>
      <c r="KE107" s="145"/>
      <c r="KF107" s="145"/>
      <c r="KG107" s="145"/>
      <c r="KH107" s="145"/>
      <c r="KI107" s="145"/>
      <c r="KJ107" s="145"/>
      <c r="KK107" s="145"/>
      <c r="KL107" s="145"/>
      <c r="KM107" s="145"/>
      <c r="KN107" s="145"/>
      <c r="KO107" s="145"/>
      <c r="KP107" s="145"/>
      <c r="KQ107" s="145"/>
      <c r="KR107" s="145"/>
      <c r="KS107" s="145"/>
      <c r="KT107" s="145"/>
      <c r="KU107" s="145"/>
      <c r="KV107" s="145"/>
      <c r="KW107" s="145"/>
      <c r="KX107" s="145"/>
      <c r="KY107" s="145"/>
      <c r="KZ107" s="145"/>
      <c r="LA107" s="145"/>
      <c r="LB107" s="145"/>
      <c r="LC107" s="145"/>
      <c r="LD107" s="145"/>
      <c r="LE107" s="145"/>
      <c r="LF107" s="145"/>
      <c r="LG107" s="145"/>
      <c r="LH107" s="145"/>
      <c r="LI107" s="145"/>
      <c r="LJ107" s="145"/>
      <c r="LK107" s="145"/>
      <c r="LL107" s="145"/>
      <c r="LM107" s="145"/>
      <c r="LN107" s="145"/>
      <c r="LO107" s="145"/>
      <c r="LP107" s="145"/>
      <c r="LQ107" s="145"/>
      <c r="LR107" s="145"/>
      <c r="LS107" s="145"/>
      <c r="LT107" s="145"/>
      <c r="LU107" s="145"/>
      <c r="LV107" s="145"/>
      <c r="LW107" s="145"/>
      <c r="LX107" s="145"/>
      <c r="LY107" s="145"/>
      <c r="LZ107" s="145"/>
      <c r="MA107" s="145"/>
      <c r="MB107" s="145"/>
      <c r="MC107" s="145"/>
      <c r="MD107" s="145"/>
      <c r="ME107" s="145"/>
      <c r="MF107" s="145"/>
      <c r="MG107" s="145"/>
      <c r="MH107" s="145"/>
      <c r="MI107" s="145"/>
      <c r="MJ107" s="145"/>
      <c r="MK107" s="145"/>
      <c r="ML107" s="145"/>
      <c r="MM107" s="145"/>
      <c r="MN107" s="145"/>
      <c r="MO107" s="145"/>
      <c r="MP107" s="145"/>
      <c r="MQ107" s="145"/>
      <c r="MR107" s="145"/>
      <c r="MS107" s="145"/>
      <c r="MT107" s="145"/>
      <c r="MU107" s="145"/>
      <c r="MV107" s="145"/>
      <c r="MW107" s="145"/>
      <c r="MX107" s="145"/>
      <c r="MY107" s="145"/>
      <c r="MZ107" s="145"/>
      <c r="NA107" s="145"/>
      <c r="NB107" s="145"/>
      <c r="NC107" s="145"/>
      <c r="ND107" s="145"/>
      <c r="NE107" s="145"/>
      <c r="NF107" s="145"/>
      <c r="NG107" s="145"/>
      <c r="NH107" s="145"/>
      <c r="NI107" s="145"/>
      <c r="NJ107" s="145"/>
      <c r="NK107" s="145"/>
      <c r="NL107" s="145"/>
      <c r="NM107" s="145"/>
      <c r="NN107" s="145"/>
      <c r="NO107" s="145"/>
      <c r="NP107" s="145"/>
      <c r="NQ107" s="145"/>
      <c r="NR107" s="145"/>
      <c r="NS107" s="145"/>
    </row>
    <row r="108" spans="1:383" s="16" customFormat="1" ht="15" customHeight="1" x14ac:dyDescent="0.2">
      <c r="A108" s="15">
        <v>51700</v>
      </c>
      <c r="B108" s="25">
        <v>517</v>
      </c>
      <c r="C108" s="26">
        <v>0</v>
      </c>
      <c r="D108" s="20" t="s">
        <v>406</v>
      </c>
      <c r="E108" s="14">
        <v>42695</v>
      </c>
      <c r="F108" s="18">
        <v>0.72713916535036804</v>
      </c>
      <c r="G108" s="18">
        <v>0.79028389877699401</v>
      </c>
      <c r="H108" s="21">
        <v>68.8</v>
      </c>
      <c r="I108" s="21">
        <v>56.3</v>
      </c>
      <c r="J108" s="21">
        <v>88</v>
      </c>
      <c r="K108" s="18">
        <v>1</v>
      </c>
      <c r="L108" s="18">
        <v>88.1</v>
      </c>
      <c r="M108" s="18">
        <v>17.179500000000001</v>
      </c>
      <c r="N108" s="18">
        <v>4.8455000000000004</v>
      </c>
      <c r="O108" s="18">
        <v>4.7573999999999996</v>
      </c>
      <c r="P108" s="18">
        <v>6.4512581740000003</v>
      </c>
      <c r="Q108" s="19"/>
      <c r="R108" s="18">
        <v>71.614042197802206</v>
      </c>
      <c r="S108" s="18">
        <v>20</v>
      </c>
      <c r="T108" s="18">
        <v>37</v>
      </c>
      <c r="U108" s="18">
        <v>44</v>
      </c>
      <c r="V108" s="18">
        <v>50</v>
      </c>
      <c r="W108" s="18">
        <v>54</v>
      </c>
      <c r="X108" s="18"/>
      <c r="Y108" s="18">
        <v>0.90000000000000013</v>
      </c>
      <c r="Z108" s="18">
        <v>11.900000000000002</v>
      </c>
      <c r="AA108" s="18">
        <v>0.1</v>
      </c>
      <c r="AB108" s="18">
        <v>0</v>
      </c>
      <c r="AC108" s="18">
        <v>13</v>
      </c>
      <c r="AD108" s="18">
        <v>4.2000000000000011</v>
      </c>
      <c r="AE108" s="18">
        <v>2.2000000000000002</v>
      </c>
      <c r="AF108" s="18">
        <v>150</v>
      </c>
      <c r="AG108" s="18">
        <v>13</v>
      </c>
      <c r="AH108" s="18">
        <v>145</v>
      </c>
      <c r="AI108" s="18">
        <v>106.00000000000001</v>
      </c>
      <c r="AJ108" s="18">
        <v>0</v>
      </c>
      <c r="AK108" s="18">
        <v>7.0000000000000007E-2</v>
      </c>
      <c r="AL108" s="18"/>
      <c r="AM108" s="18">
        <v>3.9000000000000101</v>
      </c>
      <c r="AN108" s="18">
        <v>1.6</v>
      </c>
      <c r="AO108" s="18">
        <v>2.0000000000000102</v>
      </c>
      <c r="AP108" s="18">
        <v>3.3</v>
      </c>
      <c r="AQ108" s="18">
        <v>1.41</v>
      </c>
      <c r="AR108" s="18">
        <v>3.3</v>
      </c>
      <c r="AS108" s="18">
        <v>6.2100000000000204</v>
      </c>
      <c r="AT108" s="18">
        <v>2.59</v>
      </c>
      <c r="AU108" s="18">
        <v>3.9100000000000099</v>
      </c>
      <c r="AV108" s="18">
        <v>2.8</v>
      </c>
      <c r="AW108" s="18">
        <v>4.8100000000000103</v>
      </c>
      <c r="AX108" s="18"/>
      <c r="AY108" s="18">
        <v>1.01</v>
      </c>
      <c r="AZ108" s="18">
        <v>1.0900000000000001</v>
      </c>
      <c r="BA108" s="18">
        <v>1.05</v>
      </c>
      <c r="BB108" s="18">
        <v>0.94</v>
      </c>
      <c r="BC108" s="18">
        <v>1.1399999999999999</v>
      </c>
      <c r="BD108" s="18">
        <v>1.05</v>
      </c>
      <c r="BE108" s="18">
        <v>1.03</v>
      </c>
      <c r="BF108" s="18">
        <v>1.0900000000000001</v>
      </c>
      <c r="BG108" s="18">
        <v>1.1000000000000001</v>
      </c>
      <c r="BH108" s="18">
        <v>1.04</v>
      </c>
      <c r="BI108" s="18">
        <v>1.03</v>
      </c>
      <c r="BJ108" s="19"/>
      <c r="BK108" s="18">
        <v>19.5</v>
      </c>
      <c r="BL108" s="18">
        <v>5.5000000000000009</v>
      </c>
      <c r="BM108" s="18">
        <v>5.3999999999999995</v>
      </c>
      <c r="BN108" s="18">
        <v>7.3226540000000009</v>
      </c>
      <c r="BO108" s="18"/>
      <c r="BP108" s="18">
        <v>105</v>
      </c>
      <c r="BQ108" s="18">
        <v>57.75</v>
      </c>
      <c r="BR108" s="18">
        <v>0.82535660085172313</v>
      </c>
      <c r="BS108" s="18">
        <v>0.89703053209647443</v>
      </c>
      <c r="BT108" s="19"/>
      <c r="BU108" s="18">
        <v>946.00000000000011</v>
      </c>
      <c r="BV108" s="18">
        <v>251.11942857142907</v>
      </c>
      <c r="BW108" s="18">
        <v>168.92857142857093</v>
      </c>
      <c r="BX108" s="18" t="s">
        <v>217</v>
      </c>
      <c r="BY108" s="18" t="s">
        <v>217</v>
      </c>
      <c r="BZ108" s="18">
        <v>26.341834285714306</v>
      </c>
      <c r="CA108" s="18">
        <v>412.68873714285701</v>
      </c>
      <c r="CB108" s="19"/>
      <c r="CC108" s="19">
        <v>0.79290000000000005</v>
      </c>
      <c r="CD108" s="19">
        <v>10.4839</v>
      </c>
      <c r="CE108" s="19">
        <v>8.8099999999999998E-2</v>
      </c>
      <c r="CF108" s="19">
        <v>0</v>
      </c>
      <c r="CG108" s="19">
        <v>11.452999999999999</v>
      </c>
      <c r="CH108" s="19">
        <v>3.7002000000000006</v>
      </c>
      <c r="CI108" s="19">
        <v>1.9381999999999999</v>
      </c>
      <c r="CJ108" s="19"/>
      <c r="CK108" s="19">
        <v>132.14999999999998</v>
      </c>
      <c r="CL108" s="19">
        <v>11.452999999999999</v>
      </c>
      <c r="CM108" s="19">
        <v>127.74499999999999</v>
      </c>
      <c r="CN108" s="19">
        <v>93.385999999999996</v>
      </c>
      <c r="CO108" s="19">
        <v>0</v>
      </c>
      <c r="CP108" s="19">
        <v>6.1669999999999996E-2</v>
      </c>
      <c r="CQ108" s="19">
        <v>123.02934379371401</v>
      </c>
      <c r="CR108" s="19">
        <v>169.19642024017918</v>
      </c>
      <c r="CS108" s="19">
        <v>6.6646469932607069</v>
      </c>
      <c r="CT108" s="19">
        <v>2.9507855689887355</v>
      </c>
      <c r="CU108" s="19">
        <v>3.5531248250437848</v>
      </c>
      <c r="CV108" s="19">
        <v>6.5039103940325065</v>
      </c>
      <c r="CW108" s="19">
        <v>5.2484729558503602</v>
      </c>
      <c r="CX108" s="19">
        <v>2.7196632589406415</v>
      </c>
      <c r="CY108" s="19">
        <v>5.8626559613222362</v>
      </c>
      <c r="CZ108" s="19">
        <v>10.822310627822651</v>
      </c>
      <c r="DA108" s="19">
        <v>4.776584139800498</v>
      </c>
      <c r="DB108" s="19">
        <v>7.2771380345301342</v>
      </c>
      <c r="DC108" s="19">
        <v>4.9269997573940287</v>
      </c>
      <c r="DD108" s="19">
        <v>12.204137791924165</v>
      </c>
      <c r="DE108" s="19">
        <v>8.3824982479592336</v>
      </c>
      <c r="DF108" s="23">
        <v>0</v>
      </c>
      <c r="DG108" s="23">
        <v>0</v>
      </c>
      <c r="DH108" s="23">
        <v>0</v>
      </c>
      <c r="DI108" s="19">
        <v>0</v>
      </c>
      <c r="DJ108" s="19">
        <v>0</v>
      </c>
      <c r="DK108" s="19">
        <v>0</v>
      </c>
      <c r="DL108" s="19">
        <v>0</v>
      </c>
      <c r="DM108" s="19">
        <v>0</v>
      </c>
      <c r="DN108" s="19">
        <v>0</v>
      </c>
      <c r="DO108" s="19">
        <v>0</v>
      </c>
      <c r="DP108" s="19">
        <v>0</v>
      </c>
      <c r="DQ108" s="19">
        <v>0</v>
      </c>
      <c r="DR108" s="19">
        <v>0</v>
      </c>
      <c r="DS108" s="19">
        <v>0</v>
      </c>
      <c r="DT108" s="19">
        <v>0</v>
      </c>
      <c r="DU108" s="19">
        <v>0</v>
      </c>
      <c r="DV108" s="19">
        <v>0</v>
      </c>
      <c r="DW108" s="17" t="s">
        <v>407</v>
      </c>
      <c r="DX108" s="22" t="s">
        <v>218</v>
      </c>
      <c r="DY108" s="22" t="s">
        <v>218</v>
      </c>
      <c r="DZ108" s="22">
        <v>3</v>
      </c>
      <c r="EA108" s="22">
        <v>3</v>
      </c>
      <c r="EB108" s="22" t="s">
        <v>218</v>
      </c>
      <c r="EC108" s="22">
        <v>3</v>
      </c>
      <c r="ED108" s="22">
        <v>3</v>
      </c>
      <c r="EE108" s="22" t="s">
        <v>218</v>
      </c>
      <c r="EF108" s="22">
        <v>3</v>
      </c>
      <c r="EG108" s="22" t="s">
        <v>218</v>
      </c>
      <c r="EH108" s="22" t="s">
        <v>218</v>
      </c>
      <c r="EI108" s="22" t="s">
        <v>218</v>
      </c>
      <c r="EJ108" s="22" t="s">
        <v>218</v>
      </c>
      <c r="EK108" s="22" t="s">
        <v>218</v>
      </c>
      <c r="EL108" s="22" t="s">
        <v>218</v>
      </c>
      <c r="EM108" s="22" t="s">
        <v>218</v>
      </c>
      <c r="EN108" s="22" t="s">
        <v>218</v>
      </c>
      <c r="EO108" s="22" t="s">
        <v>218</v>
      </c>
      <c r="EP108" s="22" t="s">
        <v>218</v>
      </c>
      <c r="EQ108" s="22" t="s">
        <v>218</v>
      </c>
      <c r="ER108" s="22" t="s">
        <v>218</v>
      </c>
      <c r="ES108" s="22">
        <v>3</v>
      </c>
      <c r="ET108" s="22">
        <v>3</v>
      </c>
      <c r="EU108" s="22">
        <v>3</v>
      </c>
      <c r="EV108" s="22" t="s">
        <v>218</v>
      </c>
      <c r="EW108" s="22">
        <v>3</v>
      </c>
      <c r="EX108" s="22">
        <v>3</v>
      </c>
      <c r="EY108" s="22">
        <v>3</v>
      </c>
      <c r="EZ108" s="22">
        <v>3</v>
      </c>
      <c r="FA108" s="22">
        <v>3</v>
      </c>
      <c r="FB108" s="22">
        <v>3</v>
      </c>
      <c r="FC108" s="22">
        <v>3</v>
      </c>
      <c r="FD108" s="22" t="s">
        <v>218</v>
      </c>
      <c r="FE108" s="22" t="s">
        <v>218</v>
      </c>
      <c r="FF108" s="22" t="s">
        <v>218</v>
      </c>
      <c r="FG108" s="22" t="s">
        <v>218</v>
      </c>
      <c r="FH108" s="22" t="s">
        <v>218</v>
      </c>
      <c r="FI108" s="22">
        <v>0.5</v>
      </c>
      <c r="FJ108" s="22" t="s">
        <v>218</v>
      </c>
      <c r="FK108" s="22">
        <v>3</v>
      </c>
      <c r="FL108" s="22">
        <v>2.2000000000000002</v>
      </c>
      <c r="FM108" s="22" t="s">
        <v>218</v>
      </c>
      <c r="FN108" s="22">
        <v>4.9000000000000004</v>
      </c>
      <c r="FO108" s="22" t="s">
        <v>218</v>
      </c>
      <c r="FP108" s="22" t="s">
        <v>218</v>
      </c>
      <c r="FQ108" s="22" t="s">
        <v>218</v>
      </c>
      <c r="FR108" s="22" t="s">
        <v>218</v>
      </c>
      <c r="FS108" s="22" t="s">
        <v>218</v>
      </c>
      <c r="FT108" s="22" t="s">
        <v>218</v>
      </c>
      <c r="FU108" s="22" t="s">
        <v>218</v>
      </c>
      <c r="FV108" s="22" t="s">
        <v>218</v>
      </c>
      <c r="FW108" s="22" t="s">
        <v>218</v>
      </c>
      <c r="FX108" s="22" t="s">
        <v>218</v>
      </c>
      <c r="FY108" s="22" t="s">
        <v>218</v>
      </c>
      <c r="FZ108" s="22" t="s">
        <v>218</v>
      </c>
      <c r="GA108" s="22">
        <v>0.12</v>
      </c>
      <c r="GB108" s="22">
        <v>2.0699999999999998</v>
      </c>
      <c r="GC108" s="22" t="s">
        <v>218</v>
      </c>
      <c r="GD108" s="22" t="s">
        <v>218</v>
      </c>
      <c r="GE108" s="22">
        <v>1.75</v>
      </c>
      <c r="GF108" s="22">
        <v>0.52</v>
      </c>
      <c r="GG108" s="22">
        <v>0.18</v>
      </c>
      <c r="GH108" s="22">
        <v>17.61</v>
      </c>
      <c r="GI108" s="22">
        <v>1.27</v>
      </c>
      <c r="GJ108" s="22">
        <v>34.74</v>
      </c>
      <c r="GK108" s="22">
        <v>4.51</v>
      </c>
      <c r="GL108" s="22" t="s">
        <v>218</v>
      </c>
      <c r="GM108" s="22" t="s">
        <v>218</v>
      </c>
      <c r="GN108" s="22" t="s">
        <v>218</v>
      </c>
      <c r="GO108" s="22" t="s">
        <v>218</v>
      </c>
      <c r="GP108" s="22">
        <v>2005</v>
      </c>
      <c r="GQ108" s="22">
        <v>2005</v>
      </c>
      <c r="GR108" s="22" t="s">
        <v>218</v>
      </c>
      <c r="GS108" s="22">
        <v>2005</v>
      </c>
      <c r="GT108" s="22">
        <v>2005</v>
      </c>
      <c r="GU108" s="22" t="s">
        <v>218</v>
      </c>
      <c r="GV108" s="22">
        <v>2005</v>
      </c>
      <c r="GW108" s="22" t="s">
        <v>218</v>
      </c>
      <c r="GX108" s="22" t="s">
        <v>218</v>
      </c>
      <c r="GY108" s="22" t="s">
        <v>218</v>
      </c>
      <c r="GZ108" s="22" t="s">
        <v>218</v>
      </c>
      <c r="HA108" s="22" t="s">
        <v>218</v>
      </c>
      <c r="HB108" s="22" t="s">
        <v>218</v>
      </c>
      <c r="HC108" s="22" t="s">
        <v>218</v>
      </c>
      <c r="HD108" s="22" t="s">
        <v>218</v>
      </c>
      <c r="HE108" s="22" t="s">
        <v>218</v>
      </c>
      <c r="HF108" s="22" t="s">
        <v>218</v>
      </c>
      <c r="HG108" s="22" t="s">
        <v>218</v>
      </c>
      <c r="HH108" s="22" t="s">
        <v>218</v>
      </c>
      <c r="HI108" s="22">
        <v>2005</v>
      </c>
      <c r="HJ108" s="22">
        <v>2005</v>
      </c>
      <c r="HK108" s="22">
        <v>2005</v>
      </c>
      <c r="HL108" s="22" t="s">
        <v>218</v>
      </c>
      <c r="HM108" s="622">
        <f>'background data'!$G$10</f>
        <v>0.47300000000000003</v>
      </c>
      <c r="HN108" s="622">
        <f>'background data'!$H$10</f>
        <v>0.13</v>
      </c>
      <c r="HO108" s="622">
        <f>'background data'!$J$10</f>
        <v>0.39100000000000001</v>
      </c>
      <c r="HP108" s="622">
        <f>'background data'!$L$10</f>
        <v>5.5E-2</v>
      </c>
      <c r="HQ108" s="622">
        <f>'background data'!$M$10</f>
        <v>3.97</v>
      </c>
      <c r="HR108" s="622">
        <f>'background data'!$N$10</f>
        <v>4.5999999999999999E-3</v>
      </c>
      <c r="HS108" s="622">
        <f>'background data'!$O$10</f>
        <v>2.73</v>
      </c>
      <c r="HT108" s="145" t="s">
        <v>1797</v>
      </c>
      <c r="HU108" s="145" t="s">
        <v>1809</v>
      </c>
      <c r="HV108" s="22" t="s">
        <v>1944</v>
      </c>
      <c r="HW108" s="22" t="s">
        <v>408</v>
      </c>
      <c r="HX108" s="22" t="s">
        <v>409</v>
      </c>
      <c r="HY108" s="22" t="s">
        <v>410</v>
      </c>
      <c r="HZ108" s="19"/>
      <c r="IA108" s="19"/>
      <c r="IB108" s="622">
        <f>'background data'!$G$10</f>
        <v>0.47300000000000003</v>
      </c>
      <c r="IC108" s="622">
        <f>'background data'!$H$10</f>
        <v>0.13</v>
      </c>
      <c r="ID108" s="622">
        <f>'background data'!$J$10</f>
        <v>0.39100000000000001</v>
      </c>
      <c r="IE108" s="622">
        <f>'background data'!$L$10</f>
        <v>5.5E-2</v>
      </c>
      <c r="IF108" s="622">
        <f>'background data'!$M$10</f>
        <v>3.97</v>
      </c>
      <c r="IG108" s="622">
        <f>'background data'!$N$10</f>
        <v>4.5999999999999999E-3</v>
      </c>
      <c r="IH108" s="622">
        <f>'background data'!$O$10</f>
        <v>2.73</v>
      </c>
      <c r="II108" s="145" t="s">
        <v>1797</v>
      </c>
      <c r="IJ108" s="145"/>
      <c r="IK108" s="145"/>
      <c r="IL108" s="145"/>
      <c r="IM108" s="145"/>
      <c r="IN108" s="145"/>
      <c r="IO108" s="145"/>
      <c r="IP108" s="145"/>
      <c r="IQ108" s="145"/>
      <c r="IR108" s="145"/>
      <c r="IS108" s="145"/>
      <c r="IT108" s="145"/>
      <c r="IU108" s="145"/>
      <c r="IV108" s="145"/>
      <c r="IW108" s="145"/>
      <c r="IX108" s="145"/>
      <c r="IY108" s="145"/>
      <c r="IZ108" s="145"/>
      <c r="JA108" s="145"/>
      <c r="JB108" s="145"/>
      <c r="JC108" s="145"/>
      <c r="JD108" s="145"/>
      <c r="JE108" s="145"/>
      <c r="JF108" s="145"/>
      <c r="JG108" s="145"/>
      <c r="JH108" s="145"/>
      <c r="JI108" s="145"/>
      <c r="JJ108" s="145"/>
      <c r="JK108" s="145"/>
      <c r="JL108" s="145"/>
      <c r="JM108" s="145"/>
      <c r="JN108" s="145"/>
      <c r="JO108" s="145"/>
      <c r="JP108" s="145"/>
      <c r="JQ108" s="145"/>
      <c r="JR108" s="145"/>
      <c r="JS108" s="145"/>
      <c r="JT108" s="145"/>
      <c r="JU108" s="145"/>
      <c r="JV108" s="145"/>
      <c r="JW108" s="145"/>
      <c r="JX108" s="145"/>
      <c r="JY108" s="145"/>
      <c r="JZ108" s="145"/>
      <c r="KA108" s="145"/>
      <c r="KB108" s="145"/>
      <c r="KC108" s="145"/>
      <c r="KD108" s="145"/>
      <c r="KE108" s="145"/>
      <c r="KF108" s="145"/>
      <c r="KG108" s="145"/>
      <c r="KH108" s="145"/>
      <c r="KI108" s="145"/>
      <c r="KJ108" s="145"/>
      <c r="KK108" s="145"/>
      <c r="KL108" s="145"/>
      <c r="KM108" s="145"/>
      <c r="KN108" s="145"/>
      <c r="KO108" s="145"/>
      <c r="KP108" s="145"/>
      <c r="KQ108" s="145"/>
      <c r="KR108" s="145"/>
      <c r="KS108" s="145"/>
      <c r="KT108" s="145"/>
      <c r="KU108" s="145"/>
      <c r="KV108" s="145"/>
      <c r="KW108" s="145"/>
      <c r="KX108" s="145"/>
      <c r="KY108" s="145"/>
      <c r="KZ108" s="145"/>
      <c r="LA108" s="145"/>
      <c r="LB108" s="145"/>
      <c r="LC108" s="145"/>
      <c r="LD108" s="145"/>
      <c r="LE108" s="145"/>
      <c r="LF108" s="145"/>
      <c r="LG108" s="145"/>
      <c r="LH108" s="145"/>
      <c r="LI108" s="145"/>
      <c r="LJ108" s="145"/>
      <c r="LK108" s="145"/>
      <c r="LL108" s="145"/>
      <c r="LM108" s="145"/>
      <c r="LN108" s="145"/>
      <c r="LO108" s="145"/>
      <c r="LP108" s="145"/>
      <c r="LQ108" s="145"/>
      <c r="LR108" s="145"/>
      <c r="LS108" s="145"/>
      <c r="LT108" s="145"/>
      <c r="LU108" s="145"/>
      <c r="LV108" s="145"/>
      <c r="LW108" s="145"/>
      <c r="LX108" s="145"/>
      <c r="LY108" s="145"/>
      <c r="LZ108" s="145"/>
      <c r="MA108" s="145"/>
      <c r="MB108" s="145"/>
      <c r="MC108" s="145"/>
      <c r="MD108" s="145"/>
      <c r="ME108" s="145"/>
      <c r="MF108" s="145"/>
      <c r="MG108" s="145"/>
      <c r="MH108" s="145"/>
      <c r="MI108" s="145"/>
      <c r="MJ108" s="145"/>
      <c r="MK108" s="145"/>
      <c r="ML108" s="145"/>
      <c r="MM108" s="145"/>
      <c r="MN108" s="145"/>
      <c r="MO108" s="145"/>
      <c r="MP108" s="145"/>
      <c r="MQ108" s="145"/>
      <c r="MR108" s="145"/>
      <c r="MS108" s="145"/>
      <c r="MT108" s="145"/>
      <c r="MU108" s="145"/>
      <c r="MV108" s="145"/>
      <c r="MW108" s="145"/>
      <c r="MX108" s="145"/>
      <c r="MY108" s="145"/>
      <c r="MZ108" s="145"/>
      <c r="NA108" s="145"/>
      <c r="NB108" s="145"/>
      <c r="NC108" s="145"/>
      <c r="ND108" s="145"/>
      <c r="NE108" s="145"/>
      <c r="NF108" s="145"/>
      <c r="NG108" s="145"/>
      <c r="NH108" s="145"/>
      <c r="NI108" s="145"/>
      <c r="NJ108" s="145"/>
      <c r="NK108" s="145"/>
      <c r="NL108" s="145"/>
      <c r="NM108" s="145"/>
      <c r="NN108" s="145"/>
      <c r="NO108" s="145"/>
      <c r="NP108" s="145"/>
      <c r="NQ108" s="145"/>
      <c r="NR108" s="145"/>
      <c r="NS108" s="145"/>
    </row>
    <row r="109" spans="1:383" s="16" customFormat="1" ht="15" customHeight="1" x14ac:dyDescent="0.2">
      <c r="A109" s="15">
        <v>62500</v>
      </c>
      <c r="B109" s="25">
        <v>625</v>
      </c>
      <c r="C109" s="26">
        <v>0</v>
      </c>
      <c r="D109" s="20" t="s">
        <v>411</v>
      </c>
      <c r="E109" s="14">
        <v>41533</v>
      </c>
      <c r="F109" s="18">
        <v>1.82963163917925</v>
      </c>
      <c r="G109" s="18">
        <v>1.8098179754508299</v>
      </c>
      <c r="H109" s="21">
        <v>88.6</v>
      </c>
      <c r="I109" s="21">
        <v>77.8</v>
      </c>
      <c r="J109" s="21">
        <v>93</v>
      </c>
      <c r="K109" s="18">
        <v>1</v>
      </c>
      <c r="L109" s="18">
        <v>92</v>
      </c>
      <c r="M109" s="18">
        <v>21.896000000000001</v>
      </c>
      <c r="N109" s="18">
        <v>35.880000000000003</v>
      </c>
      <c r="O109" s="18">
        <v>4.2320000000000002</v>
      </c>
      <c r="P109" s="18">
        <v>6.9</v>
      </c>
      <c r="Q109" s="19"/>
      <c r="R109" s="18">
        <v>75</v>
      </c>
      <c r="S109" s="18">
        <v>12</v>
      </c>
      <c r="T109" s="18">
        <v>12</v>
      </c>
      <c r="U109" s="18">
        <v>12</v>
      </c>
      <c r="V109" s="18">
        <v>12</v>
      </c>
      <c r="W109" s="18">
        <v>12</v>
      </c>
      <c r="X109" s="18"/>
      <c r="Y109" s="18">
        <v>2.6</v>
      </c>
      <c r="Z109" s="18">
        <v>5.7</v>
      </c>
      <c r="AA109" s="18">
        <v>0.39999999999999997</v>
      </c>
      <c r="AB109" s="18">
        <v>0</v>
      </c>
      <c r="AC109" s="18">
        <v>8.9</v>
      </c>
      <c r="AD109" s="18">
        <v>4.0999999999999996</v>
      </c>
      <c r="AE109" s="18">
        <v>2.5</v>
      </c>
      <c r="AF109" s="18">
        <v>75</v>
      </c>
      <c r="AG109" s="18">
        <v>14</v>
      </c>
      <c r="AH109" s="18">
        <v>30</v>
      </c>
      <c r="AI109" s="18">
        <v>50</v>
      </c>
      <c r="AJ109" s="18">
        <v>0</v>
      </c>
      <c r="AK109" s="18">
        <v>0.35000000000000003</v>
      </c>
      <c r="AL109" s="18"/>
      <c r="AM109" s="18">
        <v>3.74</v>
      </c>
      <c r="AN109" s="18">
        <v>1.89</v>
      </c>
      <c r="AO109" s="18">
        <v>2.0699999999999998</v>
      </c>
      <c r="AP109" s="18">
        <v>3.51</v>
      </c>
      <c r="AQ109" s="18">
        <v>1.41</v>
      </c>
      <c r="AR109" s="18">
        <v>4.1399999999999997</v>
      </c>
      <c r="AS109" s="18">
        <v>5.77</v>
      </c>
      <c r="AT109" s="18">
        <v>2.06</v>
      </c>
      <c r="AU109" s="18">
        <v>4.37</v>
      </c>
      <c r="AV109" s="18">
        <v>2.36</v>
      </c>
      <c r="AW109" s="18">
        <v>5.08</v>
      </c>
      <c r="AX109" s="18"/>
      <c r="AY109" s="18">
        <v>1.0900000000000001</v>
      </c>
      <c r="AZ109" s="18">
        <v>1.1299999999999999</v>
      </c>
      <c r="BA109" s="18">
        <v>1.1299999999999999</v>
      </c>
      <c r="BB109" s="18">
        <v>1.05</v>
      </c>
      <c r="BC109" s="18">
        <v>1.1200000000000001</v>
      </c>
      <c r="BD109" s="18">
        <v>1.08</v>
      </c>
      <c r="BE109" s="18">
        <v>1.07</v>
      </c>
      <c r="BF109" s="18">
        <v>1.08</v>
      </c>
      <c r="BG109" s="18">
        <v>1.07</v>
      </c>
      <c r="BH109" s="18">
        <v>1</v>
      </c>
      <c r="BI109" s="18">
        <v>1.0900000000000001</v>
      </c>
      <c r="BJ109" s="19"/>
      <c r="BK109" s="18">
        <v>23.8</v>
      </c>
      <c r="BL109" s="18">
        <v>39</v>
      </c>
      <c r="BM109" s="18">
        <v>4.6000000000000005</v>
      </c>
      <c r="BN109" s="18">
        <v>7.5</v>
      </c>
      <c r="BO109" s="18"/>
      <c r="BP109" s="18">
        <v>190</v>
      </c>
      <c r="BQ109" s="18">
        <v>741</v>
      </c>
      <c r="BR109" s="18">
        <v>1.9887300425861414</v>
      </c>
      <c r="BS109" s="18">
        <v>1.9671934515769891</v>
      </c>
      <c r="BT109" s="19"/>
      <c r="BU109" s="18">
        <v>954</v>
      </c>
      <c r="BV109" s="18">
        <v>103.17542857142902</v>
      </c>
      <c r="BW109" s="18">
        <v>147.18857142857067</v>
      </c>
      <c r="BX109" s="18" t="s">
        <v>217</v>
      </c>
      <c r="BY109" s="18" t="s">
        <v>217</v>
      </c>
      <c r="BZ109" s="18">
        <v>138</v>
      </c>
      <c r="CA109" s="18">
        <v>283.99999999999994</v>
      </c>
      <c r="CB109" s="19"/>
      <c r="CC109" s="19">
        <v>2.3920000000000003</v>
      </c>
      <c r="CD109" s="19">
        <v>5.2440000000000007</v>
      </c>
      <c r="CE109" s="19">
        <v>0.36799999999999999</v>
      </c>
      <c r="CF109" s="19">
        <v>0</v>
      </c>
      <c r="CG109" s="19">
        <v>8.1880000000000006</v>
      </c>
      <c r="CH109" s="19">
        <v>3.7719999999999998</v>
      </c>
      <c r="CI109" s="19">
        <v>2.3000000000000003</v>
      </c>
      <c r="CJ109" s="19"/>
      <c r="CK109" s="19">
        <v>69</v>
      </c>
      <c r="CL109" s="19">
        <v>12.88</v>
      </c>
      <c r="CM109" s="19">
        <v>27.6</v>
      </c>
      <c r="CN109" s="19">
        <v>46</v>
      </c>
      <c r="CO109" s="19">
        <v>0</v>
      </c>
      <c r="CP109" s="19">
        <v>0.32200000000000006</v>
      </c>
      <c r="CQ109" s="19">
        <v>164.22</v>
      </c>
      <c r="CR109" s="19">
        <v>89.755771863273552</v>
      </c>
      <c r="CS109" s="19">
        <v>3.6589837957782096</v>
      </c>
      <c r="CT109" s="19">
        <v>1.9169140196839334</v>
      </c>
      <c r="CU109" s="19">
        <v>2.0994772596538316</v>
      </c>
      <c r="CV109" s="19">
        <v>4.016391279337765</v>
      </c>
      <c r="CW109" s="19">
        <v>3.307948972020947</v>
      </c>
      <c r="CX109" s="19">
        <v>1.4174231492648159</v>
      </c>
      <c r="CY109" s="19">
        <v>4.0131600715506872</v>
      </c>
      <c r="CZ109" s="19">
        <v>5.5414315990666463</v>
      </c>
      <c r="DA109" s="19">
        <v>1.9968864124141099</v>
      </c>
      <c r="DB109" s="19">
        <v>4.1968901365548081</v>
      </c>
      <c r="DC109" s="19">
        <v>2.1182362159732562</v>
      </c>
      <c r="DD109" s="19">
        <v>6.3151263525280639</v>
      </c>
      <c r="DE109" s="19">
        <v>4.9699565996131838</v>
      </c>
      <c r="DF109" s="23">
        <v>0</v>
      </c>
      <c r="DG109" s="23">
        <v>0</v>
      </c>
      <c r="DH109" s="23">
        <v>0</v>
      </c>
      <c r="DI109" s="19">
        <v>0</v>
      </c>
      <c r="DJ109" s="19">
        <v>0</v>
      </c>
      <c r="DK109" s="19">
        <v>0</v>
      </c>
      <c r="DL109" s="19">
        <v>0</v>
      </c>
      <c r="DM109" s="19">
        <v>0</v>
      </c>
      <c r="DN109" s="19">
        <v>0</v>
      </c>
      <c r="DO109" s="19">
        <v>0</v>
      </c>
      <c r="DP109" s="19">
        <v>0</v>
      </c>
      <c r="DQ109" s="19">
        <v>0</v>
      </c>
      <c r="DR109" s="19">
        <v>0</v>
      </c>
      <c r="DS109" s="19">
        <v>0</v>
      </c>
      <c r="DT109" s="19">
        <v>0</v>
      </c>
      <c r="DU109" s="19">
        <v>0</v>
      </c>
      <c r="DV109" s="19">
        <v>0</v>
      </c>
      <c r="DW109" s="17" t="s">
        <v>412</v>
      </c>
      <c r="DX109" s="22" t="s">
        <v>218</v>
      </c>
      <c r="DY109" s="22" t="s">
        <v>218</v>
      </c>
      <c r="DZ109" s="22">
        <v>2</v>
      </c>
      <c r="EA109" s="22">
        <v>2</v>
      </c>
      <c r="EB109" s="22" t="s">
        <v>218</v>
      </c>
      <c r="EC109" s="22">
        <v>2</v>
      </c>
      <c r="ED109" s="22">
        <v>2</v>
      </c>
      <c r="EE109" s="22" t="s">
        <v>218</v>
      </c>
      <c r="EF109" s="22" t="s">
        <v>218</v>
      </c>
      <c r="EG109" s="22" t="s">
        <v>218</v>
      </c>
      <c r="EH109" s="22">
        <v>2</v>
      </c>
      <c r="EI109" s="22">
        <v>2</v>
      </c>
      <c r="EJ109" s="22">
        <v>2</v>
      </c>
      <c r="EK109" s="22">
        <v>2</v>
      </c>
      <c r="EL109" s="22" t="s">
        <v>218</v>
      </c>
      <c r="EM109" s="22" t="s">
        <v>218</v>
      </c>
      <c r="EN109" s="22">
        <v>2</v>
      </c>
      <c r="EO109" s="22">
        <v>2</v>
      </c>
      <c r="EP109" s="22">
        <v>2</v>
      </c>
      <c r="EQ109" s="22">
        <v>2</v>
      </c>
      <c r="ER109" s="22" t="s">
        <v>218</v>
      </c>
      <c r="ES109" s="22">
        <v>2</v>
      </c>
      <c r="ET109" s="22">
        <v>2</v>
      </c>
      <c r="EU109" s="22">
        <v>2</v>
      </c>
      <c r="EV109" s="22" t="s">
        <v>218</v>
      </c>
      <c r="EW109" s="22">
        <v>2</v>
      </c>
      <c r="EX109" s="22">
        <v>2</v>
      </c>
      <c r="EY109" s="22">
        <v>2</v>
      </c>
      <c r="EZ109" s="22">
        <v>2</v>
      </c>
      <c r="FA109" s="22">
        <v>2</v>
      </c>
      <c r="FB109" s="22">
        <v>2</v>
      </c>
      <c r="FC109" s="22">
        <v>2</v>
      </c>
      <c r="FD109" s="22" t="s">
        <v>218</v>
      </c>
      <c r="FE109" s="22" t="s">
        <v>218</v>
      </c>
      <c r="FF109" s="22" t="s">
        <v>218</v>
      </c>
      <c r="FG109" s="22" t="s">
        <v>218</v>
      </c>
      <c r="FH109" s="22">
        <v>4.4000000000000004</v>
      </c>
      <c r="FI109" s="22">
        <v>0.3</v>
      </c>
      <c r="FJ109" s="22" t="s">
        <v>218</v>
      </c>
      <c r="FK109" s="22">
        <v>0.4</v>
      </c>
      <c r="FL109" s="22">
        <v>0.1</v>
      </c>
      <c r="FM109" s="22" t="s">
        <v>218</v>
      </c>
      <c r="FN109" s="22" t="s">
        <v>218</v>
      </c>
      <c r="FO109" s="22" t="s">
        <v>218</v>
      </c>
      <c r="FP109" s="22">
        <v>0.18</v>
      </c>
      <c r="FQ109" s="22">
        <v>0.15</v>
      </c>
      <c r="FR109" s="22">
        <v>0.06</v>
      </c>
      <c r="FS109" s="22">
        <v>0.22</v>
      </c>
      <c r="FT109" s="22" t="s">
        <v>218</v>
      </c>
      <c r="FU109" s="22" t="s">
        <v>218</v>
      </c>
      <c r="FV109" s="22">
        <v>0.08</v>
      </c>
      <c r="FW109" s="22">
        <v>0.08</v>
      </c>
      <c r="FX109" s="22">
        <v>0.03</v>
      </c>
      <c r="FY109" s="22">
        <v>0.06</v>
      </c>
      <c r="FZ109" s="22" t="s">
        <v>218</v>
      </c>
      <c r="GA109" s="22">
        <v>0.25</v>
      </c>
      <c r="GB109" s="22">
        <v>0.19</v>
      </c>
      <c r="GC109" s="22">
        <v>0.01</v>
      </c>
      <c r="GD109" s="22" t="s">
        <v>218</v>
      </c>
      <c r="GE109" s="22">
        <v>0.06</v>
      </c>
      <c r="GF109" s="22">
        <v>0.28000000000000003</v>
      </c>
      <c r="GG109" s="22">
        <v>0.02</v>
      </c>
      <c r="GH109" s="22">
        <v>3.58</v>
      </c>
      <c r="GI109" s="22">
        <v>1.43</v>
      </c>
      <c r="GJ109" s="22">
        <v>1.32</v>
      </c>
      <c r="GK109" s="22">
        <v>3.41</v>
      </c>
      <c r="GL109" s="22" t="s">
        <v>218</v>
      </c>
      <c r="GM109" s="22" t="s">
        <v>218</v>
      </c>
      <c r="GN109" s="22" t="s">
        <v>218</v>
      </c>
      <c r="GO109" s="22" t="s">
        <v>218</v>
      </c>
      <c r="GP109" s="22">
        <v>2005</v>
      </c>
      <c r="GQ109" s="22">
        <v>2005</v>
      </c>
      <c r="GR109" s="22" t="s">
        <v>218</v>
      </c>
      <c r="GS109" s="22">
        <v>2005</v>
      </c>
      <c r="GT109" s="22">
        <v>2005</v>
      </c>
      <c r="GU109" s="22" t="s">
        <v>218</v>
      </c>
      <c r="GV109" s="22" t="s">
        <v>218</v>
      </c>
      <c r="GW109" s="22" t="s">
        <v>218</v>
      </c>
      <c r="GX109" s="22">
        <v>2005</v>
      </c>
      <c r="GY109" s="22">
        <v>2005</v>
      </c>
      <c r="GZ109" s="22">
        <v>2005</v>
      </c>
      <c r="HA109" s="22">
        <v>2005</v>
      </c>
      <c r="HB109" s="22" t="s">
        <v>218</v>
      </c>
      <c r="HC109" s="22" t="s">
        <v>218</v>
      </c>
      <c r="HD109" s="22">
        <v>2005</v>
      </c>
      <c r="HE109" s="22">
        <v>2005</v>
      </c>
      <c r="HF109" s="22">
        <v>2005</v>
      </c>
      <c r="HG109" s="22">
        <v>2005</v>
      </c>
      <c r="HH109" s="22" t="s">
        <v>218</v>
      </c>
      <c r="HI109" s="22">
        <v>2005</v>
      </c>
      <c r="HJ109" s="22">
        <v>2005</v>
      </c>
      <c r="HK109" s="22">
        <v>2005</v>
      </c>
      <c r="HL109" s="22" t="s">
        <v>218</v>
      </c>
      <c r="HM109" s="860"/>
      <c r="HN109" s="860"/>
      <c r="HO109" s="860"/>
      <c r="HP109" s="860"/>
      <c r="HQ109" s="860"/>
      <c r="HR109" s="860"/>
      <c r="HS109" s="860"/>
      <c r="HT109" s="145"/>
      <c r="HU109" s="145" t="s">
        <v>1809</v>
      </c>
      <c r="HV109" s="22" t="s">
        <v>1945</v>
      </c>
      <c r="HW109" s="22" t="s">
        <v>413</v>
      </c>
      <c r="HX109" s="22" t="s">
        <v>414</v>
      </c>
      <c r="HY109" s="22" t="s">
        <v>415</v>
      </c>
      <c r="HZ109" s="19"/>
      <c r="IA109" s="19"/>
      <c r="IB109" s="621">
        <f>'background data'!$G$10</f>
        <v>0.47300000000000003</v>
      </c>
      <c r="IC109" s="621">
        <f>'background data'!$H$10</f>
        <v>0.13</v>
      </c>
      <c r="ID109" s="621">
        <f>'background data'!$J$10</f>
        <v>0.39100000000000001</v>
      </c>
      <c r="IE109" s="621">
        <f>'background data'!$L$10</f>
        <v>5.5E-2</v>
      </c>
      <c r="IF109" s="621">
        <f>'background data'!$M$10</f>
        <v>3.97</v>
      </c>
      <c r="IG109" s="621">
        <f>'background data'!$N$10</f>
        <v>4.5999999999999999E-3</v>
      </c>
      <c r="IH109" s="621">
        <f>'background data'!$O$10</f>
        <v>2.73</v>
      </c>
      <c r="II109" s="145"/>
      <c r="IJ109" s="145"/>
      <c r="IK109" s="145"/>
      <c r="IL109" s="145"/>
      <c r="IM109" s="145"/>
      <c r="IN109" s="145"/>
      <c r="IO109" s="145"/>
      <c r="IP109" s="145"/>
      <c r="IQ109" s="145"/>
      <c r="IR109" s="145"/>
      <c r="IS109" s="145"/>
      <c r="IT109" s="145"/>
      <c r="IU109" s="145"/>
      <c r="IV109" s="145"/>
      <c r="IW109" s="145"/>
      <c r="IX109" s="145"/>
      <c r="IY109" s="145"/>
      <c r="IZ109" s="145"/>
      <c r="JA109" s="145"/>
      <c r="JB109" s="145"/>
      <c r="JC109" s="145"/>
      <c r="JD109" s="145"/>
      <c r="JE109" s="145"/>
      <c r="JF109" s="145"/>
      <c r="JG109" s="145"/>
      <c r="JH109" s="145"/>
      <c r="JI109" s="145"/>
      <c r="JJ109" s="145"/>
      <c r="JK109" s="145"/>
      <c r="JL109" s="145"/>
      <c r="JM109" s="145"/>
      <c r="JN109" s="145"/>
      <c r="JO109" s="145"/>
      <c r="JP109" s="145"/>
      <c r="JQ109" s="145"/>
      <c r="JR109" s="145"/>
      <c r="JS109" s="145"/>
      <c r="JT109" s="145"/>
      <c r="JU109" s="145"/>
      <c r="JV109" s="145"/>
      <c r="JW109" s="145"/>
      <c r="JX109" s="145"/>
      <c r="JY109" s="145"/>
      <c r="JZ109" s="145"/>
      <c r="KA109" s="145"/>
      <c r="KB109" s="145"/>
      <c r="KC109" s="145"/>
      <c r="KD109" s="145"/>
      <c r="KE109" s="145"/>
      <c r="KF109" s="145"/>
      <c r="KG109" s="145"/>
      <c r="KH109" s="145"/>
      <c r="KI109" s="145"/>
      <c r="KJ109" s="145"/>
      <c r="KK109" s="145"/>
      <c r="KL109" s="145"/>
      <c r="KM109" s="145"/>
      <c r="KN109" s="145"/>
      <c r="KO109" s="145"/>
      <c r="KP109" s="145"/>
      <c r="KQ109" s="145"/>
      <c r="KR109" s="145"/>
      <c r="KS109" s="145"/>
      <c r="KT109" s="145"/>
      <c r="KU109" s="145"/>
      <c r="KV109" s="145"/>
      <c r="KW109" s="145"/>
      <c r="KX109" s="145"/>
      <c r="KY109" s="145"/>
      <c r="KZ109" s="145"/>
      <c r="LA109" s="145"/>
      <c r="LB109" s="145"/>
      <c r="LC109" s="145"/>
      <c r="LD109" s="145"/>
      <c r="LE109" s="145"/>
      <c r="LF109" s="145"/>
      <c r="LG109" s="145"/>
      <c r="LH109" s="145"/>
      <c r="LI109" s="145"/>
      <c r="LJ109" s="145"/>
      <c r="LK109" s="145"/>
      <c r="LL109" s="145"/>
      <c r="LM109" s="145"/>
      <c r="LN109" s="145"/>
      <c r="LO109" s="145"/>
      <c r="LP109" s="145"/>
      <c r="LQ109" s="145"/>
      <c r="LR109" s="145"/>
      <c r="LS109" s="145"/>
      <c r="LT109" s="145"/>
      <c r="LU109" s="145"/>
      <c r="LV109" s="145"/>
      <c r="LW109" s="145"/>
      <c r="LX109" s="145"/>
      <c r="LY109" s="145"/>
      <c r="LZ109" s="145"/>
      <c r="MA109" s="145"/>
      <c r="MB109" s="145"/>
      <c r="MC109" s="145"/>
      <c r="MD109" s="145"/>
      <c r="ME109" s="145"/>
      <c r="MF109" s="145"/>
      <c r="MG109" s="145"/>
      <c r="MH109" s="145"/>
      <c r="MI109" s="145"/>
      <c r="MJ109" s="145"/>
      <c r="MK109" s="145"/>
      <c r="ML109" s="145"/>
      <c r="MM109" s="145"/>
      <c r="MN109" s="145"/>
      <c r="MO109" s="145"/>
      <c r="MP109" s="145"/>
      <c r="MQ109" s="145"/>
      <c r="MR109" s="145"/>
      <c r="MS109" s="145"/>
      <c r="MT109" s="145"/>
      <c r="MU109" s="145"/>
      <c r="MV109" s="145"/>
      <c r="MW109" s="145"/>
      <c r="MX109" s="145"/>
      <c r="MY109" s="145"/>
      <c r="MZ109" s="145"/>
      <c r="NA109" s="145"/>
      <c r="NB109" s="145"/>
      <c r="NC109" s="145"/>
      <c r="ND109" s="145"/>
      <c r="NE109" s="145"/>
      <c r="NF109" s="145"/>
      <c r="NG109" s="145"/>
      <c r="NH109" s="145"/>
      <c r="NI109" s="145"/>
      <c r="NJ109" s="145"/>
      <c r="NK109" s="145"/>
      <c r="NL109" s="145"/>
      <c r="NM109" s="145"/>
      <c r="NN109" s="145"/>
      <c r="NO109" s="145"/>
      <c r="NP109" s="145"/>
      <c r="NQ109" s="145"/>
      <c r="NR109" s="145"/>
      <c r="NS109" s="145"/>
    </row>
    <row r="110" spans="1:383" s="16" customFormat="1" ht="15" customHeight="1" x14ac:dyDescent="0.2">
      <c r="A110" s="15">
        <v>99800</v>
      </c>
      <c r="B110" s="25">
        <v>998</v>
      </c>
      <c r="C110" s="26">
        <v>0</v>
      </c>
      <c r="D110" s="20" t="s">
        <v>416</v>
      </c>
      <c r="E110" s="14">
        <v>40310</v>
      </c>
      <c r="F110" s="18">
        <v>1.1672371646341499</v>
      </c>
      <c r="G110" s="18">
        <v>1.1187286071428599</v>
      </c>
      <c r="H110" s="21">
        <v>100</v>
      </c>
      <c r="I110" s="21">
        <v>100</v>
      </c>
      <c r="J110" s="21">
        <v>100</v>
      </c>
      <c r="K110" s="18">
        <v>1</v>
      </c>
      <c r="L110" s="18">
        <v>99</v>
      </c>
      <c r="M110" s="18">
        <v>66.082499999999996</v>
      </c>
      <c r="N110" s="18">
        <v>0</v>
      </c>
      <c r="O110" s="18">
        <v>15.048</v>
      </c>
      <c r="P110" s="18">
        <v>0</v>
      </c>
      <c r="Q110" s="19"/>
      <c r="R110" s="18">
        <v>100</v>
      </c>
      <c r="S110" s="18">
        <v>0</v>
      </c>
      <c r="T110" s="18">
        <v>0</v>
      </c>
      <c r="U110" s="18">
        <v>0</v>
      </c>
      <c r="V110" s="18">
        <v>0</v>
      </c>
      <c r="W110" s="18">
        <v>0</v>
      </c>
      <c r="X110" s="18"/>
      <c r="Y110" s="18">
        <v>0</v>
      </c>
      <c r="Z110" s="18">
        <v>0</v>
      </c>
      <c r="AA110" s="18">
        <v>0</v>
      </c>
      <c r="AB110" s="18">
        <v>0</v>
      </c>
      <c r="AC110" s="18">
        <v>0</v>
      </c>
      <c r="AD110" s="18">
        <v>0</v>
      </c>
      <c r="AE110" s="18">
        <v>0</v>
      </c>
      <c r="AF110" s="18">
        <v>0</v>
      </c>
      <c r="AG110" s="18">
        <v>0</v>
      </c>
      <c r="AH110" s="18">
        <v>0</v>
      </c>
      <c r="AI110" s="18">
        <v>0</v>
      </c>
      <c r="AJ110" s="18">
        <v>0</v>
      </c>
      <c r="AK110" s="18">
        <v>0</v>
      </c>
      <c r="AL110" s="18"/>
      <c r="AM110" s="18">
        <v>0</v>
      </c>
      <c r="AN110" s="18">
        <v>0</v>
      </c>
      <c r="AO110" s="18">
        <v>0</v>
      </c>
      <c r="AP110" s="18">
        <v>0</v>
      </c>
      <c r="AQ110" s="18">
        <v>0</v>
      </c>
      <c r="AR110" s="18">
        <v>149.81273400000001</v>
      </c>
      <c r="AS110" s="18">
        <v>0</v>
      </c>
      <c r="AT110" s="18">
        <v>0</v>
      </c>
      <c r="AU110" s="18">
        <v>0</v>
      </c>
      <c r="AV110" s="18">
        <v>0</v>
      </c>
      <c r="AW110" s="18">
        <v>0</v>
      </c>
      <c r="AX110" s="18"/>
      <c r="AY110" s="18">
        <v>1</v>
      </c>
      <c r="AZ110" s="18">
        <v>1</v>
      </c>
      <c r="BA110" s="18">
        <v>1</v>
      </c>
      <c r="BB110" s="18">
        <v>1</v>
      </c>
      <c r="BC110" s="18">
        <v>1</v>
      </c>
      <c r="BD110" s="18">
        <v>1</v>
      </c>
      <c r="BE110" s="18">
        <v>1</v>
      </c>
      <c r="BF110" s="18">
        <v>1</v>
      </c>
      <c r="BG110" s="18">
        <v>1</v>
      </c>
      <c r="BH110" s="18">
        <v>1</v>
      </c>
      <c r="BI110" s="18">
        <v>1</v>
      </c>
      <c r="BJ110" s="19"/>
      <c r="BK110" s="18">
        <v>66.75</v>
      </c>
      <c r="BL110" s="18">
        <v>0</v>
      </c>
      <c r="BM110" s="18">
        <v>15.2</v>
      </c>
      <c r="BN110" s="18">
        <v>0</v>
      </c>
      <c r="BO110" s="18"/>
      <c r="BP110" s="18">
        <v>0</v>
      </c>
      <c r="BQ110" s="18">
        <v>0</v>
      </c>
      <c r="BR110" s="18">
        <v>1.179027439024394</v>
      </c>
      <c r="BS110" s="18">
        <v>1.1300288961038989</v>
      </c>
      <c r="BT110" s="19"/>
      <c r="BU110" s="18">
        <v>848</v>
      </c>
      <c r="BV110" s="18">
        <v>240.57500000000002</v>
      </c>
      <c r="BW110" s="18">
        <v>0</v>
      </c>
      <c r="BX110" s="18">
        <v>0</v>
      </c>
      <c r="BY110" s="18">
        <v>0</v>
      </c>
      <c r="BZ110" s="18" t="s">
        <v>217</v>
      </c>
      <c r="CA110" s="18" t="s">
        <v>217</v>
      </c>
      <c r="CB110" s="19"/>
      <c r="CC110" s="19">
        <v>0</v>
      </c>
      <c r="CD110" s="19">
        <v>0</v>
      </c>
      <c r="CE110" s="19">
        <v>0</v>
      </c>
      <c r="CF110" s="19">
        <v>0</v>
      </c>
      <c r="CG110" s="19">
        <v>0</v>
      </c>
      <c r="CH110" s="19">
        <v>0</v>
      </c>
      <c r="CI110" s="19">
        <v>0</v>
      </c>
      <c r="CJ110" s="19"/>
      <c r="CK110" s="19">
        <v>0</v>
      </c>
      <c r="CL110" s="19">
        <v>0</v>
      </c>
      <c r="CM110" s="19">
        <v>0</v>
      </c>
      <c r="CN110" s="19">
        <v>0</v>
      </c>
      <c r="CO110" s="19">
        <v>0</v>
      </c>
      <c r="CP110" s="19">
        <v>0</v>
      </c>
      <c r="CQ110" s="19">
        <v>660.82500000000005</v>
      </c>
      <c r="CR110" s="19">
        <v>566.14458485574698</v>
      </c>
      <c r="CS110" s="19">
        <v>0</v>
      </c>
      <c r="CT110" s="19">
        <v>0</v>
      </c>
      <c r="CU110" s="19">
        <v>0</v>
      </c>
      <c r="CV110" s="19">
        <v>0</v>
      </c>
      <c r="CW110" s="19">
        <v>0</v>
      </c>
      <c r="CX110" s="19">
        <v>0</v>
      </c>
      <c r="CY110" s="19">
        <v>848.15668096534444</v>
      </c>
      <c r="CZ110" s="19">
        <v>0</v>
      </c>
      <c r="DA110" s="19">
        <v>0</v>
      </c>
      <c r="DB110" s="19">
        <v>0</v>
      </c>
      <c r="DC110" s="19">
        <v>0</v>
      </c>
      <c r="DD110" s="19">
        <v>0</v>
      </c>
      <c r="DE110" s="19">
        <v>0</v>
      </c>
      <c r="DF110" s="23">
        <v>0</v>
      </c>
      <c r="DG110" s="23">
        <v>0</v>
      </c>
      <c r="DH110" s="23">
        <v>0</v>
      </c>
      <c r="DI110" s="19">
        <v>0</v>
      </c>
      <c r="DJ110" s="19">
        <v>0</v>
      </c>
      <c r="DK110" s="19">
        <v>0</v>
      </c>
      <c r="DL110" s="19">
        <v>0</v>
      </c>
      <c r="DM110" s="19">
        <v>0</v>
      </c>
      <c r="DN110" s="19">
        <v>0</v>
      </c>
      <c r="DO110" s="19">
        <v>0</v>
      </c>
      <c r="DP110" s="19">
        <v>0</v>
      </c>
      <c r="DQ110" s="19">
        <v>0</v>
      </c>
      <c r="DR110" s="19">
        <v>0</v>
      </c>
      <c r="DS110" s="19">
        <v>0</v>
      </c>
      <c r="DT110" s="19">
        <v>0</v>
      </c>
      <c r="DU110" s="19">
        <v>0</v>
      </c>
      <c r="DV110" s="19">
        <v>0</v>
      </c>
      <c r="DW110" s="17" t="s">
        <v>218</v>
      </c>
      <c r="DX110" s="22" t="s">
        <v>218</v>
      </c>
      <c r="DY110" s="22" t="s">
        <v>218</v>
      </c>
      <c r="DZ110" s="22" t="s">
        <v>218</v>
      </c>
      <c r="EA110" s="22" t="s">
        <v>218</v>
      </c>
      <c r="EB110" s="22" t="s">
        <v>218</v>
      </c>
      <c r="EC110" s="22" t="s">
        <v>218</v>
      </c>
      <c r="ED110" s="22" t="s">
        <v>218</v>
      </c>
      <c r="EE110" s="22" t="s">
        <v>218</v>
      </c>
      <c r="EF110" s="22" t="s">
        <v>218</v>
      </c>
      <c r="EG110" s="22" t="s">
        <v>218</v>
      </c>
      <c r="EH110" s="22" t="s">
        <v>218</v>
      </c>
      <c r="EI110" s="22" t="s">
        <v>218</v>
      </c>
      <c r="EJ110" s="22" t="s">
        <v>218</v>
      </c>
      <c r="EK110" s="22" t="s">
        <v>218</v>
      </c>
      <c r="EL110" s="22" t="s">
        <v>218</v>
      </c>
      <c r="EM110" s="22" t="s">
        <v>218</v>
      </c>
      <c r="EN110" s="22" t="s">
        <v>218</v>
      </c>
      <c r="EO110" s="22" t="s">
        <v>218</v>
      </c>
      <c r="EP110" s="22" t="s">
        <v>218</v>
      </c>
      <c r="EQ110" s="22" t="s">
        <v>218</v>
      </c>
      <c r="ER110" s="22" t="s">
        <v>218</v>
      </c>
      <c r="ES110" s="22" t="s">
        <v>218</v>
      </c>
      <c r="ET110" s="22" t="s">
        <v>218</v>
      </c>
      <c r="EU110" s="22" t="s">
        <v>218</v>
      </c>
      <c r="EV110" s="22" t="s">
        <v>218</v>
      </c>
      <c r="EW110" s="22" t="s">
        <v>218</v>
      </c>
      <c r="EX110" s="22" t="s">
        <v>218</v>
      </c>
      <c r="EY110" s="22" t="s">
        <v>218</v>
      </c>
      <c r="EZ110" s="22" t="s">
        <v>218</v>
      </c>
      <c r="FA110" s="22" t="s">
        <v>218</v>
      </c>
      <c r="FB110" s="22" t="s">
        <v>218</v>
      </c>
      <c r="FC110" s="22" t="s">
        <v>218</v>
      </c>
      <c r="FD110" s="22" t="s">
        <v>218</v>
      </c>
      <c r="FE110" s="22" t="s">
        <v>218</v>
      </c>
      <c r="FF110" s="22" t="s">
        <v>218</v>
      </c>
      <c r="FG110" s="22" t="s">
        <v>218</v>
      </c>
      <c r="FH110" s="22" t="s">
        <v>218</v>
      </c>
      <c r="FI110" s="22" t="s">
        <v>218</v>
      </c>
      <c r="FJ110" s="22" t="s">
        <v>218</v>
      </c>
      <c r="FK110" s="22" t="s">
        <v>218</v>
      </c>
      <c r="FL110" s="22" t="s">
        <v>218</v>
      </c>
      <c r="FM110" s="22" t="s">
        <v>218</v>
      </c>
      <c r="FN110" s="22" t="s">
        <v>218</v>
      </c>
      <c r="FO110" s="22" t="s">
        <v>218</v>
      </c>
      <c r="FP110" s="22" t="s">
        <v>218</v>
      </c>
      <c r="FQ110" s="22" t="s">
        <v>218</v>
      </c>
      <c r="FR110" s="22" t="s">
        <v>218</v>
      </c>
      <c r="FS110" s="22" t="s">
        <v>218</v>
      </c>
      <c r="FT110" s="22" t="s">
        <v>218</v>
      </c>
      <c r="FU110" s="22" t="s">
        <v>218</v>
      </c>
      <c r="FV110" s="22" t="s">
        <v>218</v>
      </c>
      <c r="FW110" s="22" t="s">
        <v>218</v>
      </c>
      <c r="FX110" s="22" t="s">
        <v>218</v>
      </c>
      <c r="FY110" s="22" t="s">
        <v>218</v>
      </c>
      <c r="FZ110" s="22" t="s">
        <v>218</v>
      </c>
      <c r="GA110" s="22" t="s">
        <v>218</v>
      </c>
      <c r="GB110" s="22" t="s">
        <v>218</v>
      </c>
      <c r="GC110" s="22" t="s">
        <v>218</v>
      </c>
      <c r="GD110" s="22" t="s">
        <v>218</v>
      </c>
      <c r="GE110" s="22" t="s">
        <v>218</v>
      </c>
      <c r="GF110" s="22" t="s">
        <v>218</v>
      </c>
      <c r="GG110" s="22" t="s">
        <v>218</v>
      </c>
      <c r="GH110" s="22" t="s">
        <v>218</v>
      </c>
      <c r="GI110" s="22" t="s">
        <v>218</v>
      </c>
      <c r="GJ110" s="22" t="s">
        <v>218</v>
      </c>
      <c r="GK110" s="22" t="s">
        <v>218</v>
      </c>
      <c r="GL110" s="22" t="s">
        <v>218</v>
      </c>
      <c r="GM110" s="22" t="s">
        <v>218</v>
      </c>
      <c r="GN110" s="22" t="s">
        <v>218</v>
      </c>
      <c r="GO110" s="22" t="s">
        <v>218</v>
      </c>
      <c r="GP110" s="22" t="s">
        <v>218</v>
      </c>
      <c r="GQ110" s="22" t="s">
        <v>218</v>
      </c>
      <c r="GR110" s="22" t="s">
        <v>218</v>
      </c>
      <c r="GS110" s="22" t="s">
        <v>218</v>
      </c>
      <c r="GT110" s="22" t="s">
        <v>218</v>
      </c>
      <c r="GU110" s="22" t="s">
        <v>218</v>
      </c>
      <c r="GV110" s="22" t="s">
        <v>218</v>
      </c>
      <c r="GW110" s="22" t="s">
        <v>218</v>
      </c>
      <c r="GX110" s="22" t="s">
        <v>218</v>
      </c>
      <c r="GY110" s="22" t="s">
        <v>218</v>
      </c>
      <c r="GZ110" s="22" t="s">
        <v>218</v>
      </c>
      <c r="HA110" s="22" t="s">
        <v>218</v>
      </c>
      <c r="HB110" s="22" t="s">
        <v>218</v>
      </c>
      <c r="HC110" s="22" t="s">
        <v>218</v>
      </c>
      <c r="HD110" s="22" t="s">
        <v>218</v>
      </c>
      <c r="HE110" s="22" t="s">
        <v>218</v>
      </c>
      <c r="HF110" s="22" t="s">
        <v>218</v>
      </c>
      <c r="HG110" s="22" t="s">
        <v>218</v>
      </c>
      <c r="HH110" s="22" t="s">
        <v>218</v>
      </c>
      <c r="HI110" s="22" t="s">
        <v>218</v>
      </c>
      <c r="HJ110" s="22" t="s">
        <v>218</v>
      </c>
      <c r="HK110" s="22" t="s">
        <v>218</v>
      </c>
      <c r="HL110" s="22" t="s">
        <v>218</v>
      </c>
      <c r="HM110" s="860"/>
      <c r="HN110" s="860"/>
      <c r="HO110" s="860"/>
      <c r="HP110" s="860"/>
      <c r="HQ110" s="860"/>
      <c r="HR110" s="860"/>
      <c r="HS110" s="860"/>
      <c r="HT110" s="145"/>
      <c r="HU110" s="145" t="s">
        <v>1809</v>
      </c>
      <c r="HV110" s="22" t="s">
        <v>1926</v>
      </c>
      <c r="HW110" s="22" t="s">
        <v>218</v>
      </c>
      <c r="HX110" s="22" t="s">
        <v>218</v>
      </c>
      <c r="HY110" s="22" t="s">
        <v>218</v>
      </c>
      <c r="HZ110" s="19"/>
      <c r="IA110" s="19"/>
      <c r="IB110" s="621">
        <f>'background data'!$G$10</f>
        <v>0.47300000000000003</v>
      </c>
      <c r="IC110" s="621">
        <f>'background data'!$H$10</f>
        <v>0.13</v>
      </c>
      <c r="ID110" s="621">
        <f>'background data'!$J$10</f>
        <v>0.39100000000000001</v>
      </c>
      <c r="IE110" s="621">
        <f>'background data'!$L$10</f>
        <v>5.5E-2</v>
      </c>
      <c r="IF110" s="621">
        <f>'background data'!$M$10</f>
        <v>3.97</v>
      </c>
      <c r="IG110" s="621">
        <f>'background data'!$N$10</f>
        <v>4.5999999999999999E-3</v>
      </c>
      <c r="IH110" s="621">
        <f>'background data'!$O$10</f>
        <v>2.73</v>
      </c>
      <c r="II110" s="145"/>
      <c r="IJ110" s="145"/>
      <c r="IK110" s="145"/>
      <c r="IL110" s="145"/>
      <c r="IM110" s="145"/>
      <c r="IN110" s="145"/>
      <c r="IO110" s="145"/>
      <c r="IP110" s="145"/>
      <c r="IQ110" s="145"/>
      <c r="IR110" s="145"/>
      <c r="IS110" s="145"/>
      <c r="IT110" s="145"/>
      <c r="IU110" s="145"/>
      <c r="IV110" s="145"/>
      <c r="IW110" s="145"/>
      <c r="IX110" s="145"/>
      <c r="IY110" s="145"/>
      <c r="IZ110" s="145"/>
      <c r="JA110" s="145"/>
      <c r="JB110" s="145"/>
      <c r="JC110" s="145"/>
      <c r="JD110" s="145"/>
      <c r="JE110" s="145"/>
      <c r="JF110" s="145"/>
      <c r="JG110" s="145"/>
      <c r="JH110" s="145"/>
      <c r="JI110" s="145"/>
      <c r="JJ110" s="145"/>
      <c r="JK110" s="145"/>
      <c r="JL110" s="145"/>
      <c r="JM110" s="145"/>
      <c r="JN110" s="145"/>
      <c r="JO110" s="145"/>
      <c r="JP110" s="145"/>
      <c r="JQ110" s="145"/>
      <c r="JR110" s="145"/>
      <c r="JS110" s="145"/>
      <c r="JT110" s="145"/>
      <c r="JU110" s="145"/>
      <c r="JV110" s="145"/>
      <c r="JW110" s="145"/>
      <c r="JX110" s="145"/>
      <c r="JY110" s="145"/>
      <c r="JZ110" s="145"/>
      <c r="KA110" s="145"/>
      <c r="KB110" s="145"/>
      <c r="KC110" s="145"/>
      <c r="KD110" s="145"/>
      <c r="KE110" s="145"/>
      <c r="KF110" s="145"/>
      <c r="KG110" s="145"/>
      <c r="KH110" s="145"/>
      <c r="KI110" s="145"/>
      <c r="KJ110" s="145"/>
      <c r="KK110" s="145"/>
      <c r="KL110" s="145"/>
      <c r="KM110" s="145"/>
      <c r="KN110" s="145"/>
      <c r="KO110" s="145"/>
      <c r="KP110" s="145"/>
      <c r="KQ110" s="145"/>
      <c r="KR110" s="145"/>
      <c r="KS110" s="145"/>
      <c r="KT110" s="145"/>
      <c r="KU110" s="145"/>
      <c r="KV110" s="145"/>
      <c r="KW110" s="145"/>
      <c r="KX110" s="145"/>
      <c r="KY110" s="145"/>
      <c r="KZ110" s="145"/>
      <c r="LA110" s="145"/>
      <c r="LB110" s="145"/>
      <c r="LC110" s="145"/>
      <c r="LD110" s="145"/>
      <c r="LE110" s="145"/>
      <c r="LF110" s="145"/>
      <c r="LG110" s="145"/>
      <c r="LH110" s="145"/>
      <c r="LI110" s="145"/>
      <c r="LJ110" s="145"/>
      <c r="LK110" s="145"/>
      <c r="LL110" s="145"/>
      <c r="LM110" s="145"/>
      <c r="LN110" s="145"/>
      <c r="LO110" s="145"/>
      <c r="LP110" s="145"/>
      <c r="LQ110" s="145"/>
      <c r="LR110" s="145"/>
      <c r="LS110" s="145"/>
      <c r="LT110" s="145"/>
      <c r="LU110" s="145"/>
      <c r="LV110" s="145"/>
      <c r="LW110" s="145"/>
      <c r="LX110" s="145"/>
      <c r="LY110" s="145"/>
      <c r="LZ110" s="145"/>
      <c r="MA110" s="145"/>
      <c r="MB110" s="145"/>
      <c r="MC110" s="145"/>
      <c r="MD110" s="145"/>
      <c r="ME110" s="145"/>
      <c r="MF110" s="145"/>
      <c r="MG110" s="145"/>
      <c r="MH110" s="145"/>
      <c r="MI110" s="145"/>
      <c r="MJ110" s="145"/>
      <c r="MK110" s="145"/>
      <c r="ML110" s="145"/>
      <c r="MM110" s="145"/>
      <c r="MN110" s="145"/>
      <c r="MO110" s="145"/>
      <c r="MP110" s="145"/>
      <c r="MQ110" s="145"/>
      <c r="MR110" s="145"/>
      <c r="MS110" s="145"/>
      <c r="MT110" s="145"/>
      <c r="MU110" s="145"/>
      <c r="MV110" s="145"/>
      <c r="MW110" s="145"/>
      <c r="MX110" s="145"/>
      <c r="MY110" s="145"/>
      <c r="MZ110" s="145"/>
      <c r="NA110" s="145"/>
      <c r="NB110" s="145"/>
      <c r="NC110" s="145"/>
      <c r="ND110" s="145"/>
      <c r="NE110" s="145"/>
      <c r="NF110" s="145"/>
      <c r="NG110" s="145"/>
      <c r="NH110" s="145"/>
      <c r="NI110" s="145"/>
      <c r="NJ110" s="145"/>
      <c r="NK110" s="145"/>
      <c r="NL110" s="145"/>
      <c r="NM110" s="145"/>
      <c r="NN110" s="145"/>
      <c r="NO110" s="145"/>
      <c r="NP110" s="145"/>
      <c r="NQ110" s="145"/>
      <c r="NR110" s="145"/>
      <c r="NS110" s="145"/>
    </row>
    <row r="111" spans="1:383" s="16" customFormat="1" ht="15" customHeight="1" x14ac:dyDescent="0.2">
      <c r="A111" s="15">
        <v>46900</v>
      </c>
      <c r="B111" s="25">
        <v>469</v>
      </c>
      <c r="C111" s="26">
        <v>0</v>
      </c>
      <c r="D111" s="20" t="s">
        <v>417</v>
      </c>
      <c r="E111" s="14">
        <v>40310</v>
      </c>
      <c r="F111" s="18">
        <v>-0.112682926829268</v>
      </c>
      <c r="G111" s="18">
        <v>-0.108</v>
      </c>
      <c r="H111" s="21">
        <v>70</v>
      </c>
      <c r="I111" s="21">
        <v>70</v>
      </c>
      <c r="J111" s="21">
        <v>0</v>
      </c>
      <c r="K111" s="18">
        <v>1</v>
      </c>
      <c r="L111" s="18">
        <v>99</v>
      </c>
      <c r="M111" s="18">
        <v>0</v>
      </c>
      <c r="N111" s="18">
        <v>0</v>
      </c>
      <c r="O111" s="18">
        <v>99</v>
      </c>
      <c r="P111" s="18">
        <v>0</v>
      </c>
      <c r="Q111" s="19"/>
      <c r="R111" s="18">
        <v>0</v>
      </c>
      <c r="S111" s="18">
        <v>0</v>
      </c>
      <c r="T111" s="18">
        <v>0</v>
      </c>
      <c r="U111" s="18">
        <v>0</v>
      </c>
      <c r="V111" s="18">
        <v>0</v>
      </c>
      <c r="W111" s="18">
        <v>0</v>
      </c>
      <c r="X111" s="18"/>
      <c r="Y111" s="18">
        <v>0</v>
      </c>
      <c r="Z111" s="18">
        <v>0</v>
      </c>
      <c r="AA111" s="18">
        <v>0</v>
      </c>
      <c r="AB111" s="18">
        <v>0</v>
      </c>
      <c r="AC111" s="18">
        <v>0</v>
      </c>
      <c r="AD111" s="18">
        <v>0</v>
      </c>
      <c r="AE111" s="18">
        <v>0</v>
      </c>
      <c r="AF111" s="18">
        <v>2020.2020202020201</v>
      </c>
      <c r="AG111" s="18">
        <v>0</v>
      </c>
      <c r="AH111" s="18">
        <v>0</v>
      </c>
      <c r="AI111" s="18">
        <v>0</v>
      </c>
      <c r="AJ111" s="18">
        <v>0</v>
      </c>
      <c r="AK111" s="18">
        <v>0</v>
      </c>
      <c r="AL111" s="18"/>
      <c r="AM111" s="18">
        <v>0</v>
      </c>
      <c r="AN111" s="18">
        <v>0</v>
      </c>
      <c r="AO111" s="18">
        <v>0</v>
      </c>
      <c r="AP111" s="18">
        <v>0</v>
      </c>
      <c r="AQ111" s="18">
        <v>0</v>
      </c>
      <c r="AR111" s="18">
        <v>0</v>
      </c>
      <c r="AS111" s="18">
        <v>0</v>
      </c>
      <c r="AT111" s="18">
        <v>0</v>
      </c>
      <c r="AU111" s="18">
        <v>0</v>
      </c>
      <c r="AV111" s="18">
        <v>0</v>
      </c>
      <c r="AW111" s="18">
        <v>0</v>
      </c>
      <c r="AX111" s="18"/>
      <c r="AY111" s="18">
        <v>1</v>
      </c>
      <c r="AZ111" s="18">
        <v>1</v>
      </c>
      <c r="BA111" s="18">
        <v>1</v>
      </c>
      <c r="BB111" s="18">
        <v>1</v>
      </c>
      <c r="BC111" s="18">
        <v>1</v>
      </c>
      <c r="BD111" s="18">
        <v>1</v>
      </c>
      <c r="BE111" s="18">
        <v>1</v>
      </c>
      <c r="BF111" s="18">
        <v>1</v>
      </c>
      <c r="BG111" s="18">
        <v>1</v>
      </c>
      <c r="BH111" s="18">
        <v>1</v>
      </c>
      <c r="BI111" s="18">
        <v>1</v>
      </c>
      <c r="BJ111" s="19"/>
      <c r="BK111" s="18">
        <v>0</v>
      </c>
      <c r="BL111" s="18">
        <v>0</v>
      </c>
      <c r="BM111" s="18">
        <v>100</v>
      </c>
      <c r="BN111" s="18">
        <v>0</v>
      </c>
      <c r="BO111" s="18"/>
      <c r="BP111" s="18">
        <v>0</v>
      </c>
      <c r="BQ111" s="18">
        <v>0</v>
      </c>
      <c r="BR111" s="18">
        <v>-0.11382113821138182</v>
      </c>
      <c r="BS111" s="18">
        <v>-0.10909090909090909</v>
      </c>
      <c r="BT111" s="19"/>
      <c r="BU111" s="18">
        <v>0</v>
      </c>
      <c r="BV111" s="18">
        <v>0</v>
      </c>
      <c r="BW111" s="18">
        <v>0</v>
      </c>
      <c r="BX111" s="18" t="s">
        <v>217</v>
      </c>
      <c r="BY111" s="18" t="s">
        <v>217</v>
      </c>
      <c r="BZ111" s="18" t="s">
        <v>217</v>
      </c>
      <c r="CA111" s="18" t="s">
        <v>217</v>
      </c>
      <c r="CB111" s="19"/>
      <c r="CC111" s="19">
        <v>0</v>
      </c>
      <c r="CD111" s="19">
        <v>0</v>
      </c>
      <c r="CE111" s="19">
        <v>0</v>
      </c>
      <c r="CF111" s="19">
        <v>0</v>
      </c>
      <c r="CG111" s="19">
        <v>0</v>
      </c>
      <c r="CH111" s="19">
        <v>0</v>
      </c>
      <c r="CI111" s="19">
        <v>0</v>
      </c>
      <c r="CJ111" s="19"/>
      <c r="CK111" s="19">
        <v>1999.9999999999998</v>
      </c>
      <c r="CL111" s="19">
        <v>0</v>
      </c>
      <c r="CM111" s="19">
        <v>0</v>
      </c>
      <c r="CN111" s="19">
        <v>0</v>
      </c>
      <c r="CO111" s="19">
        <v>0</v>
      </c>
      <c r="CP111" s="19">
        <v>0</v>
      </c>
      <c r="CQ111" s="19">
        <v>0</v>
      </c>
      <c r="CR111" s="19">
        <v>0</v>
      </c>
      <c r="CS111" s="19">
        <v>0</v>
      </c>
      <c r="CT111" s="19">
        <v>0</v>
      </c>
      <c r="CU111" s="19">
        <v>0</v>
      </c>
      <c r="CV111" s="19">
        <v>0</v>
      </c>
      <c r="CW111" s="19">
        <v>0</v>
      </c>
      <c r="CX111" s="19">
        <v>0</v>
      </c>
      <c r="CY111" s="19">
        <v>0</v>
      </c>
      <c r="CZ111" s="19">
        <v>0</v>
      </c>
      <c r="DA111" s="19">
        <v>0</v>
      </c>
      <c r="DB111" s="19">
        <v>0</v>
      </c>
      <c r="DC111" s="19">
        <v>0</v>
      </c>
      <c r="DD111" s="19">
        <v>0</v>
      </c>
      <c r="DE111" s="19">
        <v>0</v>
      </c>
      <c r="DF111" s="23">
        <v>0</v>
      </c>
      <c r="DG111" s="23">
        <v>0</v>
      </c>
      <c r="DH111" s="23">
        <v>0</v>
      </c>
      <c r="DI111" s="19">
        <v>0</v>
      </c>
      <c r="DJ111" s="19">
        <v>0</v>
      </c>
      <c r="DK111" s="19">
        <v>0</v>
      </c>
      <c r="DL111" s="19">
        <v>0</v>
      </c>
      <c r="DM111" s="19">
        <v>0</v>
      </c>
      <c r="DN111" s="19">
        <v>0</v>
      </c>
      <c r="DO111" s="19">
        <v>0</v>
      </c>
      <c r="DP111" s="19">
        <v>0</v>
      </c>
      <c r="DQ111" s="19">
        <v>0</v>
      </c>
      <c r="DR111" s="19">
        <v>0</v>
      </c>
      <c r="DS111" s="19">
        <v>0</v>
      </c>
      <c r="DT111" s="19">
        <v>0</v>
      </c>
      <c r="DU111" s="19">
        <v>0</v>
      </c>
      <c r="DV111" s="19">
        <v>0</v>
      </c>
      <c r="DW111" s="17" t="s">
        <v>218</v>
      </c>
      <c r="DX111" s="22" t="s">
        <v>218</v>
      </c>
      <c r="DY111" s="22" t="s">
        <v>218</v>
      </c>
      <c r="DZ111" s="22" t="s">
        <v>218</v>
      </c>
      <c r="EA111" s="22" t="s">
        <v>218</v>
      </c>
      <c r="EB111" s="22" t="s">
        <v>218</v>
      </c>
      <c r="EC111" s="22" t="s">
        <v>218</v>
      </c>
      <c r="ED111" s="22" t="s">
        <v>218</v>
      </c>
      <c r="EE111" s="22" t="s">
        <v>218</v>
      </c>
      <c r="EF111" s="22" t="s">
        <v>218</v>
      </c>
      <c r="EG111" s="22" t="s">
        <v>218</v>
      </c>
      <c r="EH111" s="22" t="s">
        <v>218</v>
      </c>
      <c r="EI111" s="22" t="s">
        <v>218</v>
      </c>
      <c r="EJ111" s="22" t="s">
        <v>218</v>
      </c>
      <c r="EK111" s="22" t="s">
        <v>218</v>
      </c>
      <c r="EL111" s="22" t="s">
        <v>218</v>
      </c>
      <c r="EM111" s="22" t="s">
        <v>218</v>
      </c>
      <c r="EN111" s="22" t="s">
        <v>218</v>
      </c>
      <c r="EO111" s="22" t="s">
        <v>218</v>
      </c>
      <c r="EP111" s="22" t="s">
        <v>218</v>
      </c>
      <c r="EQ111" s="22" t="s">
        <v>218</v>
      </c>
      <c r="ER111" s="22" t="s">
        <v>218</v>
      </c>
      <c r="ES111" s="22" t="s">
        <v>218</v>
      </c>
      <c r="ET111" s="22" t="s">
        <v>218</v>
      </c>
      <c r="EU111" s="22" t="s">
        <v>218</v>
      </c>
      <c r="EV111" s="22" t="s">
        <v>218</v>
      </c>
      <c r="EW111" s="22" t="s">
        <v>218</v>
      </c>
      <c r="EX111" s="22" t="s">
        <v>218</v>
      </c>
      <c r="EY111" s="22" t="s">
        <v>218</v>
      </c>
      <c r="EZ111" s="22" t="s">
        <v>218</v>
      </c>
      <c r="FA111" s="22" t="s">
        <v>218</v>
      </c>
      <c r="FB111" s="22" t="s">
        <v>218</v>
      </c>
      <c r="FC111" s="22" t="s">
        <v>218</v>
      </c>
      <c r="FD111" s="22" t="s">
        <v>218</v>
      </c>
      <c r="FE111" s="22" t="s">
        <v>218</v>
      </c>
      <c r="FF111" s="22" t="s">
        <v>218</v>
      </c>
      <c r="FG111" s="22" t="s">
        <v>218</v>
      </c>
      <c r="FH111" s="22" t="s">
        <v>218</v>
      </c>
      <c r="FI111" s="22" t="s">
        <v>218</v>
      </c>
      <c r="FJ111" s="22" t="s">
        <v>218</v>
      </c>
      <c r="FK111" s="22" t="s">
        <v>218</v>
      </c>
      <c r="FL111" s="22" t="s">
        <v>218</v>
      </c>
      <c r="FM111" s="22" t="s">
        <v>218</v>
      </c>
      <c r="FN111" s="22" t="s">
        <v>218</v>
      </c>
      <c r="FO111" s="22" t="s">
        <v>218</v>
      </c>
      <c r="FP111" s="22" t="s">
        <v>218</v>
      </c>
      <c r="FQ111" s="22" t="s">
        <v>218</v>
      </c>
      <c r="FR111" s="22" t="s">
        <v>218</v>
      </c>
      <c r="FS111" s="22" t="s">
        <v>218</v>
      </c>
      <c r="FT111" s="22" t="s">
        <v>218</v>
      </c>
      <c r="FU111" s="22" t="s">
        <v>218</v>
      </c>
      <c r="FV111" s="22" t="s">
        <v>218</v>
      </c>
      <c r="FW111" s="22" t="s">
        <v>218</v>
      </c>
      <c r="FX111" s="22" t="s">
        <v>218</v>
      </c>
      <c r="FY111" s="22" t="s">
        <v>218</v>
      </c>
      <c r="FZ111" s="22" t="s">
        <v>218</v>
      </c>
      <c r="GA111" s="22" t="s">
        <v>218</v>
      </c>
      <c r="GB111" s="22" t="s">
        <v>218</v>
      </c>
      <c r="GC111" s="22" t="s">
        <v>218</v>
      </c>
      <c r="GD111" s="22" t="s">
        <v>218</v>
      </c>
      <c r="GE111" s="22" t="s">
        <v>218</v>
      </c>
      <c r="GF111" s="22" t="s">
        <v>218</v>
      </c>
      <c r="GG111" s="22" t="s">
        <v>218</v>
      </c>
      <c r="GH111" s="22" t="s">
        <v>218</v>
      </c>
      <c r="GI111" s="22" t="s">
        <v>218</v>
      </c>
      <c r="GJ111" s="22" t="s">
        <v>218</v>
      </c>
      <c r="GK111" s="22" t="s">
        <v>218</v>
      </c>
      <c r="GL111" s="22" t="s">
        <v>218</v>
      </c>
      <c r="GM111" s="22" t="s">
        <v>218</v>
      </c>
      <c r="GN111" s="22" t="s">
        <v>218</v>
      </c>
      <c r="GO111" s="22" t="s">
        <v>218</v>
      </c>
      <c r="GP111" s="22" t="s">
        <v>218</v>
      </c>
      <c r="GQ111" s="22" t="s">
        <v>218</v>
      </c>
      <c r="GR111" s="22" t="s">
        <v>218</v>
      </c>
      <c r="GS111" s="22" t="s">
        <v>218</v>
      </c>
      <c r="GT111" s="22" t="s">
        <v>218</v>
      </c>
      <c r="GU111" s="22" t="s">
        <v>218</v>
      </c>
      <c r="GV111" s="22" t="s">
        <v>218</v>
      </c>
      <c r="GW111" s="22" t="s">
        <v>218</v>
      </c>
      <c r="GX111" s="22" t="s">
        <v>218</v>
      </c>
      <c r="GY111" s="22" t="s">
        <v>218</v>
      </c>
      <c r="GZ111" s="22" t="s">
        <v>218</v>
      </c>
      <c r="HA111" s="22" t="s">
        <v>218</v>
      </c>
      <c r="HB111" s="22" t="s">
        <v>218</v>
      </c>
      <c r="HC111" s="22" t="s">
        <v>218</v>
      </c>
      <c r="HD111" s="22" t="s">
        <v>218</v>
      </c>
      <c r="HE111" s="22" t="s">
        <v>218</v>
      </c>
      <c r="HF111" s="22" t="s">
        <v>218</v>
      </c>
      <c r="HG111" s="22" t="s">
        <v>218</v>
      </c>
      <c r="HH111" s="22" t="s">
        <v>218</v>
      </c>
      <c r="HI111" s="22" t="s">
        <v>218</v>
      </c>
      <c r="HJ111" s="22" t="s">
        <v>218</v>
      </c>
      <c r="HK111" s="22" t="s">
        <v>218</v>
      </c>
      <c r="HL111" s="22" t="s">
        <v>218</v>
      </c>
      <c r="HM111" s="860"/>
      <c r="HN111" s="860"/>
      <c r="HO111" s="860"/>
      <c r="HP111" s="860"/>
      <c r="HQ111" s="860"/>
      <c r="HR111" s="860"/>
      <c r="HS111" s="860"/>
      <c r="HT111" s="145"/>
      <c r="HU111" s="145" t="s">
        <v>1809</v>
      </c>
      <c r="HV111" s="22" t="s">
        <v>1926</v>
      </c>
      <c r="HW111" s="22">
        <v>0</v>
      </c>
      <c r="HX111" s="22">
        <v>0</v>
      </c>
      <c r="HY111" s="22">
        <v>0</v>
      </c>
      <c r="HZ111" s="19"/>
      <c r="IA111" s="19"/>
      <c r="IB111" s="621">
        <f>'background data'!$G$10</f>
        <v>0.47300000000000003</v>
      </c>
      <c r="IC111" s="621">
        <f>'background data'!$H$10</f>
        <v>0.13</v>
      </c>
      <c r="ID111" s="621">
        <f>'background data'!$J$10</f>
        <v>0.39100000000000001</v>
      </c>
      <c r="IE111" s="621">
        <f>'background data'!$L$10</f>
        <v>5.5E-2</v>
      </c>
      <c r="IF111" s="621">
        <f>'background data'!$M$10</f>
        <v>3.97</v>
      </c>
      <c r="IG111" s="621">
        <f>'background data'!$N$10</f>
        <v>4.5999999999999999E-3</v>
      </c>
      <c r="IH111" s="621">
        <f>'background data'!$O$10</f>
        <v>2.73</v>
      </c>
      <c r="II111" s="145"/>
      <c r="IJ111" s="145"/>
      <c r="IK111" s="145"/>
      <c r="IL111" s="145"/>
      <c r="IM111" s="145"/>
      <c r="IN111" s="145"/>
      <c r="IO111" s="145"/>
      <c r="IP111" s="145"/>
      <c r="IQ111" s="145"/>
      <c r="IR111" s="145"/>
      <c r="IS111" s="145"/>
      <c r="IT111" s="145"/>
      <c r="IU111" s="145"/>
      <c r="IV111" s="145"/>
      <c r="IW111" s="145"/>
      <c r="IX111" s="145"/>
      <c r="IY111" s="145"/>
      <c r="IZ111" s="145"/>
      <c r="JA111" s="145"/>
      <c r="JB111" s="145"/>
      <c r="JC111" s="145"/>
      <c r="JD111" s="145"/>
      <c r="JE111" s="145"/>
      <c r="JF111" s="145"/>
      <c r="JG111" s="145"/>
      <c r="JH111" s="145"/>
      <c r="JI111" s="145"/>
      <c r="JJ111" s="145"/>
      <c r="JK111" s="145"/>
      <c r="JL111" s="145"/>
      <c r="JM111" s="145"/>
      <c r="JN111" s="145"/>
      <c r="JO111" s="145"/>
      <c r="JP111" s="145"/>
      <c r="JQ111" s="145"/>
      <c r="JR111" s="145"/>
      <c r="JS111" s="145"/>
      <c r="JT111" s="145"/>
      <c r="JU111" s="145"/>
      <c r="JV111" s="145"/>
      <c r="JW111" s="145"/>
      <c r="JX111" s="145"/>
      <c r="JY111" s="145"/>
      <c r="JZ111" s="145"/>
      <c r="KA111" s="145"/>
      <c r="KB111" s="145"/>
      <c r="KC111" s="145"/>
      <c r="KD111" s="145"/>
      <c r="KE111" s="145"/>
      <c r="KF111" s="145"/>
      <c r="KG111" s="145"/>
      <c r="KH111" s="145"/>
      <c r="KI111" s="145"/>
      <c r="KJ111" s="145"/>
      <c r="KK111" s="145"/>
      <c r="KL111" s="145"/>
      <c r="KM111" s="145"/>
      <c r="KN111" s="145"/>
      <c r="KO111" s="145"/>
      <c r="KP111" s="145"/>
      <c r="KQ111" s="145"/>
      <c r="KR111" s="145"/>
      <c r="KS111" s="145"/>
      <c r="KT111" s="145"/>
      <c r="KU111" s="145"/>
      <c r="KV111" s="145"/>
      <c r="KW111" s="145"/>
      <c r="KX111" s="145"/>
      <c r="KY111" s="145"/>
      <c r="KZ111" s="145"/>
      <c r="LA111" s="145"/>
      <c r="LB111" s="145"/>
      <c r="LC111" s="145"/>
      <c r="LD111" s="145"/>
      <c r="LE111" s="145"/>
      <c r="LF111" s="145"/>
      <c r="LG111" s="145"/>
      <c r="LH111" s="145"/>
      <c r="LI111" s="145"/>
      <c r="LJ111" s="145"/>
      <c r="LK111" s="145"/>
      <c r="LL111" s="145"/>
      <c r="LM111" s="145"/>
      <c r="LN111" s="145"/>
      <c r="LO111" s="145"/>
      <c r="LP111" s="145"/>
      <c r="LQ111" s="145"/>
      <c r="LR111" s="145"/>
      <c r="LS111" s="145"/>
      <c r="LT111" s="145"/>
      <c r="LU111" s="145"/>
      <c r="LV111" s="145"/>
      <c r="LW111" s="145"/>
      <c r="LX111" s="145"/>
      <c r="LY111" s="145"/>
      <c r="LZ111" s="145"/>
      <c r="MA111" s="145"/>
      <c r="MB111" s="145"/>
      <c r="MC111" s="145"/>
      <c r="MD111" s="145"/>
      <c r="ME111" s="145"/>
      <c r="MF111" s="145"/>
      <c r="MG111" s="145"/>
      <c r="MH111" s="145"/>
      <c r="MI111" s="145"/>
      <c r="MJ111" s="145"/>
      <c r="MK111" s="145"/>
      <c r="ML111" s="145"/>
      <c r="MM111" s="145"/>
      <c r="MN111" s="145"/>
      <c r="MO111" s="145"/>
      <c r="MP111" s="145"/>
      <c r="MQ111" s="145"/>
      <c r="MR111" s="145"/>
      <c r="MS111" s="145"/>
      <c r="MT111" s="145"/>
      <c r="MU111" s="145"/>
      <c r="MV111" s="145"/>
      <c r="MW111" s="145"/>
      <c r="MX111" s="145"/>
      <c r="MY111" s="145"/>
      <c r="MZ111" s="145"/>
      <c r="NA111" s="145"/>
      <c r="NB111" s="145"/>
      <c r="NC111" s="145"/>
      <c r="ND111" s="145"/>
      <c r="NE111" s="145"/>
      <c r="NF111" s="145"/>
      <c r="NG111" s="145"/>
      <c r="NH111" s="145"/>
      <c r="NI111" s="145"/>
      <c r="NJ111" s="145"/>
      <c r="NK111" s="145"/>
      <c r="NL111" s="145"/>
      <c r="NM111" s="145"/>
      <c r="NN111" s="145"/>
      <c r="NO111" s="145"/>
      <c r="NP111" s="145"/>
      <c r="NQ111" s="145"/>
      <c r="NR111" s="145"/>
      <c r="NS111" s="145"/>
    </row>
    <row r="112" spans="1:383" s="16" customFormat="1" ht="15" customHeight="1" x14ac:dyDescent="0.2">
      <c r="A112" s="15">
        <v>48500</v>
      </c>
      <c r="B112" s="25">
        <v>485</v>
      </c>
      <c r="C112" s="26">
        <v>0</v>
      </c>
      <c r="D112" s="20" t="s">
        <v>418</v>
      </c>
      <c r="E112" s="14">
        <v>40310</v>
      </c>
      <c r="F112" s="18">
        <v>-0.112682926829268</v>
      </c>
      <c r="G112" s="18">
        <v>-0.108</v>
      </c>
      <c r="H112" s="21">
        <v>70</v>
      </c>
      <c r="I112" s="21">
        <v>70</v>
      </c>
      <c r="J112" s="21">
        <v>0</v>
      </c>
      <c r="K112" s="18">
        <v>1</v>
      </c>
      <c r="L112" s="18">
        <v>99</v>
      </c>
      <c r="M112" s="18">
        <v>0</v>
      </c>
      <c r="N112" s="18">
        <v>0</v>
      </c>
      <c r="O112" s="18">
        <v>99</v>
      </c>
      <c r="P112" s="18">
        <v>0</v>
      </c>
      <c r="Q112" s="19"/>
      <c r="R112" s="18">
        <v>0</v>
      </c>
      <c r="S112" s="18">
        <v>0</v>
      </c>
      <c r="T112" s="18">
        <v>0</v>
      </c>
      <c r="U112" s="18">
        <v>0</v>
      </c>
      <c r="V112" s="18">
        <v>0</v>
      </c>
      <c r="W112" s="18">
        <v>0</v>
      </c>
      <c r="X112" s="18"/>
      <c r="Y112" s="18">
        <v>0</v>
      </c>
      <c r="Z112" s="18">
        <v>0</v>
      </c>
      <c r="AA112" s="18">
        <v>0</v>
      </c>
      <c r="AB112" s="18">
        <v>0</v>
      </c>
      <c r="AC112" s="18">
        <v>2.3838383838383836</v>
      </c>
      <c r="AD112" s="18">
        <v>0</v>
      </c>
      <c r="AE112" s="18">
        <v>0</v>
      </c>
      <c r="AF112" s="18">
        <v>0</v>
      </c>
      <c r="AG112" s="18">
        <v>0</v>
      </c>
      <c r="AH112" s="18">
        <v>0</v>
      </c>
      <c r="AI112" s="18">
        <v>0</v>
      </c>
      <c r="AJ112" s="18">
        <v>7717.1717171717173</v>
      </c>
      <c r="AK112" s="18">
        <v>0</v>
      </c>
      <c r="AL112" s="18"/>
      <c r="AM112" s="18">
        <v>0</v>
      </c>
      <c r="AN112" s="18">
        <v>0</v>
      </c>
      <c r="AO112" s="18">
        <v>0</v>
      </c>
      <c r="AP112" s="18">
        <v>0</v>
      </c>
      <c r="AQ112" s="18">
        <v>0</v>
      </c>
      <c r="AR112" s="18">
        <v>0</v>
      </c>
      <c r="AS112" s="18">
        <v>0</v>
      </c>
      <c r="AT112" s="18">
        <v>0</v>
      </c>
      <c r="AU112" s="18">
        <v>0</v>
      </c>
      <c r="AV112" s="18">
        <v>0</v>
      </c>
      <c r="AW112" s="18">
        <v>0</v>
      </c>
      <c r="AX112" s="18"/>
      <c r="AY112" s="18">
        <v>1</v>
      </c>
      <c r="AZ112" s="18">
        <v>1</v>
      </c>
      <c r="BA112" s="18">
        <v>1</v>
      </c>
      <c r="BB112" s="18">
        <v>1</v>
      </c>
      <c r="BC112" s="18">
        <v>1</v>
      </c>
      <c r="BD112" s="18">
        <v>1</v>
      </c>
      <c r="BE112" s="18">
        <v>1</v>
      </c>
      <c r="BF112" s="18">
        <v>1</v>
      </c>
      <c r="BG112" s="18">
        <v>1</v>
      </c>
      <c r="BH112" s="18">
        <v>1</v>
      </c>
      <c r="BI112" s="18">
        <v>1</v>
      </c>
      <c r="BJ112" s="19"/>
      <c r="BK112" s="18">
        <v>0</v>
      </c>
      <c r="BL112" s="18">
        <v>0</v>
      </c>
      <c r="BM112" s="18">
        <v>100</v>
      </c>
      <c r="BN112" s="18">
        <v>0</v>
      </c>
      <c r="BO112" s="18"/>
      <c r="BP112" s="18">
        <v>0</v>
      </c>
      <c r="BQ112" s="18">
        <v>0</v>
      </c>
      <c r="BR112" s="18">
        <v>-0.11382113821138182</v>
      </c>
      <c r="BS112" s="18">
        <v>-0.10909090909090909</v>
      </c>
      <c r="BT112" s="19"/>
      <c r="BU112" s="18">
        <v>0</v>
      </c>
      <c r="BV112" s="18">
        <v>0</v>
      </c>
      <c r="BW112" s="18">
        <v>0</v>
      </c>
      <c r="BX112" s="18" t="s">
        <v>217</v>
      </c>
      <c r="BY112" s="18" t="s">
        <v>217</v>
      </c>
      <c r="BZ112" s="18" t="s">
        <v>217</v>
      </c>
      <c r="CA112" s="18" t="s">
        <v>217</v>
      </c>
      <c r="CB112" s="19"/>
      <c r="CC112" s="19">
        <v>0</v>
      </c>
      <c r="CD112" s="19">
        <v>0</v>
      </c>
      <c r="CE112" s="19">
        <v>0</v>
      </c>
      <c r="CF112" s="19">
        <v>0</v>
      </c>
      <c r="CG112" s="19">
        <v>2.36</v>
      </c>
      <c r="CH112" s="19">
        <v>0</v>
      </c>
      <c r="CI112" s="19">
        <v>0</v>
      </c>
      <c r="CJ112" s="19"/>
      <c r="CK112" s="19">
        <v>0</v>
      </c>
      <c r="CL112" s="19">
        <v>0</v>
      </c>
      <c r="CM112" s="19">
        <v>0</v>
      </c>
      <c r="CN112" s="19">
        <v>0</v>
      </c>
      <c r="CO112" s="19">
        <v>7640</v>
      </c>
      <c r="CP112" s="19">
        <v>0</v>
      </c>
      <c r="CQ112" s="19">
        <v>0</v>
      </c>
      <c r="CR112" s="19">
        <v>0</v>
      </c>
      <c r="CS112" s="19">
        <v>0</v>
      </c>
      <c r="CT112" s="19">
        <v>0</v>
      </c>
      <c r="CU112" s="19">
        <v>0</v>
      </c>
      <c r="CV112" s="19">
        <v>0</v>
      </c>
      <c r="CW112" s="19">
        <v>0</v>
      </c>
      <c r="CX112" s="19">
        <v>0</v>
      </c>
      <c r="CY112" s="19">
        <v>0</v>
      </c>
      <c r="CZ112" s="19">
        <v>0</v>
      </c>
      <c r="DA112" s="19">
        <v>0</v>
      </c>
      <c r="DB112" s="19">
        <v>0</v>
      </c>
      <c r="DC112" s="19">
        <v>0</v>
      </c>
      <c r="DD112" s="19">
        <v>0</v>
      </c>
      <c r="DE112" s="19">
        <v>0</v>
      </c>
      <c r="DF112" s="23">
        <v>0</v>
      </c>
      <c r="DG112" s="23">
        <v>0</v>
      </c>
      <c r="DH112" s="23">
        <v>0</v>
      </c>
      <c r="DI112" s="19">
        <v>0</v>
      </c>
      <c r="DJ112" s="19">
        <v>0</v>
      </c>
      <c r="DK112" s="19">
        <v>0</v>
      </c>
      <c r="DL112" s="19">
        <v>0</v>
      </c>
      <c r="DM112" s="19">
        <v>0</v>
      </c>
      <c r="DN112" s="19">
        <v>0</v>
      </c>
      <c r="DO112" s="19">
        <v>0</v>
      </c>
      <c r="DP112" s="19">
        <v>0</v>
      </c>
      <c r="DQ112" s="19">
        <v>0</v>
      </c>
      <c r="DR112" s="19">
        <v>0</v>
      </c>
      <c r="DS112" s="19">
        <v>0</v>
      </c>
      <c r="DT112" s="19">
        <v>0</v>
      </c>
      <c r="DU112" s="19">
        <v>0</v>
      </c>
      <c r="DV112" s="19">
        <v>0</v>
      </c>
      <c r="DW112" s="17" t="s">
        <v>218</v>
      </c>
      <c r="DX112" s="22" t="s">
        <v>218</v>
      </c>
      <c r="DY112" s="22" t="s">
        <v>218</v>
      </c>
      <c r="DZ112" s="22" t="s">
        <v>218</v>
      </c>
      <c r="EA112" s="22" t="s">
        <v>218</v>
      </c>
      <c r="EB112" s="22" t="s">
        <v>218</v>
      </c>
      <c r="EC112" s="22" t="s">
        <v>218</v>
      </c>
      <c r="ED112" s="22" t="s">
        <v>218</v>
      </c>
      <c r="EE112" s="22" t="s">
        <v>218</v>
      </c>
      <c r="EF112" s="22" t="s">
        <v>218</v>
      </c>
      <c r="EG112" s="22" t="s">
        <v>218</v>
      </c>
      <c r="EH112" s="22" t="s">
        <v>218</v>
      </c>
      <c r="EI112" s="22" t="s">
        <v>218</v>
      </c>
      <c r="EJ112" s="22" t="s">
        <v>218</v>
      </c>
      <c r="EK112" s="22" t="s">
        <v>218</v>
      </c>
      <c r="EL112" s="22" t="s">
        <v>218</v>
      </c>
      <c r="EM112" s="22" t="s">
        <v>218</v>
      </c>
      <c r="EN112" s="22" t="s">
        <v>218</v>
      </c>
      <c r="EO112" s="22" t="s">
        <v>218</v>
      </c>
      <c r="EP112" s="22" t="s">
        <v>218</v>
      </c>
      <c r="EQ112" s="22" t="s">
        <v>218</v>
      </c>
      <c r="ER112" s="22" t="s">
        <v>218</v>
      </c>
      <c r="ES112" s="22" t="s">
        <v>218</v>
      </c>
      <c r="ET112" s="22" t="s">
        <v>218</v>
      </c>
      <c r="EU112" s="22" t="s">
        <v>218</v>
      </c>
      <c r="EV112" s="22" t="s">
        <v>218</v>
      </c>
      <c r="EW112" s="22" t="s">
        <v>218</v>
      </c>
      <c r="EX112" s="22" t="s">
        <v>218</v>
      </c>
      <c r="EY112" s="22" t="s">
        <v>218</v>
      </c>
      <c r="EZ112" s="22" t="s">
        <v>218</v>
      </c>
      <c r="FA112" s="22" t="s">
        <v>218</v>
      </c>
      <c r="FB112" s="22" t="s">
        <v>218</v>
      </c>
      <c r="FC112" s="22" t="s">
        <v>218</v>
      </c>
      <c r="FD112" s="22" t="s">
        <v>218</v>
      </c>
      <c r="FE112" s="22" t="s">
        <v>218</v>
      </c>
      <c r="FF112" s="22" t="s">
        <v>218</v>
      </c>
      <c r="FG112" s="22" t="s">
        <v>218</v>
      </c>
      <c r="FH112" s="22" t="s">
        <v>218</v>
      </c>
      <c r="FI112" s="22" t="s">
        <v>218</v>
      </c>
      <c r="FJ112" s="22" t="s">
        <v>218</v>
      </c>
      <c r="FK112" s="22" t="s">
        <v>218</v>
      </c>
      <c r="FL112" s="22" t="s">
        <v>218</v>
      </c>
      <c r="FM112" s="22" t="s">
        <v>218</v>
      </c>
      <c r="FN112" s="22" t="s">
        <v>218</v>
      </c>
      <c r="FO112" s="22" t="s">
        <v>218</v>
      </c>
      <c r="FP112" s="22" t="s">
        <v>218</v>
      </c>
      <c r="FQ112" s="22" t="s">
        <v>218</v>
      </c>
      <c r="FR112" s="22" t="s">
        <v>218</v>
      </c>
      <c r="FS112" s="22" t="s">
        <v>218</v>
      </c>
      <c r="FT112" s="22" t="s">
        <v>218</v>
      </c>
      <c r="FU112" s="22" t="s">
        <v>218</v>
      </c>
      <c r="FV112" s="22" t="s">
        <v>218</v>
      </c>
      <c r="FW112" s="22" t="s">
        <v>218</v>
      </c>
      <c r="FX112" s="22" t="s">
        <v>218</v>
      </c>
      <c r="FY112" s="22" t="s">
        <v>218</v>
      </c>
      <c r="FZ112" s="22" t="s">
        <v>218</v>
      </c>
      <c r="GA112" s="22" t="s">
        <v>218</v>
      </c>
      <c r="GB112" s="22" t="s">
        <v>218</v>
      </c>
      <c r="GC112" s="22" t="s">
        <v>218</v>
      </c>
      <c r="GD112" s="22" t="s">
        <v>218</v>
      </c>
      <c r="GE112" s="22" t="s">
        <v>218</v>
      </c>
      <c r="GF112" s="22" t="s">
        <v>218</v>
      </c>
      <c r="GG112" s="22" t="s">
        <v>218</v>
      </c>
      <c r="GH112" s="22" t="s">
        <v>218</v>
      </c>
      <c r="GI112" s="22" t="s">
        <v>218</v>
      </c>
      <c r="GJ112" s="22" t="s">
        <v>218</v>
      </c>
      <c r="GK112" s="22" t="s">
        <v>218</v>
      </c>
      <c r="GL112" s="22" t="s">
        <v>218</v>
      </c>
      <c r="GM112" s="22" t="s">
        <v>218</v>
      </c>
      <c r="GN112" s="22" t="s">
        <v>218</v>
      </c>
      <c r="GO112" s="22" t="s">
        <v>218</v>
      </c>
      <c r="GP112" s="22" t="s">
        <v>218</v>
      </c>
      <c r="GQ112" s="22" t="s">
        <v>218</v>
      </c>
      <c r="GR112" s="22" t="s">
        <v>218</v>
      </c>
      <c r="GS112" s="22" t="s">
        <v>218</v>
      </c>
      <c r="GT112" s="22" t="s">
        <v>218</v>
      </c>
      <c r="GU112" s="22" t="s">
        <v>218</v>
      </c>
      <c r="GV112" s="22" t="s">
        <v>218</v>
      </c>
      <c r="GW112" s="22" t="s">
        <v>218</v>
      </c>
      <c r="GX112" s="22" t="s">
        <v>218</v>
      </c>
      <c r="GY112" s="22" t="s">
        <v>218</v>
      </c>
      <c r="GZ112" s="22" t="s">
        <v>218</v>
      </c>
      <c r="HA112" s="22" t="s">
        <v>218</v>
      </c>
      <c r="HB112" s="22" t="s">
        <v>218</v>
      </c>
      <c r="HC112" s="22" t="s">
        <v>218</v>
      </c>
      <c r="HD112" s="22" t="s">
        <v>218</v>
      </c>
      <c r="HE112" s="22" t="s">
        <v>218</v>
      </c>
      <c r="HF112" s="22" t="s">
        <v>218</v>
      </c>
      <c r="HG112" s="22" t="s">
        <v>218</v>
      </c>
      <c r="HH112" s="22" t="s">
        <v>218</v>
      </c>
      <c r="HI112" s="22" t="s">
        <v>218</v>
      </c>
      <c r="HJ112" s="22" t="s">
        <v>218</v>
      </c>
      <c r="HK112" s="22" t="s">
        <v>218</v>
      </c>
      <c r="HL112" s="22" t="s">
        <v>218</v>
      </c>
      <c r="HM112" s="860"/>
      <c r="HN112" s="860"/>
      <c r="HO112" s="860"/>
      <c r="HP112" s="860"/>
      <c r="HQ112" s="860"/>
      <c r="HR112" s="860"/>
      <c r="HS112" s="860"/>
      <c r="HT112" s="145"/>
      <c r="HU112" s="145" t="s">
        <v>1809</v>
      </c>
      <c r="HV112" s="22" t="s">
        <v>1926</v>
      </c>
      <c r="HW112" s="22">
        <v>0</v>
      </c>
      <c r="HX112" s="22">
        <v>0</v>
      </c>
      <c r="HY112" s="22">
        <v>0</v>
      </c>
      <c r="HZ112" s="19"/>
      <c r="IA112" s="19"/>
      <c r="IB112" s="621">
        <f>'background data'!$G$10</f>
        <v>0.47300000000000003</v>
      </c>
      <c r="IC112" s="621">
        <f>'background data'!$H$10</f>
        <v>0.13</v>
      </c>
      <c r="ID112" s="621">
        <f>'background data'!$J$10</f>
        <v>0.39100000000000001</v>
      </c>
      <c r="IE112" s="621">
        <f>'background data'!$L$10</f>
        <v>5.5E-2</v>
      </c>
      <c r="IF112" s="621">
        <f>'background data'!$M$10</f>
        <v>3.97</v>
      </c>
      <c r="IG112" s="621">
        <f>'background data'!$N$10</f>
        <v>4.5999999999999999E-3</v>
      </c>
      <c r="IH112" s="621">
        <f>'background data'!$O$10</f>
        <v>2.73</v>
      </c>
      <c r="II112" s="145"/>
      <c r="IJ112" s="145"/>
      <c r="IK112" s="145"/>
      <c r="IL112" s="145"/>
      <c r="IM112" s="145"/>
      <c r="IN112" s="145"/>
      <c r="IO112" s="145"/>
      <c r="IP112" s="145"/>
      <c r="IQ112" s="145"/>
      <c r="IR112" s="145"/>
      <c r="IS112" s="145"/>
      <c r="IT112" s="145"/>
      <c r="IU112" s="145"/>
      <c r="IV112" s="145"/>
      <c r="IW112" s="145"/>
      <c r="IX112" s="145"/>
      <c r="IY112" s="145"/>
      <c r="IZ112" s="145"/>
      <c r="JA112" s="145"/>
      <c r="JB112" s="145"/>
      <c r="JC112" s="145"/>
      <c r="JD112" s="145"/>
      <c r="JE112" s="145"/>
      <c r="JF112" s="145"/>
      <c r="JG112" s="145"/>
      <c r="JH112" s="145"/>
      <c r="JI112" s="145"/>
      <c r="JJ112" s="145"/>
      <c r="JK112" s="145"/>
      <c r="JL112" s="145"/>
      <c r="JM112" s="145"/>
      <c r="JN112" s="145"/>
      <c r="JO112" s="145"/>
      <c r="JP112" s="145"/>
      <c r="JQ112" s="145"/>
      <c r="JR112" s="145"/>
      <c r="JS112" s="145"/>
      <c r="JT112" s="145"/>
      <c r="JU112" s="145"/>
      <c r="JV112" s="145"/>
      <c r="JW112" s="145"/>
      <c r="JX112" s="145"/>
      <c r="JY112" s="145"/>
      <c r="JZ112" s="145"/>
      <c r="KA112" s="145"/>
      <c r="KB112" s="145"/>
      <c r="KC112" s="145"/>
      <c r="KD112" s="145"/>
      <c r="KE112" s="145"/>
      <c r="KF112" s="145"/>
      <c r="KG112" s="145"/>
      <c r="KH112" s="145"/>
      <c r="KI112" s="145"/>
      <c r="KJ112" s="145"/>
      <c r="KK112" s="145"/>
      <c r="KL112" s="145"/>
      <c r="KM112" s="145"/>
      <c r="KN112" s="145"/>
      <c r="KO112" s="145"/>
      <c r="KP112" s="145"/>
      <c r="KQ112" s="145"/>
      <c r="KR112" s="145"/>
      <c r="KS112" s="145"/>
      <c r="KT112" s="145"/>
      <c r="KU112" s="145"/>
      <c r="KV112" s="145"/>
      <c r="KW112" s="145"/>
      <c r="KX112" s="145"/>
      <c r="KY112" s="145"/>
      <c r="KZ112" s="145"/>
      <c r="LA112" s="145"/>
      <c r="LB112" s="145"/>
      <c r="LC112" s="145"/>
      <c r="LD112" s="145"/>
      <c r="LE112" s="145"/>
      <c r="LF112" s="145"/>
      <c r="LG112" s="145"/>
      <c r="LH112" s="145"/>
      <c r="LI112" s="145"/>
      <c r="LJ112" s="145"/>
      <c r="LK112" s="145"/>
      <c r="LL112" s="145"/>
      <c r="LM112" s="145"/>
      <c r="LN112" s="145"/>
      <c r="LO112" s="145"/>
      <c r="LP112" s="145"/>
      <c r="LQ112" s="145"/>
      <c r="LR112" s="145"/>
      <c r="LS112" s="145"/>
      <c r="LT112" s="145"/>
      <c r="LU112" s="145"/>
      <c r="LV112" s="145"/>
      <c r="LW112" s="145"/>
      <c r="LX112" s="145"/>
      <c r="LY112" s="145"/>
      <c r="LZ112" s="145"/>
      <c r="MA112" s="145"/>
      <c r="MB112" s="145"/>
      <c r="MC112" s="145"/>
      <c r="MD112" s="145"/>
      <c r="ME112" s="145"/>
      <c r="MF112" s="145"/>
      <c r="MG112" s="145"/>
      <c r="MH112" s="145"/>
      <c r="MI112" s="145"/>
      <c r="MJ112" s="145"/>
      <c r="MK112" s="145"/>
      <c r="ML112" s="145"/>
      <c r="MM112" s="145"/>
      <c r="MN112" s="145"/>
      <c r="MO112" s="145"/>
      <c r="MP112" s="145"/>
      <c r="MQ112" s="145"/>
      <c r="MR112" s="145"/>
      <c r="MS112" s="145"/>
      <c r="MT112" s="145"/>
      <c r="MU112" s="145"/>
      <c r="MV112" s="145"/>
      <c r="MW112" s="145"/>
      <c r="MX112" s="145"/>
      <c r="MY112" s="145"/>
      <c r="MZ112" s="145"/>
      <c r="NA112" s="145"/>
      <c r="NB112" s="145"/>
      <c r="NC112" s="145"/>
      <c r="ND112" s="145"/>
      <c r="NE112" s="145"/>
      <c r="NF112" s="145"/>
      <c r="NG112" s="145"/>
      <c r="NH112" s="145"/>
      <c r="NI112" s="145"/>
      <c r="NJ112" s="145"/>
      <c r="NK112" s="145"/>
      <c r="NL112" s="145"/>
      <c r="NM112" s="145"/>
      <c r="NN112" s="145"/>
      <c r="NO112" s="145"/>
      <c r="NP112" s="145"/>
      <c r="NQ112" s="145"/>
      <c r="NR112" s="145"/>
      <c r="NS112" s="145"/>
    </row>
    <row r="113" spans="1:383" s="16" customFormat="1" ht="15" customHeight="1" x14ac:dyDescent="0.2">
      <c r="A113" s="15">
        <v>48600</v>
      </c>
      <c r="B113" s="25">
        <v>486</v>
      </c>
      <c r="C113" s="26">
        <v>0</v>
      </c>
      <c r="D113" s="20" t="s">
        <v>419</v>
      </c>
      <c r="E113" s="14">
        <v>40310</v>
      </c>
      <c r="F113" s="18">
        <v>-0.112682926829268</v>
      </c>
      <c r="G113" s="18">
        <v>-0.108</v>
      </c>
      <c r="H113" s="21">
        <v>70</v>
      </c>
      <c r="I113" s="21">
        <v>70</v>
      </c>
      <c r="J113" s="21">
        <v>0</v>
      </c>
      <c r="K113" s="18">
        <v>1</v>
      </c>
      <c r="L113" s="18">
        <v>99</v>
      </c>
      <c r="M113" s="18">
        <v>0</v>
      </c>
      <c r="N113" s="18">
        <v>0</v>
      </c>
      <c r="O113" s="18">
        <v>99</v>
      </c>
      <c r="P113" s="18">
        <v>0</v>
      </c>
      <c r="Q113" s="19"/>
      <c r="R113" s="18">
        <v>0</v>
      </c>
      <c r="S113" s="18">
        <v>0</v>
      </c>
      <c r="T113" s="18">
        <v>0</v>
      </c>
      <c r="U113" s="18">
        <v>0</v>
      </c>
      <c r="V113" s="18">
        <v>0</v>
      </c>
      <c r="W113" s="18">
        <v>0</v>
      </c>
      <c r="X113" s="18"/>
      <c r="Y113" s="18">
        <v>0</v>
      </c>
      <c r="Z113" s="18">
        <v>0</v>
      </c>
      <c r="AA113" s="18">
        <v>0</v>
      </c>
      <c r="AB113" s="18">
        <v>480.80808000000002</v>
      </c>
      <c r="AC113" s="18">
        <v>529.29292999999893</v>
      </c>
      <c r="AD113" s="18">
        <v>0</v>
      </c>
      <c r="AE113" s="18">
        <v>0</v>
      </c>
      <c r="AF113" s="18">
        <v>0</v>
      </c>
      <c r="AG113" s="18">
        <v>0</v>
      </c>
      <c r="AH113" s="18">
        <v>0</v>
      </c>
      <c r="AI113" s="18">
        <v>0</v>
      </c>
      <c r="AJ113" s="18">
        <v>0</v>
      </c>
      <c r="AK113" s="18">
        <v>0</v>
      </c>
      <c r="AL113" s="18"/>
      <c r="AM113" s="18">
        <v>0</v>
      </c>
      <c r="AN113" s="18">
        <v>0</v>
      </c>
      <c r="AO113" s="18">
        <v>0</v>
      </c>
      <c r="AP113" s="18">
        <v>0</v>
      </c>
      <c r="AQ113" s="18">
        <v>0</v>
      </c>
      <c r="AR113" s="18">
        <v>0</v>
      </c>
      <c r="AS113" s="18">
        <v>0</v>
      </c>
      <c r="AT113" s="18">
        <v>0</v>
      </c>
      <c r="AU113" s="18">
        <v>0</v>
      </c>
      <c r="AV113" s="18">
        <v>0</v>
      </c>
      <c r="AW113" s="18">
        <v>0</v>
      </c>
      <c r="AX113" s="18"/>
      <c r="AY113" s="18">
        <v>1</v>
      </c>
      <c r="AZ113" s="18">
        <v>1</v>
      </c>
      <c r="BA113" s="18">
        <v>1</v>
      </c>
      <c r="BB113" s="18">
        <v>1</v>
      </c>
      <c r="BC113" s="18">
        <v>1</v>
      </c>
      <c r="BD113" s="18">
        <v>1</v>
      </c>
      <c r="BE113" s="18">
        <v>1</v>
      </c>
      <c r="BF113" s="18">
        <v>1</v>
      </c>
      <c r="BG113" s="18">
        <v>1</v>
      </c>
      <c r="BH113" s="18">
        <v>1</v>
      </c>
      <c r="BI113" s="18">
        <v>1</v>
      </c>
      <c r="BJ113" s="19"/>
      <c r="BK113" s="18">
        <v>0</v>
      </c>
      <c r="BL113" s="18">
        <v>0</v>
      </c>
      <c r="BM113" s="18">
        <v>100</v>
      </c>
      <c r="BN113" s="18">
        <v>0</v>
      </c>
      <c r="BO113" s="18"/>
      <c r="BP113" s="18">
        <v>0</v>
      </c>
      <c r="BQ113" s="18">
        <v>0</v>
      </c>
      <c r="BR113" s="18">
        <v>-0.11382113821138182</v>
      </c>
      <c r="BS113" s="18">
        <v>-0.10909090909090909</v>
      </c>
      <c r="BT113" s="19"/>
      <c r="BU113" s="18">
        <v>0</v>
      </c>
      <c r="BV113" s="18">
        <v>0</v>
      </c>
      <c r="BW113" s="18">
        <v>0</v>
      </c>
      <c r="BX113" s="18" t="s">
        <v>217</v>
      </c>
      <c r="BY113" s="18" t="s">
        <v>217</v>
      </c>
      <c r="BZ113" s="18" t="s">
        <v>217</v>
      </c>
      <c r="CA113" s="18" t="s">
        <v>217</v>
      </c>
      <c r="CB113" s="19"/>
      <c r="CC113" s="19">
        <v>0</v>
      </c>
      <c r="CD113" s="19">
        <v>0</v>
      </c>
      <c r="CE113" s="19">
        <v>0</v>
      </c>
      <c r="CF113" s="19">
        <v>475.99999919999999</v>
      </c>
      <c r="CG113" s="19">
        <v>524.00000069999896</v>
      </c>
      <c r="CH113" s="19">
        <v>0</v>
      </c>
      <c r="CI113" s="19">
        <v>0</v>
      </c>
      <c r="CJ113" s="19"/>
      <c r="CK113" s="19">
        <v>0</v>
      </c>
      <c r="CL113" s="19">
        <v>0</v>
      </c>
      <c r="CM113" s="19">
        <v>0</v>
      </c>
      <c r="CN113" s="19">
        <v>0</v>
      </c>
      <c r="CO113" s="19">
        <v>0</v>
      </c>
      <c r="CP113" s="19">
        <v>0</v>
      </c>
      <c r="CQ113" s="19">
        <v>0</v>
      </c>
      <c r="CR113" s="19">
        <v>0</v>
      </c>
      <c r="CS113" s="19">
        <v>0</v>
      </c>
      <c r="CT113" s="19">
        <v>0</v>
      </c>
      <c r="CU113" s="19">
        <v>0</v>
      </c>
      <c r="CV113" s="19">
        <v>0</v>
      </c>
      <c r="CW113" s="19">
        <v>0</v>
      </c>
      <c r="CX113" s="19">
        <v>0</v>
      </c>
      <c r="CY113" s="19">
        <v>0</v>
      </c>
      <c r="CZ113" s="19">
        <v>0</v>
      </c>
      <c r="DA113" s="19">
        <v>0</v>
      </c>
      <c r="DB113" s="19">
        <v>0</v>
      </c>
      <c r="DC113" s="19">
        <v>0</v>
      </c>
      <c r="DD113" s="19">
        <v>0</v>
      </c>
      <c r="DE113" s="19">
        <v>0</v>
      </c>
      <c r="DF113" s="23">
        <v>0</v>
      </c>
      <c r="DG113" s="23">
        <v>0</v>
      </c>
      <c r="DH113" s="23">
        <v>0</v>
      </c>
      <c r="DI113" s="19">
        <v>0</v>
      </c>
      <c r="DJ113" s="19">
        <v>0</v>
      </c>
      <c r="DK113" s="19">
        <v>0</v>
      </c>
      <c r="DL113" s="19">
        <v>0</v>
      </c>
      <c r="DM113" s="19">
        <v>0</v>
      </c>
      <c r="DN113" s="19">
        <v>0</v>
      </c>
      <c r="DO113" s="19">
        <v>0</v>
      </c>
      <c r="DP113" s="19">
        <v>0</v>
      </c>
      <c r="DQ113" s="19">
        <v>0</v>
      </c>
      <c r="DR113" s="19">
        <v>0</v>
      </c>
      <c r="DS113" s="19">
        <v>0</v>
      </c>
      <c r="DT113" s="19">
        <v>0</v>
      </c>
      <c r="DU113" s="19">
        <v>0</v>
      </c>
      <c r="DV113" s="19">
        <v>0</v>
      </c>
      <c r="DW113" s="17" t="s">
        <v>420</v>
      </c>
      <c r="DX113" s="22" t="s">
        <v>218</v>
      </c>
      <c r="DY113" s="22" t="s">
        <v>218</v>
      </c>
      <c r="DZ113" s="22" t="s">
        <v>218</v>
      </c>
      <c r="EA113" s="22" t="s">
        <v>218</v>
      </c>
      <c r="EB113" s="22" t="s">
        <v>218</v>
      </c>
      <c r="EC113" s="22" t="s">
        <v>218</v>
      </c>
      <c r="ED113" s="22" t="s">
        <v>218</v>
      </c>
      <c r="EE113" s="22" t="s">
        <v>218</v>
      </c>
      <c r="EF113" s="22" t="s">
        <v>218</v>
      </c>
      <c r="EG113" s="22" t="s">
        <v>218</v>
      </c>
      <c r="EH113" s="22" t="s">
        <v>218</v>
      </c>
      <c r="EI113" s="22" t="s">
        <v>218</v>
      </c>
      <c r="EJ113" s="22" t="s">
        <v>218</v>
      </c>
      <c r="EK113" s="22" t="s">
        <v>218</v>
      </c>
      <c r="EL113" s="22" t="s">
        <v>218</v>
      </c>
      <c r="EM113" s="22" t="s">
        <v>218</v>
      </c>
      <c r="EN113" s="22" t="s">
        <v>218</v>
      </c>
      <c r="EO113" s="22" t="s">
        <v>218</v>
      </c>
      <c r="EP113" s="22" t="s">
        <v>218</v>
      </c>
      <c r="EQ113" s="22" t="s">
        <v>218</v>
      </c>
      <c r="ER113" s="22" t="s">
        <v>218</v>
      </c>
      <c r="ES113" s="22" t="s">
        <v>218</v>
      </c>
      <c r="ET113" s="22" t="s">
        <v>218</v>
      </c>
      <c r="EU113" s="22" t="s">
        <v>218</v>
      </c>
      <c r="EV113" s="22" t="s">
        <v>218</v>
      </c>
      <c r="EW113" s="22" t="s">
        <v>218</v>
      </c>
      <c r="EX113" s="22" t="s">
        <v>218</v>
      </c>
      <c r="EY113" s="22" t="s">
        <v>218</v>
      </c>
      <c r="EZ113" s="22" t="s">
        <v>218</v>
      </c>
      <c r="FA113" s="22" t="s">
        <v>218</v>
      </c>
      <c r="FB113" s="22" t="s">
        <v>218</v>
      </c>
      <c r="FC113" s="22" t="s">
        <v>218</v>
      </c>
      <c r="FD113" s="22" t="s">
        <v>218</v>
      </c>
      <c r="FE113" s="22" t="s">
        <v>218</v>
      </c>
      <c r="FF113" s="22" t="s">
        <v>218</v>
      </c>
      <c r="FG113" s="22" t="s">
        <v>218</v>
      </c>
      <c r="FH113" s="22" t="s">
        <v>218</v>
      </c>
      <c r="FI113" s="22" t="s">
        <v>218</v>
      </c>
      <c r="FJ113" s="22" t="s">
        <v>218</v>
      </c>
      <c r="FK113" s="22" t="s">
        <v>218</v>
      </c>
      <c r="FL113" s="22" t="s">
        <v>218</v>
      </c>
      <c r="FM113" s="22" t="s">
        <v>218</v>
      </c>
      <c r="FN113" s="22" t="s">
        <v>218</v>
      </c>
      <c r="FO113" s="22" t="s">
        <v>218</v>
      </c>
      <c r="FP113" s="22" t="s">
        <v>218</v>
      </c>
      <c r="FQ113" s="22" t="s">
        <v>218</v>
      </c>
      <c r="FR113" s="22" t="s">
        <v>218</v>
      </c>
      <c r="FS113" s="22" t="s">
        <v>218</v>
      </c>
      <c r="FT113" s="22" t="s">
        <v>218</v>
      </c>
      <c r="FU113" s="22" t="s">
        <v>218</v>
      </c>
      <c r="FV113" s="22" t="s">
        <v>218</v>
      </c>
      <c r="FW113" s="22" t="s">
        <v>218</v>
      </c>
      <c r="FX113" s="22" t="s">
        <v>218</v>
      </c>
      <c r="FY113" s="22" t="s">
        <v>218</v>
      </c>
      <c r="FZ113" s="22" t="s">
        <v>218</v>
      </c>
      <c r="GA113" s="22" t="s">
        <v>218</v>
      </c>
      <c r="GB113" s="22" t="s">
        <v>218</v>
      </c>
      <c r="GC113" s="22" t="s">
        <v>218</v>
      </c>
      <c r="GD113" s="22" t="s">
        <v>218</v>
      </c>
      <c r="GE113" s="22" t="s">
        <v>218</v>
      </c>
      <c r="GF113" s="22" t="s">
        <v>218</v>
      </c>
      <c r="GG113" s="22" t="s">
        <v>218</v>
      </c>
      <c r="GH113" s="22" t="s">
        <v>218</v>
      </c>
      <c r="GI113" s="22" t="s">
        <v>218</v>
      </c>
      <c r="GJ113" s="22" t="s">
        <v>218</v>
      </c>
      <c r="GK113" s="22" t="s">
        <v>218</v>
      </c>
      <c r="GL113" s="22" t="s">
        <v>218</v>
      </c>
      <c r="GM113" s="22" t="s">
        <v>218</v>
      </c>
      <c r="GN113" s="22" t="s">
        <v>218</v>
      </c>
      <c r="GO113" s="22" t="s">
        <v>218</v>
      </c>
      <c r="GP113" s="22" t="s">
        <v>218</v>
      </c>
      <c r="GQ113" s="22" t="s">
        <v>218</v>
      </c>
      <c r="GR113" s="22" t="s">
        <v>218</v>
      </c>
      <c r="GS113" s="22" t="s">
        <v>218</v>
      </c>
      <c r="GT113" s="22" t="s">
        <v>218</v>
      </c>
      <c r="GU113" s="22" t="s">
        <v>218</v>
      </c>
      <c r="GV113" s="22" t="s">
        <v>218</v>
      </c>
      <c r="GW113" s="22" t="s">
        <v>218</v>
      </c>
      <c r="GX113" s="22" t="s">
        <v>218</v>
      </c>
      <c r="GY113" s="22" t="s">
        <v>218</v>
      </c>
      <c r="GZ113" s="22" t="s">
        <v>218</v>
      </c>
      <c r="HA113" s="22" t="s">
        <v>218</v>
      </c>
      <c r="HB113" s="22" t="s">
        <v>218</v>
      </c>
      <c r="HC113" s="22" t="s">
        <v>218</v>
      </c>
      <c r="HD113" s="22" t="s">
        <v>218</v>
      </c>
      <c r="HE113" s="22" t="s">
        <v>218</v>
      </c>
      <c r="HF113" s="22" t="s">
        <v>218</v>
      </c>
      <c r="HG113" s="22" t="s">
        <v>218</v>
      </c>
      <c r="HH113" s="22" t="s">
        <v>218</v>
      </c>
      <c r="HI113" s="22" t="s">
        <v>218</v>
      </c>
      <c r="HJ113" s="22" t="s">
        <v>218</v>
      </c>
      <c r="HK113" s="22" t="s">
        <v>218</v>
      </c>
      <c r="HL113" s="22" t="s">
        <v>218</v>
      </c>
      <c r="HM113" s="860"/>
      <c r="HN113" s="860"/>
      <c r="HO113" s="860"/>
      <c r="HP113" s="860"/>
      <c r="HQ113" s="860"/>
      <c r="HR113" s="860"/>
      <c r="HS113" s="860"/>
      <c r="HT113" s="145"/>
      <c r="HU113" s="145" t="s">
        <v>1809</v>
      </c>
      <c r="HV113" s="22" t="s">
        <v>1926</v>
      </c>
      <c r="HW113" s="22">
        <v>0</v>
      </c>
      <c r="HX113" s="22">
        <v>0</v>
      </c>
      <c r="HY113" s="22">
        <v>0</v>
      </c>
      <c r="HZ113" s="19"/>
      <c r="IA113" s="19"/>
      <c r="IB113" s="621">
        <f>'background data'!$G$10</f>
        <v>0.47300000000000003</v>
      </c>
      <c r="IC113" s="621">
        <f>'background data'!$H$10</f>
        <v>0.13</v>
      </c>
      <c r="ID113" s="621">
        <f>'background data'!$J$10</f>
        <v>0.39100000000000001</v>
      </c>
      <c r="IE113" s="621">
        <f>'background data'!$L$10</f>
        <v>5.5E-2</v>
      </c>
      <c r="IF113" s="621">
        <f>'background data'!$M$10</f>
        <v>3.97</v>
      </c>
      <c r="IG113" s="621">
        <f>'background data'!$N$10</f>
        <v>4.5999999999999999E-3</v>
      </c>
      <c r="IH113" s="621">
        <f>'background data'!$O$10</f>
        <v>2.73</v>
      </c>
      <c r="II113" s="145"/>
      <c r="IJ113" s="145"/>
      <c r="IK113" s="145"/>
      <c r="IL113" s="145"/>
      <c r="IM113" s="145"/>
      <c r="IN113" s="145"/>
      <c r="IO113" s="145"/>
      <c r="IP113" s="145"/>
      <c r="IQ113" s="145"/>
      <c r="IR113" s="145"/>
      <c r="IS113" s="145"/>
      <c r="IT113" s="145"/>
      <c r="IU113" s="145"/>
      <c r="IV113" s="145"/>
      <c r="IW113" s="145"/>
      <c r="IX113" s="145"/>
      <c r="IY113" s="145"/>
      <c r="IZ113" s="145"/>
      <c r="JA113" s="145"/>
      <c r="JB113" s="145"/>
      <c r="JC113" s="145"/>
      <c r="JD113" s="145"/>
      <c r="JE113" s="145"/>
      <c r="JF113" s="145"/>
      <c r="JG113" s="145"/>
      <c r="JH113" s="145"/>
      <c r="JI113" s="145"/>
      <c r="JJ113" s="145"/>
      <c r="JK113" s="145"/>
      <c r="JL113" s="145"/>
      <c r="JM113" s="145"/>
      <c r="JN113" s="145"/>
      <c r="JO113" s="145"/>
      <c r="JP113" s="145"/>
      <c r="JQ113" s="145"/>
      <c r="JR113" s="145"/>
      <c r="JS113" s="145"/>
      <c r="JT113" s="145"/>
      <c r="JU113" s="145"/>
      <c r="JV113" s="145"/>
      <c r="JW113" s="145"/>
      <c r="JX113" s="145"/>
      <c r="JY113" s="145"/>
      <c r="JZ113" s="145"/>
      <c r="KA113" s="145"/>
      <c r="KB113" s="145"/>
      <c r="KC113" s="145"/>
      <c r="KD113" s="145"/>
      <c r="KE113" s="145"/>
      <c r="KF113" s="145"/>
      <c r="KG113" s="145"/>
      <c r="KH113" s="145"/>
      <c r="KI113" s="145"/>
      <c r="KJ113" s="145"/>
      <c r="KK113" s="145"/>
      <c r="KL113" s="145"/>
      <c r="KM113" s="145"/>
      <c r="KN113" s="145"/>
      <c r="KO113" s="145"/>
      <c r="KP113" s="145"/>
      <c r="KQ113" s="145"/>
      <c r="KR113" s="145"/>
      <c r="KS113" s="145"/>
      <c r="KT113" s="145"/>
      <c r="KU113" s="145"/>
      <c r="KV113" s="145"/>
      <c r="KW113" s="145"/>
      <c r="KX113" s="145"/>
      <c r="KY113" s="145"/>
      <c r="KZ113" s="145"/>
      <c r="LA113" s="145"/>
      <c r="LB113" s="145"/>
      <c r="LC113" s="145"/>
      <c r="LD113" s="145"/>
      <c r="LE113" s="145"/>
      <c r="LF113" s="145"/>
      <c r="LG113" s="145"/>
      <c r="LH113" s="145"/>
      <c r="LI113" s="145"/>
      <c r="LJ113" s="145"/>
      <c r="LK113" s="145"/>
      <c r="LL113" s="145"/>
      <c r="LM113" s="145"/>
      <c r="LN113" s="145"/>
      <c r="LO113" s="145"/>
      <c r="LP113" s="145"/>
      <c r="LQ113" s="145"/>
      <c r="LR113" s="145"/>
      <c r="LS113" s="145"/>
      <c r="LT113" s="145"/>
      <c r="LU113" s="145"/>
      <c r="LV113" s="145"/>
      <c r="LW113" s="145"/>
      <c r="LX113" s="145"/>
      <c r="LY113" s="145"/>
      <c r="LZ113" s="145"/>
      <c r="MA113" s="145"/>
      <c r="MB113" s="145"/>
      <c r="MC113" s="145"/>
      <c r="MD113" s="145"/>
      <c r="ME113" s="145"/>
      <c r="MF113" s="145"/>
      <c r="MG113" s="145"/>
      <c r="MH113" s="145"/>
      <c r="MI113" s="145"/>
      <c r="MJ113" s="145"/>
      <c r="MK113" s="145"/>
      <c r="ML113" s="145"/>
      <c r="MM113" s="145"/>
      <c r="MN113" s="145"/>
      <c r="MO113" s="145"/>
      <c r="MP113" s="145"/>
      <c r="MQ113" s="145"/>
      <c r="MR113" s="145"/>
      <c r="MS113" s="145"/>
      <c r="MT113" s="145"/>
      <c r="MU113" s="145"/>
      <c r="MV113" s="145"/>
      <c r="MW113" s="145"/>
      <c r="MX113" s="145"/>
      <c r="MY113" s="145"/>
      <c r="MZ113" s="145"/>
      <c r="NA113" s="145"/>
      <c r="NB113" s="145"/>
      <c r="NC113" s="145"/>
      <c r="ND113" s="145"/>
      <c r="NE113" s="145"/>
      <c r="NF113" s="145"/>
      <c r="NG113" s="145"/>
      <c r="NH113" s="145"/>
      <c r="NI113" s="145"/>
      <c r="NJ113" s="145"/>
      <c r="NK113" s="145"/>
      <c r="NL113" s="145"/>
      <c r="NM113" s="145"/>
      <c r="NN113" s="145"/>
      <c r="NO113" s="145"/>
      <c r="NP113" s="145"/>
      <c r="NQ113" s="145"/>
      <c r="NR113" s="145"/>
      <c r="NS113" s="145"/>
    </row>
    <row r="114" spans="1:383" s="16" customFormat="1" ht="15" customHeight="1" x14ac:dyDescent="0.2">
      <c r="A114" s="15">
        <v>69100</v>
      </c>
      <c r="B114" s="25">
        <v>691</v>
      </c>
      <c r="C114" s="26">
        <v>0</v>
      </c>
      <c r="D114" s="20" t="s">
        <v>421</v>
      </c>
      <c r="E114" s="14">
        <v>40310</v>
      </c>
      <c r="F114" s="18">
        <v>1.0929776829268301</v>
      </c>
      <c r="G114" s="18">
        <v>1.0660547922077901</v>
      </c>
      <c r="H114" s="21">
        <v>90</v>
      </c>
      <c r="I114" s="21">
        <v>90</v>
      </c>
      <c r="J114" s="21">
        <v>90</v>
      </c>
      <c r="K114" s="18">
        <v>1</v>
      </c>
      <c r="L114" s="18">
        <v>90</v>
      </c>
      <c r="M114" s="18">
        <v>77.31</v>
      </c>
      <c r="N114" s="18">
        <v>1.98</v>
      </c>
      <c r="O114" s="18">
        <v>2.0699999999999998</v>
      </c>
      <c r="P114" s="18">
        <v>0.63</v>
      </c>
      <c r="Q114" s="19"/>
      <c r="R114" s="18">
        <v>89</v>
      </c>
      <c r="S114" s="18">
        <v>67</v>
      </c>
      <c r="T114" s="18">
        <v>67</v>
      </c>
      <c r="U114" s="18">
        <v>67</v>
      </c>
      <c r="V114" s="18">
        <v>67</v>
      </c>
      <c r="W114" s="18">
        <v>67</v>
      </c>
      <c r="X114" s="18"/>
      <c r="Y114" s="18">
        <v>0.5</v>
      </c>
      <c r="Z114" s="18">
        <v>4.3</v>
      </c>
      <c r="AA114" s="18">
        <v>9.9999999999999992E-2</v>
      </c>
      <c r="AB114" s="18">
        <v>0</v>
      </c>
      <c r="AC114" s="18">
        <v>7.4</v>
      </c>
      <c r="AD114" s="18">
        <v>0.5</v>
      </c>
      <c r="AE114" s="18">
        <v>8.8000000000000007</v>
      </c>
      <c r="AF114" s="18">
        <v>160</v>
      </c>
      <c r="AG114" s="18">
        <v>11</v>
      </c>
      <c r="AH114" s="18">
        <v>4.4000000000000004</v>
      </c>
      <c r="AI114" s="18">
        <v>21</v>
      </c>
      <c r="AJ114" s="18">
        <v>0</v>
      </c>
      <c r="AK114" s="18">
        <v>0</v>
      </c>
      <c r="AL114" s="18"/>
      <c r="AM114" s="18">
        <v>7.8997289972899702</v>
      </c>
      <c r="AN114" s="18">
        <v>2.27642276422764</v>
      </c>
      <c r="AO114" s="18">
        <v>1.6</v>
      </c>
      <c r="AP114" s="18">
        <v>5.8265582655826504</v>
      </c>
      <c r="AQ114" s="18">
        <v>1.3020830000000001</v>
      </c>
      <c r="AR114" s="18">
        <v>5.8</v>
      </c>
      <c r="AS114" s="18">
        <v>10.3</v>
      </c>
      <c r="AT114" s="18">
        <v>2.2000000000000002</v>
      </c>
      <c r="AU114" s="18">
        <v>6.3</v>
      </c>
      <c r="AV114" s="18">
        <v>5.8</v>
      </c>
      <c r="AW114" s="18">
        <v>7.0999999999999899</v>
      </c>
      <c r="AX114" s="18"/>
      <c r="AY114" s="18">
        <v>0.99</v>
      </c>
      <c r="AZ114" s="18">
        <v>1.01</v>
      </c>
      <c r="BA114" s="18">
        <v>0.8</v>
      </c>
      <c r="BB114" s="18">
        <v>0.97</v>
      </c>
      <c r="BC114" s="18">
        <v>0.8</v>
      </c>
      <c r="BD114" s="18">
        <v>0.97</v>
      </c>
      <c r="BE114" s="18">
        <v>0.99</v>
      </c>
      <c r="BF114" s="18">
        <v>0.98</v>
      </c>
      <c r="BG114" s="18">
        <v>1</v>
      </c>
      <c r="BH114" s="18">
        <v>0.96</v>
      </c>
      <c r="BI114" s="18">
        <v>0.98</v>
      </c>
      <c r="BJ114" s="19"/>
      <c r="BK114" s="18">
        <v>85.9</v>
      </c>
      <c r="BL114" s="18">
        <v>2.2000000000000002</v>
      </c>
      <c r="BM114" s="18">
        <v>2.2999999999999998</v>
      </c>
      <c r="BN114" s="18">
        <v>0.7</v>
      </c>
      <c r="BO114" s="18"/>
      <c r="BP114" s="18">
        <v>0</v>
      </c>
      <c r="BQ114" s="18">
        <v>0</v>
      </c>
      <c r="BR114" s="18">
        <v>1.2144196476964779</v>
      </c>
      <c r="BS114" s="18">
        <v>1.1845053246753223</v>
      </c>
      <c r="BT114" s="19"/>
      <c r="BU114" s="18">
        <v>977</v>
      </c>
      <c r="BV114" s="18">
        <v>76.269999999999897</v>
      </c>
      <c r="BW114" s="18">
        <v>0</v>
      </c>
      <c r="BX114" s="18">
        <v>0</v>
      </c>
      <c r="BY114" s="18">
        <v>0</v>
      </c>
      <c r="BZ114" s="18" t="s">
        <v>217</v>
      </c>
      <c r="CA114" s="18" t="s">
        <v>217</v>
      </c>
      <c r="CB114" s="19"/>
      <c r="CC114" s="19">
        <v>0.45</v>
      </c>
      <c r="CD114" s="19">
        <v>3.87</v>
      </c>
      <c r="CE114" s="19">
        <v>0.09</v>
      </c>
      <c r="CF114" s="19">
        <v>0</v>
      </c>
      <c r="CG114" s="19">
        <v>6.66</v>
      </c>
      <c r="CH114" s="19">
        <v>0.45</v>
      </c>
      <c r="CI114" s="19">
        <v>7.9200000000000008</v>
      </c>
      <c r="CJ114" s="19"/>
      <c r="CK114" s="19">
        <v>144</v>
      </c>
      <c r="CL114" s="19">
        <v>9.9</v>
      </c>
      <c r="CM114" s="19">
        <v>3.9600000000000004</v>
      </c>
      <c r="CN114" s="19">
        <v>18.900000000000002</v>
      </c>
      <c r="CO114" s="19">
        <v>0</v>
      </c>
      <c r="CP114" s="19">
        <v>0</v>
      </c>
      <c r="CQ114" s="19">
        <v>688.05899999999997</v>
      </c>
      <c r="CR114" s="19">
        <v>629.52703495050446</v>
      </c>
      <c r="CS114" s="19">
        <v>49.233620428507066</v>
      </c>
      <c r="CT114" s="19">
        <v>14.474003697886447</v>
      </c>
      <c r="CU114" s="19">
        <v>8.0579460473664586</v>
      </c>
      <c r="CV114" s="19">
        <v>22.531949745252909</v>
      </c>
      <c r="CW114" s="19">
        <v>35.579366704316456</v>
      </c>
      <c r="CX114" s="19">
        <v>6.5575716019956625</v>
      </c>
      <c r="CY114" s="19">
        <v>35.41719098631539</v>
      </c>
      <c r="CZ114" s="19">
        <v>64.192871753902949</v>
      </c>
      <c r="DA114" s="19">
        <v>13.572602873532878</v>
      </c>
      <c r="DB114" s="19">
        <v>39.660203201881785</v>
      </c>
      <c r="DC114" s="19">
        <v>35.052065306044092</v>
      </c>
      <c r="DD114" s="19">
        <v>74.712268507925884</v>
      </c>
      <c r="DE114" s="19">
        <v>43.802491091856012</v>
      </c>
      <c r="DF114" s="23">
        <v>0</v>
      </c>
      <c r="DG114" s="23">
        <v>0</v>
      </c>
      <c r="DH114" s="23">
        <v>0</v>
      </c>
      <c r="DI114" s="19">
        <v>0</v>
      </c>
      <c r="DJ114" s="19">
        <v>0</v>
      </c>
      <c r="DK114" s="19">
        <v>0</v>
      </c>
      <c r="DL114" s="19">
        <v>0</v>
      </c>
      <c r="DM114" s="19">
        <v>0</v>
      </c>
      <c r="DN114" s="19">
        <v>0</v>
      </c>
      <c r="DO114" s="19">
        <v>0</v>
      </c>
      <c r="DP114" s="19">
        <v>0</v>
      </c>
      <c r="DQ114" s="19">
        <v>0</v>
      </c>
      <c r="DR114" s="19">
        <v>0</v>
      </c>
      <c r="DS114" s="19">
        <v>0</v>
      </c>
      <c r="DT114" s="19">
        <v>0</v>
      </c>
      <c r="DU114" s="19">
        <v>0</v>
      </c>
      <c r="DV114" s="19">
        <v>0</v>
      </c>
      <c r="DW114" s="17" t="s">
        <v>422</v>
      </c>
      <c r="DX114" s="22" t="s">
        <v>218</v>
      </c>
      <c r="DY114" s="22" t="s">
        <v>218</v>
      </c>
      <c r="DZ114" s="22">
        <v>1</v>
      </c>
      <c r="EA114" s="22">
        <v>2</v>
      </c>
      <c r="EB114" s="22" t="s">
        <v>218</v>
      </c>
      <c r="EC114" s="22">
        <v>2</v>
      </c>
      <c r="ED114" s="22">
        <v>2</v>
      </c>
      <c r="EE114" s="22" t="s">
        <v>218</v>
      </c>
      <c r="EF114" s="22">
        <v>2</v>
      </c>
      <c r="EG114" s="22" t="s">
        <v>218</v>
      </c>
      <c r="EH114" s="22" t="s">
        <v>218</v>
      </c>
      <c r="EI114" s="22" t="s">
        <v>218</v>
      </c>
      <c r="EJ114" s="22" t="s">
        <v>218</v>
      </c>
      <c r="EK114" s="22" t="s">
        <v>218</v>
      </c>
      <c r="EL114" s="22" t="s">
        <v>218</v>
      </c>
      <c r="EM114" s="22" t="s">
        <v>218</v>
      </c>
      <c r="EN114" s="22" t="s">
        <v>218</v>
      </c>
      <c r="EO114" s="22" t="s">
        <v>218</v>
      </c>
      <c r="EP114" s="22" t="s">
        <v>218</v>
      </c>
      <c r="EQ114" s="22" t="s">
        <v>218</v>
      </c>
      <c r="ER114" s="22" t="s">
        <v>218</v>
      </c>
      <c r="ES114" s="22" t="s">
        <v>218</v>
      </c>
      <c r="ET114" s="22" t="s">
        <v>218</v>
      </c>
      <c r="EU114" s="22" t="s">
        <v>218</v>
      </c>
      <c r="EV114" s="22" t="s">
        <v>218</v>
      </c>
      <c r="EW114" s="22" t="s">
        <v>218</v>
      </c>
      <c r="EX114" s="22" t="s">
        <v>218</v>
      </c>
      <c r="EY114" s="22" t="s">
        <v>218</v>
      </c>
      <c r="EZ114" s="22" t="s">
        <v>218</v>
      </c>
      <c r="FA114" s="22" t="s">
        <v>218</v>
      </c>
      <c r="FB114" s="22" t="s">
        <v>218</v>
      </c>
      <c r="FC114" s="22" t="s">
        <v>218</v>
      </c>
      <c r="FD114" s="22" t="s">
        <v>218</v>
      </c>
      <c r="FE114" s="22" t="s">
        <v>218</v>
      </c>
      <c r="FF114" s="22" t="s">
        <v>218</v>
      </c>
      <c r="FG114" s="22" t="s">
        <v>218</v>
      </c>
      <c r="FH114" s="22" t="s">
        <v>218</v>
      </c>
      <c r="FI114" s="22">
        <v>0.1</v>
      </c>
      <c r="FJ114" s="22" t="s">
        <v>218</v>
      </c>
      <c r="FK114" s="22">
        <v>0.1</v>
      </c>
      <c r="FL114" s="22">
        <v>0.9</v>
      </c>
      <c r="FM114" s="22" t="s">
        <v>218</v>
      </c>
      <c r="FN114" s="22">
        <v>2.1</v>
      </c>
      <c r="FO114" s="22" t="s">
        <v>218</v>
      </c>
      <c r="FP114" s="22" t="s">
        <v>218</v>
      </c>
      <c r="FQ114" s="22" t="s">
        <v>218</v>
      </c>
      <c r="FR114" s="22" t="s">
        <v>218</v>
      </c>
      <c r="FS114" s="22" t="s">
        <v>218</v>
      </c>
      <c r="FT114" s="22" t="s">
        <v>218</v>
      </c>
      <c r="FU114" s="22" t="s">
        <v>218</v>
      </c>
      <c r="FV114" s="22" t="s">
        <v>218</v>
      </c>
      <c r="FW114" s="22" t="s">
        <v>218</v>
      </c>
      <c r="FX114" s="22" t="s">
        <v>218</v>
      </c>
      <c r="FY114" s="22" t="s">
        <v>218</v>
      </c>
      <c r="FZ114" s="22" t="s">
        <v>218</v>
      </c>
      <c r="GA114" s="22" t="s">
        <v>218</v>
      </c>
      <c r="GB114" s="22" t="s">
        <v>218</v>
      </c>
      <c r="GC114" s="22" t="s">
        <v>218</v>
      </c>
      <c r="GD114" s="22" t="s">
        <v>218</v>
      </c>
      <c r="GE114" s="22" t="s">
        <v>218</v>
      </c>
      <c r="GF114" s="22" t="s">
        <v>218</v>
      </c>
      <c r="GG114" s="22" t="s">
        <v>218</v>
      </c>
      <c r="GH114" s="22" t="s">
        <v>218</v>
      </c>
      <c r="GI114" s="22" t="s">
        <v>218</v>
      </c>
      <c r="GJ114" s="22" t="s">
        <v>218</v>
      </c>
      <c r="GK114" s="22" t="s">
        <v>218</v>
      </c>
      <c r="GL114" s="22" t="s">
        <v>218</v>
      </c>
      <c r="GM114" s="22" t="s">
        <v>218</v>
      </c>
      <c r="GN114" s="22" t="s">
        <v>218</v>
      </c>
      <c r="GO114" s="22" t="s">
        <v>218</v>
      </c>
      <c r="GP114" s="22">
        <v>2005</v>
      </c>
      <c r="GQ114" s="22">
        <v>2005</v>
      </c>
      <c r="GR114" s="22" t="s">
        <v>218</v>
      </c>
      <c r="GS114" s="22">
        <v>2005</v>
      </c>
      <c r="GT114" s="22">
        <v>2005</v>
      </c>
      <c r="GU114" s="22" t="s">
        <v>218</v>
      </c>
      <c r="GV114" s="22">
        <v>2005</v>
      </c>
      <c r="GW114" s="22" t="s">
        <v>218</v>
      </c>
      <c r="GX114" s="22" t="s">
        <v>218</v>
      </c>
      <c r="GY114" s="22" t="s">
        <v>218</v>
      </c>
      <c r="GZ114" s="22" t="s">
        <v>218</v>
      </c>
      <c r="HA114" s="22" t="s">
        <v>218</v>
      </c>
      <c r="HB114" s="22" t="s">
        <v>218</v>
      </c>
      <c r="HC114" s="22" t="s">
        <v>218</v>
      </c>
      <c r="HD114" s="22" t="s">
        <v>218</v>
      </c>
      <c r="HE114" s="22" t="s">
        <v>218</v>
      </c>
      <c r="HF114" s="22" t="s">
        <v>218</v>
      </c>
      <c r="HG114" s="22" t="s">
        <v>218</v>
      </c>
      <c r="HH114" s="22" t="s">
        <v>218</v>
      </c>
      <c r="HI114" s="22" t="s">
        <v>218</v>
      </c>
      <c r="HJ114" s="22" t="s">
        <v>218</v>
      </c>
      <c r="HK114" s="22" t="s">
        <v>218</v>
      </c>
      <c r="HL114" s="22" t="s">
        <v>218</v>
      </c>
      <c r="HM114" s="860"/>
      <c r="HN114" s="860"/>
      <c r="HO114" s="860"/>
      <c r="HP114" s="860"/>
      <c r="HQ114" s="860"/>
      <c r="HR114" s="860"/>
      <c r="HS114" s="860"/>
      <c r="HT114" s="145"/>
      <c r="HU114" s="145" t="s">
        <v>1809</v>
      </c>
      <c r="HV114" s="22" t="s">
        <v>1946</v>
      </c>
      <c r="HW114" s="22" t="s">
        <v>423</v>
      </c>
      <c r="HX114" s="22" t="s">
        <v>424</v>
      </c>
      <c r="HY114" s="22" t="s">
        <v>425</v>
      </c>
      <c r="HZ114" s="19"/>
      <c r="IA114" s="19"/>
      <c r="IB114" s="621">
        <f>'background data'!$G$10</f>
        <v>0.47300000000000003</v>
      </c>
      <c r="IC114" s="621">
        <f>'background data'!$H$10</f>
        <v>0.13</v>
      </c>
      <c r="ID114" s="621">
        <f>'background data'!$J$10</f>
        <v>0.39100000000000001</v>
      </c>
      <c r="IE114" s="621">
        <f>'background data'!$L$10</f>
        <v>5.5E-2</v>
      </c>
      <c r="IF114" s="621">
        <f>'background data'!$M$10</f>
        <v>3.97</v>
      </c>
      <c r="IG114" s="621">
        <f>'background data'!$N$10</f>
        <v>4.5999999999999999E-3</v>
      </c>
      <c r="IH114" s="621">
        <f>'background data'!$O$10</f>
        <v>2.73</v>
      </c>
      <c r="II114" s="145"/>
      <c r="IJ114" s="145"/>
      <c r="IK114" s="145"/>
      <c r="IL114" s="145"/>
      <c r="IM114" s="145"/>
      <c r="IN114" s="145"/>
      <c r="IO114" s="145"/>
      <c r="IP114" s="145"/>
      <c r="IQ114" s="145"/>
      <c r="IR114" s="145"/>
      <c r="IS114" s="145"/>
      <c r="IT114" s="145"/>
      <c r="IU114" s="145"/>
      <c r="IV114" s="145"/>
      <c r="IW114" s="145"/>
      <c r="IX114" s="145"/>
      <c r="IY114" s="145"/>
      <c r="IZ114" s="145"/>
      <c r="JA114" s="145"/>
      <c r="JB114" s="145"/>
      <c r="JC114" s="145"/>
      <c r="JD114" s="145"/>
      <c r="JE114" s="145"/>
      <c r="JF114" s="145"/>
      <c r="JG114" s="145"/>
      <c r="JH114" s="145"/>
      <c r="JI114" s="145"/>
      <c r="JJ114" s="145"/>
      <c r="JK114" s="145"/>
      <c r="JL114" s="145"/>
      <c r="JM114" s="145"/>
      <c r="JN114" s="145"/>
      <c r="JO114" s="145"/>
      <c r="JP114" s="145"/>
      <c r="JQ114" s="145"/>
      <c r="JR114" s="145"/>
      <c r="JS114" s="145"/>
      <c r="JT114" s="145"/>
      <c r="JU114" s="145"/>
      <c r="JV114" s="145"/>
      <c r="JW114" s="145"/>
      <c r="JX114" s="145"/>
      <c r="JY114" s="145"/>
      <c r="JZ114" s="145"/>
      <c r="KA114" s="145"/>
      <c r="KB114" s="145"/>
      <c r="KC114" s="145"/>
      <c r="KD114" s="145"/>
      <c r="KE114" s="145"/>
      <c r="KF114" s="145"/>
      <c r="KG114" s="145"/>
      <c r="KH114" s="145"/>
      <c r="KI114" s="145"/>
      <c r="KJ114" s="145"/>
      <c r="KK114" s="145"/>
      <c r="KL114" s="145"/>
      <c r="KM114" s="145"/>
      <c r="KN114" s="145"/>
      <c r="KO114" s="145"/>
      <c r="KP114" s="145"/>
      <c r="KQ114" s="145"/>
      <c r="KR114" s="145"/>
      <c r="KS114" s="145"/>
      <c r="KT114" s="145"/>
      <c r="KU114" s="145"/>
      <c r="KV114" s="145"/>
      <c r="KW114" s="145"/>
      <c r="KX114" s="145"/>
      <c r="KY114" s="145"/>
      <c r="KZ114" s="145"/>
      <c r="LA114" s="145"/>
      <c r="LB114" s="145"/>
      <c r="LC114" s="145"/>
      <c r="LD114" s="145"/>
      <c r="LE114" s="145"/>
      <c r="LF114" s="145"/>
      <c r="LG114" s="145"/>
      <c r="LH114" s="145"/>
      <c r="LI114" s="145"/>
      <c r="LJ114" s="145"/>
      <c r="LK114" s="145"/>
      <c r="LL114" s="145"/>
      <c r="LM114" s="145"/>
      <c r="LN114" s="145"/>
      <c r="LO114" s="145"/>
      <c r="LP114" s="145"/>
      <c r="LQ114" s="145"/>
      <c r="LR114" s="145"/>
      <c r="LS114" s="145"/>
      <c r="LT114" s="145"/>
      <c r="LU114" s="145"/>
      <c r="LV114" s="145"/>
      <c r="LW114" s="145"/>
      <c r="LX114" s="145"/>
      <c r="LY114" s="145"/>
      <c r="LZ114" s="145"/>
      <c r="MA114" s="145"/>
      <c r="MB114" s="145"/>
      <c r="MC114" s="145"/>
      <c r="MD114" s="145"/>
      <c r="ME114" s="145"/>
      <c r="MF114" s="145"/>
      <c r="MG114" s="145"/>
      <c r="MH114" s="145"/>
      <c r="MI114" s="145"/>
      <c r="MJ114" s="145"/>
      <c r="MK114" s="145"/>
      <c r="ML114" s="145"/>
      <c r="MM114" s="145"/>
      <c r="MN114" s="145"/>
      <c r="MO114" s="145"/>
      <c r="MP114" s="145"/>
      <c r="MQ114" s="145"/>
      <c r="MR114" s="145"/>
      <c r="MS114" s="145"/>
      <c r="MT114" s="145"/>
      <c r="MU114" s="145"/>
      <c r="MV114" s="145"/>
      <c r="MW114" s="145"/>
      <c r="MX114" s="145"/>
      <c r="MY114" s="145"/>
      <c r="MZ114" s="145"/>
      <c r="NA114" s="145"/>
      <c r="NB114" s="145"/>
      <c r="NC114" s="145"/>
      <c r="ND114" s="145"/>
      <c r="NE114" s="145"/>
      <c r="NF114" s="145"/>
      <c r="NG114" s="145"/>
      <c r="NH114" s="145"/>
      <c r="NI114" s="145"/>
      <c r="NJ114" s="145"/>
      <c r="NK114" s="145"/>
      <c r="NL114" s="145"/>
      <c r="NM114" s="145"/>
      <c r="NN114" s="145"/>
      <c r="NO114" s="145"/>
      <c r="NP114" s="145"/>
      <c r="NQ114" s="145"/>
      <c r="NR114" s="145"/>
      <c r="NS114" s="145"/>
    </row>
    <row r="115" spans="1:383" s="16" customFormat="1" ht="15" customHeight="1" x14ac:dyDescent="0.2">
      <c r="A115" s="15">
        <v>69200</v>
      </c>
      <c r="B115" s="25">
        <v>692</v>
      </c>
      <c r="C115" s="26">
        <v>0</v>
      </c>
      <c r="D115" s="20" t="s">
        <v>426</v>
      </c>
      <c r="E115" s="14">
        <v>40711</v>
      </c>
      <c r="F115" s="18">
        <v>1.13912669376694</v>
      </c>
      <c r="G115" s="18">
        <v>1.11067935064935</v>
      </c>
      <c r="H115" s="21">
        <v>90</v>
      </c>
      <c r="I115" s="21">
        <v>90</v>
      </c>
      <c r="J115" s="21">
        <v>90</v>
      </c>
      <c r="K115" s="18">
        <v>1</v>
      </c>
      <c r="L115" s="18">
        <v>90.5</v>
      </c>
      <c r="M115" s="18">
        <v>79.5</v>
      </c>
      <c r="N115" s="18">
        <v>3</v>
      </c>
      <c r="O115" s="18">
        <v>0.7</v>
      </c>
      <c r="P115" s="18">
        <v>1.8</v>
      </c>
      <c r="Q115" s="19"/>
      <c r="R115" s="18">
        <v>89</v>
      </c>
      <c r="S115" s="18">
        <v>67</v>
      </c>
      <c r="T115" s="18">
        <v>67</v>
      </c>
      <c r="U115" s="18">
        <v>67</v>
      </c>
      <c r="V115" s="18">
        <v>67</v>
      </c>
      <c r="W115" s="18">
        <v>67</v>
      </c>
      <c r="X115" s="18"/>
      <c r="Y115" s="18">
        <v>0.55555999999999994</v>
      </c>
      <c r="Z115" s="18">
        <v>2.2099447513812156</v>
      </c>
      <c r="AA115" s="18">
        <v>5.5248618784530391E-2</v>
      </c>
      <c r="AB115" s="18">
        <v>3.3149171270718232</v>
      </c>
      <c r="AC115" s="18">
        <v>5.5248618784530391E-2</v>
      </c>
      <c r="AD115" s="18">
        <v>5.5248618784530391E-2</v>
      </c>
      <c r="AE115" s="18">
        <v>8.8000000000000007</v>
      </c>
      <c r="AF115" s="18">
        <v>146.96132596685084</v>
      </c>
      <c r="AG115" s="18">
        <v>34.254143646408842</v>
      </c>
      <c r="AH115" s="18">
        <v>2</v>
      </c>
      <c r="AI115" s="18">
        <v>6.6298342541436464</v>
      </c>
      <c r="AJ115" s="18">
        <v>0</v>
      </c>
      <c r="AK115" s="18">
        <v>0</v>
      </c>
      <c r="AL115" s="18"/>
      <c r="AM115" s="18">
        <v>8</v>
      </c>
      <c r="AN115" s="18">
        <v>2.5</v>
      </c>
      <c r="AO115" s="18">
        <v>1.6</v>
      </c>
      <c r="AP115" s="18">
        <v>6.2</v>
      </c>
      <c r="AQ115" s="18">
        <v>1.5</v>
      </c>
      <c r="AR115" s="18">
        <v>5.9</v>
      </c>
      <c r="AS115" s="18">
        <v>10.8</v>
      </c>
      <c r="AT115" s="18">
        <v>2.2000000000000002</v>
      </c>
      <c r="AU115" s="18">
        <v>6.6</v>
      </c>
      <c r="AV115" s="18">
        <v>6</v>
      </c>
      <c r="AW115" s="18">
        <v>7</v>
      </c>
      <c r="AX115" s="18"/>
      <c r="AY115" s="18">
        <v>0.99</v>
      </c>
      <c r="AZ115" s="18">
        <v>1.01</v>
      </c>
      <c r="BA115" s="18">
        <v>0.8</v>
      </c>
      <c r="BB115" s="18">
        <v>0.97</v>
      </c>
      <c r="BC115" s="18">
        <v>0.8</v>
      </c>
      <c r="BD115" s="18">
        <v>0.97</v>
      </c>
      <c r="BE115" s="18">
        <v>0.99</v>
      </c>
      <c r="BF115" s="18">
        <v>0.98</v>
      </c>
      <c r="BG115" s="18">
        <v>1</v>
      </c>
      <c r="BH115" s="18">
        <v>0.96</v>
      </c>
      <c r="BI115" s="18">
        <v>0.98</v>
      </c>
      <c r="BJ115" s="19"/>
      <c r="BK115" s="18">
        <v>87.845303867403317</v>
      </c>
      <c r="BL115" s="18">
        <v>3.3149171270718232</v>
      </c>
      <c r="BM115" s="18">
        <v>0.77348066298342533</v>
      </c>
      <c r="BN115" s="18">
        <v>1.988950276243094</v>
      </c>
      <c r="BO115" s="18"/>
      <c r="BP115" s="18">
        <v>0</v>
      </c>
      <c r="BQ115" s="18">
        <v>0</v>
      </c>
      <c r="BR115" s="18">
        <v>1.258703529024243</v>
      </c>
      <c r="BS115" s="18">
        <v>1.2272700007175137</v>
      </c>
      <c r="BT115" s="19"/>
      <c r="BU115" s="18">
        <v>992.26519337016578</v>
      </c>
      <c r="BV115" s="18">
        <v>61.491712707182536</v>
      </c>
      <c r="BW115" s="18">
        <v>0</v>
      </c>
      <c r="BX115" s="18">
        <v>0</v>
      </c>
      <c r="BY115" s="18">
        <v>0</v>
      </c>
      <c r="BZ115" s="18" t="s">
        <v>217</v>
      </c>
      <c r="CA115" s="18" t="s">
        <v>217</v>
      </c>
      <c r="CB115" s="19"/>
      <c r="CC115" s="19">
        <v>0.50278179999999995</v>
      </c>
      <c r="CD115" s="19">
        <v>2</v>
      </c>
      <c r="CE115" s="19">
        <v>0.05</v>
      </c>
      <c r="CF115" s="19">
        <v>3</v>
      </c>
      <c r="CG115" s="19">
        <v>0.05</v>
      </c>
      <c r="CH115" s="19">
        <v>0.05</v>
      </c>
      <c r="CI115" s="19">
        <v>7.9640000000000013</v>
      </c>
      <c r="CJ115" s="19"/>
      <c r="CK115" s="19">
        <v>133</v>
      </c>
      <c r="CL115" s="19">
        <v>31.000000000000004</v>
      </c>
      <c r="CM115" s="19">
        <v>1.81</v>
      </c>
      <c r="CN115" s="19">
        <v>6</v>
      </c>
      <c r="CO115" s="19">
        <v>0</v>
      </c>
      <c r="CP115" s="19">
        <v>0</v>
      </c>
      <c r="CQ115" s="19">
        <v>707.55</v>
      </c>
      <c r="CR115" s="19">
        <v>621.13371925314686</v>
      </c>
      <c r="CS115" s="19">
        <v>49.193790564849238</v>
      </c>
      <c r="CT115" s="19">
        <v>15.68362641114196</v>
      </c>
      <c r="CU115" s="19">
        <v>7.9505116064402808</v>
      </c>
      <c r="CV115" s="19">
        <v>23.634138017582242</v>
      </c>
      <c r="CW115" s="19">
        <v>37.354981875884256</v>
      </c>
      <c r="CX115" s="19">
        <v>7.4536046310377637</v>
      </c>
      <c r="CY115" s="19">
        <v>35.547482752857597</v>
      </c>
      <c r="CZ115" s="19">
        <v>66.411617262546471</v>
      </c>
      <c r="DA115" s="19">
        <v>13.391642987097848</v>
      </c>
      <c r="DB115" s="19">
        <v>40.994825470707703</v>
      </c>
      <c r="DC115" s="19">
        <v>35.777302228981263</v>
      </c>
      <c r="DD115" s="19">
        <v>76.772127699688966</v>
      </c>
      <c r="DE115" s="19">
        <v>42.609773140765881</v>
      </c>
      <c r="DF115" s="23">
        <v>0</v>
      </c>
      <c r="DG115" s="23">
        <v>0</v>
      </c>
      <c r="DH115" s="23">
        <v>0</v>
      </c>
      <c r="DI115" s="19">
        <v>0</v>
      </c>
      <c r="DJ115" s="19">
        <v>0</v>
      </c>
      <c r="DK115" s="19">
        <v>0</v>
      </c>
      <c r="DL115" s="19">
        <v>0</v>
      </c>
      <c r="DM115" s="19">
        <v>0</v>
      </c>
      <c r="DN115" s="19">
        <v>0</v>
      </c>
      <c r="DO115" s="19">
        <v>0</v>
      </c>
      <c r="DP115" s="19">
        <v>0</v>
      </c>
      <c r="DQ115" s="19">
        <v>0</v>
      </c>
      <c r="DR115" s="19">
        <v>0</v>
      </c>
      <c r="DS115" s="19">
        <v>0</v>
      </c>
      <c r="DT115" s="19">
        <v>0</v>
      </c>
      <c r="DU115" s="19">
        <v>0</v>
      </c>
      <c r="DV115" s="19">
        <v>0</v>
      </c>
      <c r="DW115" s="17" t="s">
        <v>422</v>
      </c>
      <c r="DX115" s="22" t="s">
        <v>218</v>
      </c>
      <c r="DY115" s="22" t="s">
        <v>218</v>
      </c>
      <c r="DZ115" s="22">
        <v>3</v>
      </c>
      <c r="EA115" s="22">
        <v>4</v>
      </c>
      <c r="EB115" s="22" t="s">
        <v>218</v>
      </c>
      <c r="EC115" s="22">
        <v>4</v>
      </c>
      <c r="ED115" s="22">
        <v>4</v>
      </c>
      <c r="EE115" s="22" t="s">
        <v>218</v>
      </c>
      <c r="EF115" s="22">
        <v>1</v>
      </c>
      <c r="EG115" s="22" t="s">
        <v>218</v>
      </c>
      <c r="EH115" s="22" t="s">
        <v>218</v>
      </c>
      <c r="EI115" s="22" t="s">
        <v>218</v>
      </c>
      <c r="EJ115" s="22" t="s">
        <v>218</v>
      </c>
      <c r="EK115" s="22" t="s">
        <v>218</v>
      </c>
      <c r="EL115" s="22" t="s">
        <v>218</v>
      </c>
      <c r="EM115" s="22" t="s">
        <v>218</v>
      </c>
      <c r="EN115" s="22" t="s">
        <v>218</v>
      </c>
      <c r="EO115" s="22" t="s">
        <v>218</v>
      </c>
      <c r="EP115" s="22" t="s">
        <v>218</v>
      </c>
      <c r="EQ115" s="22" t="s">
        <v>218</v>
      </c>
      <c r="ER115" s="22" t="s">
        <v>218</v>
      </c>
      <c r="ES115" s="22" t="s">
        <v>218</v>
      </c>
      <c r="ET115" s="22" t="s">
        <v>218</v>
      </c>
      <c r="EU115" s="22" t="s">
        <v>218</v>
      </c>
      <c r="EV115" s="22" t="s">
        <v>218</v>
      </c>
      <c r="EW115" s="22" t="s">
        <v>218</v>
      </c>
      <c r="EX115" s="22" t="s">
        <v>218</v>
      </c>
      <c r="EY115" s="22" t="s">
        <v>218</v>
      </c>
      <c r="EZ115" s="22" t="s">
        <v>218</v>
      </c>
      <c r="FA115" s="22" t="s">
        <v>218</v>
      </c>
      <c r="FB115" s="22" t="s">
        <v>218</v>
      </c>
      <c r="FC115" s="22" t="s">
        <v>218</v>
      </c>
      <c r="FD115" s="22" t="s">
        <v>218</v>
      </c>
      <c r="FE115" s="22" t="s">
        <v>218</v>
      </c>
      <c r="FF115" s="22" t="s">
        <v>218</v>
      </c>
      <c r="FG115" s="22" t="s">
        <v>218</v>
      </c>
      <c r="FH115" s="22">
        <v>2.1</v>
      </c>
      <c r="FI115" s="22">
        <v>0.1</v>
      </c>
      <c r="FJ115" s="22" t="s">
        <v>218</v>
      </c>
      <c r="FK115" s="22">
        <v>1.8</v>
      </c>
      <c r="FL115" s="22">
        <v>1.7</v>
      </c>
      <c r="FM115" s="22" t="s">
        <v>218</v>
      </c>
      <c r="FN115" s="22" t="s">
        <v>218</v>
      </c>
      <c r="FO115" s="22" t="s">
        <v>218</v>
      </c>
      <c r="FP115" s="22" t="s">
        <v>218</v>
      </c>
      <c r="FQ115" s="22" t="s">
        <v>218</v>
      </c>
      <c r="FR115" s="22" t="s">
        <v>218</v>
      </c>
      <c r="FS115" s="22" t="s">
        <v>218</v>
      </c>
      <c r="FT115" s="22" t="s">
        <v>218</v>
      </c>
      <c r="FU115" s="22" t="s">
        <v>218</v>
      </c>
      <c r="FV115" s="22" t="s">
        <v>218</v>
      </c>
      <c r="FW115" s="22" t="s">
        <v>218</v>
      </c>
      <c r="FX115" s="22" t="s">
        <v>218</v>
      </c>
      <c r="FY115" s="22" t="s">
        <v>218</v>
      </c>
      <c r="FZ115" s="22" t="s">
        <v>218</v>
      </c>
      <c r="GA115" s="22" t="s">
        <v>218</v>
      </c>
      <c r="GB115" s="22" t="s">
        <v>218</v>
      </c>
      <c r="GC115" s="22" t="s">
        <v>218</v>
      </c>
      <c r="GD115" s="22" t="s">
        <v>218</v>
      </c>
      <c r="GE115" s="22" t="s">
        <v>218</v>
      </c>
      <c r="GF115" s="22" t="s">
        <v>218</v>
      </c>
      <c r="GG115" s="22" t="s">
        <v>218</v>
      </c>
      <c r="GH115" s="22" t="s">
        <v>218</v>
      </c>
      <c r="GI115" s="22" t="s">
        <v>218</v>
      </c>
      <c r="GJ115" s="22" t="s">
        <v>218</v>
      </c>
      <c r="GK115" s="22" t="s">
        <v>218</v>
      </c>
      <c r="GL115" s="22" t="s">
        <v>218</v>
      </c>
      <c r="GM115" s="22" t="s">
        <v>218</v>
      </c>
      <c r="GN115" s="22" t="s">
        <v>218</v>
      </c>
      <c r="GO115" s="22" t="s">
        <v>218</v>
      </c>
      <c r="GP115" s="22">
        <v>2005</v>
      </c>
      <c r="GQ115" s="22">
        <v>2005</v>
      </c>
      <c r="GR115" s="22" t="s">
        <v>218</v>
      </c>
      <c r="GS115" s="22">
        <v>2005</v>
      </c>
      <c r="GT115" s="22">
        <v>2005</v>
      </c>
      <c r="GU115" s="22" t="s">
        <v>218</v>
      </c>
      <c r="GV115" s="22">
        <v>2005</v>
      </c>
      <c r="GW115" s="22" t="s">
        <v>218</v>
      </c>
      <c r="GX115" s="22" t="s">
        <v>218</v>
      </c>
      <c r="GY115" s="22" t="s">
        <v>218</v>
      </c>
      <c r="GZ115" s="22" t="s">
        <v>218</v>
      </c>
      <c r="HA115" s="22" t="s">
        <v>218</v>
      </c>
      <c r="HB115" s="22" t="s">
        <v>218</v>
      </c>
      <c r="HC115" s="22" t="s">
        <v>218</v>
      </c>
      <c r="HD115" s="22" t="s">
        <v>218</v>
      </c>
      <c r="HE115" s="22" t="s">
        <v>218</v>
      </c>
      <c r="HF115" s="22" t="s">
        <v>218</v>
      </c>
      <c r="HG115" s="22" t="s">
        <v>218</v>
      </c>
      <c r="HH115" s="22" t="s">
        <v>218</v>
      </c>
      <c r="HI115" s="22" t="s">
        <v>218</v>
      </c>
      <c r="HJ115" s="22" t="s">
        <v>218</v>
      </c>
      <c r="HK115" s="22" t="s">
        <v>218</v>
      </c>
      <c r="HL115" s="22" t="s">
        <v>218</v>
      </c>
      <c r="HM115" s="860"/>
      <c r="HN115" s="860"/>
      <c r="HO115" s="860"/>
      <c r="HP115" s="860"/>
      <c r="HQ115" s="860"/>
      <c r="HR115" s="860"/>
      <c r="HS115" s="860"/>
      <c r="HT115" s="145"/>
      <c r="HU115" s="145" t="s">
        <v>1809</v>
      </c>
      <c r="HV115" s="22" t="s">
        <v>1946</v>
      </c>
      <c r="HW115" s="22" t="s">
        <v>423</v>
      </c>
      <c r="HX115" s="22" t="s">
        <v>424</v>
      </c>
      <c r="HY115" s="22" t="s">
        <v>425</v>
      </c>
      <c r="HZ115" s="19"/>
      <c r="IA115" s="19"/>
      <c r="IB115" s="621">
        <f>'background data'!$G$10</f>
        <v>0.47300000000000003</v>
      </c>
      <c r="IC115" s="621">
        <f>'background data'!$H$10</f>
        <v>0.13</v>
      </c>
      <c r="ID115" s="621">
        <f>'background data'!$J$10</f>
        <v>0.39100000000000001</v>
      </c>
      <c r="IE115" s="621">
        <f>'background data'!$L$10</f>
        <v>5.5E-2</v>
      </c>
      <c r="IF115" s="621">
        <f>'background data'!$M$10</f>
        <v>3.97</v>
      </c>
      <c r="IG115" s="621">
        <f>'background data'!$N$10</f>
        <v>4.5999999999999999E-3</v>
      </c>
      <c r="IH115" s="621">
        <f>'background data'!$O$10</f>
        <v>2.73</v>
      </c>
      <c r="II115" s="145"/>
      <c r="IJ115" s="145"/>
      <c r="IK115" s="145"/>
      <c r="IL115" s="145"/>
      <c r="IM115" s="145"/>
      <c r="IN115" s="145"/>
      <c r="IO115" s="145"/>
      <c r="IP115" s="145"/>
      <c r="IQ115" s="145"/>
      <c r="IR115" s="145"/>
      <c r="IS115" s="145"/>
      <c r="IT115" s="145"/>
      <c r="IU115" s="145"/>
      <c r="IV115" s="145"/>
      <c r="IW115" s="145"/>
      <c r="IX115" s="145"/>
      <c r="IY115" s="145"/>
      <c r="IZ115" s="145"/>
      <c r="JA115" s="145"/>
      <c r="JB115" s="145"/>
      <c r="JC115" s="145"/>
      <c r="JD115" s="145"/>
      <c r="JE115" s="145"/>
      <c r="JF115" s="145"/>
      <c r="JG115" s="145"/>
      <c r="JH115" s="145"/>
      <c r="JI115" s="145"/>
      <c r="JJ115" s="145"/>
      <c r="JK115" s="145"/>
      <c r="JL115" s="145"/>
      <c r="JM115" s="145"/>
      <c r="JN115" s="145"/>
      <c r="JO115" s="145"/>
      <c r="JP115" s="145"/>
      <c r="JQ115" s="145"/>
      <c r="JR115" s="145"/>
      <c r="JS115" s="145"/>
      <c r="JT115" s="145"/>
      <c r="JU115" s="145"/>
      <c r="JV115" s="145"/>
      <c r="JW115" s="145"/>
      <c r="JX115" s="145"/>
      <c r="JY115" s="145"/>
      <c r="JZ115" s="145"/>
      <c r="KA115" s="145"/>
      <c r="KB115" s="145"/>
      <c r="KC115" s="145"/>
      <c r="KD115" s="145"/>
      <c r="KE115" s="145"/>
      <c r="KF115" s="145"/>
      <c r="KG115" s="145"/>
      <c r="KH115" s="145"/>
      <c r="KI115" s="145"/>
      <c r="KJ115" s="145"/>
      <c r="KK115" s="145"/>
      <c r="KL115" s="145"/>
      <c r="KM115" s="145"/>
      <c r="KN115" s="145"/>
      <c r="KO115" s="145"/>
      <c r="KP115" s="145"/>
      <c r="KQ115" s="145"/>
      <c r="KR115" s="145"/>
      <c r="KS115" s="145"/>
      <c r="KT115" s="145"/>
      <c r="KU115" s="145"/>
      <c r="KV115" s="145"/>
      <c r="KW115" s="145"/>
      <c r="KX115" s="145"/>
      <c r="KY115" s="145"/>
      <c r="KZ115" s="145"/>
      <c r="LA115" s="145"/>
      <c r="LB115" s="145"/>
      <c r="LC115" s="145"/>
      <c r="LD115" s="145"/>
      <c r="LE115" s="145"/>
      <c r="LF115" s="145"/>
      <c r="LG115" s="145"/>
      <c r="LH115" s="145"/>
      <c r="LI115" s="145"/>
      <c r="LJ115" s="145"/>
      <c r="LK115" s="145"/>
      <c r="LL115" s="145"/>
      <c r="LM115" s="145"/>
      <c r="LN115" s="145"/>
      <c r="LO115" s="145"/>
      <c r="LP115" s="145"/>
      <c r="LQ115" s="145"/>
      <c r="LR115" s="145"/>
      <c r="LS115" s="145"/>
      <c r="LT115" s="145"/>
      <c r="LU115" s="145"/>
      <c r="LV115" s="145"/>
      <c r="LW115" s="145"/>
      <c r="LX115" s="145"/>
      <c r="LY115" s="145"/>
      <c r="LZ115" s="145"/>
      <c r="MA115" s="145"/>
      <c r="MB115" s="145"/>
      <c r="MC115" s="145"/>
      <c r="MD115" s="145"/>
      <c r="ME115" s="145"/>
      <c r="MF115" s="145"/>
      <c r="MG115" s="145"/>
      <c r="MH115" s="145"/>
      <c r="MI115" s="145"/>
      <c r="MJ115" s="145"/>
      <c r="MK115" s="145"/>
      <c r="ML115" s="145"/>
      <c r="MM115" s="145"/>
      <c r="MN115" s="145"/>
      <c r="MO115" s="145"/>
      <c r="MP115" s="145"/>
      <c r="MQ115" s="145"/>
      <c r="MR115" s="145"/>
      <c r="MS115" s="145"/>
      <c r="MT115" s="145"/>
      <c r="MU115" s="145"/>
      <c r="MV115" s="145"/>
      <c r="MW115" s="145"/>
      <c r="MX115" s="145"/>
      <c r="MY115" s="145"/>
      <c r="MZ115" s="145"/>
      <c r="NA115" s="145"/>
      <c r="NB115" s="145"/>
      <c r="NC115" s="145"/>
      <c r="ND115" s="145"/>
      <c r="NE115" s="145"/>
      <c r="NF115" s="145"/>
      <c r="NG115" s="145"/>
      <c r="NH115" s="145"/>
      <c r="NI115" s="145"/>
      <c r="NJ115" s="145"/>
      <c r="NK115" s="145"/>
      <c r="NL115" s="145"/>
      <c r="NM115" s="145"/>
      <c r="NN115" s="145"/>
      <c r="NO115" s="145"/>
      <c r="NP115" s="145"/>
      <c r="NQ115" s="145"/>
      <c r="NR115" s="145"/>
      <c r="NS115" s="145"/>
    </row>
    <row r="116" spans="1:383" s="16" customFormat="1" ht="15" customHeight="1" x14ac:dyDescent="0.2">
      <c r="A116" s="15">
        <v>46700</v>
      </c>
      <c r="B116" s="25">
        <v>467</v>
      </c>
      <c r="C116" s="26">
        <v>0</v>
      </c>
      <c r="D116" s="20" t="s">
        <v>427</v>
      </c>
      <c r="E116" s="14">
        <v>40310</v>
      </c>
      <c r="F116" s="18">
        <v>-0.112682926829268</v>
      </c>
      <c r="G116" s="18">
        <v>-0.108</v>
      </c>
      <c r="H116" s="21">
        <v>70</v>
      </c>
      <c r="I116" s="21">
        <v>70</v>
      </c>
      <c r="J116" s="21">
        <v>0</v>
      </c>
      <c r="K116" s="18">
        <v>1</v>
      </c>
      <c r="L116" s="18">
        <v>99</v>
      </c>
      <c r="M116" s="18">
        <v>0</v>
      </c>
      <c r="N116" s="18">
        <v>0</v>
      </c>
      <c r="O116" s="18">
        <v>99</v>
      </c>
      <c r="P116" s="18">
        <v>0</v>
      </c>
      <c r="Q116" s="19"/>
      <c r="R116" s="18">
        <v>0</v>
      </c>
      <c r="S116" s="18">
        <v>0</v>
      </c>
      <c r="T116" s="18">
        <v>0</v>
      </c>
      <c r="U116" s="18">
        <v>0</v>
      </c>
      <c r="V116" s="18">
        <v>0</v>
      </c>
      <c r="W116" s="18">
        <v>0</v>
      </c>
      <c r="X116" s="18"/>
      <c r="Y116" s="18">
        <v>0</v>
      </c>
      <c r="Z116" s="18">
        <v>0</v>
      </c>
      <c r="AA116" s="18">
        <v>0</v>
      </c>
      <c r="AB116" s="18">
        <v>0</v>
      </c>
      <c r="AC116" s="18">
        <v>0</v>
      </c>
      <c r="AD116" s="18">
        <v>0</v>
      </c>
      <c r="AE116" s="18">
        <v>0</v>
      </c>
      <c r="AF116" s="18">
        <v>0</v>
      </c>
      <c r="AG116" s="18">
        <v>808080.80808080803</v>
      </c>
      <c r="AH116" s="18">
        <v>0</v>
      </c>
      <c r="AI116" s="18">
        <v>0</v>
      </c>
      <c r="AJ116" s="18">
        <v>0</v>
      </c>
      <c r="AK116" s="18">
        <v>0</v>
      </c>
      <c r="AL116" s="18"/>
      <c r="AM116" s="18">
        <v>0</v>
      </c>
      <c r="AN116" s="18">
        <v>0</v>
      </c>
      <c r="AO116" s="18">
        <v>0</v>
      </c>
      <c r="AP116" s="18">
        <v>0</v>
      </c>
      <c r="AQ116" s="18">
        <v>0</v>
      </c>
      <c r="AR116" s="18">
        <v>0</v>
      </c>
      <c r="AS116" s="18">
        <v>0</v>
      </c>
      <c r="AT116" s="18">
        <v>0</v>
      </c>
      <c r="AU116" s="18">
        <v>0</v>
      </c>
      <c r="AV116" s="18">
        <v>0</v>
      </c>
      <c r="AW116" s="18">
        <v>0</v>
      </c>
      <c r="AX116" s="18"/>
      <c r="AY116" s="18">
        <v>1</v>
      </c>
      <c r="AZ116" s="18">
        <v>1</v>
      </c>
      <c r="BA116" s="18">
        <v>1</v>
      </c>
      <c r="BB116" s="18">
        <v>1</v>
      </c>
      <c r="BC116" s="18">
        <v>1</v>
      </c>
      <c r="BD116" s="18">
        <v>1</v>
      </c>
      <c r="BE116" s="18">
        <v>1</v>
      </c>
      <c r="BF116" s="18">
        <v>1</v>
      </c>
      <c r="BG116" s="18">
        <v>1</v>
      </c>
      <c r="BH116" s="18">
        <v>1</v>
      </c>
      <c r="BI116" s="18">
        <v>1</v>
      </c>
      <c r="BJ116" s="19"/>
      <c r="BK116" s="18">
        <v>0</v>
      </c>
      <c r="BL116" s="18">
        <v>0</v>
      </c>
      <c r="BM116" s="18">
        <v>100</v>
      </c>
      <c r="BN116" s="18">
        <v>0</v>
      </c>
      <c r="BO116" s="18"/>
      <c r="BP116" s="18">
        <v>0</v>
      </c>
      <c r="BQ116" s="18">
        <v>0</v>
      </c>
      <c r="BR116" s="18">
        <v>-0.11382113821138182</v>
      </c>
      <c r="BS116" s="18">
        <v>-0.10909090909090909</v>
      </c>
      <c r="BT116" s="19"/>
      <c r="BU116" s="18">
        <v>0</v>
      </c>
      <c r="BV116" s="18">
        <v>0</v>
      </c>
      <c r="BW116" s="18">
        <v>0</v>
      </c>
      <c r="BX116" s="18" t="s">
        <v>217</v>
      </c>
      <c r="BY116" s="18" t="s">
        <v>217</v>
      </c>
      <c r="BZ116" s="18" t="s">
        <v>217</v>
      </c>
      <c r="CA116" s="18" t="s">
        <v>217</v>
      </c>
      <c r="CB116" s="19"/>
      <c r="CC116" s="19">
        <v>0</v>
      </c>
      <c r="CD116" s="19">
        <v>0</v>
      </c>
      <c r="CE116" s="19">
        <v>0</v>
      </c>
      <c r="CF116" s="19">
        <v>0</v>
      </c>
      <c r="CG116" s="19">
        <v>0</v>
      </c>
      <c r="CH116" s="19">
        <v>0</v>
      </c>
      <c r="CI116" s="19">
        <v>0</v>
      </c>
      <c r="CJ116" s="19"/>
      <c r="CK116" s="19">
        <v>0</v>
      </c>
      <c r="CL116" s="19">
        <v>799999.99999999988</v>
      </c>
      <c r="CM116" s="19">
        <v>0</v>
      </c>
      <c r="CN116" s="19">
        <v>0</v>
      </c>
      <c r="CO116" s="19">
        <v>0</v>
      </c>
      <c r="CP116" s="19">
        <v>0</v>
      </c>
      <c r="CQ116" s="19">
        <v>0</v>
      </c>
      <c r="CR116" s="19">
        <v>0</v>
      </c>
      <c r="CS116" s="19">
        <v>0</v>
      </c>
      <c r="CT116" s="19">
        <v>0</v>
      </c>
      <c r="CU116" s="19">
        <v>0</v>
      </c>
      <c r="CV116" s="19">
        <v>0</v>
      </c>
      <c r="CW116" s="19">
        <v>0</v>
      </c>
      <c r="CX116" s="19">
        <v>0</v>
      </c>
      <c r="CY116" s="19">
        <v>0</v>
      </c>
      <c r="CZ116" s="19">
        <v>0</v>
      </c>
      <c r="DA116" s="19">
        <v>0</v>
      </c>
      <c r="DB116" s="19">
        <v>0</v>
      </c>
      <c r="DC116" s="19">
        <v>0</v>
      </c>
      <c r="DD116" s="19">
        <v>0</v>
      </c>
      <c r="DE116" s="19">
        <v>0</v>
      </c>
      <c r="DF116" s="23">
        <v>0</v>
      </c>
      <c r="DG116" s="23">
        <v>0</v>
      </c>
      <c r="DH116" s="23">
        <v>0</v>
      </c>
      <c r="DI116" s="19">
        <v>0</v>
      </c>
      <c r="DJ116" s="19">
        <v>0</v>
      </c>
      <c r="DK116" s="19">
        <v>0</v>
      </c>
      <c r="DL116" s="19">
        <v>0</v>
      </c>
      <c r="DM116" s="19">
        <v>0</v>
      </c>
      <c r="DN116" s="19">
        <v>0</v>
      </c>
      <c r="DO116" s="19">
        <v>0</v>
      </c>
      <c r="DP116" s="19">
        <v>0</v>
      </c>
      <c r="DQ116" s="19">
        <v>0</v>
      </c>
      <c r="DR116" s="19">
        <v>0</v>
      </c>
      <c r="DS116" s="19">
        <v>0</v>
      </c>
      <c r="DT116" s="19">
        <v>0</v>
      </c>
      <c r="DU116" s="19">
        <v>0</v>
      </c>
      <c r="DV116" s="19">
        <v>0</v>
      </c>
      <c r="DW116" s="17" t="s">
        <v>218</v>
      </c>
      <c r="DX116" s="22" t="s">
        <v>218</v>
      </c>
      <c r="DY116" s="22" t="s">
        <v>218</v>
      </c>
      <c r="DZ116" s="22" t="s">
        <v>218</v>
      </c>
      <c r="EA116" s="22" t="s">
        <v>218</v>
      </c>
      <c r="EB116" s="22" t="s">
        <v>218</v>
      </c>
      <c r="EC116" s="22" t="s">
        <v>218</v>
      </c>
      <c r="ED116" s="22" t="s">
        <v>218</v>
      </c>
      <c r="EE116" s="22" t="s">
        <v>218</v>
      </c>
      <c r="EF116" s="22" t="s">
        <v>218</v>
      </c>
      <c r="EG116" s="22" t="s">
        <v>218</v>
      </c>
      <c r="EH116" s="22" t="s">
        <v>218</v>
      </c>
      <c r="EI116" s="22" t="s">
        <v>218</v>
      </c>
      <c r="EJ116" s="22" t="s">
        <v>218</v>
      </c>
      <c r="EK116" s="22" t="s">
        <v>218</v>
      </c>
      <c r="EL116" s="22" t="s">
        <v>218</v>
      </c>
      <c r="EM116" s="22" t="s">
        <v>218</v>
      </c>
      <c r="EN116" s="22" t="s">
        <v>218</v>
      </c>
      <c r="EO116" s="22" t="s">
        <v>218</v>
      </c>
      <c r="EP116" s="22" t="s">
        <v>218</v>
      </c>
      <c r="EQ116" s="22" t="s">
        <v>218</v>
      </c>
      <c r="ER116" s="22" t="s">
        <v>218</v>
      </c>
      <c r="ES116" s="22" t="s">
        <v>218</v>
      </c>
      <c r="ET116" s="22" t="s">
        <v>218</v>
      </c>
      <c r="EU116" s="22" t="s">
        <v>218</v>
      </c>
      <c r="EV116" s="22" t="s">
        <v>218</v>
      </c>
      <c r="EW116" s="22" t="s">
        <v>218</v>
      </c>
      <c r="EX116" s="22" t="s">
        <v>218</v>
      </c>
      <c r="EY116" s="22" t="s">
        <v>218</v>
      </c>
      <c r="EZ116" s="22" t="s">
        <v>218</v>
      </c>
      <c r="FA116" s="22" t="s">
        <v>218</v>
      </c>
      <c r="FB116" s="22" t="s">
        <v>218</v>
      </c>
      <c r="FC116" s="22" t="s">
        <v>218</v>
      </c>
      <c r="FD116" s="22" t="s">
        <v>218</v>
      </c>
      <c r="FE116" s="22" t="s">
        <v>218</v>
      </c>
      <c r="FF116" s="22" t="s">
        <v>218</v>
      </c>
      <c r="FG116" s="22" t="s">
        <v>218</v>
      </c>
      <c r="FH116" s="22" t="s">
        <v>218</v>
      </c>
      <c r="FI116" s="22" t="s">
        <v>218</v>
      </c>
      <c r="FJ116" s="22" t="s">
        <v>218</v>
      </c>
      <c r="FK116" s="22" t="s">
        <v>218</v>
      </c>
      <c r="FL116" s="22" t="s">
        <v>218</v>
      </c>
      <c r="FM116" s="22" t="s">
        <v>218</v>
      </c>
      <c r="FN116" s="22" t="s">
        <v>218</v>
      </c>
      <c r="FO116" s="22" t="s">
        <v>218</v>
      </c>
      <c r="FP116" s="22" t="s">
        <v>218</v>
      </c>
      <c r="FQ116" s="22" t="s">
        <v>218</v>
      </c>
      <c r="FR116" s="22" t="s">
        <v>218</v>
      </c>
      <c r="FS116" s="22" t="s">
        <v>218</v>
      </c>
      <c r="FT116" s="22" t="s">
        <v>218</v>
      </c>
      <c r="FU116" s="22" t="s">
        <v>218</v>
      </c>
      <c r="FV116" s="22" t="s">
        <v>218</v>
      </c>
      <c r="FW116" s="22" t="s">
        <v>218</v>
      </c>
      <c r="FX116" s="22" t="s">
        <v>218</v>
      </c>
      <c r="FY116" s="22" t="s">
        <v>218</v>
      </c>
      <c r="FZ116" s="22" t="s">
        <v>218</v>
      </c>
      <c r="GA116" s="22" t="s">
        <v>218</v>
      </c>
      <c r="GB116" s="22" t="s">
        <v>218</v>
      </c>
      <c r="GC116" s="22" t="s">
        <v>218</v>
      </c>
      <c r="GD116" s="22" t="s">
        <v>218</v>
      </c>
      <c r="GE116" s="22" t="s">
        <v>218</v>
      </c>
      <c r="GF116" s="22" t="s">
        <v>218</v>
      </c>
      <c r="GG116" s="22" t="s">
        <v>218</v>
      </c>
      <c r="GH116" s="22" t="s">
        <v>218</v>
      </c>
      <c r="GI116" s="22" t="s">
        <v>218</v>
      </c>
      <c r="GJ116" s="22" t="s">
        <v>218</v>
      </c>
      <c r="GK116" s="22" t="s">
        <v>218</v>
      </c>
      <c r="GL116" s="22" t="s">
        <v>218</v>
      </c>
      <c r="GM116" s="22" t="s">
        <v>218</v>
      </c>
      <c r="GN116" s="22" t="s">
        <v>218</v>
      </c>
      <c r="GO116" s="22" t="s">
        <v>218</v>
      </c>
      <c r="GP116" s="22" t="s">
        <v>218</v>
      </c>
      <c r="GQ116" s="22" t="s">
        <v>218</v>
      </c>
      <c r="GR116" s="22" t="s">
        <v>218</v>
      </c>
      <c r="GS116" s="22" t="s">
        <v>218</v>
      </c>
      <c r="GT116" s="22" t="s">
        <v>218</v>
      </c>
      <c r="GU116" s="22" t="s">
        <v>218</v>
      </c>
      <c r="GV116" s="22" t="s">
        <v>218</v>
      </c>
      <c r="GW116" s="22" t="s">
        <v>218</v>
      </c>
      <c r="GX116" s="22" t="s">
        <v>218</v>
      </c>
      <c r="GY116" s="22" t="s">
        <v>218</v>
      </c>
      <c r="GZ116" s="22" t="s">
        <v>218</v>
      </c>
      <c r="HA116" s="22" t="s">
        <v>218</v>
      </c>
      <c r="HB116" s="22" t="s">
        <v>218</v>
      </c>
      <c r="HC116" s="22" t="s">
        <v>218</v>
      </c>
      <c r="HD116" s="22" t="s">
        <v>218</v>
      </c>
      <c r="HE116" s="22" t="s">
        <v>218</v>
      </c>
      <c r="HF116" s="22" t="s">
        <v>218</v>
      </c>
      <c r="HG116" s="22" t="s">
        <v>218</v>
      </c>
      <c r="HH116" s="22" t="s">
        <v>218</v>
      </c>
      <c r="HI116" s="22" t="s">
        <v>218</v>
      </c>
      <c r="HJ116" s="22" t="s">
        <v>218</v>
      </c>
      <c r="HK116" s="22" t="s">
        <v>218</v>
      </c>
      <c r="HL116" s="22" t="s">
        <v>218</v>
      </c>
      <c r="HM116" s="860"/>
      <c r="HN116" s="860"/>
      <c r="HO116" s="860"/>
      <c r="HP116" s="860"/>
      <c r="HQ116" s="860"/>
      <c r="HR116" s="860"/>
      <c r="HS116" s="860"/>
      <c r="HT116" s="145"/>
      <c r="HU116" s="145" t="s">
        <v>1809</v>
      </c>
      <c r="HV116" s="22" t="s">
        <v>1926</v>
      </c>
      <c r="HW116" s="22">
        <v>0</v>
      </c>
      <c r="HX116" s="22">
        <v>0</v>
      </c>
      <c r="HY116" s="22">
        <v>0</v>
      </c>
      <c r="HZ116" s="19"/>
      <c r="IA116" s="19"/>
      <c r="IB116" s="621">
        <f>'background data'!$G$10</f>
        <v>0.47300000000000003</v>
      </c>
      <c r="IC116" s="621">
        <f>'background data'!$H$10</f>
        <v>0.13</v>
      </c>
      <c r="ID116" s="621">
        <f>'background data'!$J$10</f>
        <v>0.39100000000000001</v>
      </c>
      <c r="IE116" s="621">
        <f>'background data'!$L$10</f>
        <v>5.5E-2</v>
      </c>
      <c r="IF116" s="621">
        <f>'background data'!$M$10</f>
        <v>3.97</v>
      </c>
      <c r="IG116" s="621">
        <f>'background data'!$N$10</f>
        <v>4.5999999999999999E-3</v>
      </c>
      <c r="IH116" s="621">
        <f>'background data'!$O$10</f>
        <v>2.73</v>
      </c>
      <c r="II116" s="145"/>
      <c r="IJ116" s="145"/>
      <c r="IK116" s="145"/>
      <c r="IL116" s="145"/>
      <c r="IM116" s="145"/>
      <c r="IN116" s="145"/>
      <c r="IO116" s="145"/>
      <c r="IP116" s="145"/>
      <c r="IQ116" s="145"/>
      <c r="IR116" s="145"/>
      <c r="IS116" s="145"/>
      <c r="IT116" s="145"/>
      <c r="IU116" s="145"/>
      <c r="IV116" s="145"/>
      <c r="IW116" s="145"/>
      <c r="IX116" s="145"/>
      <c r="IY116" s="145"/>
      <c r="IZ116" s="145"/>
      <c r="JA116" s="145"/>
      <c r="JB116" s="145"/>
      <c r="JC116" s="145"/>
      <c r="JD116" s="145"/>
      <c r="JE116" s="145"/>
      <c r="JF116" s="145"/>
      <c r="JG116" s="145"/>
      <c r="JH116" s="145"/>
      <c r="JI116" s="145"/>
      <c r="JJ116" s="145"/>
      <c r="JK116" s="145"/>
      <c r="JL116" s="145"/>
      <c r="JM116" s="145"/>
      <c r="JN116" s="145"/>
      <c r="JO116" s="145"/>
      <c r="JP116" s="145"/>
      <c r="JQ116" s="145"/>
      <c r="JR116" s="145"/>
      <c r="JS116" s="145"/>
      <c r="JT116" s="145"/>
      <c r="JU116" s="145"/>
      <c r="JV116" s="145"/>
      <c r="JW116" s="145"/>
      <c r="JX116" s="145"/>
      <c r="JY116" s="145"/>
      <c r="JZ116" s="145"/>
      <c r="KA116" s="145"/>
      <c r="KB116" s="145"/>
      <c r="KC116" s="145"/>
      <c r="KD116" s="145"/>
      <c r="KE116" s="145"/>
      <c r="KF116" s="145"/>
      <c r="KG116" s="145"/>
      <c r="KH116" s="145"/>
      <c r="KI116" s="145"/>
      <c r="KJ116" s="145"/>
      <c r="KK116" s="145"/>
      <c r="KL116" s="145"/>
      <c r="KM116" s="145"/>
      <c r="KN116" s="145"/>
      <c r="KO116" s="145"/>
      <c r="KP116" s="145"/>
      <c r="KQ116" s="145"/>
      <c r="KR116" s="145"/>
      <c r="KS116" s="145"/>
      <c r="KT116" s="145"/>
      <c r="KU116" s="145"/>
      <c r="KV116" s="145"/>
      <c r="KW116" s="145"/>
      <c r="KX116" s="145"/>
      <c r="KY116" s="145"/>
      <c r="KZ116" s="145"/>
      <c r="LA116" s="145"/>
      <c r="LB116" s="145"/>
      <c r="LC116" s="145"/>
      <c r="LD116" s="145"/>
      <c r="LE116" s="145"/>
      <c r="LF116" s="145"/>
      <c r="LG116" s="145"/>
      <c r="LH116" s="145"/>
      <c r="LI116" s="145"/>
      <c r="LJ116" s="145"/>
      <c r="LK116" s="145"/>
      <c r="LL116" s="145"/>
      <c r="LM116" s="145"/>
      <c r="LN116" s="145"/>
      <c r="LO116" s="145"/>
      <c r="LP116" s="145"/>
      <c r="LQ116" s="145"/>
      <c r="LR116" s="145"/>
      <c r="LS116" s="145"/>
      <c r="LT116" s="145"/>
      <c r="LU116" s="145"/>
      <c r="LV116" s="145"/>
      <c r="LW116" s="145"/>
      <c r="LX116" s="145"/>
      <c r="LY116" s="145"/>
      <c r="LZ116" s="145"/>
      <c r="MA116" s="145"/>
      <c r="MB116" s="145"/>
      <c r="MC116" s="145"/>
      <c r="MD116" s="145"/>
      <c r="ME116" s="145"/>
      <c r="MF116" s="145"/>
      <c r="MG116" s="145"/>
      <c r="MH116" s="145"/>
      <c r="MI116" s="145"/>
      <c r="MJ116" s="145"/>
      <c r="MK116" s="145"/>
      <c r="ML116" s="145"/>
      <c r="MM116" s="145"/>
      <c r="MN116" s="145"/>
      <c r="MO116" s="145"/>
      <c r="MP116" s="145"/>
      <c r="MQ116" s="145"/>
      <c r="MR116" s="145"/>
      <c r="MS116" s="145"/>
      <c r="MT116" s="145"/>
      <c r="MU116" s="145"/>
      <c r="MV116" s="145"/>
      <c r="MW116" s="145"/>
      <c r="MX116" s="145"/>
      <c r="MY116" s="145"/>
      <c r="MZ116" s="145"/>
      <c r="NA116" s="145"/>
      <c r="NB116" s="145"/>
      <c r="NC116" s="145"/>
      <c r="ND116" s="145"/>
      <c r="NE116" s="145"/>
      <c r="NF116" s="145"/>
      <c r="NG116" s="145"/>
      <c r="NH116" s="145"/>
      <c r="NI116" s="145"/>
      <c r="NJ116" s="145"/>
      <c r="NK116" s="145"/>
      <c r="NL116" s="145"/>
      <c r="NM116" s="145"/>
      <c r="NN116" s="145"/>
      <c r="NO116" s="145"/>
      <c r="NP116" s="145"/>
      <c r="NQ116" s="145"/>
      <c r="NR116" s="145"/>
      <c r="NS116" s="145"/>
    </row>
    <row r="117" spans="1:383" s="16" customFormat="1" ht="15" customHeight="1" x14ac:dyDescent="0.2">
      <c r="A117" s="15">
        <v>46800</v>
      </c>
      <c r="B117" s="25">
        <v>468</v>
      </c>
      <c r="C117" s="26">
        <v>0</v>
      </c>
      <c r="D117" s="20" t="s">
        <v>428</v>
      </c>
      <c r="E117" s="14">
        <v>40310</v>
      </c>
      <c r="F117" s="18">
        <v>-0.112682926829268</v>
      </c>
      <c r="G117" s="18">
        <v>-0.108</v>
      </c>
      <c r="H117" s="21">
        <v>70</v>
      </c>
      <c r="I117" s="21">
        <v>70</v>
      </c>
      <c r="J117" s="21">
        <v>0</v>
      </c>
      <c r="K117" s="18">
        <v>1</v>
      </c>
      <c r="L117" s="18">
        <v>99</v>
      </c>
      <c r="M117" s="18">
        <v>0</v>
      </c>
      <c r="N117" s="18">
        <v>0</v>
      </c>
      <c r="O117" s="18">
        <v>99</v>
      </c>
      <c r="P117" s="18">
        <v>0</v>
      </c>
      <c r="Q117" s="19"/>
      <c r="R117" s="18">
        <v>0</v>
      </c>
      <c r="S117" s="18">
        <v>0</v>
      </c>
      <c r="T117" s="18">
        <v>0</v>
      </c>
      <c r="U117" s="18">
        <v>0</v>
      </c>
      <c r="V117" s="18">
        <v>0</v>
      </c>
      <c r="W117" s="18">
        <v>0</v>
      </c>
      <c r="X117" s="18"/>
      <c r="Y117" s="18">
        <v>0</v>
      </c>
      <c r="Z117" s="18">
        <v>0</v>
      </c>
      <c r="AA117" s="18">
        <v>0</v>
      </c>
      <c r="AB117" s="18">
        <v>0</v>
      </c>
      <c r="AC117" s="18">
        <v>0</v>
      </c>
      <c r="AD117" s="18">
        <v>0</v>
      </c>
      <c r="AE117" s="18">
        <v>0</v>
      </c>
      <c r="AF117" s="18">
        <v>0</v>
      </c>
      <c r="AG117" s="18">
        <v>252525.25252525252</v>
      </c>
      <c r="AH117" s="18">
        <v>0</v>
      </c>
      <c r="AI117" s="18">
        <v>0</v>
      </c>
      <c r="AJ117" s="18">
        <v>0</v>
      </c>
      <c r="AK117" s="18">
        <v>0</v>
      </c>
      <c r="AL117" s="18"/>
      <c r="AM117" s="18">
        <v>0</v>
      </c>
      <c r="AN117" s="18">
        <v>0</v>
      </c>
      <c r="AO117" s="18">
        <v>0</v>
      </c>
      <c r="AP117" s="18">
        <v>0</v>
      </c>
      <c r="AQ117" s="18">
        <v>0</v>
      </c>
      <c r="AR117" s="18">
        <v>0</v>
      </c>
      <c r="AS117" s="18">
        <v>0</v>
      </c>
      <c r="AT117" s="18">
        <v>0</v>
      </c>
      <c r="AU117" s="18">
        <v>0</v>
      </c>
      <c r="AV117" s="18">
        <v>0</v>
      </c>
      <c r="AW117" s="18">
        <v>0</v>
      </c>
      <c r="AX117" s="18"/>
      <c r="AY117" s="18">
        <v>1</v>
      </c>
      <c r="AZ117" s="18">
        <v>1</v>
      </c>
      <c r="BA117" s="18">
        <v>1</v>
      </c>
      <c r="BB117" s="18">
        <v>1</v>
      </c>
      <c r="BC117" s="18">
        <v>1</v>
      </c>
      <c r="BD117" s="18">
        <v>1</v>
      </c>
      <c r="BE117" s="18">
        <v>1</v>
      </c>
      <c r="BF117" s="18">
        <v>1</v>
      </c>
      <c r="BG117" s="18">
        <v>1</v>
      </c>
      <c r="BH117" s="18">
        <v>1</v>
      </c>
      <c r="BI117" s="18">
        <v>1</v>
      </c>
      <c r="BJ117" s="19"/>
      <c r="BK117" s="18">
        <v>0</v>
      </c>
      <c r="BL117" s="18">
        <v>0</v>
      </c>
      <c r="BM117" s="18">
        <v>100</v>
      </c>
      <c r="BN117" s="18">
        <v>0</v>
      </c>
      <c r="BO117" s="18"/>
      <c r="BP117" s="18">
        <v>0</v>
      </c>
      <c r="BQ117" s="18">
        <v>0</v>
      </c>
      <c r="BR117" s="18">
        <v>-0.11382113821138182</v>
      </c>
      <c r="BS117" s="18">
        <v>-0.10909090909090909</v>
      </c>
      <c r="BT117" s="19"/>
      <c r="BU117" s="18">
        <v>0</v>
      </c>
      <c r="BV117" s="18">
        <v>0</v>
      </c>
      <c r="BW117" s="18">
        <v>0</v>
      </c>
      <c r="BX117" s="18" t="s">
        <v>217</v>
      </c>
      <c r="BY117" s="18" t="s">
        <v>217</v>
      </c>
      <c r="BZ117" s="18" t="s">
        <v>217</v>
      </c>
      <c r="CA117" s="18" t="s">
        <v>217</v>
      </c>
      <c r="CB117" s="19"/>
      <c r="CC117" s="19">
        <v>0</v>
      </c>
      <c r="CD117" s="19">
        <v>0</v>
      </c>
      <c r="CE117" s="19">
        <v>0</v>
      </c>
      <c r="CF117" s="19">
        <v>0</v>
      </c>
      <c r="CG117" s="19">
        <v>0</v>
      </c>
      <c r="CH117" s="19">
        <v>0</v>
      </c>
      <c r="CI117" s="19">
        <v>0</v>
      </c>
      <c r="CJ117" s="19"/>
      <c r="CK117" s="19">
        <v>0</v>
      </c>
      <c r="CL117" s="19">
        <v>250000</v>
      </c>
      <c r="CM117" s="19">
        <v>0</v>
      </c>
      <c r="CN117" s="19">
        <v>0</v>
      </c>
      <c r="CO117" s="19">
        <v>0</v>
      </c>
      <c r="CP117" s="19">
        <v>0</v>
      </c>
      <c r="CQ117" s="19">
        <v>0</v>
      </c>
      <c r="CR117" s="19">
        <v>0</v>
      </c>
      <c r="CS117" s="19">
        <v>0</v>
      </c>
      <c r="CT117" s="19">
        <v>0</v>
      </c>
      <c r="CU117" s="19">
        <v>0</v>
      </c>
      <c r="CV117" s="19">
        <v>0</v>
      </c>
      <c r="CW117" s="19">
        <v>0</v>
      </c>
      <c r="CX117" s="19">
        <v>0</v>
      </c>
      <c r="CY117" s="19">
        <v>0</v>
      </c>
      <c r="CZ117" s="19">
        <v>0</v>
      </c>
      <c r="DA117" s="19">
        <v>0</v>
      </c>
      <c r="DB117" s="19">
        <v>0</v>
      </c>
      <c r="DC117" s="19">
        <v>0</v>
      </c>
      <c r="DD117" s="19">
        <v>0</v>
      </c>
      <c r="DE117" s="19">
        <v>0</v>
      </c>
      <c r="DF117" s="23">
        <v>0</v>
      </c>
      <c r="DG117" s="23">
        <v>0</v>
      </c>
      <c r="DH117" s="23">
        <v>0</v>
      </c>
      <c r="DI117" s="19">
        <v>0</v>
      </c>
      <c r="DJ117" s="19">
        <v>0</v>
      </c>
      <c r="DK117" s="19">
        <v>0</v>
      </c>
      <c r="DL117" s="19">
        <v>0</v>
      </c>
      <c r="DM117" s="19">
        <v>0</v>
      </c>
      <c r="DN117" s="19">
        <v>0</v>
      </c>
      <c r="DO117" s="19">
        <v>0</v>
      </c>
      <c r="DP117" s="19">
        <v>0</v>
      </c>
      <c r="DQ117" s="19">
        <v>0</v>
      </c>
      <c r="DR117" s="19">
        <v>0</v>
      </c>
      <c r="DS117" s="19">
        <v>0</v>
      </c>
      <c r="DT117" s="19">
        <v>0</v>
      </c>
      <c r="DU117" s="19">
        <v>0</v>
      </c>
      <c r="DV117" s="19">
        <v>0</v>
      </c>
      <c r="DW117" s="17" t="s">
        <v>218</v>
      </c>
      <c r="DX117" s="22" t="s">
        <v>218</v>
      </c>
      <c r="DY117" s="22" t="s">
        <v>218</v>
      </c>
      <c r="DZ117" s="22" t="s">
        <v>218</v>
      </c>
      <c r="EA117" s="22" t="s">
        <v>218</v>
      </c>
      <c r="EB117" s="22" t="s">
        <v>218</v>
      </c>
      <c r="EC117" s="22" t="s">
        <v>218</v>
      </c>
      <c r="ED117" s="22" t="s">
        <v>218</v>
      </c>
      <c r="EE117" s="22" t="s">
        <v>218</v>
      </c>
      <c r="EF117" s="22" t="s">
        <v>218</v>
      </c>
      <c r="EG117" s="22" t="s">
        <v>218</v>
      </c>
      <c r="EH117" s="22" t="s">
        <v>218</v>
      </c>
      <c r="EI117" s="22" t="s">
        <v>218</v>
      </c>
      <c r="EJ117" s="22" t="s">
        <v>218</v>
      </c>
      <c r="EK117" s="22" t="s">
        <v>218</v>
      </c>
      <c r="EL117" s="22" t="s">
        <v>218</v>
      </c>
      <c r="EM117" s="22" t="s">
        <v>218</v>
      </c>
      <c r="EN117" s="22" t="s">
        <v>218</v>
      </c>
      <c r="EO117" s="22" t="s">
        <v>218</v>
      </c>
      <c r="EP117" s="22" t="s">
        <v>218</v>
      </c>
      <c r="EQ117" s="22" t="s">
        <v>218</v>
      </c>
      <c r="ER117" s="22" t="s">
        <v>218</v>
      </c>
      <c r="ES117" s="22" t="s">
        <v>218</v>
      </c>
      <c r="ET117" s="22" t="s">
        <v>218</v>
      </c>
      <c r="EU117" s="22" t="s">
        <v>218</v>
      </c>
      <c r="EV117" s="22" t="s">
        <v>218</v>
      </c>
      <c r="EW117" s="22" t="s">
        <v>218</v>
      </c>
      <c r="EX117" s="22" t="s">
        <v>218</v>
      </c>
      <c r="EY117" s="22" t="s">
        <v>218</v>
      </c>
      <c r="EZ117" s="22" t="s">
        <v>218</v>
      </c>
      <c r="FA117" s="22" t="s">
        <v>218</v>
      </c>
      <c r="FB117" s="22" t="s">
        <v>218</v>
      </c>
      <c r="FC117" s="22" t="s">
        <v>218</v>
      </c>
      <c r="FD117" s="22" t="s">
        <v>218</v>
      </c>
      <c r="FE117" s="22" t="s">
        <v>218</v>
      </c>
      <c r="FF117" s="22" t="s">
        <v>218</v>
      </c>
      <c r="FG117" s="22" t="s">
        <v>218</v>
      </c>
      <c r="FH117" s="22" t="s">
        <v>218</v>
      </c>
      <c r="FI117" s="22" t="s">
        <v>218</v>
      </c>
      <c r="FJ117" s="22" t="s">
        <v>218</v>
      </c>
      <c r="FK117" s="22" t="s">
        <v>218</v>
      </c>
      <c r="FL117" s="22" t="s">
        <v>218</v>
      </c>
      <c r="FM117" s="22" t="s">
        <v>218</v>
      </c>
      <c r="FN117" s="22" t="s">
        <v>218</v>
      </c>
      <c r="FO117" s="22" t="s">
        <v>218</v>
      </c>
      <c r="FP117" s="22" t="s">
        <v>218</v>
      </c>
      <c r="FQ117" s="22" t="s">
        <v>218</v>
      </c>
      <c r="FR117" s="22" t="s">
        <v>218</v>
      </c>
      <c r="FS117" s="22" t="s">
        <v>218</v>
      </c>
      <c r="FT117" s="22" t="s">
        <v>218</v>
      </c>
      <c r="FU117" s="22" t="s">
        <v>218</v>
      </c>
      <c r="FV117" s="22" t="s">
        <v>218</v>
      </c>
      <c r="FW117" s="22" t="s">
        <v>218</v>
      </c>
      <c r="FX117" s="22" t="s">
        <v>218</v>
      </c>
      <c r="FY117" s="22" t="s">
        <v>218</v>
      </c>
      <c r="FZ117" s="22" t="s">
        <v>218</v>
      </c>
      <c r="GA117" s="22" t="s">
        <v>218</v>
      </c>
      <c r="GB117" s="22" t="s">
        <v>218</v>
      </c>
      <c r="GC117" s="22" t="s">
        <v>218</v>
      </c>
      <c r="GD117" s="22" t="s">
        <v>218</v>
      </c>
      <c r="GE117" s="22" t="s">
        <v>218</v>
      </c>
      <c r="GF117" s="22" t="s">
        <v>218</v>
      </c>
      <c r="GG117" s="22" t="s">
        <v>218</v>
      </c>
      <c r="GH117" s="22" t="s">
        <v>218</v>
      </c>
      <c r="GI117" s="22" t="s">
        <v>218</v>
      </c>
      <c r="GJ117" s="22" t="s">
        <v>218</v>
      </c>
      <c r="GK117" s="22" t="s">
        <v>218</v>
      </c>
      <c r="GL117" s="22" t="s">
        <v>218</v>
      </c>
      <c r="GM117" s="22" t="s">
        <v>218</v>
      </c>
      <c r="GN117" s="22" t="s">
        <v>218</v>
      </c>
      <c r="GO117" s="22" t="s">
        <v>218</v>
      </c>
      <c r="GP117" s="22" t="s">
        <v>218</v>
      </c>
      <c r="GQ117" s="22" t="s">
        <v>218</v>
      </c>
      <c r="GR117" s="22" t="s">
        <v>218</v>
      </c>
      <c r="GS117" s="22" t="s">
        <v>218</v>
      </c>
      <c r="GT117" s="22" t="s">
        <v>218</v>
      </c>
      <c r="GU117" s="22" t="s">
        <v>218</v>
      </c>
      <c r="GV117" s="22" t="s">
        <v>218</v>
      </c>
      <c r="GW117" s="22" t="s">
        <v>218</v>
      </c>
      <c r="GX117" s="22" t="s">
        <v>218</v>
      </c>
      <c r="GY117" s="22" t="s">
        <v>218</v>
      </c>
      <c r="GZ117" s="22" t="s">
        <v>218</v>
      </c>
      <c r="HA117" s="22" t="s">
        <v>218</v>
      </c>
      <c r="HB117" s="22" t="s">
        <v>218</v>
      </c>
      <c r="HC117" s="22" t="s">
        <v>218</v>
      </c>
      <c r="HD117" s="22" t="s">
        <v>218</v>
      </c>
      <c r="HE117" s="22" t="s">
        <v>218</v>
      </c>
      <c r="HF117" s="22" t="s">
        <v>218</v>
      </c>
      <c r="HG117" s="22" t="s">
        <v>218</v>
      </c>
      <c r="HH117" s="22" t="s">
        <v>218</v>
      </c>
      <c r="HI117" s="22" t="s">
        <v>218</v>
      </c>
      <c r="HJ117" s="22" t="s">
        <v>218</v>
      </c>
      <c r="HK117" s="22" t="s">
        <v>218</v>
      </c>
      <c r="HL117" s="22" t="s">
        <v>218</v>
      </c>
      <c r="HM117" s="860"/>
      <c r="HN117" s="860"/>
      <c r="HO117" s="860"/>
      <c r="HP117" s="860"/>
      <c r="HQ117" s="860"/>
      <c r="HR117" s="860"/>
      <c r="HS117" s="860"/>
      <c r="HT117" s="145"/>
      <c r="HU117" s="145" t="s">
        <v>1809</v>
      </c>
      <c r="HV117" s="22" t="s">
        <v>1926</v>
      </c>
      <c r="HW117" s="22">
        <v>0</v>
      </c>
      <c r="HX117" s="22">
        <v>0</v>
      </c>
      <c r="HY117" s="22">
        <v>0</v>
      </c>
      <c r="HZ117" s="19"/>
      <c r="IA117" s="19"/>
      <c r="IB117" s="621">
        <f>'background data'!$G$10</f>
        <v>0.47300000000000003</v>
      </c>
      <c r="IC117" s="621">
        <f>'background data'!$H$10</f>
        <v>0.13</v>
      </c>
      <c r="ID117" s="621">
        <f>'background data'!$J$10</f>
        <v>0.39100000000000001</v>
      </c>
      <c r="IE117" s="621">
        <f>'background data'!$L$10</f>
        <v>5.5E-2</v>
      </c>
      <c r="IF117" s="621">
        <f>'background data'!$M$10</f>
        <v>3.97</v>
      </c>
      <c r="IG117" s="621">
        <f>'background data'!$N$10</f>
        <v>4.5999999999999999E-3</v>
      </c>
      <c r="IH117" s="621">
        <f>'background data'!$O$10</f>
        <v>2.73</v>
      </c>
      <c r="II117" s="145"/>
      <c r="IJ117" s="145"/>
      <c r="IK117" s="145"/>
      <c r="IL117" s="145"/>
      <c r="IM117" s="145"/>
      <c r="IN117" s="145"/>
      <c r="IO117" s="145"/>
      <c r="IP117" s="145"/>
      <c r="IQ117" s="145"/>
      <c r="IR117" s="145"/>
      <c r="IS117" s="145"/>
      <c r="IT117" s="145"/>
      <c r="IU117" s="145"/>
      <c r="IV117" s="145"/>
      <c r="IW117" s="145"/>
      <c r="IX117" s="145"/>
      <c r="IY117" s="145"/>
      <c r="IZ117" s="145"/>
      <c r="JA117" s="145"/>
      <c r="JB117" s="145"/>
      <c r="JC117" s="145"/>
      <c r="JD117" s="145"/>
      <c r="JE117" s="145"/>
      <c r="JF117" s="145"/>
      <c r="JG117" s="145"/>
      <c r="JH117" s="145"/>
      <c r="JI117" s="145"/>
      <c r="JJ117" s="145"/>
      <c r="JK117" s="145"/>
      <c r="JL117" s="145"/>
      <c r="JM117" s="145"/>
      <c r="JN117" s="145"/>
      <c r="JO117" s="145"/>
      <c r="JP117" s="145"/>
      <c r="JQ117" s="145"/>
      <c r="JR117" s="145"/>
      <c r="JS117" s="145"/>
      <c r="JT117" s="145"/>
      <c r="JU117" s="145"/>
      <c r="JV117" s="145"/>
      <c r="JW117" s="145"/>
      <c r="JX117" s="145"/>
      <c r="JY117" s="145"/>
      <c r="JZ117" s="145"/>
      <c r="KA117" s="145"/>
      <c r="KB117" s="145"/>
      <c r="KC117" s="145"/>
      <c r="KD117" s="145"/>
      <c r="KE117" s="145"/>
      <c r="KF117" s="145"/>
      <c r="KG117" s="145"/>
      <c r="KH117" s="145"/>
      <c r="KI117" s="145"/>
      <c r="KJ117" s="145"/>
      <c r="KK117" s="145"/>
      <c r="KL117" s="145"/>
      <c r="KM117" s="145"/>
      <c r="KN117" s="145"/>
      <c r="KO117" s="145"/>
      <c r="KP117" s="145"/>
      <c r="KQ117" s="145"/>
      <c r="KR117" s="145"/>
      <c r="KS117" s="145"/>
      <c r="KT117" s="145"/>
      <c r="KU117" s="145"/>
      <c r="KV117" s="145"/>
      <c r="KW117" s="145"/>
      <c r="KX117" s="145"/>
      <c r="KY117" s="145"/>
      <c r="KZ117" s="145"/>
      <c r="LA117" s="145"/>
      <c r="LB117" s="145"/>
      <c r="LC117" s="145"/>
      <c r="LD117" s="145"/>
      <c r="LE117" s="145"/>
      <c r="LF117" s="145"/>
      <c r="LG117" s="145"/>
      <c r="LH117" s="145"/>
      <c r="LI117" s="145"/>
      <c r="LJ117" s="145"/>
      <c r="LK117" s="145"/>
      <c r="LL117" s="145"/>
      <c r="LM117" s="145"/>
      <c r="LN117" s="145"/>
      <c r="LO117" s="145"/>
      <c r="LP117" s="145"/>
      <c r="LQ117" s="145"/>
      <c r="LR117" s="145"/>
      <c r="LS117" s="145"/>
      <c r="LT117" s="145"/>
      <c r="LU117" s="145"/>
      <c r="LV117" s="145"/>
      <c r="LW117" s="145"/>
      <c r="LX117" s="145"/>
      <c r="LY117" s="145"/>
      <c r="LZ117" s="145"/>
      <c r="MA117" s="145"/>
      <c r="MB117" s="145"/>
      <c r="MC117" s="145"/>
      <c r="MD117" s="145"/>
      <c r="ME117" s="145"/>
      <c r="MF117" s="145"/>
      <c r="MG117" s="145"/>
      <c r="MH117" s="145"/>
      <c r="MI117" s="145"/>
      <c r="MJ117" s="145"/>
      <c r="MK117" s="145"/>
      <c r="ML117" s="145"/>
      <c r="MM117" s="145"/>
      <c r="MN117" s="145"/>
      <c r="MO117" s="145"/>
      <c r="MP117" s="145"/>
      <c r="MQ117" s="145"/>
      <c r="MR117" s="145"/>
      <c r="MS117" s="145"/>
      <c r="MT117" s="145"/>
      <c r="MU117" s="145"/>
      <c r="MV117" s="145"/>
      <c r="MW117" s="145"/>
      <c r="MX117" s="145"/>
      <c r="MY117" s="145"/>
      <c r="MZ117" s="145"/>
      <c r="NA117" s="145"/>
      <c r="NB117" s="145"/>
      <c r="NC117" s="145"/>
      <c r="ND117" s="145"/>
      <c r="NE117" s="145"/>
      <c r="NF117" s="145"/>
      <c r="NG117" s="145"/>
      <c r="NH117" s="145"/>
      <c r="NI117" s="145"/>
      <c r="NJ117" s="145"/>
      <c r="NK117" s="145"/>
      <c r="NL117" s="145"/>
      <c r="NM117" s="145"/>
      <c r="NN117" s="145"/>
      <c r="NO117" s="145"/>
      <c r="NP117" s="145"/>
      <c r="NQ117" s="145"/>
      <c r="NR117" s="145"/>
      <c r="NS117" s="145"/>
    </row>
    <row r="118" spans="1:383" s="16" customFormat="1" ht="15" customHeight="1" x14ac:dyDescent="0.2">
      <c r="A118" s="15">
        <v>59000</v>
      </c>
      <c r="B118" s="25">
        <v>590</v>
      </c>
      <c r="C118" s="26">
        <v>0</v>
      </c>
      <c r="D118" s="20" t="s">
        <v>429</v>
      </c>
      <c r="E118" s="14">
        <v>42695</v>
      </c>
      <c r="F118" s="18">
        <v>0.91104604223451402</v>
      </c>
      <c r="G118" s="18">
        <v>0.98957134226747301</v>
      </c>
      <c r="H118" s="21">
        <v>75.2</v>
      </c>
      <c r="I118" s="21">
        <v>53</v>
      </c>
      <c r="J118" s="21">
        <v>85</v>
      </c>
      <c r="K118" s="18">
        <v>1</v>
      </c>
      <c r="L118" s="18">
        <v>92.9</v>
      </c>
      <c r="M118" s="18">
        <v>20.299999837000001</v>
      </c>
      <c r="N118" s="18">
        <v>12.700000405999999</v>
      </c>
      <c r="O118" s="18">
        <v>6.3999999120000002</v>
      </c>
      <c r="P118" s="18">
        <v>11.999999835000001</v>
      </c>
      <c r="Q118" s="19"/>
      <c r="R118" s="18">
        <v>68</v>
      </c>
      <c r="S118" s="18">
        <v>35</v>
      </c>
      <c r="T118" s="18">
        <v>35</v>
      </c>
      <c r="U118" s="18">
        <v>35</v>
      </c>
      <c r="V118" s="18">
        <v>35</v>
      </c>
      <c r="W118" s="18">
        <v>35</v>
      </c>
      <c r="X118" s="18"/>
      <c r="Y118" s="18">
        <v>1.4</v>
      </c>
      <c r="Z118" s="18">
        <v>5.599999999999989</v>
      </c>
      <c r="AA118" s="18">
        <v>0.75349999999999895</v>
      </c>
      <c r="AB118" s="18">
        <v>0</v>
      </c>
      <c r="AC118" s="18">
        <v>22.927880000000002</v>
      </c>
      <c r="AD118" s="18">
        <v>3.4</v>
      </c>
      <c r="AE118" s="18">
        <v>0</v>
      </c>
      <c r="AF118" s="18">
        <v>356</v>
      </c>
      <c r="AG118" s="18">
        <v>25</v>
      </c>
      <c r="AH118" s="18">
        <v>109</v>
      </c>
      <c r="AI118" s="18">
        <v>57</v>
      </c>
      <c r="AJ118" s="18">
        <v>0</v>
      </c>
      <c r="AK118" s="18">
        <v>0.11</v>
      </c>
      <c r="AL118" s="18"/>
      <c r="AM118" s="18">
        <v>2.89</v>
      </c>
      <c r="AN118" s="18">
        <v>1.51</v>
      </c>
      <c r="AO118" s="18">
        <v>1.59</v>
      </c>
      <c r="AP118" s="18">
        <v>3.23</v>
      </c>
      <c r="AQ118" s="18">
        <v>0.83</v>
      </c>
      <c r="AR118" s="18">
        <v>3.59</v>
      </c>
      <c r="AS118" s="18">
        <v>6.64</v>
      </c>
      <c r="AT118" s="18">
        <v>2</v>
      </c>
      <c r="AU118" s="18">
        <v>4.6500000000000004</v>
      </c>
      <c r="AV118" s="18">
        <v>2.64</v>
      </c>
      <c r="AW118" s="18">
        <v>5.26</v>
      </c>
      <c r="AX118" s="18"/>
      <c r="AY118" s="18">
        <v>1</v>
      </c>
      <c r="AZ118" s="18">
        <v>1</v>
      </c>
      <c r="BA118" s="18">
        <v>1</v>
      </c>
      <c r="BB118" s="18">
        <v>1</v>
      </c>
      <c r="BC118" s="18">
        <v>1</v>
      </c>
      <c r="BD118" s="18">
        <v>1</v>
      </c>
      <c r="BE118" s="18">
        <v>1</v>
      </c>
      <c r="BF118" s="18">
        <v>1</v>
      </c>
      <c r="BG118" s="18">
        <v>1</v>
      </c>
      <c r="BH118" s="18">
        <v>1</v>
      </c>
      <c r="BI118" s="18">
        <v>1</v>
      </c>
      <c r="BJ118" s="19"/>
      <c r="BK118" s="18">
        <v>21.851452999999999</v>
      </c>
      <c r="BL118" s="18">
        <v>13.670613999999999</v>
      </c>
      <c r="BM118" s="18">
        <v>6.8891280000000004</v>
      </c>
      <c r="BN118" s="18">
        <v>12.917115000000001</v>
      </c>
      <c r="BO118" s="18"/>
      <c r="BP118" s="18">
        <v>10</v>
      </c>
      <c r="BQ118" s="18">
        <v>13.670613999999999</v>
      </c>
      <c r="BR118" s="18">
        <v>0.98067388830410551</v>
      </c>
      <c r="BS118" s="18">
        <v>1.0652005837109504</v>
      </c>
      <c r="BT118" s="19"/>
      <c r="BU118" s="18">
        <v>931.10871999999995</v>
      </c>
      <c r="BV118" s="18">
        <v>73.446099568571469</v>
      </c>
      <c r="BW118" s="18">
        <v>295.29447977142951</v>
      </c>
      <c r="BX118" s="18" t="s">
        <v>217</v>
      </c>
      <c r="BY118" s="18" t="s">
        <v>217</v>
      </c>
      <c r="BZ118" s="18">
        <v>88.079594153657041</v>
      </c>
      <c r="CA118" s="18">
        <v>401.2514844777707</v>
      </c>
      <c r="CB118" s="19"/>
      <c r="CC118" s="19">
        <v>1.3006</v>
      </c>
      <c r="CD118" s="19">
        <v>5.2023999999999901</v>
      </c>
      <c r="CE118" s="19">
        <v>0.70000149999999906</v>
      </c>
      <c r="CF118" s="19">
        <v>0</v>
      </c>
      <c r="CG118" s="19">
        <v>21.300000520000001</v>
      </c>
      <c r="CH118" s="19">
        <v>3.1586000000000003</v>
      </c>
      <c r="CI118" s="19">
        <v>0</v>
      </c>
      <c r="CJ118" s="19"/>
      <c r="CK118" s="19">
        <v>330.72399999999999</v>
      </c>
      <c r="CL118" s="19">
        <v>23.225000000000001</v>
      </c>
      <c r="CM118" s="19">
        <v>101.26100000000001</v>
      </c>
      <c r="CN118" s="19">
        <v>52.953000000000003</v>
      </c>
      <c r="CO118" s="19">
        <v>0</v>
      </c>
      <c r="CP118" s="19">
        <v>0.10219</v>
      </c>
      <c r="CQ118" s="19">
        <v>138.03999889159999</v>
      </c>
      <c r="CR118" s="19">
        <v>151.51813683645514</v>
      </c>
      <c r="CS118" s="19">
        <v>4.3788741545735537</v>
      </c>
      <c r="CT118" s="19">
        <v>2.2879238662304728</v>
      </c>
      <c r="CU118" s="19">
        <v>2.4091383756996372</v>
      </c>
      <c r="CV118" s="19">
        <v>4.6970622419301096</v>
      </c>
      <c r="CW118" s="19">
        <v>4.8940358198175016</v>
      </c>
      <c r="CX118" s="19">
        <v>1.2576005357425779</v>
      </c>
      <c r="CY118" s="19">
        <v>5.43950111242874</v>
      </c>
      <c r="CZ118" s="19">
        <v>10.060804285940623</v>
      </c>
      <c r="DA118" s="19">
        <v>3.0303627367291028</v>
      </c>
      <c r="DB118" s="19">
        <v>7.0455933628951648</v>
      </c>
      <c r="DC118" s="19">
        <v>4.0000788124824158</v>
      </c>
      <c r="DD118" s="19">
        <v>11.045672175377536</v>
      </c>
      <c r="DE118" s="19">
        <v>7.9698539975975411</v>
      </c>
      <c r="DF118" s="23">
        <v>0</v>
      </c>
      <c r="DG118" s="23">
        <v>0</v>
      </c>
      <c r="DH118" s="23">
        <v>0</v>
      </c>
      <c r="DI118" s="19">
        <v>0</v>
      </c>
      <c r="DJ118" s="19">
        <v>0</v>
      </c>
      <c r="DK118" s="19">
        <v>0</v>
      </c>
      <c r="DL118" s="19">
        <v>0</v>
      </c>
      <c r="DM118" s="19">
        <v>0</v>
      </c>
      <c r="DN118" s="19">
        <v>0</v>
      </c>
      <c r="DO118" s="19">
        <v>0</v>
      </c>
      <c r="DP118" s="19">
        <v>0</v>
      </c>
      <c r="DQ118" s="19">
        <v>0</v>
      </c>
      <c r="DR118" s="19">
        <v>0</v>
      </c>
      <c r="DS118" s="19">
        <v>0</v>
      </c>
      <c r="DT118" s="19">
        <v>0</v>
      </c>
      <c r="DU118" s="19">
        <v>0</v>
      </c>
      <c r="DV118" s="19">
        <v>0</v>
      </c>
      <c r="DW118" s="17" t="s">
        <v>430</v>
      </c>
      <c r="DX118" s="22" t="s">
        <v>218</v>
      </c>
      <c r="DY118" s="22" t="s">
        <v>218</v>
      </c>
      <c r="DZ118" s="22" t="s">
        <v>218</v>
      </c>
      <c r="EA118" s="22" t="s">
        <v>218</v>
      </c>
      <c r="EB118" s="22" t="s">
        <v>218</v>
      </c>
      <c r="EC118" s="22" t="s">
        <v>218</v>
      </c>
      <c r="ED118" s="22" t="s">
        <v>218</v>
      </c>
      <c r="EE118" s="22" t="s">
        <v>218</v>
      </c>
      <c r="EF118" s="22" t="s">
        <v>218</v>
      </c>
      <c r="EG118" s="22" t="s">
        <v>218</v>
      </c>
      <c r="EH118" s="22" t="s">
        <v>218</v>
      </c>
      <c r="EI118" s="22" t="s">
        <v>218</v>
      </c>
      <c r="EJ118" s="22" t="s">
        <v>218</v>
      </c>
      <c r="EK118" s="22" t="s">
        <v>218</v>
      </c>
      <c r="EL118" s="22" t="s">
        <v>218</v>
      </c>
      <c r="EM118" s="22" t="s">
        <v>218</v>
      </c>
      <c r="EN118" s="22" t="s">
        <v>218</v>
      </c>
      <c r="EO118" s="22" t="s">
        <v>218</v>
      </c>
      <c r="EP118" s="22" t="s">
        <v>218</v>
      </c>
      <c r="EQ118" s="22" t="s">
        <v>218</v>
      </c>
      <c r="ER118" s="22" t="s">
        <v>218</v>
      </c>
      <c r="ES118" s="22" t="s">
        <v>218</v>
      </c>
      <c r="ET118" s="22" t="s">
        <v>218</v>
      </c>
      <c r="EU118" s="22" t="s">
        <v>218</v>
      </c>
      <c r="EV118" s="22" t="s">
        <v>218</v>
      </c>
      <c r="EW118" s="22" t="s">
        <v>218</v>
      </c>
      <c r="EX118" s="22" t="s">
        <v>218</v>
      </c>
      <c r="EY118" s="22" t="s">
        <v>218</v>
      </c>
      <c r="EZ118" s="22" t="s">
        <v>218</v>
      </c>
      <c r="FA118" s="22" t="s">
        <v>218</v>
      </c>
      <c r="FB118" s="22" t="s">
        <v>218</v>
      </c>
      <c r="FC118" s="22" t="s">
        <v>218</v>
      </c>
      <c r="FD118" s="22" t="s">
        <v>218</v>
      </c>
      <c r="FE118" s="22" t="s">
        <v>218</v>
      </c>
      <c r="FF118" s="22" t="s">
        <v>218</v>
      </c>
      <c r="FG118" s="22" t="s">
        <v>218</v>
      </c>
      <c r="FH118" s="22" t="s">
        <v>218</v>
      </c>
      <c r="FI118" s="22" t="s">
        <v>218</v>
      </c>
      <c r="FJ118" s="22" t="s">
        <v>218</v>
      </c>
      <c r="FK118" s="22" t="s">
        <v>218</v>
      </c>
      <c r="FL118" s="22" t="s">
        <v>218</v>
      </c>
      <c r="FM118" s="22" t="s">
        <v>218</v>
      </c>
      <c r="FN118" s="22" t="s">
        <v>218</v>
      </c>
      <c r="FO118" s="22" t="s">
        <v>218</v>
      </c>
      <c r="FP118" s="22" t="s">
        <v>218</v>
      </c>
      <c r="FQ118" s="22" t="s">
        <v>218</v>
      </c>
      <c r="FR118" s="22" t="s">
        <v>218</v>
      </c>
      <c r="FS118" s="22" t="s">
        <v>218</v>
      </c>
      <c r="FT118" s="22" t="s">
        <v>218</v>
      </c>
      <c r="FU118" s="22" t="s">
        <v>218</v>
      </c>
      <c r="FV118" s="22" t="s">
        <v>218</v>
      </c>
      <c r="FW118" s="22" t="s">
        <v>218</v>
      </c>
      <c r="FX118" s="22" t="s">
        <v>218</v>
      </c>
      <c r="FY118" s="22" t="s">
        <v>218</v>
      </c>
      <c r="FZ118" s="22" t="s">
        <v>218</v>
      </c>
      <c r="GA118" s="22" t="s">
        <v>218</v>
      </c>
      <c r="GB118" s="22" t="s">
        <v>218</v>
      </c>
      <c r="GC118" s="22" t="s">
        <v>218</v>
      </c>
      <c r="GD118" s="22" t="s">
        <v>218</v>
      </c>
      <c r="GE118" s="22" t="s">
        <v>218</v>
      </c>
      <c r="GF118" s="22" t="s">
        <v>218</v>
      </c>
      <c r="GG118" s="22" t="s">
        <v>218</v>
      </c>
      <c r="GH118" s="22" t="s">
        <v>218</v>
      </c>
      <c r="GI118" s="22" t="s">
        <v>218</v>
      </c>
      <c r="GJ118" s="22" t="s">
        <v>218</v>
      </c>
      <c r="GK118" s="22" t="s">
        <v>218</v>
      </c>
      <c r="GL118" s="22" t="s">
        <v>218</v>
      </c>
      <c r="GM118" s="22" t="s">
        <v>218</v>
      </c>
      <c r="GN118" s="22" t="s">
        <v>218</v>
      </c>
      <c r="GO118" s="22" t="s">
        <v>218</v>
      </c>
      <c r="GP118" s="22" t="s">
        <v>218</v>
      </c>
      <c r="GQ118" s="22" t="s">
        <v>218</v>
      </c>
      <c r="GR118" s="22" t="s">
        <v>218</v>
      </c>
      <c r="GS118" s="22" t="s">
        <v>218</v>
      </c>
      <c r="GT118" s="22" t="s">
        <v>218</v>
      </c>
      <c r="GU118" s="22" t="s">
        <v>218</v>
      </c>
      <c r="GV118" s="22" t="s">
        <v>218</v>
      </c>
      <c r="GW118" s="22" t="s">
        <v>218</v>
      </c>
      <c r="GX118" s="22" t="s">
        <v>218</v>
      </c>
      <c r="GY118" s="22" t="s">
        <v>218</v>
      </c>
      <c r="GZ118" s="22" t="s">
        <v>218</v>
      </c>
      <c r="HA118" s="22" t="s">
        <v>218</v>
      </c>
      <c r="HB118" s="22" t="s">
        <v>218</v>
      </c>
      <c r="HC118" s="22" t="s">
        <v>218</v>
      </c>
      <c r="HD118" s="22" t="s">
        <v>218</v>
      </c>
      <c r="HE118" s="22" t="s">
        <v>218</v>
      </c>
      <c r="HF118" s="22" t="s">
        <v>218</v>
      </c>
      <c r="HG118" s="22" t="s">
        <v>218</v>
      </c>
      <c r="HH118" s="22" t="s">
        <v>218</v>
      </c>
      <c r="HI118" s="22" t="s">
        <v>218</v>
      </c>
      <c r="HJ118" s="22" t="s">
        <v>218</v>
      </c>
      <c r="HK118" s="22" t="s">
        <v>218</v>
      </c>
      <c r="HL118" s="22" t="s">
        <v>218</v>
      </c>
      <c r="HM118" s="622">
        <f>'background data'!$G$18</f>
        <v>0.54099999999999993</v>
      </c>
      <c r="HN118" s="622">
        <f>'background data'!$H$18</f>
        <v>0.11600000000000001</v>
      </c>
      <c r="HO118" s="622">
        <f>'background data'!$J$18</f>
        <v>0.25</v>
      </c>
      <c r="HP118" s="622">
        <f>'background data'!$L$18</f>
        <v>1.2999999999999999E-2</v>
      </c>
      <c r="HQ118" s="622">
        <f>'background data'!$M$18</f>
        <v>8.86</v>
      </c>
      <c r="HR118" s="622">
        <f>'background data'!$N$18</f>
        <v>6.9299999999999995E-3</v>
      </c>
      <c r="HS118" s="622">
        <f>'background data'!$O$18</f>
        <v>1.75</v>
      </c>
      <c r="HT118" s="145" t="s">
        <v>1794</v>
      </c>
      <c r="HU118" s="145" t="s">
        <v>1809</v>
      </c>
      <c r="HV118" s="22" t="s">
        <v>1947</v>
      </c>
      <c r="HW118" s="22" t="s">
        <v>431</v>
      </c>
      <c r="HX118" s="22" t="s">
        <v>432</v>
      </c>
      <c r="HY118" s="22" t="s">
        <v>433</v>
      </c>
      <c r="HZ118" s="19"/>
      <c r="IA118" s="19"/>
      <c r="IB118" s="622">
        <f>'background data'!$G$18</f>
        <v>0.54099999999999993</v>
      </c>
      <c r="IC118" s="622">
        <f>'background data'!$H$18</f>
        <v>0.11600000000000001</v>
      </c>
      <c r="ID118" s="622">
        <f>'background data'!$J$18</f>
        <v>0.25</v>
      </c>
      <c r="IE118" s="622">
        <f>'background data'!$L$18</f>
        <v>1.2999999999999999E-2</v>
      </c>
      <c r="IF118" s="622">
        <f>'background data'!$M$18</f>
        <v>8.86</v>
      </c>
      <c r="IG118" s="622">
        <f>'background data'!$N$18</f>
        <v>6.9299999999999995E-3</v>
      </c>
      <c r="IH118" s="622">
        <f>'background data'!$O$18</f>
        <v>1.75</v>
      </c>
      <c r="II118" s="145" t="s">
        <v>1794</v>
      </c>
      <c r="IJ118" s="145"/>
      <c r="IK118" s="145"/>
      <c r="IL118" s="145"/>
      <c r="IM118" s="145"/>
      <c r="IN118" s="145"/>
      <c r="IO118" s="145"/>
      <c r="IP118" s="145"/>
      <c r="IQ118" s="145"/>
      <c r="IR118" s="145"/>
      <c r="IS118" s="145"/>
      <c r="IT118" s="145"/>
      <c r="IU118" s="145"/>
      <c r="IV118" s="145"/>
      <c r="IW118" s="145"/>
      <c r="IX118" s="145"/>
      <c r="IY118" s="145"/>
      <c r="IZ118" s="145"/>
      <c r="JA118" s="145"/>
      <c r="JB118" s="145"/>
      <c r="JC118" s="145"/>
      <c r="JD118" s="145"/>
      <c r="JE118" s="145"/>
      <c r="JF118" s="145"/>
      <c r="JG118" s="145"/>
      <c r="JH118" s="145"/>
      <c r="JI118" s="145"/>
      <c r="JJ118" s="145"/>
      <c r="JK118" s="145"/>
      <c r="JL118" s="145"/>
      <c r="JM118" s="145"/>
      <c r="JN118" s="145"/>
      <c r="JO118" s="145"/>
      <c r="JP118" s="145"/>
      <c r="JQ118" s="145"/>
      <c r="JR118" s="145"/>
      <c r="JS118" s="145"/>
      <c r="JT118" s="145"/>
      <c r="JU118" s="145"/>
      <c r="JV118" s="145"/>
      <c r="JW118" s="145"/>
      <c r="JX118" s="145"/>
      <c r="JY118" s="145"/>
      <c r="JZ118" s="145"/>
      <c r="KA118" s="145"/>
      <c r="KB118" s="145"/>
      <c r="KC118" s="145"/>
      <c r="KD118" s="145"/>
      <c r="KE118" s="145"/>
      <c r="KF118" s="145"/>
      <c r="KG118" s="145"/>
      <c r="KH118" s="145"/>
      <c r="KI118" s="145"/>
      <c r="KJ118" s="145"/>
      <c r="KK118" s="145"/>
      <c r="KL118" s="145"/>
      <c r="KM118" s="145"/>
      <c r="KN118" s="145"/>
      <c r="KO118" s="145"/>
      <c r="KP118" s="145"/>
      <c r="KQ118" s="145"/>
      <c r="KR118" s="145"/>
      <c r="KS118" s="145"/>
      <c r="KT118" s="145"/>
      <c r="KU118" s="145"/>
      <c r="KV118" s="145"/>
      <c r="KW118" s="145"/>
      <c r="KX118" s="145"/>
      <c r="KY118" s="145"/>
      <c r="KZ118" s="145"/>
      <c r="LA118" s="145"/>
      <c r="LB118" s="145"/>
      <c r="LC118" s="145"/>
      <c r="LD118" s="145"/>
      <c r="LE118" s="145"/>
      <c r="LF118" s="145"/>
      <c r="LG118" s="145"/>
      <c r="LH118" s="145"/>
      <c r="LI118" s="145"/>
      <c r="LJ118" s="145"/>
      <c r="LK118" s="145"/>
      <c r="LL118" s="145"/>
      <c r="LM118" s="145"/>
      <c r="LN118" s="145"/>
      <c r="LO118" s="145"/>
      <c r="LP118" s="145"/>
      <c r="LQ118" s="145"/>
      <c r="LR118" s="145"/>
      <c r="LS118" s="145"/>
      <c r="LT118" s="145"/>
      <c r="LU118" s="145"/>
      <c r="LV118" s="145"/>
      <c r="LW118" s="145"/>
      <c r="LX118" s="145"/>
      <c r="LY118" s="145"/>
      <c r="LZ118" s="145"/>
      <c r="MA118" s="145"/>
      <c r="MB118" s="145"/>
      <c r="MC118" s="145"/>
      <c r="MD118" s="145"/>
      <c r="ME118" s="145"/>
      <c r="MF118" s="145"/>
      <c r="MG118" s="145"/>
      <c r="MH118" s="145"/>
      <c r="MI118" s="145"/>
      <c r="MJ118" s="145"/>
      <c r="MK118" s="145"/>
      <c r="ML118" s="145"/>
      <c r="MM118" s="145"/>
      <c r="MN118" s="145"/>
      <c r="MO118" s="145"/>
      <c r="MP118" s="145"/>
      <c r="MQ118" s="145"/>
      <c r="MR118" s="145"/>
      <c r="MS118" s="145"/>
      <c r="MT118" s="145"/>
      <c r="MU118" s="145"/>
      <c r="MV118" s="145"/>
      <c r="MW118" s="145"/>
      <c r="MX118" s="145"/>
      <c r="MY118" s="145"/>
      <c r="MZ118" s="145"/>
      <c r="NA118" s="145"/>
      <c r="NB118" s="145"/>
      <c r="NC118" s="145"/>
      <c r="ND118" s="145"/>
      <c r="NE118" s="145"/>
      <c r="NF118" s="145"/>
      <c r="NG118" s="145"/>
      <c r="NH118" s="145"/>
      <c r="NI118" s="145"/>
      <c r="NJ118" s="145"/>
      <c r="NK118" s="145"/>
      <c r="NL118" s="145"/>
      <c r="NM118" s="145"/>
      <c r="NN118" s="145"/>
      <c r="NO118" s="145"/>
      <c r="NP118" s="145"/>
      <c r="NQ118" s="145"/>
      <c r="NR118" s="145"/>
      <c r="NS118" s="145"/>
    </row>
    <row r="119" spans="1:383" s="16" customFormat="1" ht="15" customHeight="1" x14ac:dyDescent="0.2">
      <c r="A119" s="15">
        <v>72000</v>
      </c>
      <c r="B119" s="25">
        <v>720</v>
      </c>
      <c r="C119" s="26">
        <v>0</v>
      </c>
      <c r="D119" s="20" t="s">
        <v>434</v>
      </c>
      <c r="E119" s="14">
        <v>40302</v>
      </c>
      <c r="F119" s="18" t="s">
        <v>217</v>
      </c>
      <c r="G119" s="18" t="s">
        <v>217</v>
      </c>
      <c r="H119" s="21" t="s">
        <v>217</v>
      </c>
      <c r="I119" s="21" t="s">
        <v>217</v>
      </c>
      <c r="J119" s="21" t="s">
        <v>217</v>
      </c>
      <c r="K119" s="18" t="s">
        <v>217</v>
      </c>
      <c r="L119" s="18">
        <v>88</v>
      </c>
      <c r="M119" s="18" t="s">
        <v>217</v>
      </c>
      <c r="N119" s="18" t="s">
        <v>217</v>
      </c>
      <c r="O119" s="18" t="s">
        <v>217</v>
      </c>
      <c r="P119" s="18" t="s">
        <v>217</v>
      </c>
      <c r="Q119" s="19"/>
      <c r="R119" s="18" t="s">
        <v>217</v>
      </c>
      <c r="S119" s="18" t="s">
        <v>217</v>
      </c>
      <c r="T119" s="18" t="s">
        <v>217</v>
      </c>
      <c r="U119" s="18" t="s">
        <v>217</v>
      </c>
      <c r="V119" s="18" t="s">
        <v>217</v>
      </c>
      <c r="W119" s="18" t="s">
        <v>217</v>
      </c>
      <c r="X119" s="18"/>
      <c r="Y119" s="18" t="s">
        <v>217</v>
      </c>
      <c r="Z119" s="18" t="s">
        <v>217</v>
      </c>
      <c r="AA119" s="18">
        <v>0.3</v>
      </c>
      <c r="AB119" s="18" t="s">
        <v>217</v>
      </c>
      <c r="AC119" s="18" t="s">
        <v>217</v>
      </c>
      <c r="AD119" s="18" t="s">
        <v>217</v>
      </c>
      <c r="AE119" s="18" t="s">
        <v>217</v>
      </c>
      <c r="AF119" s="18" t="s">
        <v>217</v>
      </c>
      <c r="AG119" s="18" t="s">
        <v>217</v>
      </c>
      <c r="AH119" s="18" t="s">
        <v>217</v>
      </c>
      <c r="AI119" s="18" t="s">
        <v>217</v>
      </c>
      <c r="AJ119" s="18" t="s">
        <v>217</v>
      </c>
      <c r="AK119" s="18" t="s">
        <v>217</v>
      </c>
      <c r="AL119" s="18"/>
      <c r="AM119" s="18" t="s">
        <v>217</v>
      </c>
      <c r="AN119" s="18" t="s">
        <v>217</v>
      </c>
      <c r="AO119" s="18" t="s">
        <v>217</v>
      </c>
      <c r="AP119" s="18" t="s">
        <v>217</v>
      </c>
      <c r="AQ119" s="18" t="s">
        <v>217</v>
      </c>
      <c r="AR119" s="18" t="s">
        <v>217</v>
      </c>
      <c r="AS119" s="18" t="s">
        <v>217</v>
      </c>
      <c r="AT119" s="18" t="s">
        <v>217</v>
      </c>
      <c r="AU119" s="18" t="s">
        <v>217</v>
      </c>
      <c r="AV119" s="18" t="s">
        <v>217</v>
      </c>
      <c r="AW119" s="18" t="s">
        <v>217</v>
      </c>
      <c r="AX119" s="18"/>
      <c r="AY119" s="18">
        <v>1</v>
      </c>
      <c r="AZ119" s="18">
        <v>1</v>
      </c>
      <c r="BA119" s="18">
        <v>1</v>
      </c>
      <c r="BB119" s="18">
        <v>1</v>
      </c>
      <c r="BC119" s="18">
        <v>1</v>
      </c>
      <c r="BD119" s="18">
        <v>1</v>
      </c>
      <c r="BE119" s="18">
        <v>1</v>
      </c>
      <c r="BF119" s="18">
        <v>1</v>
      </c>
      <c r="BG119" s="18">
        <v>1</v>
      </c>
      <c r="BH119" s="18">
        <v>1</v>
      </c>
      <c r="BI119" s="18">
        <v>1</v>
      </c>
      <c r="BJ119" s="19"/>
      <c r="BK119" s="18" t="s">
        <v>217</v>
      </c>
      <c r="BL119" s="18" t="s">
        <v>217</v>
      </c>
      <c r="BM119" s="18" t="s">
        <v>217</v>
      </c>
      <c r="BN119" s="18" t="s">
        <v>217</v>
      </c>
      <c r="BO119" s="18"/>
      <c r="BP119" s="18" t="s">
        <v>217</v>
      </c>
      <c r="BQ119" s="18" t="s">
        <v>217</v>
      </c>
      <c r="BR119" s="18" t="s">
        <v>217</v>
      </c>
      <c r="BS119" s="18" t="s">
        <v>217</v>
      </c>
      <c r="BT119" s="19"/>
      <c r="BU119" s="18" t="s">
        <v>217</v>
      </c>
      <c r="BV119" s="18" t="s">
        <v>217</v>
      </c>
      <c r="BW119" s="18" t="s">
        <v>217</v>
      </c>
      <c r="BX119" s="18" t="s">
        <v>217</v>
      </c>
      <c r="BY119" s="18" t="s">
        <v>217</v>
      </c>
      <c r="BZ119" s="18" t="s">
        <v>217</v>
      </c>
      <c r="CA119" s="18" t="s">
        <v>217</v>
      </c>
      <c r="CB119" s="19"/>
      <c r="CC119" s="19" t="s">
        <v>217</v>
      </c>
      <c r="CD119" s="19" t="s">
        <v>217</v>
      </c>
      <c r="CE119" s="19">
        <v>0.26400000000000001</v>
      </c>
      <c r="CF119" s="19" t="s">
        <v>217</v>
      </c>
      <c r="CG119" s="19" t="s">
        <v>217</v>
      </c>
      <c r="CH119" s="19" t="s">
        <v>217</v>
      </c>
      <c r="CI119" s="19" t="s">
        <v>217</v>
      </c>
      <c r="CJ119" s="19"/>
      <c r="CK119" s="19" t="s">
        <v>217</v>
      </c>
      <c r="CL119" s="19" t="s">
        <v>217</v>
      </c>
      <c r="CM119" s="19" t="s">
        <v>217</v>
      </c>
      <c r="CN119" s="19" t="s">
        <v>217</v>
      </c>
      <c r="CO119" s="19" t="s">
        <v>217</v>
      </c>
      <c r="CP119" s="19" t="s">
        <v>217</v>
      </c>
      <c r="CQ119" s="19" t="s">
        <v>217</v>
      </c>
      <c r="CR119" s="19" t="s">
        <v>217</v>
      </c>
      <c r="CS119" s="19" t="s">
        <v>217</v>
      </c>
      <c r="CT119" s="19" t="s">
        <v>217</v>
      </c>
      <c r="CU119" s="19" t="s">
        <v>217</v>
      </c>
      <c r="CV119" s="19" t="s">
        <v>217</v>
      </c>
      <c r="CW119" s="19" t="s">
        <v>217</v>
      </c>
      <c r="CX119" s="19" t="s">
        <v>217</v>
      </c>
      <c r="CY119" s="19" t="s">
        <v>217</v>
      </c>
      <c r="CZ119" s="19" t="s">
        <v>217</v>
      </c>
      <c r="DA119" s="19" t="s">
        <v>217</v>
      </c>
      <c r="DB119" s="19" t="s">
        <v>217</v>
      </c>
      <c r="DC119" s="19" t="s">
        <v>217</v>
      </c>
      <c r="DD119" s="19" t="s">
        <v>217</v>
      </c>
      <c r="DE119" s="19" t="s">
        <v>217</v>
      </c>
      <c r="DF119" s="23" t="s">
        <v>217</v>
      </c>
      <c r="DG119" s="23">
        <v>0</v>
      </c>
      <c r="DH119" s="23">
        <v>0</v>
      </c>
      <c r="DI119" s="19" t="s">
        <v>217</v>
      </c>
      <c r="DJ119" s="19" t="s">
        <v>217</v>
      </c>
      <c r="DK119" s="19" t="s">
        <v>217</v>
      </c>
      <c r="DL119" s="19" t="s">
        <v>217</v>
      </c>
      <c r="DM119" s="19" t="s">
        <v>217</v>
      </c>
      <c r="DN119" s="19" t="s">
        <v>217</v>
      </c>
      <c r="DO119" s="19" t="s">
        <v>217</v>
      </c>
      <c r="DP119" s="19" t="s">
        <v>217</v>
      </c>
      <c r="DQ119" s="19" t="s">
        <v>217</v>
      </c>
      <c r="DR119" s="19" t="s">
        <v>217</v>
      </c>
      <c r="DS119" s="19" t="s">
        <v>217</v>
      </c>
      <c r="DT119" s="19" t="s">
        <v>217</v>
      </c>
      <c r="DU119" s="19" t="s">
        <v>217</v>
      </c>
      <c r="DV119" s="19" t="s">
        <v>217</v>
      </c>
      <c r="DW119" s="17" t="s">
        <v>435</v>
      </c>
      <c r="DX119" s="22" t="s">
        <v>218</v>
      </c>
      <c r="DY119" s="22" t="s">
        <v>218</v>
      </c>
      <c r="DZ119" s="22" t="s">
        <v>218</v>
      </c>
      <c r="EA119" s="22" t="s">
        <v>218</v>
      </c>
      <c r="EB119" s="22" t="s">
        <v>218</v>
      </c>
      <c r="EC119" s="22" t="s">
        <v>218</v>
      </c>
      <c r="ED119" s="22" t="s">
        <v>218</v>
      </c>
      <c r="EE119" s="22" t="s">
        <v>218</v>
      </c>
      <c r="EF119" s="22" t="s">
        <v>218</v>
      </c>
      <c r="EG119" s="22" t="s">
        <v>218</v>
      </c>
      <c r="EH119" s="22" t="s">
        <v>218</v>
      </c>
      <c r="EI119" s="22" t="s">
        <v>218</v>
      </c>
      <c r="EJ119" s="22" t="s">
        <v>218</v>
      </c>
      <c r="EK119" s="22" t="s">
        <v>218</v>
      </c>
      <c r="EL119" s="22" t="s">
        <v>218</v>
      </c>
      <c r="EM119" s="22" t="s">
        <v>218</v>
      </c>
      <c r="EN119" s="22" t="s">
        <v>218</v>
      </c>
      <c r="EO119" s="22" t="s">
        <v>218</v>
      </c>
      <c r="EP119" s="22" t="s">
        <v>218</v>
      </c>
      <c r="EQ119" s="22" t="s">
        <v>218</v>
      </c>
      <c r="ER119" s="22" t="s">
        <v>218</v>
      </c>
      <c r="ES119" s="22" t="s">
        <v>218</v>
      </c>
      <c r="ET119" s="22" t="s">
        <v>218</v>
      </c>
      <c r="EU119" s="22" t="s">
        <v>218</v>
      </c>
      <c r="EV119" s="22" t="s">
        <v>218</v>
      </c>
      <c r="EW119" s="22" t="s">
        <v>218</v>
      </c>
      <c r="EX119" s="22" t="s">
        <v>218</v>
      </c>
      <c r="EY119" s="22" t="s">
        <v>218</v>
      </c>
      <c r="EZ119" s="22" t="s">
        <v>218</v>
      </c>
      <c r="FA119" s="22" t="s">
        <v>218</v>
      </c>
      <c r="FB119" s="22" t="s">
        <v>218</v>
      </c>
      <c r="FC119" s="22" t="s">
        <v>218</v>
      </c>
      <c r="FD119" s="22" t="s">
        <v>218</v>
      </c>
      <c r="FE119" s="22" t="s">
        <v>218</v>
      </c>
      <c r="FF119" s="22" t="s">
        <v>218</v>
      </c>
      <c r="FG119" s="22" t="s">
        <v>218</v>
      </c>
      <c r="FH119" s="22" t="s">
        <v>218</v>
      </c>
      <c r="FI119" s="22" t="s">
        <v>218</v>
      </c>
      <c r="FJ119" s="22" t="s">
        <v>218</v>
      </c>
      <c r="FK119" s="22" t="s">
        <v>218</v>
      </c>
      <c r="FL119" s="22" t="s">
        <v>218</v>
      </c>
      <c r="FM119" s="22" t="s">
        <v>218</v>
      </c>
      <c r="FN119" s="22" t="s">
        <v>218</v>
      </c>
      <c r="FO119" s="22" t="s">
        <v>218</v>
      </c>
      <c r="FP119" s="22" t="s">
        <v>218</v>
      </c>
      <c r="FQ119" s="22" t="s">
        <v>218</v>
      </c>
      <c r="FR119" s="22" t="s">
        <v>218</v>
      </c>
      <c r="FS119" s="22" t="s">
        <v>218</v>
      </c>
      <c r="FT119" s="22" t="s">
        <v>218</v>
      </c>
      <c r="FU119" s="22" t="s">
        <v>218</v>
      </c>
      <c r="FV119" s="22" t="s">
        <v>218</v>
      </c>
      <c r="FW119" s="22" t="s">
        <v>218</v>
      </c>
      <c r="FX119" s="22" t="s">
        <v>218</v>
      </c>
      <c r="FY119" s="22" t="s">
        <v>218</v>
      </c>
      <c r="FZ119" s="22" t="s">
        <v>218</v>
      </c>
      <c r="GA119" s="22" t="s">
        <v>218</v>
      </c>
      <c r="GB119" s="22" t="s">
        <v>218</v>
      </c>
      <c r="GC119" s="22" t="s">
        <v>218</v>
      </c>
      <c r="GD119" s="22" t="s">
        <v>218</v>
      </c>
      <c r="GE119" s="22" t="s">
        <v>218</v>
      </c>
      <c r="GF119" s="22" t="s">
        <v>218</v>
      </c>
      <c r="GG119" s="22" t="s">
        <v>218</v>
      </c>
      <c r="GH119" s="22" t="s">
        <v>218</v>
      </c>
      <c r="GI119" s="22" t="s">
        <v>218</v>
      </c>
      <c r="GJ119" s="22" t="s">
        <v>218</v>
      </c>
      <c r="GK119" s="22" t="s">
        <v>218</v>
      </c>
      <c r="GL119" s="22" t="s">
        <v>218</v>
      </c>
      <c r="GM119" s="22" t="s">
        <v>218</v>
      </c>
      <c r="GN119" s="22" t="s">
        <v>218</v>
      </c>
      <c r="GO119" s="22" t="s">
        <v>218</v>
      </c>
      <c r="GP119" s="22" t="s">
        <v>218</v>
      </c>
      <c r="GQ119" s="22" t="s">
        <v>218</v>
      </c>
      <c r="GR119" s="22" t="s">
        <v>218</v>
      </c>
      <c r="GS119" s="22" t="s">
        <v>218</v>
      </c>
      <c r="GT119" s="22" t="s">
        <v>218</v>
      </c>
      <c r="GU119" s="22" t="s">
        <v>218</v>
      </c>
      <c r="GV119" s="22" t="s">
        <v>218</v>
      </c>
      <c r="GW119" s="22" t="s">
        <v>218</v>
      </c>
      <c r="GX119" s="22" t="s">
        <v>218</v>
      </c>
      <c r="GY119" s="22" t="s">
        <v>218</v>
      </c>
      <c r="GZ119" s="22" t="s">
        <v>218</v>
      </c>
      <c r="HA119" s="22" t="s">
        <v>218</v>
      </c>
      <c r="HB119" s="22" t="s">
        <v>218</v>
      </c>
      <c r="HC119" s="22" t="s">
        <v>218</v>
      </c>
      <c r="HD119" s="22" t="s">
        <v>218</v>
      </c>
      <c r="HE119" s="22" t="s">
        <v>218</v>
      </c>
      <c r="HF119" s="22" t="s">
        <v>218</v>
      </c>
      <c r="HG119" s="22" t="s">
        <v>218</v>
      </c>
      <c r="HH119" s="22" t="s">
        <v>218</v>
      </c>
      <c r="HI119" s="22" t="s">
        <v>218</v>
      </c>
      <c r="HJ119" s="22" t="s">
        <v>218</v>
      </c>
      <c r="HK119" s="22" t="s">
        <v>218</v>
      </c>
      <c r="HL119" s="22" t="s">
        <v>218</v>
      </c>
      <c r="HM119" s="622">
        <f>'background data'!$G$15</f>
        <v>0.221</v>
      </c>
      <c r="HN119" s="622">
        <f>'background data'!$H$15</f>
        <v>6.7000000000000004E-2</v>
      </c>
      <c r="HO119" s="622">
        <f>'background data'!$J$15</f>
        <v>0.20100000000000001</v>
      </c>
      <c r="HP119" s="622">
        <f>'background data'!$L$15</f>
        <v>1.4999999999999999E-2</v>
      </c>
      <c r="HQ119" s="622">
        <f>'background data'!$M$15</f>
        <v>1.74</v>
      </c>
      <c r="HR119" s="622">
        <f>'background data'!$N$15</f>
        <v>2.3999999999999998E-3</v>
      </c>
      <c r="HS119" s="622">
        <f>'background data'!$O$15</f>
        <v>1.41</v>
      </c>
      <c r="HT119" s="145" t="s">
        <v>1798</v>
      </c>
      <c r="HU119" s="145" t="s">
        <v>1809</v>
      </c>
      <c r="HV119" s="22" t="s">
        <v>1948</v>
      </c>
      <c r="HW119" s="22">
        <v>0</v>
      </c>
      <c r="HX119" s="22">
        <v>0</v>
      </c>
      <c r="HY119" s="22">
        <v>0</v>
      </c>
      <c r="HZ119" s="19"/>
      <c r="IA119" s="19"/>
      <c r="IB119" s="622">
        <f>'background data'!$G$15</f>
        <v>0.221</v>
      </c>
      <c r="IC119" s="622">
        <f>'background data'!$H$15</f>
        <v>6.7000000000000004E-2</v>
      </c>
      <c r="ID119" s="622">
        <f>'background data'!$J$15</f>
        <v>0.20100000000000001</v>
      </c>
      <c r="IE119" s="622">
        <f>'background data'!$L$15</f>
        <v>1.4999999999999999E-2</v>
      </c>
      <c r="IF119" s="622">
        <f>'background data'!$M$15</f>
        <v>1.74</v>
      </c>
      <c r="IG119" s="622">
        <f>'background data'!$N$15</f>
        <v>2.3999999999999998E-3</v>
      </c>
      <c r="IH119" s="622">
        <f>'background data'!$O$15</f>
        <v>1.41</v>
      </c>
      <c r="II119" s="145" t="s">
        <v>1798</v>
      </c>
      <c r="IJ119" s="145"/>
      <c r="IK119" s="145"/>
      <c r="IL119" s="145"/>
      <c r="IM119" s="145"/>
      <c r="IN119" s="145"/>
      <c r="IO119" s="145"/>
      <c r="IP119" s="145"/>
      <c r="IQ119" s="145"/>
      <c r="IR119" s="145"/>
      <c r="IS119" s="145"/>
      <c r="IT119" s="145"/>
      <c r="IU119" s="145"/>
      <c r="IV119" s="145"/>
      <c r="IW119" s="145"/>
      <c r="IX119" s="145"/>
      <c r="IY119" s="145"/>
      <c r="IZ119" s="145"/>
      <c r="JA119" s="145"/>
      <c r="JB119" s="145"/>
      <c r="JC119" s="145"/>
      <c r="JD119" s="145"/>
      <c r="JE119" s="145"/>
      <c r="JF119" s="145"/>
      <c r="JG119" s="145"/>
      <c r="JH119" s="145"/>
      <c r="JI119" s="145"/>
      <c r="JJ119" s="145"/>
      <c r="JK119" s="145"/>
      <c r="JL119" s="145"/>
      <c r="JM119" s="145"/>
      <c r="JN119" s="145"/>
      <c r="JO119" s="145"/>
      <c r="JP119" s="145"/>
      <c r="JQ119" s="145"/>
      <c r="JR119" s="145"/>
      <c r="JS119" s="145"/>
      <c r="JT119" s="145"/>
      <c r="JU119" s="145"/>
      <c r="JV119" s="145"/>
      <c r="JW119" s="145"/>
      <c r="JX119" s="145"/>
      <c r="JY119" s="145"/>
      <c r="JZ119" s="145"/>
      <c r="KA119" s="145"/>
      <c r="KB119" s="145"/>
      <c r="KC119" s="145"/>
      <c r="KD119" s="145"/>
      <c r="KE119" s="145"/>
      <c r="KF119" s="145"/>
      <c r="KG119" s="145"/>
      <c r="KH119" s="145"/>
      <c r="KI119" s="145"/>
      <c r="KJ119" s="145"/>
      <c r="KK119" s="145"/>
      <c r="KL119" s="145"/>
      <c r="KM119" s="145"/>
      <c r="KN119" s="145"/>
      <c r="KO119" s="145"/>
      <c r="KP119" s="145"/>
      <c r="KQ119" s="145"/>
      <c r="KR119" s="145"/>
      <c r="KS119" s="145"/>
      <c r="KT119" s="145"/>
      <c r="KU119" s="145"/>
      <c r="KV119" s="145"/>
      <c r="KW119" s="145"/>
      <c r="KX119" s="145"/>
      <c r="KY119" s="145"/>
      <c r="KZ119" s="145"/>
      <c r="LA119" s="145"/>
      <c r="LB119" s="145"/>
      <c r="LC119" s="145"/>
      <c r="LD119" s="145"/>
      <c r="LE119" s="145"/>
      <c r="LF119" s="145"/>
      <c r="LG119" s="145"/>
      <c r="LH119" s="145"/>
      <c r="LI119" s="145"/>
      <c r="LJ119" s="145"/>
      <c r="LK119" s="145"/>
      <c r="LL119" s="145"/>
      <c r="LM119" s="145"/>
      <c r="LN119" s="145"/>
      <c r="LO119" s="145"/>
      <c r="LP119" s="145"/>
      <c r="LQ119" s="145"/>
      <c r="LR119" s="145"/>
      <c r="LS119" s="145"/>
      <c r="LT119" s="145"/>
      <c r="LU119" s="145"/>
      <c r="LV119" s="145"/>
      <c r="LW119" s="145"/>
      <c r="LX119" s="145"/>
      <c r="LY119" s="145"/>
      <c r="LZ119" s="145"/>
      <c r="MA119" s="145"/>
      <c r="MB119" s="145"/>
      <c r="MC119" s="145"/>
      <c r="MD119" s="145"/>
      <c r="ME119" s="145"/>
      <c r="MF119" s="145"/>
      <c r="MG119" s="145"/>
      <c r="MH119" s="145"/>
      <c r="MI119" s="145"/>
      <c r="MJ119" s="145"/>
      <c r="MK119" s="145"/>
      <c r="ML119" s="145"/>
      <c r="MM119" s="145"/>
      <c r="MN119" s="145"/>
      <c r="MO119" s="145"/>
      <c r="MP119" s="145"/>
      <c r="MQ119" s="145"/>
      <c r="MR119" s="145"/>
      <c r="MS119" s="145"/>
      <c r="MT119" s="145"/>
      <c r="MU119" s="145"/>
      <c r="MV119" s="145"/>
      <c r="MW119" s="145"/>
      <c r="MX119" s="145"/>
      <c r="MY119" s="145"/>
      <c r="MZ119" s="145"/>
      <c r="NA119" s="145"/>
      <c r="NB119" s="145"/>
      <c r="NC119" s="145"/>
      <c r="ND119" s="145"/>
      <c r="NE119" s="145"/>
      <c r="NF119" s="145"/>
      <c r="NG119" s="145"/>
      <c r="NH119" s="145"/>
      <c r="NI119" s="145"/>
      <c r="NJ119" s="145"/>
      <c r="NK119" s="145"/>
      <c r="NL119" s="145"/>
      <c r="NM119" s="145"/>
      <c r="NN119" s="145"/>
      <c r="NO119" s="145"/>
      <c r="NP119" s="145"/>
      <c r="NQ119" s="145"/>
      <c r="NR119" s="145"/>
      <c r="NS119" s="145"/>
    </row>
    <row r="120" spans="1:383" s="16" customFormat="1" ht="15" customHeight="1" x14ac:dyDescent="0.2">
      <c r="A120" s="15">
        <v>57000</v>
      </c>
      <c r="B120" s="25">
        <v>570</v>
      </c>
      <c r="C120" s="26">
        <v>0</v>
      </c>
      <c r="D120" s="20" t="s">
        <v>436</v>
      </c>
      <c r="E120" s="14">
        <v>42695</v>
      </c>
      <c r="F120" s="18">
        <v>0.89844327476293095</v>
      </c>
      <c r="G120" s="18">
        <v>0.92267383979221096</v>
      </c>
      <c r="H120" s="21">
        <v>71.3</v>
      </c>
      <c r="I120" s="21">
        <v>67.800025599999998</v>
      </c>
      <c r="J120" s="21">
        <v>83</v>
      </c>
      <c r="K120" s="18">
        <v>1</v>
      </c>
      <c r="L120" s="18">
        <v>88.8</v>
      </c>
      <c r="M120" s="18">
        <v>28.7712</v>
      </c>
      <c r="N120" s="18">
        <v>6.66</v>
      </c>
      <c r="O120" s="18">
        <v>4.8840000000000003</v>
      </c>
      <c r="P120" s="18">
        <v>6.66</v>
      </c>
      <c r="Q120" s="19"/>
      <c r="R120" s="18">
        <v>62.583559999999999</v>
      </c>
      <c r="S120" s="18">
        <v>0</v>
      </c>
      <c r="T120" s="18">
        <v>0</v>
      </c>
      <c r="U120" s="18">
        <v>0</v>
      </c>
      <c r="V120" s="18">
        <v>0</v>
      </c>
      <c r="W120" s="18">
        <v>0</v>
      </c>
      <c r="X120" s="18"/>
      <c r="Y120" s="18">
        <v>1.1000000000000001</v>
      </c>
      <c r="Z120" s="18">
        <v>8.4</v>
      </c>
      <c r="AA120" s="18">
        <v>3.9845047039291557</v>
      </c>
      <c r="AB120" s="18">
        <v>0</v>
      </c>
      <c r="AC120" s="18">
        <v>9.8505810736026582</v>
      </c>
      <c r="AD120" s="18">
        <v>2.8998339789706757</v>
      </c>
      <c r="AE120" s="18">
        <v>0</v>
      </c>
      <c r="AF120" s="18">
        <v>113.38129496402927</v>
      </c>
      <c r="AG120" s="18">
        <v>11.765356945213066</v>
      </c>
      <c r="AH120" s="18">
        <v>64.814609850581093</v>
      </c>
      <c r="AI120" s="18">
        <v>72.307692307692349</v>
      </c>
      <c r="AJ120" s="18">
        <v>0</v>
      </c>
      <c r="AK120" s="18">
        <v>0.05</v>
      </c>
      <c r="AL120" s="18"/>
      <c r="AM120" s="18">
        <v>1.9327456741756399</v>
      </c>
      <c r="AN120" s="18">
        <v>1.5638263140711699</v>
      </c>
      <c r="AO120" s="18">
        <v>1.8641854391119801</v>
      </c>
      <c r="AP120" s="18">
        <v>3.02317988899771</v>
      </c>
      <c r="AQ120" s="18">
        <v>1.1394058112961101</v>
      </c>
      <c r="AR120" s="18">
        <v>3.1929480901077301</v>
      </c>
      <c r="AS120" s="18">
        <v>5.9092393078681003</v>
      </c>
      <c r="AT120" s="18">
        <v>2.01436500163239</v>
      </c>
      <c r="AU120" s="18">
        <v>4.2442050277505698</v>
      </c>
      <c r="AV120" s="18">
        <v>2.8207639569049898</v>
      </c>
      <c r="AW120" s="18">
        <v>3.8850799869408998</v>
      </c>
      <c r="AX120" s="18"/>
      <c r="AY120" s="18">
        <v>1</v>
      </c>
      <c r="AZ120" s="18">
        <v>1.1000000000000001</v>
      </c>
      <c r="BA120" s="18">
        <v>1.04</v>
      </c>
      <c r="BB120" s="18">
        <v>1.03</v>
      </c>
      <c r="BC120" s="18">
        <v>1.04</v>
      </c>
      <c r="BD120" s="18">
        <v>1.07</v>
      </c>
      <c r="BE120" s="18">
        <v>1.08</v>
      </c>
      <c r="BF120" s="18">
        <v>1.1499999999999999</v>
      </c>
      <c r="BG120" s="18">
        <v>1.1299999999999999</v>
      </c>
      <c r="BH120" s="18">
        <v>1.1399999999999999</v>
      </c>
      <c r="BI120" s="18">
        <v>1.04</v>
      </c>
      <c r="BJ120" s="19"/>
      <c r="BK120" s="18">
        <v>32.4</v>
      </c>
      <c r="BL120" s="18">
        <v>7.5</v>
      </c>
      <c r="BM120" s="18">
        <v>5.5000000000000009</v>
      </c>
      <c r="BN120" s="18">
        <v>7.5</v>
      </c>
      <c r="BO120" s="18"/>
      <c r="BP120" s="18">
        <v>105</v>
      </c>
      <c r="BQ120" s="18">
        <v>78.750000000000014</v>
      </c>
      <c r="BR120" s="18">
        <v>1.0117604445528503</v>
      </c>
      <c r="BS120" s="18">
        <v>1.0390471168831206</v>
      </c>
      <c r="BT120" s="19"/>
      <c r="BU120" s="18">
        <v>945</v>
      </c>
      <c r="BV120" s="18">
        <v>258.94499999999999</v>
      </c>
      <c r="BW120" s="18">
        <v>47.249654400000004</v>
      </c>
      <c r="BX120" s="18">
        <v>35</v>
      </c>
      <c r="BY120" s="18" t="s">
        <v>217</v>
      </c>
      <c r="BZ120" s="18">
        <v>15.668100000000001</v>
      </c>
      <c r="CA120" s="18">
        <v>245.46690000000001</v>
      </c>
      <c r="CB120" s="19"/>
      <c r="CC120" s="19">
        <v>0.97680000000000011</v>
      </c>
      <c r="CD120" s="19">
        <v>7.4592000000000001</v>
      </c>
      <c r="CE120" s="19">
        <v>3.5382401770890901</v>
      </c>
      <c r="CF120" s="19">
        <v>0</v>
      </c>
      <c r="CG120" s="19">
        <v>8.7473159933591607</v>
      </c>
      <c r="CH120" s="19">
        <v>2.5750525733259599</v>
      </c>
      <c r="CI120" s="19">
        <v>0</v>
      </c>
      <c r="CJ120" s="19"/>
      <c r="CK120" s="19">
        <v>100.68258992805799</v>
      </c>
      <c r="CL120" s="19">
        <v>10.447636967349203</v>
      </c>
      <c r="CM120" s="19">
        <v>57.555373547316009</v>
      </c>
      <c r="CN120" s="19">
        <v>64.209230769230814</v>
      </c>
      <c r="CO120" s="19">
        <v>0</v>
      </c>
      <c r="CP120" s="19">
        <v>4.4400000000000002E-2</v>
      </c>
      <c r="CQ120" s="19">
        <v>180.0604121472</v>
      </c>
      <c r="CR120" s="19">
        <v>200.41377926136951</v>
      </c>
      <c r="CS120" s="19">
        <v>3.8734886491260498</v>
      </c>
      <c r="CT120" s="19">
        <v>3.4475357588251794</v>
      </c>
      <c r="CU120" s="19">
        <v>3.8855278706030703</v>
      </c>
      <c r="CV120" s="19">
        <v>7.3330636294282492</v>
      </c>
      <c r="CW120" s="19">
        <v>6.24063514149229</v>
      </c>
      <c r="CX120" s="19">
        <v>2.3748672974438896</v>
      </c>
      <c r="CY120" s="19">
        <v>6.847045492845302</v>
      </c>
      <c r="CZ120" s="19">
        <v>12.790364208296623</v>
      </c>
      <c r="DA120" s="19">
        <v>4.6426247820732947</v>
      </c>
      <c r="DB120" s="19">
        <v>9.6117480161590354</v>
      </c>
      <c r="DC120" s="19">
        <v>6.4446476010864533</v>
      </c>
      <c r="DD120" s="19">
        <v>16.056395617245478</v>
      </c>
      <c r="DE120" s="19">
        <v>8.0976850543216106</v>
      </c>
      <c r="DF120" s="23">
        <v>0</v>
      </c>
      <c r="DG120" s="23">
        <v>0</v>
      </c>
      <c r="DH120" s="23">
        <v>0</v>
      </c>
      <c r="DI120" s="19">
        <v>0</v>
      </c>
      <c r="DJ120" s="19">
        <v>0</v>
      </c>
      <c r="DK120" s="19">
        <v>0</v>
      </c>
      <c r="DL120" s="19">
        <v>0</v>
      </c>
      <c r="DM120" s="19">
        <v>0</v>
      </c>
      <c r="DN120" s="19">
        <v>0</v>
      </c>
      <c r="DO120" s="19">
        <v>0</v>
      </c>
      <c r="DP120" s="19">
        <v>0</v>
      </c>
      <c r="DQ120" s="19">
        <v>0</v>
      </c>
      <c r="DR120" s="19">
        <v>0</v>
      </c>
      <c r="DS120" s="19">
        <v>0</v>
      </c>
      <c r="DT120" s="19">
        <v>0</v>
      </c>
      <c r="DU120" s="19">
        <v>0</v>
      </c>
      <c r="DV120" s="19">
        <v>0</v>
      </c>
      <c r="DW120" s="17" t="s">
        <v>437</v>
      </c>
      <c r="DX120" s="22">
        <v>15</v>
      </c>
      <c r="DY120" s="22">
        <v>15</v>
      </c>
      <c r="DZ120" s="22">
        <v>15</v>
      </c>
      <c r="EA120" s="22">
        <v>15</v>
      </c>
      <c r="EB120" s="22">
        <v>15</v>
      </c>
      <c r="EC120" s="22">
        <v>15</v>
      </c>
      <c r="ED120" s="22">
        <v>15</v>
      </c>
      <c r="EE120" s="22" t="s">
        <v>218</v>
      </c>
      <c r="EF120" s="22">
        <v>15</v>
      </c>
      <c r="EG120" s="22">
        <v>15</v>
      </c>
      <c r="EH120" s="22">
        <v>7</v>
      </c>
      <c r="EI120" s="22">
        <v>6</v>
      </c>
      <c r="EJ120" s="22">
        <v>5</v>
      </c>
      <c r="EK120" s="22">
        <v>7</v>
      </c>
      <c r="EL120" s="22">
        <v>6</v>
      </c>
      <c r="EM120" s="22">
        <v>5</v>
      </c>
      <c r="EN120" s="22">
        <v>5</v>
      </c>
      <c r="EO120" s="22">
        <v>5</v>
      </c>
      <c r="EP120" s="22">
        <v>5</v>
      </c>
      <c r="EQ120" s="22">
        <v>5</v>
      </c>
      <c r="ER120" s="22">
        <v>5</v>
      </c>
      <c r="ES120" s="22">
        <v>4</v>
      </c>
      <c r="ET120" s="22">
        <v>4</v>
      </c>
      <c r="EU120" s="22">
        <v>12</v>
      </c>
      <c r="EV120" s="22" t="s">
        <v>218</v>
      </c>
      <c r="EW120" s="22">
        <v>9</v>
      </c>
      <c r="EX120" s="22">
        <v>13</v>
      </c>
      <c r="EY120" s="22" t="s">
        <v>218</v>
      </c>
      <c r="EZ120" s="22">
        <v>9</v>
      </c>
      <c r="FA120" s="22">
        <v>8</v>
      </c>
      <c r="FB120" s="22">
        <v>9</v>
      </c>
      <c r="FC120" s="22">
        <v>9</v>
      </c>
      <c r="FD120" s="22" t="s">
        <v>218</v>
      </c>
      <c r="FE120" s="22" t="s">
        <v>218</v>
      </c>
      <c r="FF120" s="22">
        <v>0.8</v>
      </c>
      <c r="FG120" s="22">
        <v>0.8</v>
      </c>
      <c r="FH120" s="22">
        <v>0.6</v>
      </c>
      <c r="FI120" s="22">
        <v>0.2</v>
      </c>
      <c r="FJ120" s="22">
        <v>0.4</v>
      </c>
      <c r="FK120" s="22">
        <v>0.6</v>
      </c>
      <c r="FL120" s="22">
        <v>0.7</v>
      </c>
      <c r="FM120" s="22" t="s">
        <v>218</v>
      </c>
      <c r="FN120" s="22">
        <v>1.2</v>
      </c>
      <c r="FO120" s="22">
        <v>1.5</v>
      </c>
      <c r="FP120" s="22">
        <v>0.62222222222222223</v>
      </c>
      <c r="FQ120" s="22">
        <v>0.6333333333333333</v>
      </c>
      <c r="FR120" s="22">
        <v>0.5444444444444444</v>
      </c>
      <c r="FS120" s="22">
        <v>1.0777777777777777</v>
      </c>
      <c r="FT120" s="22">
        <v>1.1777777777777778</v>
      </c>
      <c r="FU120" s="22">
        <v>2.4333333333333331</v>
      </c>
      <c r="FV120" s="22">
        <v>6.5555555555555554</v>
      </c>
      <c r="FW120" s="22">
        <v>0.6333333333333333</v>
      </c>
      <c r="FX120" s="22">
        <v>4.0111111111111111</v>
      </c>
      <c r="FY120" s="22">
        <v>1.8777777777777778</v>
      </c>
      <c r="FZ120" s="22">
        <v>3.4777777777777774</v>
      </c>
      <c r="GA120" s="22">
        <v>0.14000000000000001</v>
      </c>
      <c r="GB120" s="22">
        <v>0.74</v>
      </c>
      <c r="GC120" s="22">
        <v>1</v>
      </c>
      <c r="GD120" s="22" t="s">
        <v>218</v>
      </c>
      <c r="GE120" s="22">
        <v>3.3555555555555556</v>
      </c>
      <c r="GF120" s="22">
        <v>0.22222222222222224</v>
      </c>
      <c r="GG120" s="22" t="s">
        <v>218</v>
      </c>
      <c r="GH120" s="22">
        <v>7.8555555555555561</v>
      </c>
      <c r="GI120" s="22">
        <v>1.5666666666666664</v>
      </c>
      <c r="GJ120" s="22">
        <v>9.1777777777777771</v>
      </c>
      <c r="GK120" s="22">
        <v>8.9777777777777779</v>
      </c>
      <c r="GL120" s="22" t="s">
        <v>218</v>
      </c>
      <c r="GM120" s="22" t="s">
        <v>218</v>
      </c>
      <c r="GN120" s="22">
        <v>2016</v>
      </c>
      <c r="GO120" s="22">
        <v>2016</v>
      </c>
      <c r="GP120" s="22">
        <v>2016</v>
      </c>
      <c r="GQ120" s="22">
        <v>2016</v>
      </c>
      <c r="GR120" s="22">
        <v>2016</v>
      </c>
      <c r="GS120" s="22">
        <v>2016</v>
      </c>
      <c r="GT120" s="22">
        <v>2016</v>
      </c>
      <c r="GU120" s="22" t="s">
        <v>218</v>
      </c>
      <c r="GV120" s="22">
        <v>2016</v>
      </c>
      <c r="GW120" s="22">
        <v>2016</v>
      </c>
      <c r="GX120" s="22">
        <v>2013</v>
      </c>
      <c r="GY120" s="22">
        <v>2013</v>
      </c>
      <c r="GZ120" s="22">
        <v>2013</v>
      </c>
      <c r="HA120" s="22">
        <v>2013</v>
      </c>
      <c r="HB120" s="22">
        <v>2013</v>
      </c>
      <c r="HC120" s="22">
        <v>2013</v>
      </c>
      <c r="HD120" s="22">
        <v>2013</v>
      </c>
      <c r="HE120" s="22">
        <v>2013</v>
      </c>
      <c r="HF120" s="22">
        <v>2013</v>
      </c>
      <c r="HG120" s="22">
        <v>2013</v>
      </c>
      <c r="HH120" s="22">
        <v>2013</v>
      </c>
      <c r="HI120" s="22">
        <v>2016</v>
      </c>
      <c r="HJ120" s="22">
        <v>2016</v>
      </c>
      <c r="HK120" s="22">
        <v>2013</v>
      </c>
      <c r="HL120" s="22" t="s">
        <v>218</v>
      </c>
      <c r="HM120" s="622">
        <f>'background data'!$G$10</f>
        <v>0.47300000000000003</v>
      </c>
      <c r="HN120" s="622">
        <f>'background data'!$H$10</f>
        <v>0.13</v>
      </c>
      <c r="HO120" s="622">
        <f>'background data'!$J$10</f>
        <v>0.39100000000000001</v>
      </c>
      <c r="HP120" s="622">
        <f>'background data'!$L$10</f>
        <v>5.5E-2</v>
      </c>
      <c r="HQ120" s="622">
        <f>'background data'!$M$10</f>
        <v>3.97</v>
      </c>
      <c r="HR120" s="622">
        <f>'background data'!$N$10</f>
        <v>4.5999999999999999E-3</v>
      </c>
      <c r="HS120" s="622">
        <f>'background data'!$O$10</f>
        <v>2.73</v>
      </c>
      <c r="HT120" s="145" t="s">
        <v>1797</v>
      </c>
      <c r="HU120" s="145" t="s">
        <v>1809</v>
      </c>
      <c r="HV120" s="22" t="s">
        <v>1949</v>
      </c>
      <c r="HW120" s="22" t="s">
        <v>438</v>
      </c>
      <c r="HX120" s="22" t="s">
        <v>439</v>
      </c>
      <c r="HY120" s="22">
        <v>0</v>
      </c>
      <c r="HZ120" s="19"/>
      <c r="IA120" s="19"/>
      <c r="IB120" s="622">
        <f>'background data'!$G$10</f>
        <v>0.47300000000000003</v>
      </c>
      <c r="IC120" s="622">
        <f>'background data'!$H$10</f>
        <v>0.13</v>
      </c>
      <c r="ID120" s="622">
        <f>'background data'!$J$10</f>
        <v>0.39100000000000001</v>
      </c>
      <c r="IE120" s="622">
        <f>'background data'!$L$10</f>
        <v>5.5E-2</v>
      </c>
      <c r="IF120" s="622">
        <f>'background data'!$M$10</f>
        <v>3.97</v>
      </c>
      <c r="IG120" s="622">
        <f>'background data'!$N$10</f>
        <v>4.5999999999999999E-3</v>
      </c>
      <c r="IH120" s="622">
        <f>'background data'!$O$10</f>
        <v>2.73</v>
      </c>
      <c r="II120" s="145" t="s">
        <v>1797</v>
      </c>
      <c r="IJ120" s="145"/>
      <c r="IK120" s="145"/>
      <c r="IL120" s="145"/>
      <c r="IM120" s="145"/>
      <c r="IN120" s="145"/>
      <c r="IO120" s="145"/>
      <c r="IP120" s="145"/>
      <c r="IQ120" s="145"/>
      <c r="IR120" s="145"/>
      <c r="IS120" s="145"/>
      <c r="IT120" s="145"/>
      <c r="IU120" s="145"/>
      <c r="IV120" s="145"/>
      <c r="IW120" s="145"/>
      <c r="IX120" s="145"/>
      <c r="IY120" s="145"/>
      <c r="IZ120" s="145"/>
      <c r="JA120" s="145"/>
      <c r="JB120" s="145"/>
      <c r="JC120" s="145"/>
      <c r="JD120" s="145"/>
      <c r="JE120" s="145"/>
      <c r="JF120" s="145"/>
      <c r="JG120" s="145"/>
      <c r="JH120" s="145"/>
      <c r="JI120" s="145"/>
      <c r="JJ120" s="145"/>
      <c r="JK120" s="145"/>
      <c r="JL120" s="145"/>
      <c r="JM120" s="145"/>
      <c r="JN120" s="145"/>
      <c r="JO120" s="145"/>
      <c r="JP120" s="145"/>
      <c r="JQ120" s="145"/>
      <c r="JR120" s="145"/>
      <c r="JS120" s="145"/>
      <c r="JT120" s="145"/>
      <c r="JU120" s="145"/>
      <c r="JV120" s="145"/>
      <c r="JW120" s="145"/>
      <c r="JX120" s="145"/>
      <c r="JY120" s="145"/>
      <c r="JZ120" s="145"/>
      <c r="KA120" s="145"/>
      <c r="KB120" s="145"/>
      <c r="KC120" s="145"/>
      <c r="KD120" s="145"/>
      <c r="KE120" s="145"/>
      <c r="KF120" s="145"/>
      <c r="KG120" s="145"/>
      <c r="KH120" s="145"/>
      <c r="KI120" s="145"/>
      <c r="KJ120" s="145"/>
      <c r="KK120" s="145"/>
      <c r="KL120" s="145"/>
      <c r="KM120" s="145"/>
      <c r="KN120" s="145"/>
      <c r="KO120" s="145"/>
      <c r="KP120" s="145"/>
      <c r="KQ120" s="145"/>
      <c r="KR120" s="145"/>
      <c r="KS120" s="145"/>
      <c r="KT120" s="145"/>
      <c r="KU120" s="145"/>
      <c r="KV120" s="145"/>
      <c r="KW120" s="145"/>
      <c r="KX120" s="145"/>
      <c r="KY120" s="145"/>
      <c r="KZ120" s="145"/>
      <c r="LA120" s="145"/>
      <c r="LB120" s="145"/>
      <c r="LC120" s="145"/>
      <c r="LD120" s="145"/>
      <c r="LE120" s="145"/>
      <c r="LF120" s="145"/>
      <c r="LG120" s="145"/>
      <c r="LH120" s="145"/>
      <c r="LI120" s="145"/>
      <c r="LJ120" s="145"/>
      <c r="LK120" s="145"/>
      <c r="LL120" s="145"/>
      <c r="LM120" s="145"/>
      <c r="LN120" s="145"/>
      <c r="LO120" s="145"/>
      <c r="LP120" s="145"/>
      <c r="LQ120" s="145"/>
      <c r="LR120" s="145"/>
      <c r="LS120" s="145"/>
      <c r="LT120" s="145"/>
      <c r="LU120" s="145"/>
      <c r="LV120" s="145"/>
      <c r="LW120" s="145"/>
      <c r="LX120" s="145"/>
      <c r="LY120" s="145"/>
      <c r="LZ120" s="145"/>
      <c r="MA120" s="145"/>
      <c r="MB120" s="145"/>
      <c r="MC120" s="145"/>
      <c r="MD120" s="145"/>
      <c r="ME120" s="145"/>
      <c r="MF120" s="145"/>
      <c r="MG120" s="145"/>
      <c r="MH120" s="145"/>
      <c r="MI120" s="145"/>
      <c r="MJ120" s="145"/>
      <c r="MK120" s="145"/>
      <c r="ML120" s="145"/>
      <c r="MM120" s="145"/>
      <c r="MN120" s="145"/>
      <c r="MO120" s="145"/>
      <c r="MP120" s="145"/>
      <c r="MQ120" s="145"/>
      <c r="MR120" s="145"/>
      <c r="MS120" s="145"/>
      <c r="MT120" s="145"/>
      <c r="MU120" s="145"/>
      <c r="MV120" s="145"/>
      <c r="MW120" s="145"/>
      <c r="MX120" s="145"/>
      <c r="MY120" s="145"/>
      <c r="MZ120" s="145"/>
      <c r="NA120" s="145"/>
      <c r="NB120" s="145"/>
      <c r="NC120" s="145"/>
      <c r="ND120" s="145"/>
      <c r="NE120" s="145"/>
      <c r="NF120" s="145"/>
      <c r="NG120" s="145"/>
      <c r="NH120" s="145"/>
      <c r="NI120" s="145"/>
      <c r="NJ120" s="145"/>
      <c r="NK120" s="145"/>
      <c r="NL120" s="145"/>
      <c r="NM120" s="145"/>
      <c r="NN120" s="145"/>
      <c r="NO120" s="145"/>
      <c r="NP120" s="145"/>
      <c r="NQ120" s="145"/>
      <c r="NR120" s="145"/>
      <c r="NS120" s="145"/>
    </row>
    <row r="121" spans="1:383" s="16" customFormat="1" ht="15" customHeight="1" x14ac:dyDescent="0.2">
      <c r="A121" s="15">
        <v>74500</v>
      </c>
      <c r="B121" s="25">
        <v>745</v>
      </c>
      <c r="C121" s="26">
        <v>0</v>
      </c>
      <c r="D121" s="20" t="s">
        <v>440</v>
      </c>
      <c r="E121" s="14">
        <v>40310</v>
      </c>
      <c r="F121" s="18">
        <v>-0.14585505226480799</v>
      </c>
      <c r="G121" s="18">
        <v>3.9425760667903598E-2</v>
      </c>
      <c r="H121" s="21">
        <v>15</v>
      </c>
      <c r="I121" s="21">
        <v>7</v>
      </c>
      <c r="J121" s="21">
        <v>7</v>
      </c>
      <c r="K121" s="18">
        <v>1</v>
      </c>
      <c r="L121" s="18">
        <v>90</v>
      </c>
      <c r="M121" s="18">
        <v>3.6</v>
      </c>
      <c r="N121" s="18">
        <v>1.71</v>
      </c>
      <c r="O121" s="18">
        <v>4.05</v>
      </c>
      <c r="P121" s="18">
        <v>40.68</v>
      </c>
      <c r="Q121" s="19"/>
      <c r="R121" s="18">
        <v>-147.39427142857099</v>
      </c>
      <c r="S121" s="18">
        <v>37</v>
      </c>
      <c r="T121" s="18">
        <v>37</v>
      </c>
      <c r="U121" s="18">
        <v>37</v>
      </c>
      <c r="V121" s="18">
        <v>37</v>
      </c>
      <c r="W121" s="18">
        <v>37</v>
      </c>
      <c r="X121" s="18"/>
      <c r="Y121" s="18">
        <v>4.5999999999999996</v>
      </c>
      <c r="Z121" s="18">
        <v>0.9</v>
      </c>
      <c r="AA121" s="18">
        <v>1.4</v>
      </c>
      <c r="AB121" s="18">
        <v>17</v>
      </c>
      <c r="AC121" s="18">
        <v>20</v>
      </c>
      <c r="AD121" s="18">
        <v>0.9</v>
      </c>
      <c r="AE121" s="18">
        <v>1.1000000000000001</v>
      </c>
      <c r="AF121" s="18">
        <v>470</v>
      </c>
      <c r="AG121" s="18">
        <v>3</v>
      </c>
      <c r="AH121" s="18">
        <v>30</v>
      </c>
      <c r="AI121" s="18">
        <v>147</v>
      </c>
      <c r="AJ121" s="18">
        <v>0</v>
      </c>
      <c r="AK121" s="18">
        <v>4.9999999999999996E-2</v>
      </c>
      <c r="AL121" s="18"/>
      <c r="AM121" s="18">
        <v>3.09</v>
      </c>
      <c r="AN121" s="18">
        <v>1.34</v>
      </c>
      <c r="AO121" s="18">
        <v>1.26</v>
      </c>
      <c r="AP121" s="18">
        <v>3.42</v>
      </c>
      <c r="AQ121" s="18">
        <v>0.24</v>
      </c>
      <c r="AR121" s="18">
        <v>2.82</v>
      </c>
      <c r="AS121" s="18">
        <v>4.82</v>
      </c>
      <c r="AT121" s="18">
        <v>1.06</v>
      </c>
      <c r="AU121" s="18">
        <v>3.24</v>
      </c>
      <c r="AV121" s="18">
        <v>2.0299999999999998</v>
      </c>
      <c r="AW121" s="18">
        <v>3.78</v>
      </c>
      <c r="AX121" s="18"/>
      <c r="AY121" s="18">
        <v>1</v>
      </c>
      <c r="AZ121" s="18">
        <v>1</v>
      </c>
      <c r="BA121" s="18">
        <v>1</v>
      </c>
      <c r="BB121" s="18">
        <v>1</v>
      </c>
      <c r="BC121" s="18">
        <v>1</v>
      </c>
      <c r="BD121" s="18">
        <v>1</v>
      </c>
      <c r="BE121" s="18">
        <v>1</v>
      </c>
      <c r="BF121" s="18">
        <v>1</v>
      </c>
      <c r="BG121" s="18">
        <v>1</v>
      </c>
      <c r="BH121" s="18">
        <v>1</v>
      </c>
      <c r="BI121" s="18">
        <v>1</v>
      </c>
      <c r="BJ121" s="19"/>
      <c r="BK121" s="18">
        <v>4</v>
      </c>
      <c r="BL121" s="18">
        <v>1.9</v>
      </c>
      <c r="BM121" s="18">
        <v>4.5</v>
      </c>
      <c r="BN121" s="18">
        <v>45.2</v>
      </c>
      <c r="BO121" s="18"/>
      <c r="BP121" s="18">
        <v>0</v>
      </c>
      <c r="BQ121" s="18">
        <v>0</v>
      </c>
      <c r="BR121" s="18">
        <v>-0.16206116918312</v>
      </c>
      <c r="BS121" s="18">
        <v>4.3806400742115108E-2</v>
      </c>
      <c r="BT121" s="19"/>
      <c r="BU121" s="18">
        <v>955</v>
      </c>
      <c r="BV121" s="18">
        <v>-20.722857142857112</v>
      </c>
      <c r="BW121" s="18">
        <v>109.142857142857</v>
      </c>
      <c r="BX121" s="18">
        <v>201</v>
      </c>
      <c r="BY121" s="18">
        <v>22.254339999999999</v>
      </c>
      <c r="BZ121" s="18" t="s">
        <v>217</v>
      </c>
      <c r="CA121" s="18" t="s">
        <v>217</v>
      </c>
      <c r="CB121" s="19"/>
      <c r="CC121" s="19">
        <v>4.1399999999999997</v>
      </c>
      <c r="CD121" s="19">
        <v>0.81</v>
      </c>
      <c r="CE121" s="19">
        <v>1.26</v>
      </c>
      <c r="CF121" s="19">
        <v>15.3</v>
      </c>
      <c r="CG121" s="19">
        <v>18</v>
      </c>
      <c r="CH121" s="19">
        <v>0.81</v>
      </c>
      <c r="CI121" s="19">
        <v>0.9900000000000001</v>
      </c>
      <c r="CJ121" s="19"/>
      <c r="CK121" s="19">
        <v>423</v>
      </c>
      <c r="CL121" s="19">
        <v>2.7</v>
      </c>
      <c r="CM121" s="19">
        <v>27</v>
      </c>
      <c r="CN121" s="19">
        <v>132.30000000000001</v>
      </c>
      <c r="CO121" s="19">
        <v>0</v>
      </c>
      <c r="CP121" s="19">
        <v>4.4999999999999998E-2</v>
      </c>
      <c r="CQ121" s="19">
        <v>-53.061937714285698</v>
      </c>
      <c r="CR121" s="19">
        <v>363.79910664972226</v>
      </c>
      <c r="CS121" s="19">
        <v>11.241392395476431</v>
      </c>
      <c r="CT121" s="19">
        <v>4.8749080291062903</v>
      </c>
      <c r="CU121" s="19">
        <v>4.5838687437865016</v>
      </c>
      <c r="CV121" s="19">
        <v>9.4587767728927918</v>
      </c>
      <c r="CW121" s="19">
        <v>12.441929447420495</v>
      </c>
      <c r="CX121" s="19">
        <v>0.87311785595933578</v>
      </c>
      <c r="CY121" s="19">
        <v>10.259134807522191</v>
      </c>
      <c r="CZ121" s="19">
        <v>17.535116940516609</v>
      </c>
      <c r="DA121" s="19">
        <v>3.8562705304870666</v>
      </c>
      <c r="DB121" s="19">
        <v>11.787091055451025</v>
      </c>
      <c r="DC121" s="19">
        <v>7.3851218649893635</v>
      </c>
      <c r="DD121" s="19">
        <v>19.172212920440387</v>
      </c>
      <c r="DE121" s="19">
        <v>13.751606231359505</v>
      </c>
      <c r="DF121" s="23">
        <v>0</v>
      </c>
      <c r="DG121" s="23">
        <v>0</v>
      </c>
      <c r="DH121" s="23">
        <v>0</v>
      </c>
      <c r="DI121" s="19">
        <v>0</v>
      </c>
      <c r="DJ121" s="19">
        <v>0</v>
      </c>
      <c r="DK121" s="19">
        <v>0</v>
      </c>
      <c r="DL121" s="19">
        <v>0</v>
      </c>
      <c r="DM121" s="19">
        <v>0</v>
      </c>
      <c r="DN121" s="19">
        <v>0</v>
      </c>
      <c r="DO121" s="19">
        <v>0</v>
      </c>
      <c r="DP121" s="19">
        <v>0</v>
      </c>
      <c r="DQ121" s="19">
        <v>0</v>
      </c>
      <c r="DR121" s="19">
        <v>0</v>
      </c>
      <c r="DS121" s="19">
        <v>0</v>
      </c>
      <c r="DT121" s="19">
        <v>0</v>
      </c>
      <c r="DU121" s="19">
        <v>0</v>
      </c>
      <c r="DV121" s="19">
        <v>0</v>
      </c>
      <c r="DW121" s="17" t="s">
        <v>441</v>
      </c>
      <c r="DX121" s="22" t="s">
        <v>218</v>
      </c>
      <c r="DY121" s="22" t="s">
        <v>218</v>
      </c>
      <c r="DZ121" s="22" t="s">
        <v>218</v>
      </c>
      <c r="EA121" s="22" t="s">
        <v>218</v>
      </c>
      <c r="EB121" s="22" t="s">
        <v>218</v>
      </c>
      <c r="EC121" s="22" t="s">
        <v>218</v>
      </c>
      <c r="ED121" s="22" t="s">
        <v>218</v>
      </c>
      <c r="EE121" s="22" t="s">
        <v>218</v>
      </c>
      <c r="EF121" s="22" t="s">
        <v>218</v>
      </c>
      <c r="EG121" s="22" t="s">
        <v>218</v>
      </c>
      <c r="EH121" s="22" t="s">
        <v>218</v>
      </c>
      <c r="EI121" s="22" t="s">
        <v>218</v>
      </c>
      <c r="EJ121" s="22" t="s">
        <v>218</v>
      </c>
      <c r="EK121" s="22" t="s">
        <v>218</v>
      </c>
      <c r="EL121" s="22" t="s">
        <v>218</v>
      </c>
      <c r="EM121" s="22" t="s">
        <v>218</v>
      </c>
      <c r="EN121" s="22" t="s">
        <v>218</v>
      </c>
      <c r="EO121" s="22" t="s">
        <v>218</v>
      </c>
      <c r="EP121" s="22" t="s">
        <v>218</v>
      </c>
      <c r="EQ121" s="22" t="s">
        <v>218</v>
      </c>
      <c r="ER121" s="22" t="s">
        <v>218</v>
      </c>
      <c r="ES121" s="22" t="s">
        <v>218</v>
      </c>
      <c r="ET121" s="22" t="s">
        <v>218</v>
      </c>
      <c r="EU121" s="22" t="s">
        <v>218</v>
      </c>
      <c r="EV121" s="22" t="s">
        <v>218</v>
      </c>
      <c r="EW121" s="22" t="s">
        <v>218</v>
      </c>
      <c r="EX121" s="22" t="s">
        <v>218</v>
      </c>
      <c r="EY121" s="22" t="s">
        <v>218</v>
      </c>
      <c r="EZ121" s="22" t="s">
        <v>218</v>
      </c>
      <c r="FA121" s="22" t="s">
        <v>218</v>
      </c>
      <c r="FB121" s="22" t="s">
        <v>218</v>
      </c>
      <c r="FC121" s="22" t="s">
        <v>218</v>
      </c>
      <c r="FD121" s="22" t="s">
        <v>218</v>
      </c>
      <c r="FE121" s="22" t="s">
        <v>218</v>
      </c>
      <c r="FF121" s="22" t="s">
        <v>218</v>
      </c>
      <c r="FG121" s="22" t="s">
        <v>218</v>
      </c>
      <c r="FH121" s="22" t="s">
        <v>218</v>
      </c>
      <c r="FI121" s="22" t="s">
        <v>218</v>
      </c>
      <c r="FJ121" s="22" t="s">
        <v>218</v>
      </c>
      <c r="FK121" s="22" t="s">
        <v>218</v>
      </c>
      <c r="FL121" s="22" t="s">
        <v>218</v>
      </c>
      <c r="FM121" s="22" t="s">
        <v>218</v>
      </c>
      <c r="FN121" s="22" t="s">
        <v>218</v>
      </c>
      <c r="FO121" s="22" t="s">
        <v>218</v>
      </c>
      <c r="FP121" s="22" t="s">
        <v>218</v>
      </c>
      <c r="FQ121" s="22" t="s">
        <v>218</v>
      </c>
      <c r="FR121" s="22" t="s">
        <v>218</v>
      </c>
      <c r="FS121" s="22" t="s">
        <v>218</v>
      </c>
      <c r="FT121" s="22" t="s">
        <v>218</v>
      </c>
      <c r="FU121" s="22" t="s">
        <v>218</v>
      </c>
      <c r="FV121" s="22" t="s">
        <v>218</v>
      </c>
      <c r="FW121" s="22" t="s">
        <v>218</v>
      </c>
      <c r="FX121" s="22" t="s">
        <v>218</v>
      </c>
      <c r="FY121" s="22" t="s">
        <v>218</v>
      </c>
      <c r="FZ121" s="22" t="s">
        <v>218</v>
      </c>
      <c r="GA121" s="22" t="s">
        <v>218</v>
      </c>
      <c r="GB121" s="22" t="s">
        <v>218</v>
      </c>
      <c r="GC121" s="22" t="s">
        <v>218</v>
      </c>
      <c r="GD121" s="22" t="s">
        <v>218</v>
      </c>
      <c r="GE121" s="22" t="s">
        <v>218</v>
      </c>
      <c r="GF121" s="22" t="s">
        <v>218</v>
      </c>
      <c r="GG121" s="22" t="s">
        <v>218</v>
      </c>
      <c r="GH121" s="22" t="s">
        <v>218</v>
      </c>
      <c r="GI121" s="22" t="s">
        <v>218</v>
      </c>
      <c r="GJ121" s="22" t="s">
        <v>218</v>
      </c>
      <c r="GK121" s="22" t="s">
        <v>218</v>
      </c>
      <c r="GL121" s="22" t="s">
        <v>218</v>
      </c>
      <c r="GM121" s="22" t="s">
        <v>218</v>
      </c>
      <c r="GN121" s="22" t="s">
        <v>218</v>
      </c>
      <c r="GO121" s="22" t="s">
        <v>218</v>
      </c>
      <c r="GP121" s="22" t="s">
        <v>218</v>
      </c>
      <c r="GQ121" s="22" t="s">
        <v>218</v>
      </c>
      <c r="GR121" s="22" t="s">
        <v>218</v>
      </c>
      <c r="GS121" s="22" t="s">
        <v>218</v>
      </c>
      <c r="GT121" s="22" t="s">
        <v>218</v>
      </c>
      <c r="GU121" s="22" t="s">
        <v>218</v>
      </c>
      <c r="GV121" s="22" t="s">
        <v>218</v>
      </c>
      <c r="GW121" s="22" t="s">
        <v>218</v>
      </c>
      <c r="GX121" s="22" t="s">
        <v>218</v>
      </c>
      <c r="GY121" s="22" t="s">
        <v>218</v>
      </c>
      <c r="GZ121" s="22" t="s">
        <v>218</v>
      </c>
      <c r="HA121" s="22" t="s">
        <v>218</v>
      </c>
      <c r="HB121" s="22" t="s">
        <v>218</v>
      </c>
      <c r="HC121" s="22" t="s">
        <v>218</v>
      </c>
      <c r="HD121" s="22" t="s">
        <v>218</v>
      </c>
      <c r="HE121" s="22" t="s">
        <v>218</v>
      </c>
      <c r="HF121" s="22" t="s">
        <v>218</v>
      </c>
      <c r="HG121" s="22" t="s">
        <v>218</v>
      </c>
      <c r="HH121" s="22" t="s">
        <v>218</v>
      </c>
      <c r="HI121" s="22" t="s">
        <v>218</v>
      </c>
      <c r="HJ121" s="22" t="s">
        <v>218</v>
      </c>
      <c r="HK121" s="22" t="s">
        <v>218</v>
      </c>
      <c r="HL121" s="22" t="s">
        <v>218</v>
      </c>
      <c r="HM121" s="620">
        <f>'background data'!$G$11</f>
        <v>6.0999999999999999E-2</v>
      </c>
      <c r="HN121" s="620">
        <f>'background data'!$H$11</f>
        <v>1.2E-2</v>
      </c>
      <c r="HO121" s="620">
        <f>'background data'!$J$11</f>
        <v>3.6999999999999998E-2</v>
      </c>
      <c r="HP121" s="620">
        <f>'background data'!$L$11</f>
        <v>5.0000000000000001E-3</v>
      </c>
      <c r="HQ121" s="620">
        <f>'background data'!$M$11</f>
        <v>0.3</v>
      </c>
      <c r="HR121" s="620">
        <f>'background data'!$N$11</f>
        <v>4.0000000000000002E-4</v>
      </c>
      <c r="HS121" s="620">
        <f>'background data'!$O$11</f>
        <v>0.26</v>
      </c>
      <c r="HT121" s="145"/>
      <c r="HU121" s="145" t="s">
        <v>1809</v>
      </c>
      <c r="HV121" s="22" t="s">
        <v>1950</v>
      </c>
      <c r="HW121" s="22" t="s">
        <v>442</v>
      </c>
      <c r="HX121" s="22" t="s">
        <v>443</v>
      </c>
      <c r="HY121" s="22" t="s">
        <v>444</v>
      </c>
      <c r="HZ121" s="19"/>
      <c r="IA121" s="19"/>
      <c r="IB121" s="620">
        <f>'background data'!$G$11</f>
        <v>6.0999999999999999E-2</v>
      </c>
      <c r="IC121" s="620">
        <f>'background data'!$H$11</f>
        <v>1.2E-2</v>
      </c>
      <c r="ID121" s="620">
        <f>'background data'!$J$11</f>
        <v>3.6999999999999998E-2</v>
      </c>
      <c r="IE121" s="620">
        <f>'background data'!$L$11</f>
        <v>5.0000000000000001E-3</v>
      </c>
      <c r="IF121" s="620">
        <f>'background data'!$M$11</f>
        <v>0.3</v>
      </c>
      <c r="IG121" s="620">
        <f>'background data'!$N$11</f>
        <v>4.0000000000000002E-4</v>
      </c>
      <c r="IH121" s="620">
        <f>'background data'!$O$11</f>
        <v>0.26</v>
      </c>
      <c r="II121" s="145"/>
      <c r="IJ121" s="145"/>
      <c r="IK121" s="145"/>
      <c r="IL121" s="145"/>
      <c r="IM121" s="145"/>
      <c r="IN121" s="145"/>
      <c r="IO121" s="145"/>
      <c r="IP121" s="145"/>
      <c r="IQ121" s="145"/>
      <c r="IR121" s="145"/>
      <c r="IS121" s="145"/>
      <c r="IT121" s="145"/>
      <c r="IU121" s="145"/>
      <c r="IV121" s="145"/>
      <c r="IW121" s="145"/>
      <c r="IX121" s="145"/>
      <c r="IY121" s="145"/>
      <c r="IZ121" s="145"/>
      <c r="JA121" s="145"/>
      <c r="JB121" s="145"/>
      <c r="JC121" s="145"/>
      <c r="JD121" s="145"/>
      <c r="JE121" s="145"/>
      <c r="JF121" s="145"/>
      <c r="JG121" s="145"/>
      <c r="JH121" s="145"/>
      <c r="JI121" s="145"/>
      <c r="JJ121" s="145"/>
      <c r="JK121" s="145"/>
      <c r="JL121" s="145"/>
      <c r="JM121" s="145"/>
      <c r="JN121" s="145"/>
      <c r="JO121" s="145"/>
      <c r="JP121" s="145"/>
      <c r="JQ121" s="145"/>
      <c r="JR121" s="145"/>
      <c r="JS121" s="145"/>
      <c r="JT121" s="145"/>
      <c r="JU121" s="145"/>
      <c r="JV121" s="145"/>
      <c r="JW121" s="145"/>
      <c r="JX121" s="145"/>
      <c r="JY121" s="145"/>
      <c r="JZ121" s="145"/>
      <c r="KA121" s="145"/>
      <c r="KB121" s="145"/>
      <c r="KC121" s="145"/>
      <c r="KD121" s="145"/>
      <c r="KE121" s="145"/>
      <c r="KF121" s="145"/>
      <c r="KG121" s="145"/>
      <c r="KH121" s="145"/>
      <c r="KI121" s="145"/>
      <c r="KJ121" s="145"/>
      <c r="KK121" s="145"/>
      <c r="KL121" s="145"/>
      <c r="KM121" s="145"/>
      <c r="KN121" s="145"/>
      <c r="KO121" s="145"/>
      <c r="KP121" s="145"/>
      <c r="KQ121" s="145"/>
      <c r="KR121" s="145"/>
      <c r="KS121" s="145"/>
      <c r="KT121" s="145"/>
      <c r="KU121" s="145"/>
      <c r="KV121" s="145"/>
      <c r="KW121" s="145"/>
      <c r="KX121" s="145"/>
      <c r="KY121" s="145"/>
      <c r="KZ121" s="145"/>
      <c r="LA121" s="145"/>
      <c r="LB121" s="145"/>
      <c r="LC121" s="145"/>
      <c r="LD121" s="145"/>
      <c r="LE121" s="145"/>
      <c r="LF121" s="145"/>
      <c r="LG121" s="145"/>
      <c r="LH121" s="145"/>
      <c r="LI121" s="145"/>
      <c r="LJ121" s="145"/>
      <c r="LK121" s="145"/>
      <c r="LL121" s="145"/>
      <c r="LM121" s="145"/>
      <c r="LN121" s="145"/>
      <c r="LO121" s="145"/>
      <c r="LP121" s="145"/>
      <c r="LQ121" s="145"/>
      <c r="LR121" s="145"/>
      <c r="LS121" s="145"/>
      <c r="LT121" s="145"/>
      <c r="LU121" s="145"/>
      <c r="LV121" s="145"/>
      <c r="LW121" s="145"/>
      <c r="LX121" s="145"/>
      <c r="LY121" s="145"/>
      <c r="LZ121" s="145"/>
      <c r="MA121" s="145"/>
      <c r="MB121" s="145"/>
      <c r="MC121" s="145"/>
      <c r="MD121" s="145"/>
      <c r="ME121" s="145"/>
      <c r="MF121" s="145"/>
      <c r="MG121" s="145"/>
      <c r="MH121" s="145"/>
      <c r="MI121" s="145"/>
      <c r="MJ121" s="145"/>
      <c r="MK121" s="145"/>
      <c r="ML121" s="145"/>
      <c r="MM121" s="145"/>
      <c r="MN121" s="145"/>
      <c r="MO121" s="145"/>
      <c r="MP121" s="145"/>
      <c r="MQ121" s="145"/>
      <c r="MR121" s="145"/>
      <c r="MS121" s="145"/>
      <c r="MT121" s="145"/>
      <c r="MU121" s="145"/>
      <c r="MV121" s="145"/>
      <c r="MW121" s="145"/>
      <c r="MX121" s="145"/>
      <c r="MY121" s="145"/>
      <c r="MZ121" s="145"/>
      <c r="NA121" s="145"/>
      <c r="NB121" s="145"/>
      <c r="NC121" s="145"/>
      <c r="ND121" s="145"/>
      <c r="NE121" s="145"/>
      <c r="NF121" s="145"/>
      <c r="NG121" s="145"/>
      <c r="NH121" s="145"/>
      <c r="NI121" s="145"/>
      <c r="NJ121" s="145"/>
      <c r="NK121" s="145"/>
      <c r="NL121" s="145"/>
      <c r="NM121" s="145"/>
      <c r="NN121" s="145"/>
      <c r="NO121" s="145"/>
      <c r="NP121" s="145"/>
      <c r="NQ121" s="145"/>
      <c r="NR121" s="145"/>
      <c r="NS121" s="145"/>
    </row>
    <row r="122" spans="1:383" s="16" customFormat="1" ht="15" customHeight="1" x14ac:dyDescent="0.2">
      <c r="A122" s="15">
        <v>74600</v>
      </c>
      <c r="B122" s="25">
        <v>746</v>
      </c>
      <c r="C122" s="26">
        <v>0</v>
      </c>
      <c r="D122" s="20" t="s">
        <v>445</v>
      </c>
      <c r="E122" s="14">
        <v>40310</v>
      </c>
      <c r="F122" s="18">
        <v>-0.14555395470383301</v>
      </c>
      <c r="G122" s="18">
        <v>4.2341643784786699E-2</v>
      </c>
      <c r="H122" s="21">
        <v>15</v>
      </c>
      <c r="I122" s="21">
        <v>7</v>
      </c>
      <c r="J122" s="21">
        <v>7</v>
      </c>
      <c r="K122" s="18">
        <v>1</v>
      </c>
      <c r="L122" s="18">
        <v>90</v>
      </c>
      <c r="M122" s="18">
        <v>2.97</v>
      </c>
      <c r="N122" s="18">
        <v>1.71</v>
      </c>
      <c r="O122" s="18">
        <v>2.79</v>
      </c>
      <c r="P122" s="18">
        <v>40.770000000000003</v>
      </c>
      <c r="Q122" s="19"/>
      <c r="R122" s="18">
        <v>-182.00457142857101</v>
      </c>
      <c r="S122" s="18">
        <v>37</v>
      </c>
      <c r="T122" s="18">
        <v>37</v>
      </c>
      <c r="U122" s="18">
        <v>37</v>
      </c>
      <c r="V122" s="18">
        <v>37</v>
      </c>
      <c r="W122" s="18">
        <v>37</v>
      </c>
      <c r="X122" s="18"/>
      <c r="Y122" s="18">
        <v>3.6</v>
      </c>
      <c r="Z122" s="18">
        <v>0.9</v>
      </c>
      <c r="AA122" s="18">
        <v>9.9999999999999992E-2</v>
      </c>
      <c r="AB122" s="18">
        <v>9.5</v>
      </c>
      <c r="AC122" s="18">
        <v>15</v>
      </c>
      <c r="AD122" s="18">
        <v>0.9</v>
      </c>
      <c r="AE122" s="18">
        <v>0.9</v>
      </c>
      <c r="AF122" s="18">
        <v>291</v>
      </c>
      <c r="AG122" s="18">
        <v>3</v>
      </c>
      <c r="AH122" s="18">
        <v>35</v>
      </c>
      <c r="AI122" s="18">
        <v>46</v>
      </c>
      <c r="AJ122" s="18">
        <v>0</v>
      </c>
      <c r="AK122" s="18">
        <v>4.9999999999999996E-2</v>
      </c>
      <c r="AL122" s="18"/>
      <c r="AM122" s="18">
        <v>3.38</v>
      </c>
      <c r="AN122" s="18">
        <v>1.26</v>
      </c>
      <c r="AO122" s="18">
        <v>1.26</v>
      </c>
      <c r="AP122" s="18">
        <v>2.46</v>
      </c>
      <c r="AQ122" s="18">
        <v>0.24</v>
      </c>
      <c r="AR122" s="18">
        <v>1.84</v>
      </c>
      <c r="AS122" s="18">
        <v>3.38</v>
      </c>
      <c r="AT122" s="18">
        <v>1.06</v>
      </c>
      <c r="AU122" s="18">
        <v>3.24</v>
      </c>
      <c r="AV122" s="18">
        <v>2.0299999999999998</v>
      </c>
      <c r="AW122" s="18">
        <v>2.76</v>
      </c>
      <c r="AX122" s="18"/>
      <c r="AY122" s="18">
        <v>1</v>
      </c>
      <c r="AZ122" s="18">
        <v>1</v>
      </c>
      <c r="BA122" s="18">
        <v>1</v>
      </c>
      <c r="BB122" s="18">
        <v>1</v>
      </c>
      <c r="BC122" s="18">
        <v>1</v>
      </c>
      <c r="BD122" s="18">
        <v>1</v>
      </c>
      <c r="BE122" s="18">
        <v>1</v>
      </c>
      <c r="BF122" s="18">
        <v>1</v>
      </c>
      <c r="BG122" s="18">
        <v>1</v>
      </c>
      <c r="BH122" s="18">
        <v>1</v>
      </c>
      <c r="BI122" s="18">
        <v>1</v>
      </c>
      <c r="BJ122" s="19"/>
      <c r="BK122" s="18">
        <v>3.3000000000000003</v>
      </c>
      <c r="BL122" s="18">
        <v>1.9</v>
      </c>
      <c r="BM122" s="18">
        <v>3.1</v>
      </c>
      <c r="BN122" s="18">
        <v>45.300000000000004</v>
      </c>
      <c r="BO122" s="18"/>
      <c r="BP122" s="18">
        <v>0</v>
      </c>
      <c r="BQ122" s="18">
        <v>0</v>
      </c>
      <c r="BR122" s="18">
        <v>-0.16172661633759222</v>
      </c>
      <c r="BS122" s="18">
        <v>4.7046270871985221E-2</v>
      </c>
      <c r="BT122" s="19"/>
      <c r="BU122" s="18">
        <v>969</v>
      </c>
      <c r="BV122" s="18">
        <v>-13.852857142857111</v>
      </c>
      <c r="BW122" s="18">
        <v>110.74285714285699</v>
      </c>
      <c r="BX122" s="18">
        <v>201</v>
      </c>
      <c r="BY122" s="18">
        <v>22.254339999999999</v>
      </c>
      <c r="BZ122" s="18" t="s">
        <v>217</v>
      </c>
      <c r="CA122" s="18" t="s">
        <v>217</v>
      </c>
      <c r="CB122" s="19"/>
      <c r="CC122" s="19">
        <v>3.24</v>
      </c>
      <c r="CD122" s="19">
        <v>0.81</v>
      </c>
      <c r="CE122" s="19">
        <v>0.09</v>
      </c>
      <c r="CF122" s="19">
        <v>8.5500000000000007</v>
      </c>
      <c r="CG122" s="19">
        <v>13.5</v>
      </c>
      <c r="CH122" s="19">
        <v>0.81</v>
      </c>
      <c r="CI122" s="19">
        <v>0.81</v>
      </c>
      <c r="CJ122" s="19"/>
      <c r="CK122" s="19">
        <v>261.90000000000003</v>
      </c>
      <c r="CL122" s="19">
        <v>2.7</v>
      </c>
      <c r="CM122" s="19">
        <v>31.5</v>
      </c>
      <c r="CN122" s="19">
        <v>41.4</v>
      </c>
      <c r="CO122" s="19">
        <v>0</v>
      </c>
      <c r="CP122" s="19">
        <v>4.4999999999999998E-2</v>
      </c>
      <c r="CQ122" s="19">
        <v>-54.055357714285698</v>
      </c>
      <c r="CR122" s="19">
        <v>371.37677106936218</v>
      </c>
      <c r="CS122" s="19">
        <v>12.552534862144464</v>
      </c>
      <c r="CT122" s="19">
        <v>4.6793473154739642</v>
      </c>
      <c r="CU122" s="19">
        <v>4.6793473154739642</v>
      </c>
      <c r="CV122" s="19">
        <v>9.3586946309479284</v>
      </c>
      <c r="CW122" s="19">
        <v>9.1358685683063214</v>
      </c>
      <c r="CX122" s="19">
        <v>0.89130425056647145</v>
      </c>
      <c r="CY122" s="19">
        <v>6.8333325876762787</v>
      </c>
      <c r="CZ122" s="19">
        <v>12.552534862144464</v>
      </c>
      <c r="DA122" s="19">
        <v>3.9365937733352427</v>
      </c>
      <c r="DB122" s="19">
        <v>12.032607382647358</v>
      </c>
      <c r="DC122" s="19">
        <v>7.5389484527080537</v>
      </c>
      <c r="DD122" s="19">
        <v>19.571555835355412</v>
      </c>
      <c r="DE122" s="19">
        <v>10.249998881514427</v>
      </c>
      <c r="DF122" s="23">
        <v>0</v>
      </c>
      <c r="DG122" s="23">
        <v>0</v>
      </c>
      <c r="DH122" s="23">
        <v>0</v>
      </c>
      <c r="DI122" s="19">
        <v>0</v>
      </c>
      <c r="DJ122" s="19">
        <v>0</v>
      </c>
      <c r="DK122" s="19">
        <v>0</v>
      </c>
      <c r="DL122" s="19">
        <v>0</v>
      </c>
      <c r="DM122" s="19">
        <v>0</v>
      </c>
      <c r="DN122" s="19">
        <v>0</v>
      </c>
      <c r="DO122" s="19">
        <v>0</v>
      </c>
      <c r="DP122" s="19">
        <v>0</v>
      </c>
      <c r="DQ122" s="19">
        <v>0</v>
      </c>
      <c r="DR122" s="19">
        <v>0</v>
      </c>
      <c r="DS122" s="19">
        <v>0</v>
      </c>
      <c r="DT122" s="19">
        <v>0</v>
      </c>
      <c r="DU122" s="19">
        <v>0</v>
      </c>
      <c r="DV122" s="19">
        <v>0</v>
      </c>
      <c r="DW122" s="17" t="s">
        <v>441</v>
      </c>
      <c r="DX122" s="22" t="s">
        <v>218</v>
      </c>
      <c r="DY122" s="22" t="s">
        <v>218</v>
      </c>
      <c r="DZ122" s="22" t="s">
        <v>218</v>
      </c>
      <c r="EA122" s="22" t="s">
        <v>218</v>
      </c>
      <c r="EB122" s="22" t="s">
        <v>218</v>
      </c>
      <c r="EC122" s="22" t="s">
        <v>218</v>
      </c>
      <c r="ED122" s="22" t="s">
        <v>218</v>
      </c>
      <c r="EE122" s="22" t="s">
        <v>218</v>
      </c>
      <c r="EF122" s="22" t="s">
        <v>218</v>
      </c>
      <c r="EG122" s="22" t="s">
        <v>218</v>
      </c>
      <c r="EH122" s="22" t="s">
        <v>218</v>
      </c>
      <c r="EI122" s="22" t="s">
        <v>218</v>
      </c>
      <c r="EJ122" s="22" t="s">
        <v>218</v>
      </c>
      <c r="EK122" s="22" t="s">
        <v>218</v>
      </c>
      <c r="EL122" s="22" t="s">
        <v>218</v>
      </c>
      <c r="EM122" s="22" t="s">
        <v>218</v>
      </c>
      <c r="EN122" s="22" t="s">
        <v>218</v>
      </c>
      <c r="EO122" s="22" t="s">
        <v>218</v>
      </c>
      <c r="EP122" s="22" t="s">
        <v>218</v>
      </c>
      <c r="EQ122" s="22" t="s">
        <v>218</v>
      </c>
      <c r="ER122" s="22" t="s">
        <v>218</v>
      </c>
      <c r="ES122" s="22" t="s">
        <v>218</v>
      </c>
      <c r="ET122" s="22" t="s">
        <v>218</v>
      </c>
      <c r="EU122" s="22" t="s">
        <v>218</v>
      </c>
      <c r="EV122" s="22" t="s">
        <v>218</v>
      </c>
      <c r="EW122" s="22" t="s">
        <v>218</v>
      </c>
      <c r="EX122" s="22" t="s">
        <v>218</v>
      </c>
      <c r="EY122" s="22" t="s">
        <v>218</v>
      </c>
      <c r="EZ122" s="22" t="s">
        <v>218</v>
      </c>
      <c r="FA122" s="22" t="s">
        <v>218</v>
      </c>
      <c r="FB122" s="22" t="s">
        <v>218</v>
      </c>
      <c r="FC122" s="22" t="s">
        <v>218</v>
      </c>
      <c r="FD122" s="22" t="s">
        <v>218</v>
      </c>
      <c r="FE122" s="22" t="s">
        <v>218</v>
      </c>
      <c r="FF122" s="22" t="s">
        <v>218</v>
      </c>
      <c r="FG122" s="22" t="s">
        <v>218</v>
      </c>
      <c r="FH122" s="22" t="s">
        <v>218</v>
      </c>
      <c r="FI122" s="22" t="s">
        <v>218</v>
      </c>
      <c r="FJ122" s="22" t="s">
        <v>218</v>
      </c>
      <c r="FK122" s="22" t="s">
        <v>218</v>
      </c>
      <c r="FL122" s="22" t="s">
        <v>218</v>
      </c>
      <c r="FM122" s="22" t="s">
        <v>218</v>
      </c>
      <c r="FN122" s="22" t="s">
        <v>218</v>
      </c>
      <c r="FO122" s="22" t="s">
        <v>218</v>
      </c>
      <c r="FP122" s="22" t="s">
        <v>218</v>
      </c>
      <c r="FQ122" s="22" t="s">
        <v>218</v>
      </c>
      <c r="FR122" s="22" t="s">
        <v>218</v>
      </c>
      <c r="FS122" s="22" t="s">
        <v>218</v>
      </c>
      <c r="FT122" s="22" t="s">
        <v>218</v>
      </c>
      <c r="FU122" s="22" t="s">
        <v>218</v>
      </c>
      <c r="FV122" s="22" t="s">
        <v>218</v>
      </c>
      <c r="FW122" s="22" t="s">
        <v>218</v>
      </c>
      <c r="FX122" s="22" t="s">
        <v>218</v>
      </c>
      <c r="FY122" s="22" t="s">
        <v>218</v>
      </c>
      <c r="FZ122" s="22" t="s">
        <v>218</v>
      </c>
      <c r="GA122" s="22" t="s">
        <v>218</v>
      </c>
      <c r="GB122" s="22" t="s">
        <v>218</v>
      </c>
      <c r="GC122" s="22" t="s">
        <v>218</v>
      </c>
      <c r="GD122" s="22" t="s">
        <v>218</v>
      </c>
      <c r="GE122" s="22" t="s">
        <v>218</v>
      </c>
      <c r="GF122" s="22" t="s">
        <v>218</v>
      </c>
      <c r="GG122" s="22" t="s">
        <v>218</v>
      </c>
      <c r="GH122" s="22" t="s">
        <v>218</v>
      </c>
      <c r="GI122" s="22" t="s">
        <v>218</v>
      </c>
      <c r="GJ122" s="22" t="s">
        <v>218</v>
      </c>
      <c r="GK122" s="22" t="s">
        <v>218</v>
      </c>
      <c r="GL122" s="22" t="s">
        <v>218</v>
      </c>
      <c r="GM122" s="22" t="s">
        <v>218</v>
      </c>
      <c r="GN122" s="22" t="s">
        <v>218</v>
      </c>
      <c r="GO122" s="22" t="s">
        <v>218</v>
      </c>
      <c r="GP122" s="22" t="s">
        <v>218</v>
      </c>
      <c r="GQ122" s="22" t="s">
        <v>218</v>
      </c>
      <c r="GR122" s="22" t="s">
        <v>218</v>
      </c>
      <c r="GS122" s="22" t="s">
        <v>218</v>
      </c>
      <c r="GT122" s="22" t="s">
        <v>218</v>
      </c>
      <c r="GU122" s="22" t="s">
        <v>218</v>
      </c>
      <c r="GV122" s="22" t="s">
        <v>218</v>
      </c>
      <c r="GW122" s="22" t="s">
        <v>218</v>
      </c>
      <c r="GX122" s="22" t="s">
        <v>218</v>
      </c>
      <c r="GY122" s="22" t="s">
        <v>218</v>
      </c>
      <c r="GZ122" s="22" t="s">
        <v>218</v>
      </c>
      <c r="HA122" s="22" t="s">
        <v>218</v>
      </c>
      <c r="HB122" s="22" t="s">
        <v>218</v>
      </c>
      <c r="HC122" s="22" t="s">
        <v>218</v>
      </c>
      <c r="HD122" s="22" t="s">
        <v>218</v>
      </c>
      <c r="HE122" s="22" t="s">
        <v>218</v>
      </c>
      <c r="HF122" s="22" t="s">
        <v>218</v>
      </c>
      <c r="HG122" s="22" t="s">
        <v>218</v>
      </c>
      <c r="HH122" s="22" t="s">
        <v>218</v>
      </c>
      <c r="HI122" s="22" t="s">
        <v>218</v>
      </c>
      <c r="HJ122" s="22" t="s">
        <v>218</v>
      </c>
      <c r="HK122" s="22" t="s">
        <v>218</v>
      </c>
      <c r="HL122" s="22" t="s">
        <v>218</v>
      </c>
      <c r="HM122" s="622">
        <f>'background data'!$G$11</f>
        <v>6.0999999999999999E-2</v>
      </c>
      <c r="HN122" s="622">
        <f>'background data'!$H$11</f>
        <v>1.2E-2</v>
      </c>
      <c r="HO122" s="622">
        <f>'background data'!$J$11</f>
        <v>3.6999999999999998E-2</v>
      </c>
      <c r="HP122" s="622">
        <f>'background data'!$L$11</f>
        <v>5.0000000000000001E-3</v>
      </c>
      <c r="HQ122" s="622">
        <f>'background data'!$M$11</f>
        <v>0.3</v>
      </c>
      <c r="HR122" s="622">
        <f>'background data'!$N$11</f>
        <v>4.0000000000000002E-4</v>
      </c>
      <c r="HS122" s="622">
        <f>'background data'!$O$11</f>
        <v>0.26</v>
      </c>
      <c r="HT122" s="145" t="s">
        <v>1799</v>
      </c>
      <c r="HU122" s="145" t="s">
        <v>1809</v>
      </c>
      <c r="HV122" s="22" t="s">
        <v>1950</v>
      </c>
      <c r="HW122" s="22" t="s">
        <v>442</v>
      </c>
      <c r="HX122" s="22" t="s">
        <v>443</v>
      </c>
      <c r="HY122" s="22" t="s">
        <v>444</v>
      </c>
      <c r="HZ122" s="19"/>
      <c r="IA122" s="19"/>
      <c r="IB122" s="622">
        <f>'background data'!$G$11</f>
        <v>6.0999999999999999E-2</v>
      </c>
      <c r="IC122" s="622">
        <f>'background data'!$H$11</f>
        <v>1.2E-2</v>
      </c>
      <c r="ID122" s="622">
        <f>'background data'!$J$11</f>
        <v>3.6999999999999998E-2</v>
      </c>
      <c r="IE122" s="622">
        <f>'background data'!$L$11</f>
        <v>5.0000000000000001E-3</v>
      </c>
      <c r="IF122" s="622">
        <f>'background data'!$M$11</f>
        <v>0.3</v>
      </c>
      <c r="IG122" s="622">
        <f>'background data'!$N$11</f>
        <v>4.0000000000000002E-4</v>
      </c>
      <c r="IH122" s="622">
        <f>'background data'!$O$11</f>
        <v>0.26</v>
      </c>
      <c r="II122" s="145" t="s">
        <v>1799</v>
      </c>
      <c r="IJ122" s="145"/>
      <c r="IK122" s="145"/>
      <c r="IL122" s="145"/>
      <c r="IM122" s="145"/>
      <c r="IN122" s="145"/>
      <c r="IO122" s="145"/>
      <c r="IP122" s="145"/>
      <c r="IQ122" s="145"/>
      <c r="IR122" s="145"/>
      <c r="IS122" s="145"/>
      <c r="IT122" s="145"/>
      <c r="IU122" s="145"/>
      <c r="IV122" s="145"/>
      <c r="IW122" s="145"/>
      <c r="IX122" s="145"/>
      <c r="IY122" s="145"/>
      <c r="IZ122" s="145"/>
      <c r="JA122" s="145"/>
      <c r="JB122" s="145"/>
      <c r="JC122" s="145"/>
      <c r="JD122" s="145"/>
      <c r="JE122" s="145"/>
      <c r="JF122" s="145"/>
      <c r="JG122" s="145"/>
      <c r="JH122" s="145"/>
      <c r="JI122" s="145"/>
      <c r="JJ122" s="145"/>
      <c r="JK122" s="145"/>
      <c r="JL122" s="145"/>
      <c r="JM122" s="145"/>
      <c r="JN122" s="145"/>
      <c r="JO122" s="145"/>
      <c r="JP122" s="145"/>
      <c r="JQ122" s="145"/>
      <c r="JR122" s="145"/>
      <c r="JS122" s="145"/>
      <c r="JT122" s="145"/>
      <c r="JU122" s="145"/>
      <c r="JV122" s="145"/>
      <c r="JW122" s="145"/>
      <c r="JX122" s="145"/>
      <c r="JY122" s="145"/>
      <c r="JZ122" s="145"/>
      <c r="KA122" s="145"/>
      <c r="KB122" s="145"/>
      <c r="KC122" s="145"/>
      <c r="KD122" s="145"/>
      <c r="KE122" s="145"/>
      <c r="KF122" s="145"/>
      <c r="KG122" s="145"/>
      <c r="KH122" s="145"/>
      <c r="KI122" s="145"/>
      <c r="KJ122" s="145"/>
      <c r="KK122" s="145"/>
      <c r="KL122" s="145"/>
      <c r="KM122" s="145"/>
      <c r="KN122" s="145"/>
      <c r="KO122" s="145"/>
      <c r="KP122" s="145"/>
      <c r="KQ122" s="145"/>
      <c r="KR122" s="145"/>
      <c r="KS122" s="145"/>
      <c r="KT122" s="145"/>
      <c r="KU122" s="145"/>
      <c r="KV122" s="145"/>
      <c r="KW122" s="145"/>
      <c r="KX122" s="145"/>
      <c r="KY122" s="145"/>
      <c r="KZ122" s="145"/>
      <c r="LA122" s="145"/>
      <c r="LB122" s="145"/>
      <c r="LC122" s="145"/>
      <c r="LD122" s="145"/>
      <c r="LE122" s="145"/>
      <c r="LF122" s="145"/>
      <c r="LG122" s="145"/>
      <c r="LH122" s="145"/>
      <c r="LI122" s="145"/>
      <c r="LJ122" s="145"/>
      <c r="LK122" s="145"/>
      <c r="LL122" s="145"/>
      <c r="LM122" s="145"/>
      <c r="LN122" s="145"/>
      <c r="LO122" s="145"/>
      <c r="LP122" s="145"/>
      <c r="LQ122" s="145"/>
      <c r="LR122" s="145"/>
      <c r="LS122" s="145"/>
      <c r="LT122" s="145"/>
      <c r="LU122" s="145"/>
      <c r="LV122" s="145"/>
      <c r="LW122" s="145"/>
      <c r="LX122" s="145"/>
      <c r="LY122" s="145"/>
      <c r="LZ122" s="145"/>
      <c r="MA122" s="145"/>
      <c r="MB122" s="145"/>
      <c r="MC122" s="145"/>
      <c r="MD122" s="145"/>
      <c r="ME122" s="145"/>
      <c r="MF122" s="145"/>
      <c r="MG122" s="145"/>
      <c r="MH122" s="145"/>
      <c r="MI122" s="145"/>
      <c r="MJ122" s="145"/>
      <c r="MK122" s="145"/>
      <c r="ML122" s="145"/>
      <c r="MM122" s="145"/>
      <c r="MN122" s="145"/>
      <c r="MO122" s="145"/>
      <c r="MP122" s="145"/>
      <c r="MQ122" s="145"/>
      <c r="MR122" s="145"/>
      <c r="MS122" s="145"/>
      <c r="MT122" s="145"/>
      <c r="MU122" s="145"/>
      <c r="MV122" s="145"/>
      <c r="MW122" s="145"/>
      <c r="MX122" s="145"/>
      <c r="MY122" s="145"/>
      <c r="MZ122" s="145"/>
      <c r="NA122" s="145"/>
      <c r="NB122" s="145"/>
      <c r="NC122" s="145"/>
      <c r="ND122" s="145"/>
      <c r="NE122" s="145"/>
      <c r="NF122" s="145"/>
      <c r="NG122" s="145"/>
      <c r="NH122" s="145"/>
      <c r="NI122" s="145"/>
      <c r="NJ122" s="145"/>
      <c r="NK122" s="145"/>
      <c r="NL122" s="145"/>
      <c r="NM122" s="145"/>
      <c r="NN122" s="145"/>
      <c r="NO122" s="145"/>
      <c r="NP122" s="145"/>
      <c r="NQ122" s="145"/>
      <c r="NR122" s="145"/>
      <c r="NS122" s="145"/>
    </row>
    <row r="123" spans="1:383" s="16" customFormat="1" ht="15" customHeight="1" x14ac:dyDescent="0.2">
      <c r="A123" s="15">
        <v>73200</v>
      </c>
      <c r="B123" s="25">
        <v>732</v>
      </c>
      <c r="C123" s="26">
        <v>0</v>
      </c>
      <c r="D123" s="20" t="s">
        <v>446</v>
      </c>
      <c r="E123" s="14">
        <v>40310</v>
      </c>
      <c r="F123" s="18">
        <v>0.245591569802555</v>
      </c>
      <c r="G123" s="18">
        <v>0.26750605488979601</v>
      </c>
      <c r="H123" s="21">
        <v>67.2</v>
      </c>
      <c r="I123" s="21">
        <v>57.2</v>
      </c>
      <c r="J123" s="21">
        <v>75</v>
      </c>
      <c r="K123" s="18">
        <v>1</v>
      </c>
      <c r="L123" s="18">
        <v>32.1</v>
      </c>
      <c r="M123" s="18">
        <v>3.5952000000000002</v>
      </c>
      <c r="N123" s="18">
        <v>0.64200000000000002</v>
      </c>
      <c r="O123" s="18">
        <v>1.8297000000000001</v>
      </c>
      <c r="P123" s="18">
        <v>6.9336000000000002</v>
      </c>
      <c r="Q123" s="19"/>
      <c r="R123" s="18">
        <v>47.7444581632653</v>
      </c>
      <c r="S123" s="18">
        <v>37</v>
      </c>
      <c r="T123" s="18">
        <v>37</v>
      </c>
      <c r="U123" s="18">
        <v>37</v>
      </c>
      <c r="V123" s="18">
        <v>37</v>
      </c>
      <c r="W123" s="18">
        <v>37</v>
      </c>
      <c r="X123" s="18"/>
      <c r="Y123" s="18">
        <v>3.1999999999999997</v>
      </c>
      <c r="Z123" s="18">
        <v>2.9</v>
      </c>
      <c r="AA123" s="18">
        <v>0.6</v>
      </c>
      <c r="AB123" s="18">
        <v>0</v>
      </c>
      <c r="AC123" s="18">
        <v>16.5</v>
      </c>
      <c r="AD123" s="18">
        <v>1.2</v>
      </c>
      <c r="AE123" s="18">
        <v>0</v>
      </c>
      <c r="AF123" s="18">
        <v>57.999999999999993</v>
      </c>
      <c r="AG123" s="18">
        <v>5.8</v>
      </c>
      <c r="AH123" s="18">
        <v>25</v>
      </c>
      <c r="AI123" s="18">
        <v>54</v>
      </c>
      <c r="AJ123" s="18">
        <v>0</v>
      </c>
      <c r="AK123" s="18">
        <v>0.04</v>
      </c>
      <c r="AL123" s="18"/>
      <c r="AM123" s="18">
        <v>2.64</v>
      </c>
      <c r="AN123" s="18">
        <v>1.7</v>
      </c>
      <c r="AO123" s="18">
        <v>1.21</v>
      </c>
      <c r="AP123" s="18">
        <v>3.24</v>
      </c>
      <c r="AQ123" s="18">
        <v>0</v>
      </c>
      <c r="AR123" s="18">
        <v>3.73</v>
      </c>
      <c r="AS123" s="18">
        <v>6.3</v>
      </c>
      <c r="AT123" s="18">
        <v>0.96</v>
      </c>
      <c r="AU123" s="18">
        <v>5.07</v>
      </c>
      <c r="AV123" s="18">
        <v>8.7799999999999994</v>
      </c>
      <c r="AW123" s="18">
        <v>4.67</v>
      </c>
      <c r="AX123" s="18"/>
      <c r="AY123" s="18">
        <v>1</v>
      </c>
      <c r="AZ123" s="18">
        <v>1</v>
      </c>
      <c r="BA123" s="18">
        <v>1</v>
      </c>
      <c r="BB123" s="18">
        <v>1</v>
      </c>
      <c r="BC123" s="18">
        <v>1</v>
      </c>
      <c r="BD123" s="18">
        <v>1</v>
      </c>
      <c r="BE123" s="18">
        <v>1</v>
      </c>
      <c r="BF123" s="18">
        <v>1</v>
      </c>
      <c r="BG123" s="18">
        <v>1</v>
      </c>
      <c r="BH123" s="18">
        <v>1</v>
      </c>
      <c r="BI123" s="18">
        <v>1</v>
      </c>
      <c r="BJ123" s="19"/>
      <c r="BK123" s="18">
        <v>11.2</v>
      </c>
      <c r="BL123" s="18">
        <v>2</v>
      </c>
      <c r="BM123" s="18">
        <v>5.7</v>
      </c>
      <c r="BN123" s="18">
        <v>21.6</v>
      </c>
      <c r="BO123" s="18"/>
      <c r="BP123" s="18">
        <v>120</v>
      </c>
      <c r="BQ123" s="18">
        <v>23.999999999999996</v>
      </c>
      <c r="BR123" s="18">
        <v>0.76508277197057628</v>
      </c>
      <c r="BS123" s="18">
        <v>0.83335219591836762</v>
      </c>
      <c r="BT123" s="19"/>
      <c r="BU123" s="18">
        <v>942.99999999999989</v>
      </c>
      <c r="BV123" s="18">
        <v>377.66171428571334</v>
      </c>
      <c r="BW123" s="18">
        <v>134.71428571428598</v>
      </c>
      <c r="BX123" s="18">
        <v>228</v>
      </c>
      <c r="BY123" s="18">
        <v>17.999999999999996</v>
      </c>
      <c r="BZ123" s="18" t="s">
        <v>217</v>
      </c>
      <c r="CA123" s="18" t="s">
        <v>217</v>
      </c>
      <c r="CB123" s="19"/>
      <c r="CC123" s="19">
        <v>1.0271999999999999</v>
      </c>
      <c r="CD123" s="19">
        <v>0.93089999999999995</v>
      </c>
      <c r="CE123" s="19">
        <v>0.19259999999999999</v>
      </c>
      <c r="CF123" s="19">
        <v>0</v>
      </c>
      <c r="CG123" s="19">
        <v>5.2965</v>
      </c>
      <c r="CH123" s="19">
        <v>0.38519999999999999</v>
      </c>
      <c r="CI123" s="19">
        <v>0</v>
      </c>
      <c r="CJ123" s="19"/>
      <c r="CK123" s="19">
        <v>18.617999999999999</v>
      </c>
      <c r="CL123" s="19">
        <v>1.8617999999999999</v>
      </c>
      <c r="CM123" s="19">
        <v>8.0250000000000004</v>
      </c>
      <c r="CN123" s="19">
        <v>17.334</v>
      </c>
      <c r="CO123" s="19">
        <v>0</v>
      </c>
      <c r="CP123" s="19">
        <v>1.2840000000000001E-2</v>
      </c>
      <c r="CQ123" s="19">
        <v>17.165087598857099</v>
      </c>
      <c r="CR123" s="19">
        <v>69.892820884108872</v>
      </c>
      <c r="CS123" s="19">
        <v>1.8451704713404724</v>
      </c>
      <c r="CT123" s="19">
        <v>1.1881779550298521</v>
      </c>
      <c r="CU123" s="19">
        <v>0.8457031326977178</v>
      </c>
      <c r="CV123" s="19">
        <v>2.0338810877275741</v>
      </c>
      <c r="CW123" s="19">
        <v>2.2645273966451396</v>
      </c>
      <c r="CX123" s="19">
        <v>0</v>
      </c>
      <c r="CY123" s="19">
        <v>2.6070022189772577</v>
      </c>
      <c r="CZ123" s="19">
        <v>4.4032477156988703</v>
      </c>
      <c r="DA123" s="19">
        <v>0.67097108048744869</v>
      </c>
      <c r="DB123" s="19">
        <v>3.5435660188243285</v>
      </c>
      <c r="DC123" s="19">
        <v>6.1365896736247869</v>
      </c>
      <c r="DD123" s="19">
        <v>9.6801556924490875</v>
      </c>
      <c r="DE123" s="19">
        <v>3.2639947352878944</v>
      </c>
      <c r="DF123" s="23">
        <v>0</v>
      </c>
      <c r="DG123" s="23">
        <v>0</v>
      </c>
      <c r="DH123" s="23">
        <v>0</v>
      </c>
      <c r="DI123" s="19">
        <v>0</v>
      </c>
      <c r="DJ123" s="19">
        <v>0</v>
      </c>
      <c r="DK123" s="19">
        <v>0</v>
      </c>
      <c r="DL123" s="19">
        <v>0</v>
      </c>
      <c r="DM123" s="19">
        <v>0</v>
      </c>
      <c r="DN123" s="19">
        <v>0</v>
      </c>
      <c r="DO123" s="19">
        <v>0</v>
      </c>
      <c r="DP123" s="19">
        <v>0</v>
      </c>
      <c r="DQ123" s="19">
        <v>0</v>
      </c>
      <c r="DR123" s="19">
        <v>0</v>
      </c>
      <c r="DS123" s="19">
        <v>0</v>
      </c>
      <c r="DT123" s="19">
        <v>0</v>
      </c>
      <c r="DU123" s="19">
        <v>0</v>
      </c>
      <c r="DV123" s="19">
        <v>0</v>
      </c>
      <c r="DW123" s="17" t="s">
        <v>447</v>
      </c>
      <c r="DX123" s="22" t="s">
        <v>218</v>
      </c>
      <c r="DY123" s="22" t="s">
        <v>218</v>
      </c>
      <c r="DZ123" s="22" t="s">
        <v>218</v>
      </c>
      <c r="EA123" s="22" t="s">
        <v>218</v>
      </c>
      <c r="EB123" s="22" t="s">
        <v>218</v>
      </c>
      <c r="EC123" s="22" t="s">
        <v>218</v>
      </c>
      <c r="ED123" s="22" t="s">
        <v>218</v>
      </c>
      <c r="EE123" s="22" t="s">
        <v>218</v>
      </c>
      <c r="EF123" s="22" t="s">
        <v>218</v>
      </c>
      <c r="EG123" s="22" t="s">
        <v>218</v>
      </c>
      <c r="EH123" s="22" t="s">
        <v>218</v>
      </c>
      <c r="EI123" s="22" t="s">
        <v>218</v>
      </c>
      <c r="EJ123" s="22" t="s">
        <v>218</v>
      </c>
      <c r="EK123" s="22" t="s">
        <v>218</v>
      </c>
      <c r="EL123" s="22" t="s">
        <v>218</v>
      </c>
      <c r="EM123" s="22" t="s">
        <v>218</v>
      </c>
      <c r="EN123" s="22" t="s">
        <v>218</v>
      </c>
      <c r="EO123" s="22" t="s">
        <v>218</v>
      </c>
      <c r="EP123" s="22" t="s">
        <v>218</v>
      </c>
      <c r="EQ123" s="22" t="s">
        <v>218</v>
      </c>
      <c r="ER123" s="22" t="s">
        <v>218</v>
      </c>
      <c r="ES123" s="22" t="s">
        <v>218</v>
      </c>
      <c r="ET123" s="22" t="s">
        <v>218</v>
      </c>
      <c r="EU123" s="22" t="s">
        <v>218</v>
      </c>
      <c r="EV123" s="22" t="s">
        <v>218</v>
      </c>
      <c r="EW123" s="22" t="s">
        <v>218</v>
      </c>
      <c r="EX123" s="22" t="s">
        <v>218</v>
      </c>
      <c r="EY123" s="22" t="s">
        <v>218</v>
      </c>
      <c r="EZ123" s="22" t="s">
        <v>218</v>
      </c>
      <c r="FA123" s="22" t="s">
        <v>218</v>
      </c>
      <c r="FB123" s="22" t="s">
        <v>218</v>
      </c>
      <c r="FC123" s="22" t="s">
        <v>218</v>
      </c>
      <c r="FD123" s="22" t="s">
        <v>218</v>
      </c>
      <c r="FE123" s="22" t="s">
        <v>218</v>
      </c>
      <c r="FF123" s="22" t="s">
        <v>218</v>
      </c>
      <c r="FG123" s="22" t="s">
        <v>218</v>
      </c>
      <c r="FH123" s="22" t="s">
        <v>218</v>
      </c>
      <c r="FI123" s="22" t="s">
        <v>218</v>
      </c>
      <c r="FJ123" s="22" t="s">
        <v>218</v>
      </c>
      <c r="FK123" s="22" t="s">
        <v>218</v>
      </c>
      <c r="FL123" s="22" t="s">
        <v>218</v>
      </c>
      <c r="FM123" s="22" t="s">
        <v>218</v>
      </c>
      <c r="FN123" s="22" t="s">
        <v>218</v>
      </c>
      <c r="FO123" s="22" t="s">
        <v>218</v>
      </c>
      <c r="FP123" s="22" t="s">
        <v>218</v>
      </c>
      <c r="FQ123" s="22" t="s">
        <v>218</v>
      </c>
      <c r="FR123" s="22" t="s">
        <v>218</v>
      </c>
      <c r="FS123" s="22" t="s">
        <v>218</v>
      </c>
      <c r="FT123" s="22" t="s">
        <v>218</v>
      </c>
      <c r="FU123" s="22" t="s">
        <v>218</v>
      </c>
      <c r="FV123" s="22" t="s">
        <v>218</v>
      </c>
      <c r="FW123" s="22" t="s">
        <v>218</v>
      </c>
      <c r="FX123" s="22" t="s">
        <v>218</v>
      </c>
      <c r="FY123" s="22" t="s">
        <v>218</v>
      </c>
      <c r="FZ123" s="22" t="s">
        <v>218</v>
      </c>
      <c r="GA123" s="22" t="s">
        <v>218</v>
      </c>
      <c r="GB123" s="22" t="s">
        <v>218</v>
      </c>
      <c r="GC123" s="22" t="s">
        <v>218</v>
      </c>
      <c r="GD123" s="22" t="s">
        <v>218</v>
      </c>
      <c r="GE123" s="22" t="s">
        <v>218</v>
      </c>
      <c r="GF123" s="22" t="s">
        <v>218</v>
      </c>
      <c r="GG123" s="22" t="s">
        <v>218</v>
      </c>
      <c r="GH123" s="22" t="s">
        <v>218</v>
      </c>
      <c r="GI123" s="22" t="s">
        <v>218</v>
      </c>
      <c r="GJ123" s="22" t="s">
        <v>218</v>
      </c>
      <c r="GK123" s="22" t="s">
        <v>218</v>
      </c>
      <c r="GL123" s="22" t="s">
        <v>218</v>
      </c>
      <c r="GM123" s="22" t="s">
        <v>218</v>
      </c>
      <c r="GN123" s="22" t="s">
        <v>218</v>
      </c>
      <c r="GO123" s="22" t="s">
        <v>218</v>
      </c>
      <c r="GP123" s="22" t="s">
        <v>218</v>
      </c>
      <c r="GQ123" s="22" t="s">
        <v>218</v>
      </c>
      <c r="GR123" s="22" t="s">
        <v>218</v>
      </c>
      <c r="GS123" s="22" t="s">
        <v>218</v>
      </c>
      <c r="GT123" s="22" t="s">
        <v>218</v>
      </c>
      <c r="GU123" s="22" t="s">
        <v>218</v>
      </c>
      <c r="GV123" s="22" t="s">
        <v>218</v>
      </c>
      <c r="GW123" s="22" t="s">
        <v>218</v>
      </c>
      <c r="GX123" s="22" t="s">
        <v>218</v>
      </c>
      <c r="GY123" s="22" t="s">
        <v>218</v>
      </c>
      <c r="GZ123" s="22" t="s">
        <v>218</v>
      </c>
      <c r="HA123" s="22" t="s">
        <v>218</v>
      </c>
      <c r="HB123" s="22" t="s">
        <v>218</v>
      </c>
      <c r="HC123" s="22" t="s">
        <v>218</v>
      </c>
      <c r="HD123" s="22" t="s">
        <v>218</v>
      </c>
      <c r="HE123" s="22" t="s">
        <v>218</v>
      </c>
      <c r="HF123" s="22" t="s">
        <v>218</v>
      </c>
      <c r="HG123" s="22" t="s">
        <v>218</v>
      </c>
      <c r="HH123" s="22" t="s">
        <v>218</v>
      </c>
      <c r="HI123" s="22" t="s">
        <v>218</v>
      </c>
      <c r="HJ123" s="22" t="s">
        <v>218</v>
      </c>
      <c r="HK123" s="22" t="s">
        <v>218</v>
      </c>
      <c r="HL123" s="22" t="s">
        <v>218</v>
      </c>
      <c r="HM123" s="620">
        <f>'background data'!$G$16</f>
        <v>0.30099999999999999</v>
      </c>
      <c r="HN123" s="620">
        <f>'background data'!$H$16</f>
        <v>9.4E-2</v>
      </c>
      <c r="HO123" s="620">
        <f>'background data'!$J$16</f>
        <v>0.27200000000000002</v>
      </c>
      <c r="HP123" s="620">
        <f>'background data'!$L$16</f>
        <v>2.8000000000000001E-2</v>
      </c>
      <c r="HQ123" s="620">
        <f>'background data'!$M$16</f>
        <v>2.2999999999999998</v>
      </c>
      <c r="HR123" s="620">
        <f>'background data'!$N$16</f>
        <v>3.2000000000000002E-3</v>
      </c>
      <c r="HS123" s="620">
        <f>'background data'!$O$16</f>
        <v>1.91</v>
      </c>
      <c r="HT123" s="145"/>
      <c r="HU123" s="145" t="s">
        <v>1809</v>
      </c>
      <c r="HV123" s="22" t="s">
        <v>1951</v>
      </c>
      <c r="HW123" s="22" t="s">
        <v>448</v>
      </c>
      <c r="HX123" s="22" t="s">
        <v>324</v>
      </c>
      <c r="HY123" s="22" t="s">
        <v>325</v>
      </c>
      <c r="HZ123" s="19"/>
      <c r="IA123" s="19"/>
      <c r="IB123" s="620">
        <f>'background data'!$G$16</f>
        <v>0.30099999999999999</v>
      </c>
      <c r="IC123" s="620">
        <f>'background data'!$H$16</f>
        <v>9.4E-2</v>
      </c>
      <c r="ID123" s="620">
        <f>'background data'!$J$16</f>
        <v>0.27200000000000002</v>
      </c>
      <c r="IE123" s="620">
        <f>'background data'!$L$16</f>
        <v>2.8000000000000001E-2</v>
      </c>
      <c r="IF123" s="620">
        <f>'background data'!$M$16</f>
        <v>2.2999999999999998</v>
      </c>
      <c r="IG123" s="620">
        <f>'background data'!$N$16</f>
        <v>3.2000000000000002E-3</v>
      </c>
      <c r="IH123" s="620">
        <f>'background data'!$O$16</f>
        <v>1.91</v>
      </c>
      <c r="II123" s="145"/>
      <c r="IJ123" s="145"/>
      <c r="IK123" s="145"/>
      <c r="IL123" s="145"/>
      <c r="IM123" s="145"/>
      <c r="IN123" s="145"/>
      <c r="IO123" s="145"/>
      <c r="IP123" s="145"/>
      <c r="IQ123" s="145"/>
      <c r="IR123" s="145"/>
      <c r="IS123" s="145"/>
      <c r="IT123" s="145"/>
      <c r="IU123" s="145"/>
      <c r="IV123" s="145"/>
      <c r="IW123" s="145"/>
      <c r="IX123" s="145"/>
      <c r="IY123" s="145"/>
      <c r="IZ123" s="145"/>
      <c r="JA123" s="145"/>
      <c r="JB123" s="145"/>
      <c r="JC123" s="145"/>
      <c r="JD123" s="145"/>
      <c r="JE123" s="145"/>
      <c r="JF123" s="145"/>
      <c r="JG123" s="145"/>
      <c r="JH123" s="145"/>
      <c r="JI123" s="145"/>
      <c r="JJ123" s="145"/>
      <c r="JK123" s="145"/>
      <c r="JL123" s="145"/>
      <c r="JM123" s="145"/>
      <c r="JN123" s="145"/>
      <c r="JO123" s="145"/>
      <c r="JP123" s="145"/>
      <c r="JQ123" s="145"/>
      <c r="JR123" s="145"/>
      <c r="JS123" s="145"/>
      <c r="JT123" s="145"/>
      <c r="JU123" s="145"/>
      <c r="JV123" s="145"/>
      <c r="JW123" s="145"/>
      <c r="JX123" s="145"/>
      <c r="JY123" s="145"/>
      <c r="JZ123" s="145"/>
      <c r="KA123" s="145"/>
      <c r="KB123" s="145"/>
      <c r="KC123" s="145"/>
      <c r="KD123" s="145"/>
      <c r="KE123" s="145"/>
      <c r="KF123" s="145"/>
      <c r="KG123" s="145"/>
      <c r="KH123" s="145"/>
      <c r="KI123" s="145"/>
      <c r="KJ123" s="145"/>
      <c r="KK123" s="145"/>
      <c r="KL123" s="145"/>
      <c r="KM123" s="145"/>
      <c r="KN123" s="145"/>
      <c r="KO123" s="145"/>
      <c r="KP123" s="145"/>
      <c r="KQ123" s="145"/>
      <c r="KR123" s="145"/>
      <c r="KS123" s="145"/>
      <c r="KT123" s="145"/>
      <c r="KU123" s="145"/>
      <c r="KV123" s="145"/>
      <c r="KW123" s="145"/>
      <c r="KX123" s="145"/>
      <c r="KY123" s="145"/>
      <c r="KZ123" s="145"/>
      <c r="LA123" s="145"/>
      <c r="LB123" s="145"/>
      <c r="LC123" s="145"/>
      <c r="LD123" s="145"/>
      <c r="LE123" s="145"/>
      <c r="LF123" s="145"/>
      <c r="LG123" s="145"/>
      <c r="LH123" s="145"/>
      <c r="LI123" s="145"/>
      <c r="LJ123" s="145"/>
      <c r="LK123" s="145"/>
      <c r="LL123" s="145"/>
      <c r="LM123" s="145"/>
      <c r="LN123" s="145"/>
      <c r="LO123" s="145"/>
      <c r="LP123" s="145"/>
      <c r="LQ123" s="145"/>
      <c r="LR123" s="145"/>
      <c r="LS123" s="145"/>
      <c r="LT123" s="145"/>
      <c r="LU123" s="145"/>
      <c r="LV123" s="145"/>
      <c r="LW123" s="145"/>
      <c r="LX123" s="145"/>
      <c r="LY123" s="145"/>
      <c r="LZ123" s="145"/>
      <c r="MA123" s="145"/>
      <c r="MB123" s="145"/>
      <c r="MC123" s="145"/>
      <c r="MD123" s="145"/>
      <c r="ME123" s="145"/>
      <c r="MF123" s="145"/>
      <c r="MG123" s="145"/>
      <c r="MH123" s="145"/>
      <c r="MI123" s="145"/>
      <c r="MJ123" s="145"/>
      <c r="MK123" s="145"/>
      <c r="ML123" s="145"/>
      <c r="MM123" s="145"/>
      <c r="MN123" s="145"/>
      <c r="MO123" s="145"/>
      <c r="MP123" s="145"/>
      <c r="MQ123" s="145"/>
      <c r="MR123" s="145"/>
      <c r="MS123" s="145"/>
      <c r="MT123" s="145"/>
      <c r="MU123" s="145"/>
      <c r="MV123" s="145"/>
      <c r="MW123" s="145"/>
      <c r="MX123" s="145"/>
      <c r="MY123" s="145"/>
      <c r="MZ123" s="145"/>
      <c r="NA123" s="145"/>
      <c r="NB123" s="145"/>
      <c r="NC123" s="145"/>
      <c r="ND123" s="145"/>
      <c r="NE123" s="145"/>
      <c r="NF123" s="145"/>
      <c r="NG123" s="145"/>
      <c r="NH123" s="145"/>
      <c r="NI123" s="145"/>
      <c r="NJ123" s="145"/>
      <c r="NK123" s="145"/>
      <c r="NL123" s="145"/>
      <c r="NM123" s="145"/>
      <c r="NN123" s="145"/>
      <c r="NO123" s="145"/>
      <c r="NP123" s="145"/>
      <c r="NQ123" s="145"/>
      <c r="NR123" s="145"/>
      <c r="NS123" s="145"/>
    </row>
    <row r="124" spans="1:383" s="16" customFormat="1" ht="15" customHeight="1" x14ac:dyDescent="0.2">
      <c r="A124" s="15">
        <v>73000</v>
      </c>
      <c r="B124" s="25">
        <v>730</v>
      </c>
      <c r="C124" s="26">
        <v>0</v>
      </c>
      <c r="D124" s="20" t="s">
        <v>449</v>
      </c>
      <c r="E124" s="14">
        <v>40310</v>
      </c>
      <c r="F124" s="18">
        <v>0.22381864854336</v>
      </c>
      <c r="G124" s="18">
        <v>0.243616201961039</v>
      </c>
      <c r="H124" s="21">
        <v>67.510000000000005</v>
      </c>
      <c r="I124" s="21">
        <v>57.5</v>
      </c>
      <c r="J124" s="21">
        <v>75</v>
      </c>
      <c r="K124" s="18">
        <v>1</v>
      </c>
      <c r="L124" s="18">
        <v>29.5</v>
      </c>
      <c r="M124" s="18">
        <v>3.9235000000000002</v>
      </c>
      <c r="N124" s="18">
        <v>0.59</v>
      </c>
      <c r="O124" s="18">
        <v>1.9175</v>
      </c>
      <c r="P124" s="18">
        <v>6.5194999999999999</v>
      </c>
      <c r="Q124" s="19"/>
      <c r="R124" s="18">
        <v>52.253000751879704</v>
      </c>
      <c r="S124" s="18">
        <v>37</v>
      </c>
      <c r="T124" s="18">
        <v>37</v>
      </c>
      <c r="U124" s="18">
        <v>37</v>
      </c>
      <c r="V124" s="18">
        <v>37</v>
      </c>
      <c r="W124" s="18">
        <v>37</v>
      </c>
      <c r="X124" s="18"/>
      <c r="Y124" s="18">
        <v>5.6</v>
      </c>
      <c r="Z124" s="18">
        <v>2.9</v>
      </c>
      <c r="AA124" s="18">
        <v>0.6</v>
      </c>
      <c r="AB124" s="18">
        <v>0</v>
      </c>
      <c r="AC124" s="18">
        <v>17.600000000000001</v>
      </c>
      <c r="AD124" s="18">
        <v>1.4</v>
      </c>
      <c r="AE124" s="18">
        <v>0</v>
      </c>
      <c r="AF124" s="18">
        <v>58</v>
      </c>
      <c r="AG124" s="18">
        <v>6.2</v>
      </c>
      <c r="AH124" s="18">
        <v>29</v>
      </c>
      <c r="AI124" s="18">
        <v>52</v>
      </c>
      <c r="AJ124" s="18">
        <v>0</v>
      </c>
      <c r="AK124" s="18">
        <v>0.04</v>
      </c>
      <c r="AL124" s="18"/>
      <c r="AM124" s="18">
        <v>2.93</v>
      </c>
      <c r="AN124" s="18">
        <v>1.3</v>
      </c>
      <c r="AO124" s="18">
        <v>0.89</v>
      </c>
      <c r="AP124" s="18">
        <v>2.71</v>
      </c>
      <c r="AQ124" s="18">
        <v>0</v>
      </c>
      <c r="AR124" s="18">
        <v>3.92</v>
      </c>
      <c r="AS124" s="18">
        <v>6.1</v>
      </c>
      <c r="AT124" s="18">
        <v>1.29</v>
      </c>
      <c r="AU124" s="18">
        <v>4.18</v>
      </c>
      <c r="AV124" s="18">
        <v>5.66</v>
      </c>
      <c r="AW124" s="18">
        <v>4.83</v>
      </c>
      <c r="AX124" s="18"/>
      <c r="AY124" s="18">
        <v>1</v>
      </c>
      <c r="AZ124" s="18">
        <v>1</v>
      </c>
      <c r="BA124" s="18">
        <v>1</v>
      </c>
      <c r="BB124" s="18">
        <v>1</v>
      </c>
      <c r="BC124" s="18">
        <v>1</v>
      </c>
      <c r="BD124" s="18">
        <v>1</v>
      </c>
      <c r="BE124" s="18">
        <v>1</v>
      </c>
      <c r="BF124" s="18">
        <v>1</v>
      </c>
      <c r="BG124" s="18">
        <v>1</v>
      </c>
      <c r="BH124" s="18">
        <v>1</v>
      </c>
      <c r="BI124" s="18">
        <v>1</v>
      </c>
      <c r="BJ124" s="19"/>
      <c r="BK124" s="18">
        <v>13.3</v>
      </c>
      <c r="BL124" s="18">
        <v>2</v>
      </c>
      <c r="BM124" s="18">
        <v>6.5</v>
      </c>
      <c r="BN124" s="18">
        <v>22.099999999999998</v>
      </c>
      <c r="BO124" s="18"/>
      <c r="BP124" s="18">
        <v>0</v>
      </c>
      <c r="BQ124" s="18">
        <v>0</v>
      </c>
      <c r="BR124" s="18">
        <v>0.75870728319783054</v>
      </c>
      <c r="BS124" s="18">
        <v>0.82581763376623396</v>
      </c>
      <c r="BT124" s="19"/>
      <c r="BU124" s="18">
        <v>935</v>
      </c>
      <c r="BV124" s="18">
        <v>357.08349999999996</v>
      </c>
      <c r="BW124" s="18">
        <v>133.70499999999998</v>
      </c>
      <c r="BX124" s="18">
        <v>201</v>
      </c>
      <c r="BY124" s="18">
        <v>22.254339999999999</v>
      </c>
      <c r="BZ124" s="18" t="s">
        <v>217</v>
      </c>
      <c r="CA124" s="18" t="s">
        <v>217</v>
      </c>
      <c r="CB124" s="19"/>
      <c r="CC124" s="19">
        <v>1.6519999999999999</v>
      </c>
      <c r="CD124" s="19">
        <v>0.85549999999999993</v>
      </c>
      <c r="CE124" s="19">
        <v>0.17699999999999999</v>
      </c>
      <c r="CF124" s="19">
        <v>0</v>
      </c>
      <c r="CG124" s="19">
        <v>5.1920000000000002</v>
      </c>
      <c r="CH124" s="19">
        <v>0.41299999999999998</v>
      </c>
      <c r="CI124" s="19">
        <v>0</v>
      </c>
      <c r="CJ124" s="19"/>
      <c r="CK124" s="19">
        <v>17.11</v>
      </c>
      <c r="CL124" s="19">
        <v>1.829</v>
      </c>
      <c r="CM124" s="19">
        <v>8.5549999999999997</v>
      </c>
      <c r="CN124" s="19">
        <v>15.34</v>
      </c>
      <c r="CO124" s="19">
        <v>0</v>
      </c>
      <c r="CP124" s="19">
        <v>1.18E-2</v>
      </c>
      <c r="CQ124" s="19">
        <v>20.501464845000001</v>
      </c>
      <c r="CR124" s="19">
        <v>91.598555251879674</v>
      </c>
      <c r="CS124" s="19">
        <v>2.6838376688800838</v>
      </c>
      <c r="CT124" s="19">
        <v>1.1907812182744357</v>
      </c>
      <c r="CU124" s="19">
        <v>0.81522714174172906</v>
      </c>
      <c r="CV124" s="19">
        <v>2.0060083600161738</v>
      </c>
      <c r="CW124" s="19">
        <v>2.4823208473259393</v>
      </c>
      <c r="CX124" s="19">
        <v>0</v>
      </c>
      <c r="CY124" s="19">
        <v>3.5906633658736746</v>
      </c>
      <c r="CZ124" s="19">
        <v>5.5875118703646605</v>
      </c>
      <c r="DA124" s="19">
        <v>1.1816213627492478</v>
      </c>
      <c r="DB124" s="19">
        <v>3.828819609528566</v>
      </c>
      <c r="DC124" s="19">
        <v>5.1844782272563901</v>
      </c>
      <c r="DD124" s="19">
        <v>9.0132978367849592</v>
      </c>
      <c r="DE124" s="19">
        <v>4.4242102186657881</v>
      </c>
      <c r="DF124" s="23">
        <v>0</v>
      </c>
      <c r="DG124" s="23">
        <v>0</v>
      </c>
      <c r="DH124" s="23">
        <v>0</v>
      </c>
      <c r="DI124" s="19">
        <v>0</v>
      </c>
      <c r="DJ124" s="19">
        <v>0</v>
      </c>
      <c r="DK124" s="19">
        <v>0</v>
      </c>
      <c r="DL124" s="19">
        <v>0</v>
      </c>
      <c r="DM124" s="19">
        <v>0</v>
      </c>
      <c r="DN124" s="19">
        <v>0</v>
      </c>
      <c r="DO124" s="19">
        <v>0</v>
      </c>
      <c r="DP124" s="19">
        <v>0</v>
      </c>
      <c r="DQ124" s="19">
        <v>0</v>
      </c>
      <c r="DR124" s="19">
        <v>0</v>
      </c>
      <c r="DS124" s="19">
        <v>0</v>
      </c>
      <c r="DT124" s="19">
        <v>0</v>
      </c>
      <c r="DU124" s="19">
        <v>0</v>
      </c>
      <c r="DV124" s="19">
        <v>0</v>
      </c>
      <c r="DW124" s="17" t="s">
        <v>447</v>
      </c>
      <c r="DX124" s="22" t="s">
        <v>218</v>
      </c>
      <c r="DY124" s="22" t="s">
        <v>218</v>
      </c>
      <c r="DZ124" s="22" t="s">
        <v>218</v>
      </c>
      <c r="EA124" s="22" t="s">
        <v>218</v>
      </c>
      <c r="EB124" s="22" t="s">
        <v>218</v>
      </c>
      <c r="EC124" s="22" t="s">
        <v>218</v>
      </c>
      <c r="ED124" s="22" t="s">
        <v>218</v>
      </c>
      <c r="EE124" s="22" t="s">
        <v>218</v>
      </c>
      <c r="EF124" s="22" t="s">
        <v>218</v>
      </c>
      <c r="EG124" s="22" t="s">
        <v>218</v>
      </c>
      <c r="EH124" s="22" t="s">
        <v>218</v>
      </c>
      <c r="EI124" s="22" t="s">
        <v>218</v>
      </c>
      <c r="EJ124" s="22" t="s">
        <v>218</v>
      </c>
      <c r="EK124" s="22" t="s">
        <v>218</v>
      </c>
      <c r="EL124" s="22" t="s">
        <v>218</v>
      </c>
      <c r="EM124" s="22" t="s">
        <v>218</v>
      </c>
      <c r="EN124" s="22" t="s">
        <v>218</v>
      </c>
      <c r="EO124" s="22" t="s">
        <v>218</v>
      </c>
      <c r="EP124" s="22" t="s">
        <v>218</v>
      </c>
      <c r="EQ124" s="22" t="s">
        <v>218</v>
      </c>
      <c r="ER124" s="22" t="s">
        <v>218</v>
      </c>
      <c r="ES124" s="22" t="s">
        <v>218</v>
      </c>
      <c r="ET124" s="22" t="s">
        <v>218</v>
      </c>
      <c r="EU124" s="22" t="s">
        <v>218</v>
      </c>
      <c r="EV124" s="22" t="s">
        <v>218</v>
      </c>
      <c r="EW124" s="22" t="s">
        <v>218</v>
      </c>
      <c r="EX124" s="22" t="s">
        <v>218</v>
      </c>
      <c r="EY124" s="22" t="s">
        <v>218</v>
      </c>
      <c r="EZ124" s="22" t="s">
        <v>218</v>
      </c>
      <c r="FA124" s="22" t="s">
        <v>218</v>
      </c>
      <c r="FB124" s="22" t="s">
        <v>218</v>
      </c>
      <c r="FC124" s="22" t="s">
        <v>218</v>
      </c>
      <c r="FD124" s="22" t="s">
        <v>218</v>
      </c>
      <c r="FE124" s="22" t="s">
        <v>218</v>
      </c>
      <c r="FF124" s="22" t="s">
        <v>218</v>
      </c>
      <c r="FG124" s="22" t="s">
        <v>218</v>
      </c>
      <c r="FH124" s="22" t="s">
        <v>218</v>
      </c>
      <c r="FI124" s="22" t="s">
        <v>218</v>
      </c>
      <c r="FJ124" s="22" t="s">
        <v>218</v>
      </c>
      <c r="FK124" s="22" t="s">
        <v>218</v>
      </c>
      <c r="FL124" s="22" t="s">
        <v>218</v>
      </c>
      <c r="FM124" s="22" t="s">
        <v>218</v>
      </c>
      <c r="FN124" s="22" t="s">
        <v>218</v>
      </c>
      <c r="FO124" s="22" t="s">
        <v>218</v>
      </c>
      <c r="FP124" s="22" t="s">
        <v>218</v>
      </c>
      <c r="FQ124" s="22" t="s">
        <v>218</v>
      </c>
      <c r="FR124" s="22" t="s">
        <v>218</v>
      </c>
      <c r="FS124" s="22" t="s">
        <v>218</v>
      </c>
      <c r="FT124" s="22" t="s">
        <v>218</v>
      </c>
      <c r="FU124" s="22" t="s">
        <v>218</v>
      </c>
      <c r="FV124" s="22" t="s">
        <v>218</v>
      </c>
      <c r="FW124" s="22" t="s">
        <v>218</v>
      </c>
      <c r="FX124" s="22" t="s">
        <v>218</v>
      </c>
      <c r="FY124" s="22" t="s">
        <v>218</v>
      </c>
      <c r="FZ124" s="22" t="s">
        <v>218</v>
      </c>
      <c r="GA124" s="22" t="s">
        <v>218</v>
      </c>
      <c r="GB124" s="22" t="s">
        <v>218</v>
      </c>
      <c r="GC124" s="22" t="s">
        <v>218</v>
      </c>
      <c r="GD124" s="22" t="s">
        <v>218</v>
      </c>
      <c r="GE124" s="22" t="s">
        <v>218</v>
      </c>
      <c r="GF124" s="22" t="s">
        <v>218</v>
      </c>
      <c r="GG124" s="22" t="s">
        <v>218</v>
      </c>
      <c r="GH124" s="22" t="s">
        <v>218</v>
      </c>
      <c r="GI124" s="22" t="s">
        <v>218</v>
      </c>
      <c r="GJ124" s="22" t="s">
        <v>218</v>
      </c>
      <c r="GK124" s="22" t="s">
        <v>218</v>
      </c>
      <c r="GL124" s="22" t="s">
        <v>218</v>
      </c>
      <c r="GM124" s="22" t="s">
        <v>218</v>
      </c>
      <c r="GN124" s="22" t="s">
        <v>218</v>
      </c>
      <c r="GO124" s="22" t="s">
        <v>218</v>
      </c>
      <c r="GP124" s="22" t="s">
        <v>218</v>
      </c>
      <c r="GQ124" s="22" t="s">
        <v>218</v>
      </c>
      <c r="GR124" s="22" t="s">
        <v>218</v>
      </c>
      <c r="GS124" s="22" t="s">
        <v>218</v>
      </c>
      <c r="GT124" s="22" t="s">
        <v>218</v>
      </c>
      <c r="GU124" s="22" t="s">
        <v>218</v>
      </c>
      <c r="GV124" s="22" t="s">
        <v>218</v>
      </c>
      <c r="GW124" s="22" t="s">
        <v>218</v>
      </c>
      <c r="GX124" s="22" t="s">
        <v>218</v>
      </c>
      <c r="GY124" s="22" t="s">
        <v>218</v>
      </c>
      <c r="GZ124" s="22" t="s">
        <v>218</v>
      </c>
      <c r="HA124" s="22" t="s">
        <v>218</v>
      </c>
      <c r="HB124" s="22" t="s">
        <v>218</v>
      </c>
      <c r="HC124" s="22" t="s">
        <v>218</v>
      </c>
      <c r="HD124" s="22" t="s">
        <v>218</v>
      </c>
      <c r="HE124" s="22" t="s">
        <v>218</v>
      </c>
      <c r="HF124" s="22" t="s">
        <v>218</v>
      </c>
      <c r="HG124" s="22" t="s">
        <v>218</v>
      </c>
      <c r="HH124" s="22" t="s">
        <v>218</v>
      </c>
      <c r="HI124" s="22" t="s">
        <v>218</v>
      </c>
      <c r="HJ124" s="22" t="s">
        <v>218</v>
      </c>
      <c r="HK124" s="22" t="s">
        <v>218</v>
      </c>
      <c r="HL124" s="22" t="s">
        <v>218</v>
      </c>
      <c r="HM124" s="622">
        <f>'background data'!$G$16</f>
        <v>0.30099999999999999</v>
      </c>
      <c r="HN124" s="622">
        <f>'background data'!$H$16</f>
        <v>9.4E-2</v>
      </c>
      <c r="HO124" s="622">
        <f>'background data'!$J$16</f>
        <v>0.27200000000000002</v>
      </c>
      <c r="HP124" s="622">
        <f>'background data'!$L$16</f>
        <v>2.8000000000000001E-2</v>
      </c>
      <c r="HQ124" s="622">
        <f>'background data'!$M$16</f>
        <v>2.2999999999999998</v>
      </c>
      <c r="HR124" s="622">
        <f>'background data'!$N$16</f>
        <v>3.2000000000000002E-3</v>
      </c>
      <c r="HS124" s="622">
        <f>'background data'!$O$16</f>
        <v>1.91</v>
      </c>
      <c r="HT124" s="145" t="s">
        <v>1800</v>
      </c>
      <c r="HU124" s="145" t="s">
        <v>1809</v>
      </c>
      <c r="HV124" s="22" t="s">
        <v>1952</v>
      </c>
      <c r="HW124" s="22" t="s">
        <v>448</v>
      </c>
      <c r="HX124" s="22" t="s">
        <v>324</v>
      </c>
      <c r="HY124" s="22" t="s">
        <v>325</v>
      </c>
      <c r="HZ124" s="19"/>
      <c r="IA124" s="19"/>
      <c r="IB124" s="622">
        <f>'background data'!$G$16</f>
        <v>0.30099999999999999</v>
      </c>
      <c r="IC124" s="622">
        <f>'background data'!$H$16</f>
        <v>9.4E-2</v>
      </c>
      <c r="ID124" s="622">
        <f>'background data'!$J$16</f>
        <v>0.27200000000000002</v>
      </c>
      <c r="IE124" s="622">
        <f>'background data'!$L$16</f>
        <v>2.8000000000000001E-2</v>
      </c>
      <c r="IF124" s="622">
        <f>'background data'!$M$16</f>
        <v>2.2999999999999998</v>
      </c>
      <c r="IG124" s="622">
        <f>'background data'!$N$16</f>
        <v>3.2000000000000002E-3</v>
      </c>
      <c r="IH124" s="622">
        <f>'background data'!$O$16</f>
        <v>1.91</v>
      </c>
      <c r="II124" s="145" t="s">
        <v>1800</v>
      </c>
      <c r="IJ124" s="145"/>
      <c r="IK124" s="145"/>
      <c r="IL124" s="145"/>
      <c r="IM124" s="145"/>
      <c r="IN124" s="145"/>
      <c r="IO124" s="145"/>
      <c r="IP124" s="145"/>
      <c r="IQ124" s="145"/>
      <c r="IR124" s="145"/>
      <c r="IS124" s="145"/>
      <c r="IT124" s="145"/>
      <c r="IU124" s="145"/>
      <c r="IV124" s="145"/>
      <c r="IW124" s="145"/>
      <c r="IX124" s="145"/>
      <c r="IY124" s="145"/>
      <c r="IZ124" s="145"/>
      <c r="JA124" s="145"/>
      <c r="JB124" s="145"/>
      <c r="JC124" s="145"/>
      <c r="JD124" s="145"/>
      <c r="JE124" s="145"/>
      <c r="JF124" s="145"/>
      <c r="JG124" s="145"/>
      <c r="JH124" s="145"/>
      <c r="JI124" s="145"/>
      <c r="JJ124" s="145"/>
      <c r="JK124" s="145"/>
      <c r="JL124" s="145"/>
      <c r="JM124" s="145"/>
      <c r="JN124" s="145"/>
      <c r="JO124" s="145"/>
      <c r="JP124" s="145"/>
      <c r="JQ124" s="145"/>
      <c r="JR124" s="145"/>
      <c r="JS124" s="145"/>
      <c r="JT124" s="145"/>
      <c r="JU124" s="145"/>
      <c r="JV124" s="145"/>
      <c r="JW124" s="145"/>
      <c r="JX124" s="145"/>
      <c r="JY124" s="145"/>
      <c r="JZ124" s="145"/>
      <c r="KA124" s="145"/>
      <c r="KB124" s="145"/>
      <c r="KC124" s="145"/>
      <c r="KD124" s="145"/>
      <c r="KE124" s="145"/>
      <c r="KF124" s="145"/>
      <c r="KG124" s="145"/>
      <c r="KH124" s="145"/>
      <c r="KI124" s="145"/>
      <c r="KJ124" s="145"/>
      <c r="KK124" s="145"/>
      <c r="KL124" s="145"/>
      <c r="KM124" s="145"/>
      <c r="KN124" s="145"/>
      <c r="KO124" s="145"/>
      <c r="KP124" s="145"/>
      <c r="KQ124" s="145"/>
      <c r="KR124" s="145"/>
      <c r="KS124" s="145"/>
      <c r="KT124" s="145"/>
      <c r="KU124" s="145"/>
      <c r="KV124" s="145"/>
      <c r="KW124" s="145"/>
      <c r="KX124" s="145"/>
      <c r="KY124" s="145"/>
      <c r="KZ124" s="145"/>
      <c r="LA124" s="145"/>
      <c r="LB124" s="145"/>
      <c r="LC124" s="145"/>
      <c r="LD124" s="145"/>
      <c r="LE124" s="145"/>
      <c r="LF124" s="145"/>
      <c r="LG124" s="145"/>
      <c r="LH124" s="145"/>
      <c r="LI124" s="145"/>
      <c r="LJ124" s="145"/>
      <c r="LK124" s="145"/>
      <c r="LL124" s="145"/>
      <c r="LM124" s="145"/>
      <c r="LN124" s="145"/>
      <c r="LO124" s="145"/>
      <c r="LP124" s="145"/>
      <c r="LQ124" s="145"/>
      <c r="LR124" s="145"/>
      <c r="LS124" s="145"/>
      <c r="LT124" s="145"/>
      <c r="LU124" s="145"/>
      <c r="LV124" s="145"/>
      <c r="LW124" s="145"/>
      <c r="LX124" s="145"/>
      <c r="LY124" s="145"/>
      <c r="LZ124" s="145"/>
      <c r="MA124" s="145"/>
      <c r="MB124" s="145"/>
      <c r="MC124" s="145"/>
      <c r="MD124" s="145"/>
      <c r="ME124" s="145"/>
      <c r="MF124" s="145"/>
      <c r="MG124" s="145"/>
      <c r="MH124" s="145"/>
      <c r="MI124" s="145"/>
      <c r="MJ124" s="145"/>
      <c r="MK124" s="145"/>
      <c r="ML124" s="145"/>
      <c r="MM124" s="145"/>
      <c r="MN124" s="145"/>
      <c r="MO124" s="145"/>
      <c r="MP124" s="145"/>
      <c r="MQ124" s="145"/>
      <c r="MR124" s="145"/>
      <c r="MS124" s="145"/>
      <c r="MT124" s="145"/>
      <c r="MU124" s="145"/>
      <c r="MV124" s="145"/>
      <c r="MW124" s="145"/>
      <c r="MX124" s="145"/>
      <c r="MY124" s="145"/>
      <c r="MZ124" s="145"/>
      <c r="NA124" s="145"/>
      <c r="NB124" s="145"/>
      <c r="NC124" s="145"/>
      <c r="ND124" s="145"/>
      <c r="NE124" s="145"/>
      <c r="NF124" s="145"/>
      <c r="NG124" s="145"/>
      <c r="NH124" s="145"/>
      <c r="NI124" s="145"/>
      <c r="NJ124" s="145"/>
      <c r="NK124" s="145"/>
      <c r="NL124" s="145"/>
      <c r="NM124" s="145"/>
      <c r="NN124" s="145"/>
      <c r="NO124" s="145"/>
      <c r="NP124" s="145"/>
      <c r="NQ124" s="145"/>
      <c r="NR124" s="145"/>
      <c r="NS124" s="145"/>
    </row>
    <row r="125" spans="1:383" s="16" customFormat="1" ht="15" customHeight="1" x14ac:dyDescent="0.2">
      <c r="A125" s="15">
        <v>73300</v>
      </c>
      <c r="B125" s="25">
        <v>733</v>
      </c>
      <c r="C125" s="26">
        <v>0</v>
      </c>
      <c r="D125" s="20" t="s">
        <v>450</v>
      </c>
      <c r="E125" s="14">
        <v>40310</v>
      </c>
      <c r="F125" s="18">
        <v>0.29852687704219899</v>
      </c>
      <c r="G125" s="18">
        <v>0.32546666627087201</v>
      </c>
      <c r="H125" s="21">
        <v>66.900000000000006</v>
      </c>
      <c r="I125" s="21">
        <v>56.9</v>
      </c>
      <c r="J125" s="21">
        <v>75</v>
      </c>
      <c r="K125" s="18">
        <v>1</v>
      </c>
      <c r="L125" s="18">
        <v>38.799999999999997</v>
      </c>
      <c r="M125" s="18">
        <v>3.7248000000000001</v>
      </c>
      <c r="N125" s="18">
        <v>0.77600000000000002</v>
      </c>
      <c r="O125" s="18">
        <v>1.94</v>
      </c>
      <c r="P125" s="18">
        <v>8.4971999999999994</v>
      </c>
      <c r="Q125" s="19"/>
      <c r="R125" s="18">
        <v>42.923705357142801</v>
      </c>
      <c r="S125" s="18">
        <v>37</v>
      </c>
      <c r="T125" s="18">
        <v>37</v>
      </c>
      <c r="U125" s="18">
        <v>37</v>
      </c>
      <c r="V125" s="18">
        <v>37</v>
      </c>
      <c r="W125" s="18">
        <v>37</v>
      </c>
      <c r="X125" s="18"/>
      <c r="Y125" s="18">
        <v>2.6</v>
      </c>
      <c r="Z125" s="18">
        <v>2.4000000000000004</v>
      </c>
      <c r="AA125" s="18">
        <v>0.5</v>
      </c>
      <c r="AB125" s="18">
        <v>0</v>
      </c>
      <c r="AC125" s="18">
        <v>12.400000000000002</v>
      </c>
      <c r="AD125" s="18">
        <v>1</v>
      </c>
      <c r="AE125" s="18">
        <v>0</v>
      </c>
      <c r="AF125" s="18">
        <v>58.000000000000007</v>
      </c>
      <c r="AG125" s="18">
        <v>5.1000000000000005</v>
      </c>
      <c r="AH125" s="18">
        <v>30.000000000000004</v>
      </c>
      <c r="AI125" s="18">
        <v>41</v>
      </c>
      <c r="AJ125" s="18">
        <v>0</v>
      </c>
      <c r="AK125" s="18">
        <v>4.0000000000000008E-2</v>
      </c>
      <c r="AL125" s="18"/>
      <c r="AM125" s="18">
        <v>2.54</v>
      </c>
      <c r="AN125" s="18">
        <v>1</v>
      </c>
      <c r="AO125" s="18">
        <v>0.91</v>
      </c>
      <c r="AP125" s="18">
        <v>2.39</v>
      </c>
      <c r="AQ125" s="18">
        <v>0</v>
      </c>
      <c r="AR125" s="18">
        <v>2.74</v>
      </c>
      <c r="AS125" s="18">
        <v>4.7</v>
      </c>
      <c r="AT125" s="18">
        <v>1.68</v>
      </c>
      <c r="AU125" s="18">
        <v>2.74</v>
      </c>
      <c r="AV125" s="18">
        <v>1.1599999999999999</v>
      </c>
      <c r="AW125" s="18">
        <v>3.55</v>
      </c>
      <c r="AX125" s="18"/>
      <c r="AY125" s="18">
        <v>1</v>
      </c>
      <c r="AZ125" s="18">
        <v>1</v>
      </c>
      <c r="BA125" s="18">
        <v>1</v>
      </c>
      <c r="BB125" s="18">
        <v>1</v>
      </c>
      <c r="BC125" s="18">
        <v>1</v>
      </c>
      <c r="BD125" s="18">
        <v>1</v>
      </c>
      <c r="BE125" s="18">
        <v>1</v>
      </c>
      <c r="BF125" s="18">
        <v>1</v>
      </c>
      <c r="BG125" s="18">
        <v>1</v>
      </c>
      <c r="BH125" s="18">
        <v>1</v>
      </c>
      <c r="BI125" s="18">
        <v>1</v>
      </c>
      <c r="BJ125" s="19"/>
      <c r="BK125" s="18">
        <v>9.6000000000000014</v>
      </c>
      <c r="BL125" s="18">
        <v>2</v>
      </c>
      <c r="BM125" s="18">
        <v>5</v>
      </c>
      <c r="BN125" s="18">
        <v>21.9</v>
      </c>
      <c r="BO125" s="18"/>
      <c r="BP125" s="18">
        <v>105</v>
      </c>
      <c r="BQ125" s="18">
        <v>21</v>
      </c>
      <c r="BR125" s="18">
        <v>0.76939916763453353</v>
      </c>
      <c r="BS125" s="18">
        <v>0.8388316141001857</v>
      </c>
      <c r="BT125" s="19"/>
      <c r="BU125" s="18">
        <v>950.00000000000011</v>
      </c>
      <c r="BV125" s="18">
        <v>393.07571428571396</v>
      </c>
      <c r="BW125" s="18">
        <v>135.71428571428609</v>
      </c>
      <c r="BX125" s="18">
        <v>250.00000000000003</v>
      </c>
      <c r="BY125" s="18">
        <v>20</v>
      </c>
      <c r="BZ125" s="18" t="s">
        <v>217</v>
      </c>
      <c r="CA125" s="18" t="s">
        <v>217</v>
      </c>
      <c r="CB125" s="19"/>
      <c r="CC125" s="19">
        <v>1.0087999999999999</v>
      </c>
      <c r="CD125" s="19">
        <v>0.93120000000000003</v>
      </c>
      <c r="CE125" s="19">
        <v>0.19399999999999998</v>
      </c>
      <c r="CF125" s="19">
        <v>0</v>
      </c>
      <c r="CG125" s="19">
        <v>4.8112000000000004</v>
      </c>
      <c r="CH125" s="19">
        <v>0.38799999999999996</v>
      </c>
      <c r="CI125" s="19">
        <v>0</v>
      </c>
      <c r="CJ125" s="19"/>
      <c r="CK125" s="19">
        <v>22.504000000000001</v>
      </c>
      <c r="CL125" s="19">
        <v>1.9787999999999999</v>
      </c>
      <c r="CM125" s="19">
        <v>11.64</v>
      </c>
      <c r="CN125" s="19">
        <v>15.907999999999998</v>
      </c>
      <c r="CO125" s="19">
        <v>0</v>
      </c>
      <c r="CP125" s="19">
        <v>1.5520000000000001E-2</v>
      </c>
      <c r="CQ125" s="19">
        <v>15.9882217714286</v>
      </c>
      <c r="CR125" s="19">
        <v>53.557059685344669</v>
      </c>
      <c r="CS125" s="19">
        <v>1.3603493160077531</v>
      </c>
      <c r="CT125" s="19">
        <v>0.53557059685344333</v>
      </c>
      <c r="CU125" s="19">
        <v>0.4873692431366356</v>
      </c>
      <c r="CV125" s="19">
        <v>1.0229398399900789</v>
      </c>
      <c r="CW125" s="19">
        <v>1.2800137264797291</v>
      </c>
      <c r="CX125" s="19">
        <v>0</v>
      </c>
      <c r="CY125" s="19">
        <v>1.467463435378435</v>
      </c>
      <c r="CZ125" s="19">
        <v>2.5171818052111883</v>
      </c>
      <c r="DA125" s="19">
        <v>0.89975860271378871</v>
      </c>
      <c r="DB125" s="19">
        <v>1.467463435378435</v>
      </c>
      <c r="DC125" s="19">
        <v>0.62126189234999563</v>
      </c>
      <c r="DD125" s="19">
        <v>2.0887253277284374</v>
      </c>
      <c r="DE125" s="19">
        <v>1.9012756188297315</v>
      </c>
      <c r="DF125" s="23">
        <v>0</v>
      </c>
      <c r="DG125" s="23">
        <v>0</v>
      </c>
      <c r="DH125" s="23">
        <v>0</v>
      </c>
      <c r="DI125" s="19">
        <v>0</v>
      </c>
      <c r="DJ125" s="19">
        <v>0</v>
      </c>
      <c r="DK125" s="19">
        <v>0</v>
      </c>
      <c r="DL125" s="19">
        <v>0</v>
      </c>
      <c r="DM125" s="19">
        <v>0</v>
      </c>
      <c r="DN125" s="19">
        <v>0</v>
      </c>
      <c r="DO125" s="19">
        <v>0</v>
      </c>
      <c r="DP125" s="19">
        <v>0</v>
      </c>
      <c r="DQ125" s="19">
        <v>0</v>
      </c>
      <c r="DR125" s="19">
        <v>0</v>
      </c>
      <c r="DS125" s="19">
        <v>0</v>
      </c>
      <c r="DT125" s="19">
        <v>0</v>
      </c>
      <c r="DU125" s="19">
        <v>0</v>
      </c>
      <c r="DV125" s="19">
        <v>0</v>
      </c>
      <c r="DW125" s="17" t="s">
        <v>447</v>
      </c>
      <c r="DX125" s="22" t="s">
        <v>218</v>
      </c>
      <c r="DY125" s="22" t="s">
        <v>218</v>
      </c>
      <c r="DZ125" s="22" t="s">
        <v>218</v>
      </c>
      <c r="EA125" s="22" t="s">
        <v>218</v>
      </c>
      <c r="EB125" s="22" t="s">
        <v>218</v>
      </c>
      <c r="EC125" s="22" t="s">
        <v>218</v>
      </c>
      <c r="ED125" s="22" t="s">
        <v>218</v>
      </c>
      <c r="EE125" s="22" t="s">
        <v>218</v>
      </c>
      <c r="EF125" s="22" t="s">
        <v>218</v>
      </c>
      <c r="EG125" s="22" t="s">
        <v>218</v>
      </c>
      <c r="EH125" s="22" t="s">
        <v>218</v>
      </c>
      <c r="EI125" s="22" t="s">
        <v>218</v>
      </c>
      <c r="EJ125" s="22" t="s">
        <v>218</v>
      </c>
      <c r="EK125" s="22" t="s">
        <v>218</v>
      </c>
      <c r="EL125" s="22" t="s">
        <v>218</v>
      </c>
      <c r="EM125" s="22" t="s">
        <v>218</v>
      </c>
      <c r="EN125" s="22" t="s">
        <v>218</v>
      </c>
      <c r="EO125" s="22" t="s">
        <v>218</v>
      </c>
      <c r="EP125" s="22" t="s">
        <v>218</v>
      </c>
      <c r="EQ125" s="22" t="s">
        <v>218</v>
      </c>
      <c r="ER125" s="22" t="s">
        <v>218</v>
      </c>
      <c r="ES125" s="22" t="s">
        <v>218</v>
      </c>
      <c r="ET125" s="22" t="s">
        <v>218</v>
      </c>
      <c r="EU125" s="22" t="s">
        <v>218</v>
      </c>
      <c r="EV125" s="22" t="s">
        <v>218</v>
      </c>
      <c r="EW125" s="22" t="s">
        <v>218</v>
      </c>
      <c r="EX125" s="22" t="s">
        <v>218</v>
      </c>
      <c r="EY125" s="22" t="s">
        <v>218</v>
      </c>
      <c r="EZ125" s="22" t="s">
        <v>218</v>
      </c>
      <c r="FA125" s="22" t="s">
        <v>218</v>
      </c>
      <c r="FB125" s="22" t="s">
        <v>218</v>
      </c>
      <c r="FC125" s="22" t="s">
        <v>218</v>
      </c>
      <c r="FD125" s="22" t="s">
        <v>218</v>
      </c>
      <c r="FE125" s="22" t="s">
        <v>218</v>
      </c>
      <c r="FF125" s="22" t="s">
        <v>218</v>
      </c>
      <c r="FG125" s="22" t="s">
        <v>218</v>
      </c>
      <c r="FH125" s="22" t="s">
        <v>218</v>
      </c>
      <c r="FI125" s="22" t="s">
        <v>218</v>
      </c>
      <c r="FJ125" s="22" t="s">
        <v>218</v>
      </c>
      <c r="FK125" s="22" t="s">
        <v>218</v>
      </c>
      <c r="FL125" s="22" t="s">
        <v>218</v>
      </c>
      <c r="FM125" s="22" t="s">
        <v>218</v>
      </c>
      <c r="FN125" s="22" t="s">
        <v>218</v>
      </c>
      <c r="FO125" s="22" t="s">
        <v>218</v>
      </c>
      <c r="FP125" s="22" t="s">
        <v>218</v>
      </c>
      <c r="FQ125" s="22" t="s">
        <v>218</v>
      </c>
      <c r="FR125" s="22" t="s">
        <v>218</v>
      </c>
      <c r="FS125" s="22" t="s">
        <v>218</v>
      </c>
      <c r="FT125" s="22" t="s">
        <v>218</v>
      </c>
      <c r="FU125" s="22" t="s">
        <v>218</v>
      </c>
      <c r="FV125" s="22" t="s">
        <v>218</v>
      </c>
      <c r="FW125" s="22" t="s">
        <v>218</v>
      </c>
      <c r="FX125" s="22" t="s">
        <v>218</v>
      </c>
      <c r="FY125" s="22" t="s">
        <v>218</v>
      </c>
      <c r="FZ125" s="22" t="s">
        <v>218</v>
      </c>
      <c r="GA125" s="22" t="s">
        <v>218</v>
      </c>
      <c r="GB125" s="22" t="s">
        <v>218</v>
      </c>
      <c r="GC125" s="22" t="s">
        <v>218</v>
      </c>
      <c r="GD125" s="22" t="s">
        <v>218</v>
      </c>
      <c r="GE125" s="22" t="s">
        <v>218</v>
      </c>
      <c r="GF125" s="22" t="s">
        <v>218</v>
      </c>
      <c r="GG125" s="22" t="s">
        <v>218</v>
      </c>
      <c r="GH125" s="22" t="s">
        <v>218</v>
      </c>
      <c r="GI125" s="22" t="s">
        <v>218</v>
      </c>
      <c r="GJ125" s="22" t="s">
        <v>218</v>
      </c>
      <c r="GK125" s="22" t="s">
        <v>218</v>
      </c>
      <c r="GL125" s="22" t="s">
        <v>218</v>
      </c>
      <c r="GM125" s="22" t="s">
        <v>218</v>
      </c>
      <c r="GN125" s="22" t="s">
        <v>218</v>
      </c>
      <c r="GO125" s="22" t="s">
        <v>218</v>
      </c>
      <c r="GP125" s="22" t="s">
        <v>218</v>
      </c>
      <c r="GQ125" s="22" t="s">
        <v>218</v>
      </c>
      <c r="GR125" s="22" t="s">
        <v>218</v>
      </c>
      <c r="GS125" s="22" t="s">
        <v>218</v>
      </c>
      <c r="GT125" s="22" t="s">
        <v>218</v>
      </c>
      <c r="GU125" s="22" t="s">
        <v>218</v>
      </c>
      <c r="GV125" s="22" t="s">
        <v>218</v>
      </c>
      <c r="GW125" s="22" t="s">
        <v>218</v>
      </c>
      <c r="GX125" s="22" t="s">
        <v>218</v>
      </c>
      <c r="GY125" s="22" t="s">
        <v>218</v>
      </c>
      <c r="GZ125" s="22" t="s">
        <v>218</v>
      </c>
      <c r="HA125" s="22" t="s">
        <v>218</v>
      </c>
      <c r="HB125" s="22" t="s">
        <v>218</v>
      </c>
      <c r="HC125" s="22" t="s">
        <v>218</v>
      </c>
      <c r="HD125" s="22" t="s">
        <v>218</v>
      </c>
      <c r="HE125" s="22" t="s">
        <v>218</v>
      </c>
      <c r="HF125" s="22" t="s">
        <v>218</v>
      </c>
      <c r="HG125" s="22" t="s">
        <v>218</v>
      </c>
      <c r="HH125" s="22" t="s">
        <v>218</v>
      </c>
      <c r="HI125" s="22" t="s">
        <v>218</v>
      </c>
      <c r="HJ125" s="22" t="s">
        <v>218</v>
      </c>
      <c r="HK125" s="22" t="s">
        <v>218</v>
      </c>
      <c r="HL125" s="22" t="s">
        <v>218</v>
      </c>
      <c r="HM125" s="622">
        <f>'background data'!$G$16</f>
        <v>0.30099999999999999</v>
      </c>
      <c r="HN125" s="622">
        <f>'background data'!$H$16</f>
        <v>9.4E-2</v>
      </c>
      <c r="HO125" s="622">
        <f>'background data'!$J$16</f>
        <v>0.27200000000000002</v>
      </c>
      <c r="HP125" s="622">
        <f>'background data'!$L$16</f>
        <v>2.8000000000000001E-2</v>
      </c>
      <c r="HQ125" s="622">
        <f>'background data'!$M$16</f>
        <v>2.2999999999999998</v>
      </c>
      <c r="HR125" s="622">
        <f>'background data'!$N$16</f>
        <v>3.2000000000000002E-3</v>
      </c>
      <c r="HS125" s="622">
        <f>'background data'!$O$16</f>
        <v>1.91</v>
      </c>
      <c r="HT125" s="145" t="s">
        <v>1800</v>
      </c>
      <c r="HU125" s="145" t="s">
        <v>1809</v>
      </c>
      <c r="HV125" s="22" t="s">
        <v>1953</v>
      </c>
      <c r="HW125" s="22" t="s">
        <v>448</v>
      </c>
      <c r="HX125" s="22" t="s">
        <v>324</v>
      </c>
      <c r="HY125" s="22" t="s">
        <v>325</v>
      </c>
      <c r="HZ125" s="19"/>
      <c r="IA125" s="19"/>
      <c r="IB125" s="622">
        <f>'background data'!$G$16</f>
        <v>0.30099999999999999</v>
      </c>
      <c r="IC125" s="622">
        <f>'background data'!$H$16</f>
        <v>9.4E-2</v>
      </c>
      <c r="ID125" s="622">
        <f>'background data'!$J$16</f>
        <v>0.27200000000000002</v>
      </c>
      <c r="IE125" s="622">
        <f>'background data'!$L$16</f>
        <v>2.8000000000000001E-2</v>
      </c>
      <c r="IF125" s="622">
        <f>'background data'!$M$16</f>
        <v>2.2999999999999998</v>
      </c>
      <c r="IG125" s="622">
        <f>'background data'!$N$16</f>
        <v>3.2000000000000002E-3</v>
      </c>
      <c r="IH125" s="622">
        <f>'background data'!$O$16</f>
        <v>1.91</v>
      </c>
      <c r="II125" s="145" t="s">
        <v>1800</v>
      </c>
      <c r="IJ125" s="145"/>
      <c r="IK125" s="145"/>
      <c r="IL125" s="145"/>
      <c r="IM125" s="145"/>
      <c r="IN125" s="145"/>
      <c r="IO125" s="145"/>
      <c r="IP125" s="145"/>
      <c r="IQ125" s="145"/>
      <c r="IR125" s="145"/>
      <c r="IS125" s="145"/>
      <c r="IT125" s="145"/>
      <c r="IU125" s="145"/>
      <c r="IV125" s="145"/>
      <c r="IW125" s="145"/>
      <c r="IX125" s="145"/>
      <c r="IY125" s="145"/>
      <c r="IZ125" s="145"/>
      <c r="JA125" s="145"/>
      <c r="JB125" s="145"/>
      <c r="JC125" s="145"/>
      <c r="JD125" s="145"/>
      <c r="JE125" s="145"/>
      <c r="JF125" s="145"/>
      <c r="JG125" s="145"/>
      <c r="JH125" s="145"/>
      <c r="JI125" s="145"/>
      <c r="JJ125" s="145"/>
      <c r="JK125" s="145"/>
      <c r="JL125" s="145"/>
      <c r="JM125" s="145"/>
      <c r="JN125" s="145"/>
      <c r="JO125" s="145"/>
      <c r="JP125" s="145"/>
      <c r="JQ125" s="145"/>
      <c r="JR125" s="145"/>
      <c r="JS125" s="145"/>
      <c r="JT125" s="145"/>
      <c r="JU125" s="145"/>
      <c r="JV125" s="145"/>
      <c r="JW125" s="145"/>
      <c r="JX125" s="145"/>
      <c r="JY125" s="145"/>
      <c r="JZ125" s="145"/>
      <c r="KA125" s="145"/>
      <c r="KB125" s="145"/>
      <c r="KC125" s="145"/>
      <c r="KD125" s="145"/>
      <c r="KE125" s="145"/>
      <c r="KF125" s="145"/>
      <c r="KG125" s="145"/>
      <c r="KH125" s="145"/>
      <c r="KI125" s="145"/>
      <c r="KJ125" s="145"/>
      <c r="KK125" s="145"/>
      <c r="KL125" s="145"/>
      <c r="KM125" s="145"/>
      <c r="KN125" s="145"/>
      <c r="KO125" s="145"/>
      <c r="KP125" s="145"/>
      <c r="KQ125" s="145"/>
      <c r="KR125" s="145"/>
      <c r="KS125" s="145"/>
      <c r="KT125" s="145"/>
      <c r="KU125" s="145"/>
      <c r="KV125" s="145"/>
      <c r="KW125" s="145"/>
      <c r="KX125" s="145"/>
      <c r="KY125" s="145"/>
      <c r="KZ125" s="145"/>
      <c r="LA125" s="145"/>
      <c r="LB125" s="145"/>
      <c r="LC125" s="145"/>
      <c r="LD125" s="145"/>
      <c r="LE125" s="145"/>
      <c r="LF125" s="145"/>
      <c r="LG125" s="145"/>
      <c r="LH125" s="145"/>
      <c r="LI125" s="145"/>
      <c r="LJ125" s="145"/>
      <c r="LK125" s="145"/>
      <c r="LL125" s="145"/>
      <c r="LM125" s="145"/>
      <c r="LN125" s="145"/>
      <c r="LO125" s="145"/>
      <c r="LP125" s="145"/>
      <c r="LQ125" s="145"/>
      <c r="LR125" s="145"/>
      <c r="LS125" s="145"/>
      <c r="LT125" s="145"/>
      <c r="LU125" s="145"/>
      <c r="LV125" s="145"/>
      <c r="LW125" s="145"/>
      <c r="LX125" s="145"/>
      <c r="LY125" s="145"/>
      <c r="LZ125" s="145"/>
      <c r="MA125" s="145"/>
      <c r="MB125" s="145"/>
      <c r="MC125" s="145"/>
      <c r="MD125" s="145"/>
      <c r="ME125" s="145"/>
      <c r="MF125" s="145"/>
      <c r="MG125" s="145"/>
      <c r="MH125" s="145"/>
      <c r="MI125" s="145"/>
      <c r="MJ125" s="145"/>
      <c r="MK125" s="145"/>
      <c r="ML125" s="145"/>
      <c r="MM125" s="145"/>
      <c r="MN125" s="145"/>
      <c r="MO125" s="145"/>
      <c r="MP125" s="145"/>
      <c r="MQ125" s="145"/>
      <c r="MR125" s="145"/>
      <c r="MS125" s="145"/>
      <c r="MT125" s="145"/>
      <c r="MU125" s="145"/>
      <c r="MV125" s="145"/>
      <c r="MW125" s="145"/>
      <c r="MX125" s="145"/>
      <c r="MY125" s="145"/>
      <c r="MZ125" s="145"/>
      <c r="NA125" s="145"/>
      <c r="NB125" s="145"/>
      <c r="NC125" s="145"/>
      <c r="ND125" s="145"/>
      <c r="NE125" s="145"/>
      <c r="NF125" s="145"/>
      <c r="NG125" s="145"/>
      <c r="NH125" s="145"/>
      <c r="NI125" s="145"/>
      <c r="NJ125" s="145"/>
      <c r="NK125" s="145"/>
      <c r="NL125" s="145"/>
      <c r="NM125" s="145"/>
      <c r="NN125" s="145"/>
      <c r="NO125" s="145"/>
      <c r="NP125" s="145"/>
      <c r="NQ125" s="145"/>
      <c r="NR125" s="145"/>
      <c r="NS125" s="145"/>
    </row>
    <row r="126" spans="1:383" s="16" customFormat="1" ht="15" customHeight="1" x14ac:dyDescent="0.2">
      <c r="A126" s="15">
        <v>73100</v>
      </c>
      <c r="B126" s="25">
        <v>731</v>
      </c>
      <c r="C126" s="26">
        <v>0</v>
      </c>
      <c r="D126" s="20" t="s">
        <v>451</v>
      </c>
      <c r="E126" s="14">
        <v>40310</v>
      </c>
      <c r="F126" s="18">
        <v>0.242670936875726</v>
      </c>
      <c r="G126" s="18">
        <v>0.26427615892096501</v>
      </c>
      <c r="H126" s="21">
        <v>67.3</v>
      </c>
      <c r="I126" s="21">
        <v>57.3</v>
      </c>
      <c r="J126" s="21">
        <v>75</v>
      </c>
      <c r="K126" s="18">
        <v>1</v>
      </c>
      <c r="L126" s="18">
        <v>31.8</v>
      </c>
      <c r="M126" s="18">
        <v>3.8477999999999999</v>
      </c>
      <c r="N126" s="18">
        <v>0.63600000000000001</v>
      </c>
      <c r="O126" s="18">
        <v>1.8762000000000001</v>
      </c>
      <c r="P126" s="18">
        <v>6.9960000000000004</v>
      </c>
      <c r="Q126" s="19"/>
      <c r="R126" s="18">
        <v>49.841696103896098</v>
      </c>
      <c r="S126" s="18">
        <v>37</v>
      </c>
      <c r="T126" s="18">
        <v>37</v>
      </c>
      <c r="U126" s="18">
        <v>37</v>
      </c>
      <c r="V126" s="18">
        <v>37</v>
      </c>
      <c r="W126" s="18">
        <v>37</v>
      </c>
      <c r="X126" s="18"/>
      <c r="Y126" s="18">
        <v>5</v>
      </c>
      <c r="Z126" s="18">
        <v>2.7</v>
      </c>
      <c r="AA126" s="18">
        <v>0.4</v>
      </c>
      <c r="AB126" s="18">
        <v>0</v>
      </c>
      <c r="AC126" s="18">
        <v>14.299999999999999</v>
      </c>
      <c r="AD126" s="18">
        <v>1.2</v>
      </c>
      <c r="AE126" s="18">
        <v>0</v>
      </c>
      <c r="AF126" s="18">
        <v>57.999999999999993</v>
      </c>
      <c r="AG126" s="18">
        <v>6.3</v>
      </c>
      <c r="AH126" s="18">
        <v>24</v>
      </c>
      <c r="AI126" s="18">
        <v>47</v>
      </c>
      <c r="AJ126" s="18">
        <v>0</v>
      </c>
      <c r="AK126" s="18">
        <v>0.04</v>
      </c>
      <c r="AL126" s="18"/>
      <c r="AM126" s="18">
        <v>2.9</v>
      </c>
      <c r="AN126" s="18">
        <v>0.96</v>
      </c>
      <c r="AO126" s="18">
        <v>0.74</v>
      </c>
      <c r="AP126" s="18">
        <v>2.29</v>
      </c>
      <c r="AQ126" s="18">
        <v>0</v>
      </c>
      <c r="AR126" s="18">
        <v>3.48</v>
      </c>
      <c r="AS126" s="18">
        <v>5.35</v>
      </c>
      <c r="AT126" s="18">
        <v>1.63</v>
      </c>
      <c r="AU126" s="18">
        <v>3.07</v>
      </c>
      <c r="AV126" s="18">
        <v>2.02</v>
      </c>
      <c r="AW126" s="18">
        <v>4.32</v>
      </c>
      <c r="AX126" s="18"/>
      <c r="AY126" s="18">
        <v>1</v>
      </c>
      <c r="AZ126" s="18">
        <v>1</v>
      </c>
      <c r="BA126" s="18">
        <v>1</v>
      </c>
      <c r="BB126" s="18">
        <v>1</v>
      </c>
      <c r="BC126" s="18">
        <v>1</v>
      </c>
      <c r="BD126" s="18">
        <v>1</v>
      </c>
      <c r="BE126" s="18">
        <v>1</v>
      </c>
      <c r="BF126" s="18">
        <v>1</v>
      </c>
      <c r="BG126" s="18">
        <v>1</v>
      </c>
      <c r="BH126" s="18">
        <v>1</v>
      </c>
      <c r="BI126" s="18">
        <v>1</v>
      </c>
      <c r="BJ126" s="19"/>
      <c r="BK126" s="18">
        <v>12.1</v>
      </c>
      <c r="BL126" s="18">
        <v>2</v>
      </c>
      <c r="BM126" s="18">
        <v>5.9</v>
      </c>
      <c r="BN126" s="18">
        <v>22</v>
      </c>
      <c r="BO126" s="18"/>
      <c r="BP126" s="18">
        <v>0</v>
      </c>
      <c r="BQ126" s="18">
        <v>0</v>
      </c>
      <c r="BR126" s="18">
        <v>0.7631161536972515</v>
      </c>
      <c r="BS126" s="18">
        <v>0.83105710352504714</v>
      </c>
      <c r="BT126" s="19"/>
      <c r="BU126" s="18">
        <v>941</v>
      </c>
      <c r="BV126" s="18">
        <v>369.35442857142766</v>
      </c>
      <c r="BW126" s="18">
        <v>134.42857142857108</v>
      </c>
      <c r="BX126" s="18">
        <v>250</v>
      </c>
      <c r="BY126" s="18">
        <v>20</v>
      </c>
      <c r="BZ126" s="18" t="s">
        <v>217</v>
      </c>
      <c r="CA126" s="18" t="s">
        <v>217</v>
      </c>
      <c r="CB126" s="19"/>
      <c r="CC126" s="19">
        <v>1.59</v>
      </c>
      <c r="CD126" s="19">
        <v>0.85860000000000003</v>
      </c>
      <c r="CE126" s="19">
        <v>0.12720000000000001</v>
      </c>
      <c r="CF126" s="19">
        <v>0</v>
      </c>
      <c r="CG126" s="19">
        <v>4.5473999999999997</v>
      </c>
      <c r="CH126" s="19">
        <v>0.38159999999999999</v>
      </c>
      <c r="CI126" s="19">
        <v>0</v>
      </c>
      <c r="CJ126" s="19"/>
      <c r="CK126" s="19">
        <v>18.443999999999999</v>
      </c>
      <c r="CL126" s="19">
        <v>2.0034000000000001</v>
      </c>
      <c r="CM126" s="19">
        <v>7.6319999999999997</v>
      </c>
      <c r="CN126" s="19">
        <v>14.946</v>
      </c>
      <c r="CO126" s="19">
        <v>0</v>
      </c>
      <c r="CP126" s="19">
        <v>1.272E-2</v>
      </c>
      <c r="CQ126" s="19">
        <v>19.178087826857102</v>
      </c>
      <c r="CR126" s="19">
        <v>79.02919102619353</v>
      </c>
      <c r="CS126" s="19">
        <v>2.2918465397596206</v>
      </c>
      <c r="CT126" s="19">
        <v>0.75868023385146122</v>
      </c>
      <c r="CU126" s="19">
        <v>0.58481601359383406</v>
      </c>
      <c r="CV126" s="19">
        <v>1.3434962474452912</v>
      </c>
      <c r="CW126" s="19">
        <v>1.8097684744998332</v>
      </c>
      <c r="CX126" s="19">
        <v>0</v>
      </c>
      <c r="CY126" s="19">
        <v>2.7502158477115342</v>
      </c>
      <c r="CZ126" s="19">
        <v>4.2280617199013744</v>
      </c>
      <c r="DA126" s="19">
        <v>1.2881758137269597</v>
      </c>
      <c r="DB126" s="19">
        <v>2.4261961645041454</v>
      </c>
      <c r="DC126" s="19">
        <v>1.5963896587291115</v>
      </c>
      <c r="DD126" s="19">
        <v>4.022585823233257</v>
      </c>
      <c r="DE126" s="19">
        <v>3.4140610523315655</v>
      </c>
      <c r="DF126" s="23">
        <v>0</v>
      </c>
      <c r="DG126" s="23">
        <v>0</v>
      </c>
      <c r="DH126" s="23">
        <v>0</v>
      </c>
      <c r="DI126" s="19">
        <v>0</v>
      </c>
      <c r="DJ126" s="19">
        <v>0</v>
      </c>
      <c r="DK126" s="19">
        <v>0</v>
      </c>
      <c r="DL126" s="19">
        <v>0</v>
      </c>
      <c r="DM126" s="19">
        <v>0</v>
      </c>
      <c r="DN126" s="19">
        <v>0</v>
      </c>
      <c r="DO126" s="19">
        <v>0</v>
      </c>
      <c r="DP126" s="19">
        <v>0</v>
      </c>
      <c r="DQ126" s="19">
        <v>0</v>
      </c>
      <c r="DR126" s="19">
        <v>0</v>
      </c>
      <c r="DS126" s="19">
        <v>0</v>
      </c>
      <c r="DT126" s="19">
        <v>0</v>
      </c>
      <c r="DU126" s="19">
        <v>0</v>
      </c>
      <c r="DV126" s="19">
        <v>0</v>
      </c>
      <c r="DW126" s="17" t="s">
        <v>447</v>
      </c>
      <c r="DX126" s="22" t="s">
        <v>218</v>
      </c>
      <c r="DY126" s="22" t="s">
        <v>218</v>
      </c>
      <c r="DZ126" s="22" t="s">
        <v>218</v>
      </c>
      <c r="EA126" s="22" t="s">
        <v>218</v>
      </c>
      <c r="EB126" s="22" t="s">
        <v>218</v>
      </c>
      <c r="EC126" s="22" t="s">
        <v>218</v>
      </c>
      <c r="ED126" s="22" t="s">
        <v>218</v>
      </c>
      <c r="EE126" s="22" t="s">
        <v>218</v>
      </c>
      <c r="EF126" s="22" t="s">
        <v>218</v>
      </c>
      <c r="EG126" s="22" t="s">
        <v>218</v>
      </c>
      <c r="EH126" s="22" t="s">
        <v>218</v>
      </c>
      <c r="EI126" s="22" t="s">
        <v>218</v>
      </c>
      <c r="EJ126" s="22" t="s">
        <v>218</v>
      </c>
      <c r="EK126" s="22" t="s">
        <v>218</v>
      </c>
      <c r="EL126" s="22" t="s">
        <v>218</v>
      </c>
      <c r="EM126" s="22" t="s">
        <v>218</v>
      </c>
      <c r="EN126" s="22" t="s">
        <v>218</v>
      </c>
      <c r="EO126" s="22" t="s">
        <v>218</v>
      </c>
      <c r="EP126" s="22" t="s">
        <v>218</v>
      </c>
      <c r="EQ126" s="22" t="s">
        <v>218</v>
      </c>
      <c r="ER126" s="22" t="s">
        <v>218</v>
      </c>
      <c r="ES126" s="22" t="s">
        <v>218</v>
      </c>
      <c r="ET126" s="22" t="s">
        <v>218</v>
      </c>
      <c r="EU126" s="22" t="s">
        <v>218</v>
      </c>
      <c r="EV126" s="22" t="s">
        <v>218</v>
      </c>
      <c r="EW126" s="22" t="s">
        <v>218</v>
      </c>
      <c r="EX126" s="22" t="s">
        <v>218</v>
      </c>
      <c r="EY126" s="22" t="s">
        <v>218</v>
      </c>
      <c r="EZ126" s="22" t="s">
        <v>218</v>
      </c>
      <c r="FA126" s="22" t="s">
        <v>218</v>
      </c>
      <c r="FB126" s="22" t="s">
        <v>218</v>
      </c>
      <c r="FC126" s="22" t="s">
        <v>218</v>
      </c>
      <c r="FD126" s="22" t="s">
        <v>218</v>
      </c>
      <c r="FE126" s="22" t="s">
        <v>218</v>
      </c>
      <c r="FF126" s="22" t="s">
        <v>218</v>
      </c>
      <c r="FG126" s="22" t="s">
        <v>218</v>
      </c>
      <c r="FH126" s="22" t="s">
        <v>218</v>
      </c>
      <c r="FI126" s="22" t="s">
        <v>218</v>
      </c>
      <c r="FJ126" s="22" t="s">
        <v>218</v>
      </c>
      <c r="FK126" s="22" t="s">
        <v>218</v>
      </c>
      <c r="FL126" s="22" t="s">
        <v>218</v>
      </c>
      <c r="FM126" s="22" t="s">
        <v>218</v>
      </c>
      <c r="FN126" s="22" t="s">
        <v>218</v>
      </c>
      <c r="FO126" s="22" t="s">
        <v>218</v>
      </c>
      <c r="FP126" s="22" t="s">
        <v>218</v>
      </c>
      <c r="FQ126" s="22" t="s">
        <v>218</v>
      </c>
      <c r="FR126" s="22" t="s">
        <v>218</v>
      </c>
      <c r="FS126" s="22" t="s">
        <v>218</v>
      </c>
      <c r="FT126" s="22" t="s">
        <v>218</v>
      </c>
      <c r="FU126" s="22" t="s">
        <v>218</v>
      </c>
      <c r="FV126" s="22" t="s">
        <v>218</v>
      </c>
      <c r="FW126" s="22" t="s">
        <v>218</v>
      </c>
      <c r="FX126" s="22" t="s">
        <v>218</v>
      </c>
      <c r="FY126" s="22" t="s">
        <v>218</v>
      </c>
      <c r="FZ126" s="22" t="s">
        <v>218</v>
      </c>
      <c r="GA126" s="22" t="s">
        <v>218</v>
      </c>
      <c r="GB126" s="22" t="s">
        <v>218</v>
      </c>
      <c r="GC126" s="22" t="s">
        <v>218</v>
      </c>
      <c r="GD126" s="22" t="s">
        <v>218</v>
      </c>
      <c r="GE126" s="22" t="s">
        <v>218</v>
      </c>
      <c r="GF126" s="22" t="s">
        <v>218</v>
      </c>
      <c r="GG126" s="22" t="s">
        <v>218</v>
      </c>
      <c r="GH126" s="22" t="s">
        <v>218</v>
      </c>
      <c r="GI126" s="22" t="s">
        <v>218</v>
      </c>
      <c r="GJ126" s="22" t="s">
        <v>218</v>
      </c>
      <c r="GK126" s="22" t="s">
        <v>218</v>
      </c>
      <c r="GL126" s="22" t="s">
        <v>218</v>
      </c>
      <c r="GM126" s="22" t="s">
        <v>218</v>
      </c>
      <c r="GN126" s="22" t="s">
        <v>218</v>
      </c>
      <c r="GO126" s="22" t="s">
        <v>218</v>
      </c>
      <c r="GP126" s="22" t="s">
        <v>218</v>
      </c>
      <c r="GQ126" s="22" t="s">
        <v>218</v>
      </c>
      <c r="GR126" s="22" t="s">
        <v>218</v>
      </c>
      <c r="GS126" s="22" t="s">
        <v>218</v>
      </c>
      <c r="GT126" s="22" t="s">
        <v>218</v>
      </c>
      <c r="GU126" s="22" t="s">
        <v>218</v>
      </c>
      <c r="GV126" s="22" t="s">
        <v>218</v>
      </c>
      <c r="GW126" s="22" t="s">
        <v>218</v>
      </c>
      <c r="GX126" s="22" t="s">
        <v>218</v>
      </c>
      <c r="GY126" s="22" t="s">
        <v>218</v>
      </c>
      <c r="GZ126" s="22" t="s">
        <v>218</v>
      </c>
      <c r="HA126" s="22" t="s">
        <v>218</v>
      </c>
      <c r="HB126" s="22" t="s">
        <v>218</v>
      </c>
      <c r="HC126" s="22" t="s">
        <v>218</v>
      </c>
      <c r="HD126" s="22" t="s">
        <v>218</v>
      </c>
      <c r="HE126" s="22" t="s">
        <v>218</v>
      </c>
      <c r="HF126" s="22" t="s">
        <v>218</v>
      </c>
      <c r="HG126" s="22" t="s">
        <v>218</v>
      </c>
      <c r="HH126" s="22" t="s">
        <v>218</v>
      </c>
      <c r="HI126" s="22" t="s">
        <v>218</v>
      </c>
      <c r="HJ126" s="22" t="s">
        <v>218</v>
      </c>
      <c r="HK126" s="22" t="s">
        <v>218</v>
      </c>
      <c r="HL126" s="22" t="s">
        <v>218</v>
      </c>
      <c r="HM126" s="622">
        <f>'background data'!$G$16</f>
        <v>0.30099999999999999</v>
      </c>
      <c r="HN126" s="622">
        <f>'background data'!$H$16</f>
        <v>9.4E-2</v>
      </c>
      <c r="HO126" s="622">
        <f>'background data'!$J$16</f>
        <v>0.27200000000000002</v>
      </c>
      <c r="HP126" s="622">
        <f>'background data'!$L$16</f>
        <v>2.8000000000000001E-2</v>
      </c>
      <c r="HQ126" s="622">
        <f>'background data'!$M$16</f>
        <v>2.2999999999999998</v>
      </c>
      <c r="HR126" s="622">
        <f>'background data'!$N$16</f>
        <v>3.2000000000000002E-3</v>
      </c>
      <c r="HS126" s="622">
        <f>'background data'!$O$16</f>
        <v>1.91</v>
      </c>
      <c r="HT126" s="145" t="s">
        <v>1800</v>
      </c>
      <c r="HU126" s="145" t="s">
        <v>1809</v>
      </c>
      <c r="HV126" s="22" t="s">
        <v>1954</v>
      </c>
      <c r="HW126" s="22" t="s">
        <v>448</v>
      </c>
      <c r="HX126" s="22" t="s">
        <v>324</v>
      </c>
      <c r="HY126" s="22" t="s">
        <v>325</v>
      </c>
      <c r="HZ126" s="19"/>
      <c r="IA126" s="19"/>
      <c r="IB126" s="622">
        <f>'background data'!$G$16</f>
        <v>0.30099999999999999</v>
      </c>
      <c r="IC126" s="622">
        <f>'background data'!$H$16</f>
        <v>9.4E-2</v>
      </c>
      <c r="ID126" s="622">
        <f>'background data'!$J$16</f>
        <v>0.27200000000000002</v>
      </c>
      <c r="IE126" s="622">
        <f>'background data'!$L$16</f>
        <v>2.8000000000000001E-2</v>
      </c>
      <c r="IF126" s="622">
        <f>'background data'!$M$16</f>
        <v>2.2999999999999998</v>
      </c>
      <c r="IG126" s="622">
        <f>'background data'!$N$16</f>
        <v>3.2000000000000002E-3</v>
      </c>
      <c r="IH126" s="622">
        <f>'background data'!$O$16</f>
        <v>1.91</v>
      </c>
      <c r="II126" s="145" t="s">
        <v>1800</v>
      </c>
      <c r="IJ126" s="145"/>
      <c r="IK126" s="145"/>
      <c r="IL126" s="145"/>
      <c r="IM126" s="145"/>
      <c r="IN126" s="145"/>
      <c r="IO126" s="145"/>
      <c r="IP126" s="145"/>
      <c r="IQ126" s="145"/>
      <c r="IR126" s="145"/>
      <c r="IS126" s="145"/>
      <c r="IT126" s="145"/>
      <c r="IU126" s="145"/>
      <c r="IV126" s="145"/>
      <c r="IW126" s="145"/>
      <c r="IX126" s="145"/>
      <c r="IY126" s="145"/>
      <c r="IZ126" s="145"/>
      <c r="JA126" s="145"/>
      <c r="JB126" s="145"/>
      <c r="JC126" s="145"/>
      <c r="JD126" s="145"/>
      <c r="JE126" s="145"/>
      <c r="JF126" s="145"/>
      <c r="JG126" s="145"/>
      <c r="JH126" s="145"/>
      <c r="JI126" s="145"/>
      <c r="JJ126" s="145"/>
      <c r="JK126" s="145"/>
      <c r="JL126" s="145"/>
      <c r="JM126" s="145"/>
      <c r="JN126" s="145"/>
      <c r="JO126" s="145"/>
      <c r="JP126" s="145"/>
      <c r="JQ126" s="145"/>
      <c r="JR126" s="145"/>
      <c r="JS126" s="145"/>
      <c r="JT126" s="145"/>
      <c r="JU126" s="145"/>
      <c r="JV126" s="145"/>
      <c r="JW126" s="145"/>
      <c r="JX126" s="145"/>
      <c r="JY126" s="145"/>
      <c r="JZ126" s="145"/>
      <c r="KA126" s="145"/>
      <c r="KB126" s="145"/>
      <c r="KC126" s="145"/>
      <c r="KD126" s="145"/>
      <c r="KE126" s="145"/>
      <c r="KF126" s="145"/>
      <c r="KG126" s="145"/>
      <c r="KH126" s="145"/>
      <c r="KI126" s="145"/>
      <c r="KJ126" s="145"/>
      <c r="KK126" s="145"/>
      <c r="KL126" s="145"/>
      <c r="KM126" s="145"/>
      <c r="KN126" s="145"/>
      <c r="KO126" s="145"/>
      <c r="KP126" s="145"/>
      <c r="KQ126" s="145"/>
      <c r="KR126" s="145"/>
      <c r="KS126" s="145"/>
      <c r="KT126" s="145"/>
      <c r="KU126" s="145"/>
      <c r="KV126" s="145"/>
      <c r="KW126" s="145"/>
      <c r="KX126" s="145"/>
      <c r="KY126" s="145"/>
      <c r="KZ126" s="145"/>
      <c r="LA126" s="145"/>
      <c r="LB126" s="145"/>
      <c r="LC126" s="145"/>
      <c r="LD126" s="145"/>
      <c r="LE126" s="145"/>
      <c r="LF126" s="145"/>
      <c r="LG126" s="145"/>
      <c r="LH126" s="145"/>
      <c r="LI126" s="145"/>
      <c r="LJ126" s="145"/>
      <c r="LK126" s="145"/>
      <c r="LL126" s="145"/>
      <c r="LM126" s="145"/>
      <c r="LN126" s="145"/>
      <c r="LO126" s="145"/>
      <c r="LP126" s="145"/>
      <c r="LQ126" s="145"/>
      <c r="LR126" s="145"/>
      <c r="LS126" s="145"/>
      <c r="LT126" s="145"/>
      <c r="LU126" s="145"/>
      <c r="LV126" s="145"/>
      <c r="LW126" s="145"/>
      <c r="LX126" s="145"/>
      <c r="LY126" s="145"/>
      <c r="LZ126" s="145"/>
      <c r="MA126" s="145"/>
      <c r="MB126" s="145"/>
      <c r="MC126" s="145"/>
      <c r="MD126" s="145"/>
      <c r="ME126" s="145"/>
      <c r="MF126" s="145"/>
      <c r="MG126" s="145"/>
      <c r="MH126" s="145"/>
      <c r="MI126" s="145"/>
      <c r="MJ126" s="145"/>
      <c r="MK126" s="145"/>
      <c r="ML126" s="145"/>
      <c r="MM126" s="145"/>
      <c r="MN126" s="145"/>
      <c r="MO126" s="145"/>
      <c r="MP126" s="145"/>
      <c r="MQ126" s="145"/>
      <c r="MR126" s="145"/>
      <c r="MS126" s="145"/>
      <c r="MT126" s="145"/>
      <c r="MU126" s="145"/>
      <c r="MV126" s="145"/>
      <c r="MW126" s="145"/>
      <c r="MX126" s="145"/>
      <c r="MY126" s="145"/>
      <c r="MZ126" s="145"/>
      <c r="NA126" s="145"/>
      <c r="NB126" s="145"/>
      <c r="NC126" s="145"/>
      <c r="ND126" s="145"/>
      <c r="NE126" s="145"/>
      <c r="NF126" s="145"/>
      <c r="NG126" s="145"/>
      <c r="NH126" s="145"/>
      <c r="NI126" s="145"/>
      <c r="NJ126" s="145"/>
      <c r="NK126" s="145"/>
      <c r="NL126" s="145"/>
      <c r="NM126" s="145"/>
      <c r="NN126" s="145"/>
      <c r="NO126" s="145"/>
      <c r="NP126" s="145"/>
      <c r="NQ126" s="145"/>
      <c r="NR126" s="145"/>
      <c r="NS126" s="145"/>
    </row>
    <row r="127" spans="1:383" s="16" customFormat="1" ht="15" customHeight="1" x14ac:dyDescent="0.2">
      <c r="A127" s="15">
        <v>73400</v>
      </c>
      <c r="B127" s="25">
        <v>734</v>
      </c>
      <c r="C127" s="26">
        <v>0</v>
      </c>
      <c r="D127" s="20" t="s">
        <v>452</v>
      </c>
      <c r="E127" s="14">
        <v>40310</v>
      </c>
      <c r="F127" s="18">
        <v>0.21759558183314001</v>
      </c>
      <c r="G127" s="18">
        <v>0.23596281126159599</v>
      </c>
      <c r="H127" s="21">
        <v>68.45</v>
      </c>
      <c r="I127" s="21">
        <v>58.5</v>
      </c>
      <c r="J127" s="21">
        <v>75</v>
      </c>
      <c r="K127" s="18">
        <v>1</v>
      </c>
      <c r="L127" s="18">
        <v>29</v>
      </c>
      <c r="M127" s="18">
        <v>4.8719999999999999</v>
      </c>
      <c r="N127" s="18">
        <v>0.57999999999999996</v>
      </c>
      <c r="O127" s="18">
        <v>2.4649999999999999</v>
      </c>
      <c r="P127" s="18">
        <v>6.38</v>
      </c>
      <c r="Q127" s="19"/>
      <c r="R127" s="18">
        <v>57.492588010204102</v>
      </c>
      <c r="S127" s="18">
        <v>37</v>
      </c>
      <c r="T127" s="18">
        <v>37</v>
      </c>
      <c r="U127" s="18">
        <v>37</v>
      </c>
      <c r="V127" s="18">
        <v>37</v>
      </c>
      <c r="W127" s="18">
        <v>37</v>
      </c>
      <c r="X127" s="18"/>
      <c r="Y127" s="18">
        <v>9.2000000000000011</v>
      </c>
      <c r="Z127" s="18">
        <v>3.2</v>
      </c>
      <c r="AA127" s="18">
        <v>0.49999999999999994</v>
      </c>
      <c r="AB127" s="18">
        <v>0</v>
      </c>
      <c r="AC127" s="18">
        <v>18.7</v>
      </c>
      <c r="AD127" s="18">
        <v>1.8</v>
      </c>
      <c r="AE127" s="18">
        <v>0</v>
      </c>
      <c r="AF127" s="18">
        <v>58</v>
      </c>
      <c r="AG127" s="18">
        <v>7.3999999999999995</v>
      </c>
      <c r="AH127" s="18">
        <v>31</v>
      </c>
      <c r="AI127" s="18">
        <v>62</v>
      </c>
      <c r="AJ127" s="18">
        <v>0</v>
      </c>
      <c r="AK127" s="18">
        <v>3.9999999999999994E-2</v>
      </c>
      <c r="AL127" s="18"/>
      <c r="AM127" s="18">
        <v>3.2</v>
      </c>
      <c r="AN127" s="18">
        <v>0.93</v>
      </c>
      <c r="AO127" s="18">
        <v>0.6</v>
      </c>
      <c r="AP127" s="18">
        <v>2.21</v>
      </c>
      <c r="AQ127" s="18">
        <v>0</v>
      </c>
      <c r="AR127" s="18">
        <v>4.0999999999999996</v>
      </c>
      <c r="AS127" s="18">
        <v>5.9</v>
      </c>
      <c r="AT127" s="18">
        <v>1.59</v>
      </c>
      <c r="AU127" s="18">
        <v>3.35</v>
      </c>
      <c r="AV127" s="18">
        <v>2.75</v>
      </c>
      <c r="AW127" s="18">
        <v>4.97</v>
      </c>
      <c r="AX127" s="18"/>
      <c r="AY127" s="18">
        <v>1</v>
      </c>
      <c r="AZ127" s="18">
        <v>1</v>
      </c>
      <c r="BA127" s="18">
        <v>1</v>
      </c>
      <c r="BB127" s="18">
        <v>1</v>
      </c>
      <c r="BC127" s="18">
        <v>1</v>
      </c>
      <c r="BD127" s="18">
        <v>1</v>
      </c>
      <c r="BE127" s="18">
        <v>1</v>
      </c>
      <c r="BF127" s="18">
        <v>1</v>
      </c>
      <c r="BG127" s="18">
        <v>1</v>
      </c>
      <c r="BH127" s="18">
        <v>1</v>
      </c>
      <c r="BI127" s="18">
        <v>1</v>
      </c>
      <c r="BJ127" s="19"/>
      <c r="BK127" s="18">
        <v>16.8</v>
      </c>
      <c r="BL127" s="18">
        <v>1.9999999999999998</v>
      </c>
      <c r="BM127" s="18">
        <v>8.5</v>
      </c>
      <c r="BN127" s="18">
        <v>22</v>
      </c>
      <c r="BO127" s="18"/>
      <c r="BP127" s="18">
        <v>130</v>
      </c>
      <c r="BQ127" s="18">
        <v>26</v>
      </c>
      <c r="BR127" s="18">
        <v>0.75032959252806897</v>
      </c>
      <c r="BS127" s="18">
        <v>0.81366486641929647</v>
      </c>
      <c r="BT127" s="19"/>
      <c r="BU127" s="18">
        <v>915.00000000000011</v>
      </c>
      <c r="BV127" s="18">
        <v>323.97678571428588</v>
      </c>
      <c r="BW127" s="18">
        <v>130.06071428571414</v>
      </c>
      <c r="BX127" s="18">
        <v>150</v>
      </c>
      <c r="BY127" s="18">
        <v>27</v>
      </c>
      <c r="BZ127" s="18" t="s">
        <v>217</v>
      </c>
      <c r="CA127" s="18" t="s">
        <v>217</v>
      </c>
      <c r="CB127" s="19"/>
      <c r="CC127" s="19">
        <v>2.6680000000000001</v>
      </c>
      <c r="CD127" s="19">
        <v>0.92799999999999994</v>
      </c>
      <c r="CE127" s="19">
        <v>0.14499999999999996</v>
      </c>
      <c r="CF127" s="19">
        <v>0</v>
      </c>
      <c r="CG127" s="19">
        <v>5.4229999999999992</v>
      </c>
      <c r="CH127" s="19">
        <v>0.52200000000000002</v>
      </c>
      <c r="CI127" s="19">
        <v>0</v>
      </c>
      <c r="CJ127" s="19"/>
      <c r="CK127" s="19">
        <v>16.82</v>
      </c>
      <c r="CL127" s="19">
        <v>2.1459999999999999</v>
      </c>
      <c r="CM127" s="19">
        <v>8.99</v>
      </c>
      <c r="CN127" s="19">
        <v>17.98</v>
      </c>
      <c r="CO127" s="19">
        <v>0</v>
      </c>
      <c r="CP127" s="19">
        <v>1.1599999999999997E-2</v>
      </c>
      <c r="CQ127" s="19">
        <v>28.010388878571401</v>
      </c>
      <c r="CR127" s="19">
        <v>128.72682727561426</v>
      </c>
      <c r="CS127" s="19">
        <v>4.1192584728196566</v>
      </c>
      <c r="CT127" s="19">
        <v>1.1971594936632124</v>
      </c>
      <c r="CU127" s="19">
        <v>0.77236096365368823</v>
      </c>
      <c r="CV127" s="19">
        <v>1.9695204573169007</v>
      </c>
      <c r="CW127" s="19">
        <v>2.8448628827910798</v>
      </c>
      <c r="CX127" s="19">
        <v>0</v>
      </c>
      <c r="CY127" s="19">
        <v>5.2777999183001958</v>
      </c>
      <c r="CZ127" s="19">
        <v>7.5948828092612288</v>
      </c>
      <c r="DA127" s="19">
        <v>2.0467565536822701</v>
      </c>
      <c r="DB127" s="19">
        <v>4.3123487137330914</v>
      </c>
      <c r="DC127" s="19">
        <v>3.5399877500793897</v>
      </c>
      <c r="DD127" s="19">
        <v>7.85233646381249</v>
      </c>
      <c r="DE127" s="19">
        <v>6.397723315598034</v>
      </c>
      <c r="DF127" s="23">
        <v>0</v>
      </c>
      <c r="DG127" s="23">
        <v>0</v>
      </c>
      <c r="DH127" s="23">
        <v>0</v>
      </c>
      <c r="DI127" s="19">
        <v>0</v>
      </c>
      <c r="DJ127" s="19">
        <v>0</v>
      </c>
      <c r="DK127" s="19">
        <v>0</v>
      </c>
      <c r="DL127" s="19">
        <v>0</v>
      </c>
      <c r="DM127" s="19">
        <v>0</v>
      </c>
      <c r="DN127" s="19">
        <v>0</v>
      </c>
      <c r="DO127" s="19">
        <v>0</v>
      </c>
      <c r="DP127" s="19">
        <v>0</v>
      </c>
      <c r="DQ127" s="19">
        <v>0</v>
      </c>
      <c r="DR127" s="19">
        <v>0</v>
      </c>
      <c r="DS127" s="19">
        <v>0</v>
      </c>
      <c r="DT127" s="19">
        <v>0</v>
      </c>
      <c r="DU127" s="19">
        <v>0</v>
      </c>
      <c r="DV127" s="19">
        <v>0</v>
      </c>
      <c r="DW127" s="17" t="s">
        <v>447</v>
      </c>
      <c r="DX127" s="22" t="s">
        <v>218</v>
      </c>
      <c r="DY127" s="22" t="s">
        <v>218</v>
      </c>
      <c r="DZ127" s="22" t="s">
        <v>218</v>
      </c>
      <c r="EA127" s="22" t="s">
        <v>218</v>
      </c>
      <c r="EB127" s="22" t="s">
        <v>218</v>
      </c>
      <c r="EC127" s="22" t="s">
        <v>218</v>
      </c>
      <c r="ED127" s="22" t="s">
        <v>218</v>
      </c>
      <c r="EE127" s="22" t="s">
        <v>218</v>
      </c>
      <c r="EF127" s="22" t="s">
        <v>218</v>
      </c>
      <c r="EG127" s="22" t="s">
        <v>218</v>
      </c>
      <c r="EH127" s="22" t="s">
        <v>218</v>
      </c>
      <c r="EI127" s="22" t="s">
        <v>218</v>
      </c>
      <c r="EJ127" s="22" t="s">
        <v>218</v>
      </c>
      <c r="EK127" s="22" t="s">
        <v>218</v>
      </c>
      <c r="EL127" s="22" t="s">
        <v>218</v>
      </c>
      <c r="EM127" s="22" t="s">
        <v>218</v>
      </c>
      <c r="EN127" s="22" t="s">
        <v>218</v>
      </c>
      <c r="EO127" s="22" t="s">
        <v>218</v>
      </c>
      <c r="EP127" s="22" t="s">
        <v>218</v>
      </c>
      <c r="EQ127" s="22" t="s">
        <v>218</v>
      </c>
      <c r="ER127" s="22" t="s">
        <v>218</v>
      </c>
      <c r="ES127" s="22" t="s">
        <v>218</v>
      </c>
      <c r="ET127" s="22" t="s">
        <v>218</v>
      </c>
      <c r="EU127" s="22" t="s">
        <v>218</v>
      </c>
      <c r="EV127" s="22" t="s">
        <v>218</v>
      </c>
      <c r="EW127" s="22" t="s">
        <v>218</v>
      </c>
      <c r="EX127" s="22" t="s">
        <v>218</v>
      </c>
      <c r="EY127" s="22" t="s">
        <v>218</v>
      </c>
      <c r="EZ127" s="22" t="s">
        <v>218</v>
      </c>
      <c r="FA127" s="22" t="s">
        <v>218</v>
      </c>
      <c r="FB127" s="22" t="s">
        <v>218</v>
      </c>
      <c r="FC127" s="22" t="s">
        <v>218</v>
      </c>
      <c r="FD127" s="22" t="s">
        <v>218</v>
      </c>
      <c r="FE127" s="22" t="s">
        <v>218</v>
      </c>
      <c r="FF127" s="22" t="s">
        <v>218</v>
      </c>
      <c r="FG127" s="22" t="s">
        <v>218</v>
      </c>
      <c r="FH127" s="22" t="s">
        <v>218</v>
      </c>
      <c r="FI127" s="22" t="s">
        <v>218</v>
      </c>
      <c r="FJ127" s="22" t="s">
        <v>218</v>
      </c>
      <c r="FK127" s="22" t="s">
        <v>218</v>
      </c>
      <c r="FL127" s="22" t="s">
        <v>218</v>
      </c>
      <c r="FM127" s="22" t="s">
        <v>218</v>
      </c>
      <c r="FN127" s="22" t="s">
        <v>218</v>
      </c>
      <c r="FO127" s="22" t="s">
        <v>218</v>
      </c>
      <c r="FP127" s="22" t="s">
        <v>218</v>
      </c>
      <c r="FQ127" s="22" t="s">
        <v>218</v>
      </c>
      <c r="FR127" s="22" t="s">
        <v>218</v>
      </c>
      <c r="FS127" s="22" t="s">
        <v>218</v>
      </c>
      <c r="FT127" s="22" t="s">
        <v>218</v>
      </c>
      <c r="FU127" s="22" t="s">
        <v>218</v>
      </c>
      <c r="FV127" s="22" t="s">
        <v>218</v>
      </c>
      <c r="FW127" s="22" t="s">
        <v>218</v>
      </c>
      <c r="FX127" s="22" t="s">
        <v>218</v>
      </c>
      <c r="FY127" s="22" t="s">
        <v>218</v>
      </c>
      <c r="FZ127" s="22" t="s">
        <v>218</v>
      </c>
      <c r="GA127" s="22" t="s">
        <v>218</v>
      </c>
      <c r="GB127" s="22" t="s">
        <v>218</v>
      </c>
      <c r="GC127" s="22" t="s">
        <v>218</v>
      </c>
      <c r="GD127" s="22" t="s">
        <v>218</v>
      </c>
      <c r="GE127" s="22" t="s">
        <v>218</v>
      </c>
      <c r="GF127" s="22" t="s">
        <v>218</v>
      </c>
      <c r="GG127" s="22" t="s">
        <v>218</v>
      </c>
      <c r="GH127" s="22" t="s">
        <v>218</v>
      </c>
      <c r="GI127" s="22" t="s">
        <v>218</v>
      </c>
      <c r="GJ127" s="22" t="s">
        <v>218</v>
      </c>
      <c r="GK127" s="22" t="s">
        <v>218</v>
      </c>
      <c r="GL127" s="22" t="s">
        <v>218</v>
      </c>
      <c r="GM127" s="22" t="s">
        <v>218</v>
      </c>
      <c r="GN127" s="22" t="s">
        <v>218</v>
      </c>
      <c r="GO127" s="22" t="s">
        <v>218</v>
      </c>
      <c r="GP127" s="22" t="s">
        <v>218</v>
      </c>
      <c r="GQ127" s="22" t="s">
        <v>218</v>
      </c>
      <c r="GR127" s="22" t="s">
        <v>218</v>
      </c>
      <c r="GS127" s="22" t="s">
        <v>218</v>
      </c>
      <c r="GT127" s="22" t="s">
        <v>218</v>
      </c>
      <c r="GU127" s="22" t="s">
        <v>218</v>
      </c>
      <c r="GV127" s="22" t="s">
        <v>218</v>
      </c>
      <c r="GW127" s="22" t="s">
        <v>218</v>
      </c>
      <c r="GX127" s="22" t="s">
        <v>218</v>
      </c>
      <c r="GY127" s="22" t="s">
        <v>218</v>
      </c>
      <c r="GZ127" s="22" t="s">
        <v>218</v>
      </c>
      <c r="HA127" s="22" t="s">
        <v>218</v>
      </c>
      <c r="HB127" s="22" t="s">
        <v>218</v>
      </c>
      <c r="HC127" s="22" t="s">
        <v>218</v>
      </c>
      <c r="HD127" s="22" t="s">
        <v>218</v>
      </c>
      <c r="HE127" s="22" t="s">
        <v>218</v>
      </c>
      <c r="HF127" s="22" t="s">
        <v>218</v>
      </c>
      <c r="HG127" s="22" t="s">
        <v>218</v>
      </c>
      <c r="HH127" s="22" t="s">
        <v>218</v>
      </c>
      <c r="HI127" s="22" t="s">
        <v>218</v>
      </c>
      <c r="HJ127" s="22" t="s">
        <v>218</v>
      </c>
      <c r="HK127" s="22" t="s">
        <v>218</v>
      </c>
      <c r="HL127" s="22" t="s">
        <v>218</v>
      </c>
      <c r="HM127" s="622">
        <f>'background data'!$G$16</f>
        <v>0.30099999999999999</v>
      </c>
      <c r="HN127" s="622">
        <f>'background data'!$H$16</f>
        <v>9.4E-2</v>
      </c>
      <c r="HO127" s="622">
        <f>'background data'!$J$16</f>
        <v>0.27200000000000002</v>
      </c>
      <c r="HP127" s="622">
        <f>'background data'!$L$16</f>
        <v>2.8000000000000001E-2</v>
      </c>
      <c r="HQ127" s="622">
        <f>'background data'!$M$16</f>
        <v>2.2999999999999998</v>
      </c>
      <c r="HR127" s="622">
        <f>'background data'!$N$16</f>
        <v>3.2000000000000002E-3</v>
      </c>
      <c r="HS127" s="622">
        <f>'background data'!$O$16</f>
        <v>1.91</v>
      </c>
      <c r="HT127" s="145" t="s">
        <v>1800</v>
      </c>
      <c r="HU127" s="145" t="s">
        <v>1809</v>
      </c>
      <c r="HV127" s="22" t="s">
        <v>1955</v>
      </c>
      <c r="HW127" s="22" t="s">
        <v>448</v>
      </c>
      <c r="HX127" s="22" t="s">
        <v>324</v>
      </c>
      <c r="HY127" s="22" t="s">
        <v>325</v>
      </c>
      <c r="HZ127" s="19"/>
      <c r="IA127" s="19"/>
      <c r="IB127" s="622">
        <f>'background data'!$G$16</f>
        <v>0.30099999999999999</v>
      </c>
      <c r="IC127" s="622">
        <f>'background data'!$H$16</f>
        <v>9.4E-2</v>
      </c>
      <c r="ID127" s="622">
        <f>'background data'!$J$16</f>
        <v>0.27200000000000002</v>
      </c>
      <c r="IE127" s="622">
        <f>'background data'!$L$16</f>
        <v>2.8000000000000001E-2</v>
      </c>
      <c r="IF127" s="622">
        <f>'background data'!$M$16</f>
        <v>2.2999999999999998</v>
      </c>
      <c r="IG127" s="622">
        <f>'background data'!$N$16</f>
        <v>3.2000000000000002E-3</v>
      </c>
      <c r="IH127" s="622">
        <f>'background data'!$O$16</f>
        <v>1.91</v>
      </c>
      <c r="II127" s="145" t="s">
        <v>1800</v>
      </c>
      <c r="IJ127" s="145"/>
      <c r="IK127" s="145"/>
      <c r="IL127" s="145"/>
      <c r="IM127" s="145"/>
      <c r="IN127" s="145"/>
      <c r="IO127" s="145"/>
      <c r="IP127" s="145"/>
      <c r="IQ127" s="145"/>
      <c r="IR127" s="145"/>
      <c r="IS127" s="145"/>
      <c r="IT127" s="145"/>
      <c r="IU127" s="145"/>
      <c r="IV127" s="145"/>
      <c r="IW127" s="145"/>
      <c r="IX127" s="145"/>
      <c r="IY127" s="145"/>
      <c r="IZ127" s="145"/>
      <c r="JA127" s="145"/>
      <c r="JB127" s="145"/>
      <c r="JC127" s="145"/>
      <c r="JD127" s="145"/>
      <c r="JE127" s="145"/>
      <c r="JF127" s="145"/>
      <c r="JG127" s="145"/>
      <c r="JH127" s="145"/>
      <c r="JI127" s="145"/>
      <c r="JJ127" s="145"/>
      <c r="JK127" s="145"/>
      <c r="JL127" s="145"/>
      <c r="JM127" s="145"/>
      <c r="JN127" s="145"/>
      <c r="JO127" s="145"/>
      <c r="JP127" s="145"/>
      <c r="JQ127" s="145"/>
      <c r="JR127" s="145"/>
      <c r="JS127" s="145"/>
      <c r="JT127" s="145"/>
      <c r="JU127" s="145"/>
      <c r="JV127" s="145"/>
      <c r="JW127" s="145"/>
      <c r="JX127" s="145"/>
      <c r="JY127" s="145"/>
      <c r="JZ127" s="145"/>
      <c r="KA127" s="145"/>
      <c r="KB127" s="145"/>
      <c r="KC127" s="145"/>
      <c r="KD127" s="145"/>
      <c r="KE127" s="145"/>
      <c r="KF127" s="145"/>
      <c r="KG127" s="145"/>
      <c r="KH127" s="145"/>
      <c r="KI127" s="145"/>
      <c r="KJ127" s="145"/>
      <c r="KK127" s="145"/>
      <c r="KL127" s="145"/>
      <c r="KM127" s="145"/>
      <c r="KN127" s="145"/>
      <c r="KO127" s="145"/>
      <c r="KP127" s="145"/>
      <c r="KQ127" s="145"/>
      <c r="KR127" s="145"/>
      <c r="KS127" s="145"/>
      <c r="KT127" s="145"/>
      <c r="KU127" s="145"/>
      <c r="KV127" s="145"/>
      <c r="KW127" s="145"/>
      <c r="KX127" s="145"/>
      <c r="KY127" s="145"/>
      <c r="KZ127" s="145"/>
      <c r="LA127" s="145"/>
      <c r="LB127" s="145"/>
      <c r="LC127" s="145"/>
      <c r="LD127" s="145"/>
      <c r="LE127" s="145"/>
      <c r="LF127" s="145"/>
      <c r="LG127" s="145"/>
      <c r="LH127" s="145"/>
      <c r="LI127" s="145"/>
      <c r="LJ127" s="145"/>
      <c r="LK127" s="145"/>
      <c r="LL127" s="145"/>
      <c r="LM127" s="145"/>
      <c r="LN127" s="145"/>
      <c r="LO127" s="145"/>
      <c r="LP127" s="145"/>
      <c r="LQ127" s="145"/>
      <c r="LR127" s="145"/>
      <c r="LS127" s="145"/>
      <c r="LT127" s="145"/>
      <c r="LU127" s="145"/>
      <c r="LV127" s="145"/>
      <c r="LW127" s="145"/>
      <c r="LX127" s="145"/>
      <c r="LY127" s="145"/>
      <c r="LZ127" s="145"/>
      <c r="MA127" s="145"/>
      <c r="MB127" s="145"/>
      <c r="MC127" s="145"/>
      <c r="MD127" s="145"/>
      <c r="ME127" s="145"/>
      <c r="MF127" s="145"/>
      <c r="MG127" s="145"/>
      <c r="MH127" s="145"/>
      <c r="MI127" s="145"/>
      <c r="MJ127" s="145"/>
      <c r="MK127" s="145"/>
      <c r="ML127" s="145"/>
      <c r="MM127" s="145"/>
      <c r="MN127" s="145"/>
      <c r="MO127" s="145"/>
      <c r="MP127" s="145"/>
      <c r="MQ127" s="145"/>
      <c r="MR127" s="145"/>
      <c r="MS127" s="145"/>
      <c r="MT127" s="145"/>
      <c r="MU127" s="145"/>
      <c r="MV127" s="145"/>
      <c r="MW127" s="145"/>
      <c r="MX127" s="145"/>
      <c r="MY127" s="145"/>
      <c r="MZ127" s="145"/>
      <c r="NA127" s="145"/>
      <c r="NB127" s="145"/>
      <c r="NC127" s="145"/>
      <c r="ND127" s="145"/>
      <c r="NE127" s="145"/>
      <c r="NF127" s="145"/>
      <c r="NG127" s="145"/>
      <c r="NH127" s="145"/>
      <c r="NI127" s="145"/>
      <c r="NJ127" s="145"/>
      <c r="NK127" s="145"/>
      <c r="NL127" s="145"/>
      <c r="NM127" s="145"/>
      <c r="NN127" s="145"/>
      <c r="NO127" s="145"/>
      <c r="NP127" s="145"/>
      <c r="NQ127" s="145"/>
      <c r="NR127" s="145"/>
      <c r="NS127" s="145"/>
    </row>
    <row r="128" spans="1:383" s="16" customFormat="1" ht="15" customHeight="1" x14ac:dyDescent="0.2">
      <c r="A128" s="15">
        <v>76500</v>
      </c>
      <c r="B128" s="25">
        <v>765</v>
      </c>
      <c r="C128" s="26">
        <v>0</v>
      </c>
      <c r="D128" s="20" t="s">
        <v>453</v>
      </c>
      <c r="E128" s="14">
        <v>40310</v>
      </c>
      <c r="F128" s="18">
        <v>1.38668307588076</v>
      </c>
      <c r="G128" s="18">
        <v>1.3401750231168801</v>
      </c>
      <c r="H128" s="21">
        <v>99.4</v>
      </c>
      <c r="I128" s="21">
        <v>96.3</v>
      </c>
      <c r="J128" s="21">
        <v>98</v>
      </c>
      <c r="K128" s="18">
        <v>1</v>
      </c>
      <c r="L128" s="18">
        <v>95</v>
      </c>
      <c r="M128" s="18">
        <v>31.254999999999999</v>
      </c>
      <c r="N128" s="18">
        <v>5.7949999999999999</v>
      </c>
      <c r="O128" s="18">
        <v>7.8849999999999998</v>
      </c>
      <c r="P128" s="18">
        <v>2.3097254999999999</v>
      </c>
      <c r="Q128" s="19"/>
      <c r="R128" s="18">
        <v>94</v>
      </c>
      <c r="S128" s="18">
        <v>58</v>
      </c>
      <c r="T128" s="18">
        <v>58</v>
      </c>
      <c r="U128" s="18">
        <v>58</v>
      </c>
      <c r="V128" s="18">
        <v>58</v>
      </c>
      <c r="W128" s="18">
        <v>58</v>
      </c>
      <c r="X128" s="18"/>
      <c r="Y128" s="18">
        <v>10.4</v>
      </c>
      <c r="Z128" s="18">
        <v>9</v>
      </c>
      <c r="AA128" s="18">
        <v>4.2</v>
      </c>
      <c r="AB128" s="18">
        <v>0</v>
      </c>
      <c r="AC128" s="18">
        <v>11</v>
      </c>
      <c r="AD128" s="18">
        <v>1.2</v>
      </c>
      <c r="AE128" s="18">
        <v>3</v>
      </c>
      <c r="AF128" s="18">
        <v>6</v>
      </c>
      <c r="AG128" s="18">
        <v>3</v>
      </c>
      <c r="AH128" s="18">
        <v>2</v>
      </c>
      <c r="AI128" s="18">
        <v>38</v>
      </c>
      <c r="AJ128" s="18">
        <v>0</v>
      </c>
      <c r="AK128" s="18">
        <v>0.13</v>
      </c>
      <c r="AL128" s="18"/>
      <c r="AM128" s="18">
        <v>7.87</v>
      </c>
      <c r="AN128" s="18">
        <v>2.4700000000000002</v>
      </c>
      <c r="AO128" s="18">
        <v>0.86</v>
      </c>
      <c r="AP128" s="18">
        <v>4.45</v>
      </c>
      <c r="AQ128" s="18">
        <v>1.3</v>
      </c>
      <c r="AR128" s="18">
        <v>5.71</v>
      </c>
      <c r="AS128" s="18">
        <v>10</v>
      </c>
      <c r="AT128" s="18">
        <v>2.87</v>
      </c>
      <c r="AU128" s="18">
        <v>4.83</v>
      </c>
      <c r="AV128" s="18">
        <v>4.91</v>
      </c>
      <c r="AW128" s="18">
        <v>6.72</v>
      </c>
      <c r="AX128" s="18"/>
      <c r="AY128" s="18">
        <v>1.03</v>
      </c>
      <c r="AZ128" s="18">
        <v>1.03</v>
      </c>
      <c r="BA128" s="18">
        <v>1.04</v>
      </c>
      <c r="BB128" s="18">
        <v>1.03</v>
      </c>
      <c r="BC128" s="18">
        <v>1</v>
      </c>
      <c r="BD128" s="18">
        <v>1.01</v>
      </c>
      <c r="BE128" s="18">
        <v>1.03</v>
      </c>
      <c r="BF128" s="18">
        <v>1.02</v>
      </c>
      <c r="BG128" s="18">
        <v>1.04</v>
      </c>
      <c r="BH128" s="18">
        <v>0.93</v>
      </c>
      <c r="BI128" s="18">
        <v>0.98</v>
      </c>
      <c r="BJ128" s="19"/>
      <c r="BK128" s="18">
        <v>32.9</v>
      </c>
      <c r="BL128" s="18">
        <v>6.1</v>
      </c>
      <c r="BM128" s="18">
        <v>8.2999999999999989</v>
      </c>
      <c r="BN128" s="18">
        <v>2.4312899999999997</v>
      </c>
      <c r="BO128" s="18"/>
      <c r="BP128" s="18">
        <v>0</v>
      </c>
      <c r="BQ128" s="18">
        <v>0</v>
      </c>
      <c r="BR128" s="18">
        <v>1.4596663956639579</v>
      </c>
      <c r="BS128" s="18">
        <v>1.4107105506493474</v>
      </c>
      <c r="BT128" s="19"/>
      <c r="BU128" s="18">
        <v>917</v>
      </c>
      <c r="BV128" s="18">
        <v>512.32799999999997</v>
      </c>
      <c r="BW128" s="18">
        <v>40.610000000000106</v>
      </c>
      <c r="BX128" s="18" t="s">
        <v>217</v>
      </c>
      <c r="BY128" s="18" t="s">
        <v>217</v>
      </c>
      <c r="BZ128" s="18" t="s">
        <v>217</v>
      </c>
      <c r="CA128" s="18" t="s">
        <v>217</v>
      </c>
      <c r="CB128" s="19"/>
      <c r="CC128" s="19">
        <v>9.879999999999999</v>
      </c>
      <c r="CD128" s="19">
        <v>8.5499999999999989</v>
      </c>
      <c r="CE128" s="19">
        <v>3.9899999999999998</v>
      </c>
      <c r="CF128" s="19">
        <v>0</v>
      </c>
      <c r="CG128" s="19">
        <v>10.45</v>
      </c>
      <c r="CH128" s="19">
        <v>1.1399999999999999</v>
      </c>
      <c r="CI128" s="19">
        <v>2.8499999999999996</v>
      </c>
      <c r="CJ128" s="19"/>
      <c r="CK128" s="19">
        <v>5.6999999999999993</v>
      </c>
      <c r="CL128" s="19">
        <v>2.8499999999999996</v>
      </c>
      <c r="CM128" s="19">
        <v>1.9</v>
      </c>
      <c r="CN128" s="19">
        <v>36.1</v>
      </c>
      <c r="CO128" s="19">
        <v>0</v>
      </c>
      <c r="CP128" s="19">
        <v>0.1235</v>
      </c>
      <c r="CQ128" s="19">
        <v>293.79700000000003</v>
      </c>
      <c r="CR128" s="19">
        <v>211.8703293565425</v>
      </c>
      <c r="CS128" s="19">
        <v>17.174420767970691</v>
      </c>
      <c r="CT128" s="19">
        <v>5.3901930491597971</v>
      </c>
      <c r="CU128" s="19">
        <v>1.8949682257649159</v>
      </c>
      <c r="CV128" s="19">
        <v>7.2851612749247137</v>
      </c>
      <c r="CW128" s="19">
        <v>9.7110765460571233</v>
      </c>
      <c r="CX128" s="19">
        <v>2.7543142816350521</v>
      </c>
      <c r="CY128" s="19">
        <v>12.218773764321162</v>
      </c>
      <c r="CZ128" s="19">
        <v>21.822643923723874</v>
      </c>
      <c r="DA128" s="19">
        <v>6.2022920215834247</v>
      </c>
      <c r="DB128" s="19">
        <v>10.642670384237842</v>
      </c>
      <c r="DC128" s="19">
        <v>9.6746348494077985</v>
      </c>
      <c r="DD128" s="19">
        <v>20.317305233645641</v>
      </c>
      <c r="DE128" s="19">
        <v>13.952932410104463</v>
      </c>
      <c r="DF128" s="23">
        <v>0</v>
      </c>
      <c r="DG128" s="23">
        <v>0</v>
      </c>
      <c r="DH128" s="23">
        <v>0</v>
      </c>
      <c r="DI128" s="19">
        <v>0</v>
      </c>
      <c r="DJ128" s="19">
        <v>0</v>
      </c>
      <c r="DK128" s="19">
        <v>0</v>
      </c>
      <c r="DL128" s="19">
        <v>0</v>
      </c>
      <c r="DM128" s="19">
        <v>0</v>
      </c>
      <c r="DN128" s="19">
        <v>0</v>
      </c>
      <c r="DO128" s="19">
        <v>0</v>
      </c>
      <c r="DP128" s="19">
        <v>0</v>
      </c>
      <c r="DQ128" s="19">
        <v>0</v>
      </c>
      <c r="DR128" s="19">
        <v>0</v>
      </c>
      <c r="DS128" s="19">
        <v>0</v>
      </c>
      <c r="DT128" s="19">
        <v>0</v>
      </c>
      <c r="DU128" s="19">
        <v>0</v>
      </c>
      <c r="DV128" s="19">
        <v>0</v>
      </c>
      <c r="DW128" s="17" t="s">
        <v>454</v>
      </c>
      <c r="DX128" s="22" t="s">
        <v>218</v>
      </c>
      <c r="DY128" s="22" t="s">
        <v>218</v>
      </c>
      <c r="DZ128" s="22">
        <v>1</v>
      </c>
      <c r="EA128" s="22">
        <v>1</v>
      </c>
      <c r="EB128" s="22">
        <v>1</v>
      </c>
      <c r="EC128" s="22">
        <v>1</v>
      </c>
      <c r="ED128" s="22">
        <v>1</v>
      </c>
      <c r="EE128" s="22" t="s">
        <v>218</v>
      </c>
      <c r="EF128" s="22" t="s">
        <v>218</v>
      </c>
      <c r="EG128" s="22" t="s">
        <v>218</v>
      </c>
      <c r="EH128" s="22" t="s">
        <v>218</v>
      </c>
      <c r="EI128" s="22" t="s">
        <v>218</v>
      </c>
      <c r="EJ128" s="22" t="s">
        <v>218</v>
      </c>
      <c r="EK128" s="22" t="s">
        <v>218</v>
      </c>
      <c r="EL128" s="22" t="s">
        <v>218</v>
      </c>
      <c r="EM128" s="22" t="s">
        <v>218</v>
      </c>
      <c r="EN128" s="22" t="s">
        <v>218</v>
      </c>
      <c r="EO128" s="22" t="s">
        <v>218</v>
      </c>
      <c r="EP128" s="22" t="s">
        <v>218</v>
      </c>
      <c r="EQ128" s="22" t="s">
        <v>218</v>
      </c>
      <c r="ER128" s="22" t="s">
        <v>218</v>
      </c>
      <c r="ES128" s="22" t="s">
        <v>218</v>
      </c>
      <c r="ET128" s="22" t="s">
        <v>218</v>
      </c>
      <c r="EU128" s="22" t="s">
        <v>218</v>
      </c>
      <c r="EV128" s="22" t="s">
        <v>218</v>
      </c>
      <c r="EW128" s="22" t="s">
        <v>218</v>
      </c>
      <c r="EX128" s="22" t="s">
        <v>218</v>
      </c>
      <c r="EY128" s="22" t="s">
        <v>218</v>
      </c>
      <c r="EZ128" s="22" t="s">
        <v>218</v>
      </c>
      <c r="FA128" s="22" t="s">
        <v>218</v>
      </c>
      <c r="FB128" s="22" t="s">
        <v>218</v>
      </c>
      <c r="FC128" s="22" t="s">
        <v>218</v>
      </c>
      <c r="FD128" s="22" t="s">
        <v>218</v>
      </c>
      <c r="FE128" s="22" t="s">
        <v>218</v>
      </c>
      <c r="FF128" s="22" t="s">
        <v>218</v>
      </c>
      <c r="FG128" s="22" t="s">
        <v>218</v>
      </c>
      <c r="FH128" s="22" t="s">
        <v>218</v>
      </c>
      <c r="FI128" s="22" t="s">
        <v>218</v>
      </c>
      <c r="FJ128" s="22" t="s">
        <v>218</v>
      </c>
      <c r="FK128" s="22" t="s">
        <v>218</v>
      </c>
      <c r="FL128" s="22" t="s">
        <v>218</v>
      </c>
      <c r="FM128" s="22" t="s">
        <v>218</v>
      </c>
      <c r="FN128" s="22" t="s">
        <v>218</v>
      </c>
      <c r="FO128" s="22" t="s">
        <v>218</v>
      </c>
      <c r="FP128" s="22" t="s">
        <v>218</v>
      </c>
      <c r="FQ128" s="22" t="s">
        <v>218</v>
      </c>
      <c r="FR128" s="22" t="s">
        <v>218</v>
      </c>
      <c r="FS128" s="22" t="s">
        <v>218</v>
      </c>
      <c r="FT128" s="22" t="s">
        <v>218</v>
      </c>
      <c r="FU128" s="22" t="s">
        <v>218</v>
      </c>
      <c r="FV128" s="22" t="s">
        <v>218</v>
      </c>
      <c r="FW128" s="22" t="s">
        <v>218</v>
      </c>
      <c r="FX128" s="22" t="s">
        <v>218</v>
      </c>
      <c r="FY128" s="22" t="s">
        <v>218</v>
      </c>
      <c r="FZ128" s="22" t="s">
        <v>218</v>
      </c>
      <c r="GA128" s="22" t="s">
        <v>218</v>
      </c>
      <c r="GB128" s="22" t="s">
        <v>218</v>
      </c>
      <c r="GC128" s="22" t="s">
        <v>218</v>
      </c>
      <c r="GD128" s="22" t="s">
        <v>218</v>
      </c>
      <c r="GE128" s="22" t="s">
        <v>218</v>
      </c>
      <c r="GF128" s="22" t="s">
        <v>218</v>
      </c>
      <c r="GG128" s="22" t="s">
        <v>218</v>
      </c>
      <c r="GH128" s="22" t="s">
        <v>218</v>
      </c>
      <c r="GI128" s="22" t="s">
        <v>218</v>
      </c>
      <c r="GJ128" s="22" t="s">
        <v>218</v>
      </c>
      <c r="GK128" s="22" t="s">
        <v>218</v>
      </c>
      <c r="GL128" s="22" t="s">
        <v>218</v>
      </c>
      <c r="GM128" s="22" t="s">
        <v>218</v>
      </c>
      <c r="GN128" s="22" t="s">
        <v>218</v>
      </c>
      <c r="GO128" s="22" t="s">
        <v>218</v>
      </c>
      <c r="GP128" s="22">
        <v>2005</v>
      </c>
      <c r="GQ128" s="22">
        <v>2005</v>
      </c>
      <c r="GR128" s="22">
        <v>2005</v>
      </c>
      <c r="GS128" s="22">
        <v>2005</v>
      </c>
      <c r="GT128" s="22">
        <v>2005</v>
      </c>
      <c r="GU128" s="22" t="s">
        <v>218</v>
      </c>
      <c r="GV128" s="22" t="s">
        <v>218</v>
      </c>
      <c r="GW128" s="22" t="s">
        <v>218</v>
      </c>
      <c r="GX128" s="22" t="s">
        <v>218</v>
      </c>
      <c r="GY128" s="22" t="s">
        <v>218</v>
      </c>
      <c r="GZ128" s="22" t="s">
        <v>218</v>
      </c>
      <c r="HA128" s="22" t="s">
        <v>218</v>
      </c>
      <c r="HB128" s="22" t="s">
        <v>218</v>
      </c>
      <c r="HC128" s="22" t="s">
        <v>218</v>
      </c>
      <c r="HD128" s="22" t="s">
        <v>218</v>
      </c>
      <c r="HE128" s="22" t="s">
        <v>218</v>
      </c>
      <c r="HF128" s="22" t="s">
        <v>218</v>
      </c>
      <c r="HG128" s="22" t="s">
        <v>218</v>
      </c>
      <c r="HH128" s="22" t="s">
        <v>218</v>
      </c>
      <c r="HI128" s="22" t="s">
        <v>218</v>
      </c>
      <c r="HJ128" s="22" t="s">
        <v>218</v>
      </c>
      <c r="HK128" s="22" t="s">
        <v>218</v>
      </c>
      <c r="HL128" s="22" t="s">
        <v>218</v>
      </c>
      <c r="HM128" s="860"/>
      <c r="HN128" s="860"/>
      <c r="HO128" s="860"/>
      <c r="HP128" s="860"/>
      <c r="HQ128" s="860"/>
      <c r="HR128" s="860"/>
      <c r="HS128" s="860"/>
      <c r="HT128" s="145"/>
      <c r="HU128" s="145" t="s">
        <v>1809</v>
      </c>
      <c r="HV128" s="22" t="s">
        <v>1956</v>
      </c>
      <c r="HW128" s="22" t="s">
        <v>455</v>
      </c>
      <c r="HX128" s="22">
        <v>0</v>
      </c>
      <c r="HY128" s="22">
        <v>0</v>
      </c>
      <c r="HZ128" s="19"/>
      <c r="IA128" s="19"/>
      <c r="IB128" s="621">
        <f>'background data'!$G$10</f>
        <v>0.47300000000000003</v>
      </c>
      <c r="IC128" s="621">
        <f>'background data'!$H$10</f>
        <v>0.13</v>
      </c>
      <c r="ID128" s="621">
        <f>'background data'!$J$10</f>
        <v>0.39100000000000001</v>
      </c>
      <c r="IE128" s="621">
        <f>'background data'!$L$10</f>
        <v>5.5E-2</v>
      </c>
      <c r="IF128" s="621">
        <f>'background data'!$M$10</f>
        <v>3.97</v>
      </c>
      <c r="IG128" s="621">
        <f>'background data'!$N$10</f>
        <v>4.5999999999999999E-3</v>
      </c>
      <c r="IH128" s="621">
        <f>'background data'!$O$10</f>
        <v>2.73</v>
      </c>
      <c r="II128" s="145"/>
      <c r="IJ128" s="145"/>
      <c r="IK128" s="145"/>
      <c r="IL128" s="145"/>
      <c r="IM128" s="145"/>
      <c r="IN128" s="145"/>
      <c r="IO128" s="145"/>
      <c r="IP128" s="145"/>
      <c r="IQ128" s="145"/>
      <c r="IR128" s="145"/>
      <c r="IS128" s="145"/>
      <c r="IT128" s="145"/>
      <c r="IU128" s="145"/>
      <c r="IV128" s="145"/>
      <c r="IW128" s="145"/>
      <c r="IX128" s="145"/>
      <c r="IY128" s="145"/>
      <c r="IZ128" s="145"/>
      <c r="JA128" s="145"/>
      <c r="JB128" s="145"/>
      <c r="JC128" s="145"/>
      <c r="JD128" s="145"/>
      <c r="JE128" s="145"/>
      <c r="JF128" s="145"/>
      <c r="JG128" s="145"/>
      <c r="JH128" s="145"/>
      <c r="JI128" s="145"/>
      <c r="JJ128" s="145"/>
      <c r="JK128" s="145"/>
      <c r="JL128" s="145"/>
      <c r="JM128" s="145"/>
      <c r="JN128" s="145"/>
      <c r="JO128" s="145"/>
      <c r="JP128" s="145"/>
      <c r="JQ128" s="145"/>
      <c r="JR128" s="145"/>
      <c r="JS128" s="145"/>
      <c r="JT128" s="145"/>
      <c r="JU128" s="145"/>
      <c r="JV128" s="145"/>
      <c r="JW128" s="145"/>
      <c r="JX128" s="145"/>
      <c r="JY128" s="145"/>
      <c r="JZ128" s="145"/>
      <c r="KA128" s="145"/>
      <c r="KB128" s="145"/>
      <c r="KC128" s="145"/>
      <c r="KD128" s="145"/>
      <c r="KE128" s="145"/>
      <c r="KF128" s="145"/>
      <c r="KG128" s="145"/>
      <c r="KH128" s="145"/>
      <c r="KI128" s="145"/>
      <c r="KJ128" s="145"/>
      <c r="KK128" s="145"/>
      <c r="KL128" s="145"/>
      <c r="KM128" s="145"/>
      <c r="KN128" s="145"/>
      <c r="KO128" s="145"/>
      <c r="KP128" s="145"/>
      <c r="KQ128" s="145"/>
      <c r="KR128" s="145"/>
      <c r="KS128" s="145"/>
      <c r="KT128" s="145"/>
      <c r="KU128" s="145"/>
      <c r="KV128" s="145"/>
      <c r="KW128" s="145"/>
      <c r="KX128" s="145"/>
      <c r="KY128" s="145"/>
      <c r="KZ128" s="145"/>
      <c r="LA128" s="145"/>
      <c r="LB128" s="145"/>
      <c r="LC128" s="145"/>
      <c r="LD128" s="145"/>
      <c r="LE128" s="145"/>
      <c r="LF128" s="145"/>
      <c r="LG128" s="145"/>
      <c r="LH128" s="145"/>
      <c r="LI128" s="145"/>
      <c r="LJ128" s="145"/>
      <c r="LK128" s="145"/>
      <c r="LL128" s="145"/>
      <c r="LM128" s="145"/>
      <c r="LN128" s="145"/>
      <c r="LO128" s="145"/>
      <c r="LP128" s="145"/>
      <c r="LQ128" s="145"/>
      <c r="LR128" s="145"/>
      <c r="LS128" s="145"/>
      <c r="LT128" s="145"/>
      <c r="LU128" s="145"/>
      <c r="LV128" s="145"/>
      <c r="LW128" s="145"/>
      <c r="LX128" s="145"/>
      <c r="LY128" s="145"/>
      <c r="LZ128" s="145"/>
      <c r="MA128" s="145"/>
      <c r="MB128" s="145"/>
      <c r="MC128" s="145"/>
      <c r="MD128" s="145"/>
      <c r="ME128" s="145"/>
      <c r="MF128" s="145"/>
      <c r="MG128" s="145"/>
      <c r="MH128" s="145"/>
      <c r="MI128" s="145"/>
      <c r="MJ128" s="145"/>
      <c r="MK128" s="145"/>
      <c r="ML128" s="145"/>
      <c r="MM128" s="145"/>
      <c r="MN128" s="145"/>
      <c r="MO128" s="145"/>
      <c r="MP128" s="145"/>
      <c r="MQ128" s="145"/>
      <c r="MR128" s="145"/>
      <c r="MS128" s="145"/>
      <c r="MT128" s="145"/>
      <c r="MU128" s="145"/>
      <c r="MV128" s="145"/>
      <c r="MW128" s="145"/>
      <c r="MX128" s="145"/>
      <c r="MY128" s="145"/>
      <c r="MZ128" s="145"/>
      <c r="NA128" s="145"/>
      <c r="NB128" s="145"/>
      <c r="NC128" s="145"/>
      <c r="ND128" s="145"/>
      <c r="NE128" s="145"/>
      <c r="NF128" s="145"/>
      <c r="NG128" s="145"/>
      <c r="NH128" s="145"/>
      <c r="NI128" s="145"/>
      <c r="NJ128" s="145"/>
      <c r="NK128" s="145"/>
      <c r="NL128" s="145"/>
      <c r="NM128" s="145"/>
      <c r="NN128" s="145"/>
      <c r="NO128" s="145"/>
      <c r="NP128" s="145"/>
      <c r="NQ128" s="145"/>
      <c r="NR128" s="145"/>
      <c r="NS128" s="145"/>
    </row>
    <row r="129" spans="1:383" s="16" customFormat="1" ht="15" customHeight="1" x14ac:dyDescent="0.2">
      <c r="A129" s="15">
        <v>76600</v>
      </c>
      <c r="B129" s="25">
        <v>766</v>
      </c>
      <c r="C129" s="26">
        <v>0</v>
      </c>
      <c r="D129" s="20" t="s">
        <v>456</v>
      </c>
      <c r="E129" s="14">
        <v>40310</v>
      </c>
      <c r="F129" s="18">
        <v>1.30980819839929</v>
      </c>
      <c r="G129" s="18">
        <v>1.2625421641655601</v>
      </c>
      <c r="H129" s="21">
        <v>96</v>
      </c>
      <c r="I129" s="21">
        <v>96</v>
      </c>
      <c r="J129" s="21">
        <v>96</v>
      </c>
      <c r="K129" s="18">
        <v>1</v>
      </c>
      <c r="L129" s="18">
        <v>94.17</v>
      </c>
      <c r="M129" s="18">
        <v>32.206140000000097</v>
      </c>
      <c r="N129" s="18">
        <v>4.7000002158000003</v>
      </c>
      <c r="O129" s="18">
        <v>9.0000001728000001</v>
      </c>
      <c r="P129" s="18">
        <v>0</v>
      </c>
      <c r="Q129" s="19"/>
      <c r="R129" s="18">
        <v>94</v>
      </c>
      <c r="S129" s="18">
        <v>58</v>
      </c>
      <c r="T129" s="18">
        <v>58</v>
      </c>
      <c r="U129" s="18">
        <v>58</v>
      </c>
      <c r="V129" s="18">
        <v>58</v>
      </c>
      <c r="W129" s="18">
        <v>58</v>
      </c>
      <c r="X129" s="18"/>
      <c r="Y129" s="18">
        <v>15.1</v>
      </c>
      <c r="Z129" s="18">
        <v>11.200000000000001</v>
      </c>
      <c r="AA129" s="18">
        <v>6.5</v>
      </c>
      <c r="AB129" s="18">
        <v>0</v>
      </c>
      <c r="AC129" s="18">
        <v>16</v>
      </c>
      <c r="AD129" s="18">
        <v>1.3</v>
      </c>
      <c r="AE129" s="18">
        <v>3.3000000000000003</v>
      </c>
      <c r="AF129" s="18">
        <v>65</v>
      </c>
      <c r="AG129" s="18">
        <v>5</v>
      </c>
      <c r="AH129" s="18">
        <v>8</v>
      </c>
      <c r="AI129" s="18">
        <v>53</v>
      </c>
      <c r="AJ129" s="18">
        <v>0</v>
      </c>
      <c r="AK129" s="18">
        <v>0.35000000000000003</v>
      </c>
      <c r="AL129" s="18"/>
      <c r="AM129" s="18">
        <v>7.6414140000000002</v>
      </c>
      <c r="AN129" s="18">
        <v>2.4520200000000001</v>
      </c>
      <c r="AO129" s="18">
        <v>0.80555599999999805</v>
      </c>
      <c r="AP129" s="18">
        <v>4.9646460000000001</v>
      </c>
      <c r="AQ129" s="18">
        <v>1.8712120000000001</v>
      </c>
      <c r="AR129" s="18">
        <v>5.1035349999999697</v>
      </c>
      <c r="AS129" s="18">
        <v>9.4267679999999796</v>
      </c>
      <c r="AT129" s="18">
        <v>2.6843429999999899</v>
      </c>
      <c r="AU129" s="18">
        <v>4.4520199999999903</v>
      </c>
      <c r="AV129" s="18">
        <v>4.5252529999999904</v>
      </c>
      <c r="AW129" s="18">
        <v>6.2601009999999704</v>
      </c>
      <c r="AX129" s="18"/>
      <c r="AY129" s="18">
        <v>1.03</v>
      </c>
      <c r="AZ129" s="18">
        <v>1.03</v>
      </c>
      <c r="BA129" s="18">
        <v>1.04</v>
      </c>
      <c r="BB129" s="18">
        <v>1.03</v>
      </c>
      <c r="BC129" s="18">
        <v>1</v>
      </c>
      <c r="BD129" s="18">
        <v>1.01</v>
      </c>
      <c r="BE129" s="18">
        <v>1.03</v>
      </c>
      <c r="BF129" s="18">
        <v>1.02</v>
      </c>
      <c r="BG129" s="18">
        <v>1.04</v>
      </c>
      <c r="BH129" s="18">
        <v>0.93</v>
      </c>
      <c r="BI129" s="18">
        <v>0.98</v>
      </c>
      <c r="BJ129" s="19"/>
      <c r="BK129" s="18">
        <v>34.200000000000102</v>
      </c>
      <c r="BL129" s="18">
        <v>4.9909740000000005</v>
      </c>
      <c r="BM129" s="18">
        <v>9.5571839999999995</v>
      </c>
      <c r="BN129" s="18">
        <v>0</v>
      </c>
      <c r="BO129" s="18"/>
      <c r="BP129" s="18">
        <v>0</v>
      </c>
      <c r="BQ129" s="18">
        <v>0</v>
      </c>
      <c r="BR129" s="18">
        <v>1.390897524051492</v>
      </c>
      <c r="BS129" s="18">
        <v>1.3407052821127323</v>
      </c>
      <c r="BT129" s="19"/>
      <c r="BU129" s="18">
        <v>904.42816000000005</v>
      </c>
      <c r="BV129" s="18">
        <v>508.61858579999893</v>
      </c>
      <c r="BW129" s="18">
        <v>0</v>
      </c>
      <c r="BX129" s="18" t="s">
        <v>217</v>
      </c>
      <c r="BY129" s="18" t="s">
        <v>217</v>
      </c>
      <c r="BZ129" s="18" t="s">
        <v>217</v>
      </c>
      <c r="CA129" s="18" t="s">
        <v>217</v>
      </c>
      <c r="CB129" s="19"/>
      <c r="CC129" s="19">
        <v>14.219669999999999</v>
      </c>
      <c r="CD129" s="19">
        <v>10.547040000000001</v>
      </c>
      <c r="CE129" s="19">
        <v>6.1210500000000003</v>
      </c>
      <c r="CF129" s="19">
        <v>0</v>
      </c>
      <c r="CG129" s="19">
        <v>15.0672</v>
      </c>
      <c r="CH129" s="19">
        <v>1.22421</v>
      </c>
      <c r="CI129" s="19">
        <v>3.1076100000000002</v>
      </c>
      <c r="CJ129" s="19"/>
      <c r="CK129" s="19">
        <v>61.210499999999996</v>
      </c>
      <c r="CL129" s="19">
        <v>4.7084999999999999</v>
      </c>
      <c r="CM129" s="19">
        <v>7.5335999999999999</v>
      </c>
      <c r="CN129" s="19">
        <v>49.9101</v>
      </c>
      <c r="CO129" s="19">
        <v>0</v>
      </c>
      <c r="CP129" s="19">
        <v>0.32959500000000003</v>
      </c>
      <c r="CQ129" s="19">
        <v>302.737716000001</v>
      </c>
      <c r="CR129" s="19">
        <v>231.13133386245042</v>
      </c>
      <c r="CS129" s="19">
        <v>18.191553167276552</v>
      </c>
      <c r="CT129" s="19">
        <v>5.837408128551278</v>
      </c>
      <c r="CU129" s="19">
        <v>1.9363680209213561</v>
      </c>
      <c r="CV129" s="19">
        <v>7.7737761494726181</v>
      </c>
      <c r="CW129" s="19">
        <v>11.819098096989276</v>
      </c>
      <c r="CX129" s="19">
        <v>4.3249572549942368</v>
      </c>
      <c r="CY129" s="19">
        <v>11.913827204833336</v>
      </c>
      <c r="CZ129" s="19">
        <v>22.441861057074167</v>
      </c>
      <c r="DA129" s="19">
        <v>6.3284449369701568</v>
      </c>
      <c r="DB129" s="19">
        <v>10.701613738215931</v>
      </c>
      <c r="DC129" s="19">
        <v>9.727128186182</v>
      </c>
      <c r="DD129" s="19">
        <v>20.428741924397933</v>
      </c>
      <c r="DE129" s="19">
        <v>14.179673843587821</v>
      </c>
      <c r="DF129" s="23">
        <v>0</v>
      </c>
      <c r="DG129" s="23">
        <v>0</v>
      </c>
      <c r="DH129" s="23">
        <v>0</v>
      </c>
      <c r="DI129" s="19">
        <v>0</v>
      </c>
      <c r="DJ129" s="19">
        <v>0</v>
      </c>
      <c r="DK129" s="19">
        <v>0</v>
      </c>
      <c r="DL129" s="19">
        <v>0</v>
      </c>
      <c r="DM129" s="19">
        <v>0</v>
      </c>
      <c r="DN129" s="19">
        <v>0</v>
      </c>
      <c r="DO129" s="19">
        <v>0</v>
      </c>
      <c r="DP129" s="19">
        <v>0</v>
      </c>
      <c r="DQ129" s="19">
        <v>0</v>
      </c>
      <c r="DR129" s="19">
        <v>0</v>
      </c>
      <c r="DS129" s="19">
        <v>0</v>
      </c>
      <c r="DT129" s="19">
        <v>0</v>
      </c>
      <c r="DU129" s="19">
        <v>0</v>
      </c>
      <c r="DV129" s="19">
        <v>0</v>
      </c>
      <c r="DW129" s="17" t="s">
        <v>454</v>
      </c>
      <c r="DX129" s="22" t="s">
        <v>218</v>
      </c>
      <c r="DY129" s="22" t="s">
        <v>218</v>
      </c>
      <c r="DZ129" s="22" t="s">
        <v>218</v>
      </c>
      <c r="EA129" s="22" t="s">
        <v>218</v>
      </c>
      <c r="EB129" s="22" t="s">
        <v>218</v>
      </c>
      <c r="EC129" s="22" t="s">
        <v>218</v>
      </c>
      <c r="ED129" s="22" t="s">
        <v>218</v>
      </c>
      <c r="EE129" s="22" t="s">
        <v>218</v>
      </c>
      <c r="EF129" s="22" t="s">
        <v>218</v>
      </c>
      <c r="EG129" s="22" t="s">
        <v>218</v>
      </c>
      <c r="EH129" s="22" t="s">
        <v>218</v>
      </c>
      <c r="EI129" s="22" t="s">
        <v>218</v>
      </c>
      <c r="EJ129" s="22" t="s">
        <v>218</v>
      </c>
      <c r="EK129" s="22" t="s">
        <v>218</v>
      </c>
      <c r="EL129" s="22" t="s">
        <v>218</v>
      </c>
      <c r="EM129" s="22" t="s">
        <v>218</v>
      </c>
      <c r="EN129" s="22" t="s">
        <v>218</v>
      </c>
      <c r="EO129" s="22" t="s">
        <v>218</v>
      </c>
      <c r="EP129" s="22" t="s">
        <v>218</v>
      </c>
      <c r="EQ129" s="22" t="s">
        <v>218</v>
      </c>
      <c r="ER129" s="22" t="s">
        <v>218</v>
      </c>
      <c r="ES129" s="22" t="s">
        <v>218</v>
      </c>
      <c r="ET129" s="22" t="s">
        <v>218</v>
      </c>
      <c r="EU129" s="22" t="s">
        <v>218</v>
      </c>
      <c r="EV129" s="22" t="s">
        <v>218</v>
      </c>
      <c r="EW129" s="22" t="s">
        <v>218</v>
      </c>
      <c r="EX129" s="22" t="s">
        <v>218</v>
      </c>
      <c r="EY129" s="22" t="s">
        <v>218</v>
      </c>
      <c r="EZ129" s="22" t="s">
        <v>218</v>
      </c>
      <c r="FA129" s="22" t="s">
        <v>218</v>
      </c>
      <c r="FB129" s="22" t="s">
        <v>218</v>
      </c>
      <c r="FC129" s="22" t="s">
        <v>218</v>
      </c>
      <c r="FD129" s="22" t="s">
        <v>218</v>
      </c>
      <c r="FE129" s="22" t="s">
        <v>218</v>
      </c>
      <c r="FF129" s="22" t="s">
        <v>218</v>
      </c>
      <c r="FG129" s="22" t="s">
        <v>218</v>
      </c>
      <c r="FH129" s="22" t="s">
        <v>218</v>
      </c>
      <c r="FI129" s="22" t="s">
        <v>218</v>
      </c>
      <c r="FJ129" s="22" t="s">
        <v>218</v>
      </c>
      <c r="FK129" s="22" t="s">
        <v>218</v>
      </c>
      <c r="FL129" s="22" t="s">
        <v>218</v>
      </c>
      <c r="FM129" s="22" t="s">
        <v>218</v>
      </c>
      <c r="FN129" s="22" t="s">
        <v>218</v>
      </c>
      <c r="FO129" s="22" t="s">
        <v>218</v>
      </c>
      <c r="FP129" s="22" t="s">
        <v>218</v>
      </c>
      <c r="FQ129" s="22" t="s">
        <v>218</v>
      </c>
      <c r="FR129" s="22" t="s">
        <v>218</v>
      </c>
      <c r="FS129" s="22" t="s">
        <v>218</v>
      </c>
      <c r="FT129" s="22" t="s">
        <v>218</v>
      </c>
      <c r="FU129" s="22" t="s">
        <v>218</v>
      </c>
      <c r="FV129" s="22" t="s">
        <v>218</v>
      </c>
      <c r="FW129" s="22" t="s">
        <v>218</v>
      </c>
      <c r="FX129" s="22" t="s">
        <v>218</v>
      </c>
      <c r="FY129" s="22" t="s">
        <v>218</v>
      </c>
      <c r="FZ129" s="22" t="s">
        <v>218</v>
      </c>
      <c r="GA129" s="22" t="s">
        <v>218</v>
      </c>
      <c r="GB129" s="22" t="s">
        <v>218</v>
      </c>
      <c r="GC129" s="22" t="s">
        <v>218</v>
      </c>
      <c r="GD129" s="22" t="s">
        <v>218</v>
      </c>
      <c r="GE129" s="22" t="s">
        <v>218</v>
      </c>
      <c r="GF129" s="22" t="s">
        <v>218</v>
      </c>
      <c r="GG129" s="22" t="s">
        <v>218</v>
      </c>
      <c r="GH129" s="22" t="s">
        <v>218</v>
      </c>
      <c r="GI129" s="22" t="s">
        <v>218</v>
      </c>
      <c r="GJ129" s="22" t="s">
        <v>218</v>
      </c>
      <c r="GK129" s="22" t="s">
        <v>218</v>
      </c>
      <c r="GL129" s="22" t="s">
        <v>218</v>
      </c>
      <c r="GM129" s="22" t="s">
        <v>218</v>
      </c>
      <c r="GN129" s="22" t="s">
        <v>218</v>
      </c>
      <c r="GO129" s="22" t="s">
        <v>218</v>
      </c>
      <c r="GP129" s="22" t="s">
        <v>218</v>
      </c>
      <c r="GQ129" s="22" t="s">
        <v>218</v>
      </c>
      <c r="GR129" s="22" t="s">
        <v>218</v>
      </c>
      <c r="GS129" s="22" t="s">
        <v>218</v>
      </c>
      <c r="GT129" s="22" t="s">
        <v>218</v>
      </c>
      <c r="GU129" s="22" t="s">
        <v>218</v>
      </c>
      <c r="GV129" s="22" t="s">
        <v>218</v>
      </c>
      <c r="GW129" s="22" t="s">
        <v>218</v>
      </c>
      <c r="GX129" s="22" t="s">
        <v>218</v>
      </c>
      <c r="GY129" s="22" t="s">
        <v>218</v>
      </c>
      <c r="GZ129" s="22" t="s">
        <v>218</v>
      </c>
      <c r="HA129" s="22" t="s">
        <v>218</v>
      </c>
      <c r="HB129" s="22" t="s">
        <v>218</v>
      </c>
      <c r="HC129" s="22" t="s">
        <v>218</v>
      </c>
      <c r="HD129" s="22" t="s">
        <v>218</v>
      </c>
      <c r="HE129" s="22" t="s">
        <v>218</v>
      </c>
      <c r="HF129" s="22" t="s">
        <v>218</v>
      </c>
      <c r="HG129" s="22" t="s">
        <v>218</v>
      </c>
      <c r="HH129" s="22" t="s">
        <v>218</v>
      </c>
      <c r="HI129" s="22" t="s">
        <v>218</v>
      </c>
      <c r="HJ129" s="22" t="s">
        <v>218</v>
      </c>
      <c r="HK129" s="22" t="s">
        <v>218</v>
      </c>
      <c r="HL129" s="22" t="s">
        <v>218</v>
      </c>
      <c r="HM129" s="860"/>
      <c r="HN129" s="860"/>
      <c r="HO129" s="860"/>
      <c r="HP129" s="860"/>
      <c r="HQ129" s="860"/>
      <c r="HR129" s="860"/>
      <c r="HS129" s="860"/>
      <c r="HT129" s="145"/>
      <c r="HU129" s="145" t="s">
        <v>1809</v>
      </c>
      <c r="HV129" s="22" t="s">
        <v>1956</v>
      </c>
      <c r="HW129" s="22" t="s">
        <v>455</v>
      </c>
      <c r="HX129" s="22">
        <v>0</v>
      </c>
      <c r="HY129" s="22">
        <v>0</v>
      </c>
      <c r="HZ129" s="19"/>
      <c r="IA129" s="19"/>
      <c r="IB129" s="621">
        <f>'background data'!$G$10</f>
        <v>0.47300000000000003</v>
      </c>
      <c r="IC129" s="621">
        <f>'background data'!$H$10</f>
        <v>0.13</v>
      </c>
      <c r="ID129" s="621">
        <f>'background data'!$J$10</f>
        <v>0.39100000000000001</v>
      </c>
      <c r="IE129" s="621">
        <f>'background data'!$L$10</f>
        <v>5.5E-2</v>
      </c>
      <c r="IF129" s="621">
        <f>'background data'!$M$10</f>
        <v>3.97</v>
      </c>
      <c r="IG129" s="621">
        <f>'background data'!$N$10</f>
        <v>4.5999999999999999E-3</v>
      </c>
      <c r="IH129" s="621">
        <f>'background data'!$O$10</f>
        <v>2.73</v>
      </c>
      <c r="II129" s="145"/>
      <c r="IJ129" s="145"/>
      <c r="IK129" s="145"/>
      <c r="IL129" s="145"/>
      <c r="IM129" s="145"/>
      <c r="IN129" s="145"/>
      <c r="IO129" s="145"/>
      <c r="IP129" s="145"/>
      <c r="IQ129" s="145"/>
      <c r="IR129" s="145"/>
      <c r="IS129" s="145"/>
      <c r="IT129" s="145"/>
      <c r="IU129" s="145"/>
      <c r="IV129" s="145"/>
      <c r="IW129" s="145"/>
      <c r="IX129" s="145"/>
      <c r="IY129" s="145"/>
      <c r="IZ129" s="145"/>
      <c r="JA129" s="145"/>
      <c r="JB129" s="145"/>
      <c r="JC129" s="145"/>
      <c r="JD129" s="145"/>
      <c r="JE129" s="145"/>
      <c r="JF129" s="145"/>
      <c r="JG129" s="145"/>
      <c r="JH129" s="145"/>
      <c r="JI129" s="145"/>
      <c r="JJ129" s="145"/>
      <c r="JK129" s="145"/>
      <c r="JL129" s="145"/>
      <c r="JM129" s="145"/>
      <c r="JN129" s="145"/>
      <c r="JO129" s="145"/>
      <c r="JP129" s="145"/>
      <c r="JQ129" s="145"/>
      <c r="JR129" s="145"/>
      <c r="JS129" s="145"/>
      <c r="JT129" s="145"/>
      <c r="JU129" s="145"/>
      <c r="JV129" s="145"/>
      <c r="JW129" s="145"/>
      <c r="JX129" s="145"/>
      <c r="JY129" s="145"/>
      <c r="JZ129" s="145"/>
      <c r="KA129" s="145"/>
      <c r="KB129" s="145"/>
      <c r="KC129" s="145"/>
      <c r="KD129" s="145"/>
      <c r="KE129" s="145"/>
      <c r="KF129" s="145"/>
      <c r="KG129" s="145"/>
      <c r="KH129" s="145"/>
      <c r="KI129" s="145"/>
      <c r="KJ129" s="145"/>
      <c r="KK129" s="145"/>
      <c r="KL129" s="145"/>
      <c r="KM129" s="145"/>
      <c r="KN129" s="145"/>
      <c r="KO129" s="145"/>
      <c r="KP129" s="145"/>
      <c r="KQ129" s="145"/>
      <c r="KR129" s="145"/>
      <c r="KS129" s="145"/>
      <c r="KT129" s="145"/>
      <c r="KU129" s="145"/>
      <c r="KV129" s="145"/>
      <c r="KW129" s="145"/>
      <c r="KX129" s="145"/>
      <c r="KY129" s="145"/>
      <c r="KZ129" s="145"/>
      <c r="LA129" s="145"/>
      <c r="LB129" s="145"/>
      <c r="LC129" s="145"/>
      <c r="LD129" s="145"/>
      <c r="LE129" s="145"/>
      <c r="LF129" s="145"/>
      <c r="LG129" s="145"/>
      <c r="LH129" s="145"/>
      <c r="LI129" s="145"/>
      <c r="LJ129" s="145"/>
      <c r="LK129" s="145"/>
      <c r="LL129" s="145"/>
      <c r="LM129" s="145"/>
      <c r="LN129" s="145"/>
      <c r="LO129" s="145"/>
      <c r="LP129" s="145"/>
      <c r="LQ129" s="145"/>
      <c r="LR129" s="145"/>
      <c r="LS129" s="145"/>
      <c r="LT129" s="145"/>
      <c r="LU129" s="145"/>
      <c r="LV129" s="145"/>
      <c r="LW129" s="145"/>
      <c r="LX129" s="145"/>
      <c r="LY129" s="145"/>
      <c r="LZ129" s="145"/>
      <c r="MA129" s="145"/>
      <c r="MB129" s="145"/>
      <c r="MC129" s="145"/>
      <c r="MD129" s="145"/>
      <c r="ME129" s="145"/>
      <c r="MF129" s="145"/>
      <c r="MG129" s="145"/>
      <c r="MH129" s="145"/>
      <c r="MI129" s="145"/>
      <c r="MJ129" s="145"/>
      <c r="MK129" s="145"/>
      <c r="ML129" s="145"/>
      <c r="MM129" s="145"/>
      <c r="MN129" s="145"/>
      <c r="MO129" s="145"/>
      <c r="MP129" s="145"/>
      <c r="MQ129" s="145"/>
      <c r="MR129" s="145"/>
      <c r="MS129" s="145"/>
      <c r="MT129" s="145"/>
      <c r="MU129" s="145"/>
      <c r="MV129" s="145"/>
      <c r="MW129" s="145"/>
      <c r="MX129" s="145"/>
      <c r="MY129" s="145"/>
      <c r="MZ129" s="145"/>
      <c r="NA129" s="145"/>
      <c r="NB129" s="145"/>
      <c r="NC129" s="145"/>
      <c r="ND129" s="145"/>
      <c r="NE129" s="145"/>
      <c r="NF129" s="145"/>
      <c r="NG129" s="145"/>
      <c r="NH129" s="145"/>
      <c r="NI129" s="145"/>
      <c r="NJ129" s="145"/>
      <c r="NK129" s="145"/>
      <c r="NL129" s="145"/>
      <c r="NM129" s="145"/>
      <c r="NN129" s="145"/>
      <c r="NO129" s="145"/>
      <c r="NP129" s="145"/>
      <c r="NQ129" s="145"/>
      <c r="NR129" s="145"/>
      <c r="NS129" s="145"/>
    </row>
    <row r="130" spans="1:383" s="16" customFormat="1" ht="15" customHeight="1" x14ac:dyDescent="0.2">
      <c r="A130" s="15">
        <v>99900</v>
      </c>
      <c r="B130" s="25">
        <v>999</v>
      </c>
      <c r="C130" s="26">
        <v>0</v>
      </c>
      <c r="D130" s="20" t="s">
        <v>457</v>
      </c>
      <c r="E130" s="14">
        <v>40310</v>
      </c>
      <c r="F130" s="18">
        <v>1.1672371646341499</v>
      </c>
      <c r="G130" s="18">
        <v>1.1187286071428599</v>
      </c>
      <c r="H130" s="21">
        <v>100</v>
      </c>
      <c r="I130" s="21">
        <v>100</v>
      </c>
      <c r="J130" s="21">
        <v>100</v>
      </c>
      <c r="K130" s="18">
        <v>1</v>
      </c>
      <c r="L130" s="18">
        <v>99</v>
      </c>
      <c r="M130" s="18">
        <v>66.082499999999996</v>
      </c>
      <c r="N130" s="18">
        <v>0</v>
      </c>
      <c r="O130" s="18">
        <v>15.048</v>
      </c>
      <c r="P130" s="18">
        <v>0</v>
      </c>
      <c r="Q130" s="19"/>
      <c r="R130" s="18">
        <v>100</v>
      </c>
      <c r="S130" s="18">
        <v>0</v>
      </c>
      <c r="T130" s="18">
        <v>0</v>
      </c>
      <c r="U130" s="18">
        <v>0</v>
      </c>
      <c r="V130" s="18">
        <v>0</v>
      </c>
      <c r="W130" s="18">
        <v>0</v>
      </c>
      <c r="X130" s="18"/>
      <c r="Y130" s="18">
        <v>0</v>
      </c>
      <c r="Z130" s="18">
        <v>0</v>
      </c>
      <c r="AA130" s="18">
        <v>0</v>
      </c>
      <c r="AB130" s="18">
        <v>0</v>
      </c>
      <c r="AC130" s="18">
        <v>0</v>
      </c>
      <c r="AD130" s="18">
        <v>0</v>
      </c>
      <c r="AE130" s="18">
        <v>0</v>
      </c>
      <c r="AF130" s="18">
        <v>0</v>
      </c>
      <c r="AG130" s="18">
        <v>0</v>
      </c>
      <c r="AH130" s="18">
        <v>0</v>
      </c>
      <c r="AI130" s="18">
        <v>0</v>
      </c>
      <c r="AJ130" s="18">
        <v>0</v>
      </c>
      <c r="AK130" s="18">
        <v>0</v>
      </c>
      <c r="AL130" s="18"/>
      <c r="AM130" s="18">
        <v>0</v>
      </c>
      <c r="AN130" s="18">
        <v>0</v>
      </c>
      <c r="AO130" s="18">
        <v>0</v>
      </c>
      <c r="AP130" s="18">
        <v>0</v>
      </c>
      <c r="AQ130" s="18">
        <v>0</v>
      </c>
      <c r="AR130" s="18">
        <v>0</v>
      </c>
      <c r="AS130" s="18">
        <v>149.81273400000001</v>
      </c>
      <c r="AT130" s="18">
        <v>0</v>
      </c>
      <c r="AU130" s="18">
        <v>0</v>
      </c>
      <c r="AV130" s="18">
        <v>0</v>
      </c>
      <c r="AW130" s="18">
        <v>0</v>
      </c>
      <c r="AX130" s="18"/>
      <c r="AY130" s="18">
        <v>1</v>
      </c>
      <c r="AZ130" s="18">
        <v>1</v>
      </c>
      <c r="BA130" s="18">
        <v>1</v>
      </c>
      <c r="BB130" s="18">
        <v>1</v>
      </c>
      <c r="BC130" s="18">
        <v>1</v>
      </c>
      <c r="BD130" s="18">
        <v>1</v>
      </c>
      <c r="BE130" s="18">
        <v>1</v>
      </c>
      <c r="BF130" s="18">
        <v>1</v>
      </c>
      <c r="BG130" s="18">
        <v>1</v>
      </c>
      <c r="BH130" s="18">
        <v>1</v>
      </c>
      <c r="BI130" s="18">
        <v>1</v>
      </c>
      <c r="BJ130" s="19"/>
      <c r="BK130" s="18">
        <v>66.75</v>
      </c>
      <c r="BL130" s="18">
        <v>0</v>
      </c>
      <c r="BM130" s="18">
        <v>15.2</v>
      </c>
      <c r="BN130" s="18">
        <v>0</v>
      </c>
      <c r="BO130" s="18"/>
      <c r="BP130" s="18">
        <v>0</v>
      </c>
      <c r="BQ130" s="18">
        <v>0</v>
      </c>
      <c r="BR130" s="18">
        <v>1.179027439024394</v>
      </c>
      <c r="BS130" s="18">
        <v>1.1300288961038989</v>
      </c>
      <c r="BT130" s="19"/>
      <c r="BU130" s="18">
        <v>848</v>
      </c>
      <c r="BV130" s="18">
        <v>240.57500000000002</v>
      </c>
      <c r="BW130" s="18">
        <v>0</v>
      </c>
      <c r="BX130" s="18">
        <v>0</v>
      </c>
      <c r="BY130" s="18">
        <v>0</v>
      </c>
      <c r="BZ130" s="18" t="s">
        <v>217</v>
      </c>
      <c r="CA130" s="18" t="s">
        <v>217</v>
      </c>
      <c r="CB130" s="19"/>
      <c r="CC130" s="19">
        <v>0</v>
      </c>
      <c r="CD130" s="19">
        <v>0</v>
      </c>
      <c r="CE130" s="19">
        <v>0</v>
      </c>
      <c r="CF130" s="19">
        <v>0</v>
      </c>
      <c r="CG130" s="19">
        <v>0</v>
      </c>
      <c r="CH130" s="19">
        <v>0</v>
      </c>
      <c r="CI130" s="19">
        <v>0</v>
      </c>
      <c r="CJ130" s="19"/>
      <c r="CK130" s="19">
        <v>0</v>
      </c>
      <c r="CL130" s="19">
        <v>0</v>
      </c>
      <c r="CM130" s="19">
        <v>0</v>
      </c>
      <c r="CN130" s="19">
        <v>0</v>
      </c>
      <c r="CO130" s="19">
        <v>0</v>
      </c>
      <c r="CP130" s="19">
        <v>0</v>
      </c>
      <c r="CQ130" s="19">
        <v>660.82500000000005</v>
      </c>
      <c r="CR130" s="19">
        <v>566.14458485574698</v>
      </c>
      <c r="CS130" s="19">
        <v>0</v>
      </c>
      <c r="CT130" s="19">
        <v>0</v>
      </c>
      <c r="CU130" s="19">
        <v>0</v>
      </c>
      <c r="CV130" s="19">
        <v>0</v>
      </c>
      <c r="CW130" s="19">
        <v>0</v>
      </c>
      <c r="CX130" s="19">
        <v>0</v>
      </c>
      <c r="CY130" s="19">
        <v>0</v>
      </c>
      <c r="CZ130" s="19">
        <v>848.15668096534444</v>
      </c>
      <c r="DA130" s="19">
        <v>0</v>
      </c>
      <c r="DB130" s="19">
        <v>0</v>
      </c>
      <c r="DC130" s="19">
        <v>0</v>
      </c>
      <c r="DD130" s="19">
        <v>0</v>
      </c>
      <c r="DE130" s="19">
        <v>0</v>
      </c>
      <c r="DF130" s="23">
        <v>0</v>
      </c>
      <c r="DG130" s="23">
        <v>0</v>
      </c>
      <c r="DH130" s="23">
        <v>0</v>
      </c>
      <c r="DI130" s="19">
        <v>0</v>
      </c>
      <c r="DJ130" s="19">
        <v>0</v>
      </c>
      <c r="DK130" s="19">
        <v>0</v>
      </c>
      <c r="DL130" s="19">
        <v>0</v>
      </c>
      <c r="DM130" s="19">
        <v>0</v>
      </c>
      <c r="DN130" s="19">
        <v>0</v>
      </c>
      <c r="DO130" s="19">
        <v>0</v>
      </c>
      <c r="DP130" s="19">
        <v>0</v>
      </c>
      <c r="DQ130" s="19">
        <v>0</v>
      </c>
      <c r="DR130" s="19">
        <v>0</v>
      </c>
      <c r="DS130" s="19">
        <v>0</v>
      </c>
      <c r="DT130" s="19">
        <v>0</v>
      </c>
      <c r="DU130" s="19">
        <v>0</v>
      </c>
      <c r="DV130" s="19">
        <v>0</v>
      </c>
      <c r="DW130" s="17" t="s">
        <v>218</v>
      </c>
      <c r="DX130" s="22" t="s">
        <v>218</v>
      </c>
      <c r="DY130" s="22" t="s">
        <v>218</v>
      </c>
      <c r="DZ130" s="22" t="s">
        <v>218</v>
      </c>
      <c r="EA130" s="22" t="s">
        <v>218</v>
      </c>
      <c r="EB130" s="22" t="s">
        <v>218</v>
      </c>
      <c r="EC130" s="22" t="s">
        <v>218</v>
      </c>
      <c r="ED130" s="22" t="s">
        <v>218</v>
      </c>
      <c r="EE130" s="22" t="s">
        <v>218</v>
      </c>
      <c r="EF130" s="22" t="s">
        <v>218</v>
      </c>
      <c r="EG130" s="22" t="s">
        <v>218</v>
      </c>
      <c r="EH130" s="22" t="s">
        <v>218</v>
      </c>
      <c r="EI130" s="22" t="s">
        <v>218</v>
      </c>
      <c r="EJ130" s="22" t="s">
        <v>218</v>
      </c>
      <c r="EK130" s="22" t="s">
        <v>218</v>
      </c>
      <c r="EL130" s="22" t="s">
        <v>218</v>
      </c>
      <c r="EM130" s="22" t="s">
        <v>218</v>
      </c>
      <c r="EN130" s="22" t="s">
        <v>218</v>
      </c>
      <c r="EO130" s="22" t="s">
        <v>218</v>
      </c>
      <c r="EP130" s="22" t="s">
        <v>218</v>
      </c>
      <c r="EQ130" s="22" t="s">
        <v>218</v>
      </c>
      <c r="ER130" s="22" t="s">
        <v>218</v>
      </c>
      <c r="ES130" s="22" t="s">
        <v>218</v>
      </c>
      <c r="ET130" s="22" t="s">
        <v>218</v>
      </c>
      <c r="EU130" s="22" t="s">
        <v>218</v>
      </c>
      <c r="EV130" s="22" t="s">
        <v>218</v>
      </c>
      <c r="EW130" s="22" t="s">
        <v>218</v>
      </c>
      <c r="EX130" s="22" t="s">
        <v>218</v>
      </c>
      <c r="EY130" s="22" t="s">
        <v>218</v>
      </c>
      <c r="EZ130" s="22" t="s">
        <v>218</v>
      </c>
      <c r="FA130" s="22" t="s">
        <v>218</v>
      </c>
      <c r="FB130" s="22" t="s">
        <v>218</v>
      </c>
      <c r="FC130" s="22" t="s">
        <v>218</v>
      </c>
      <c r="FD130" s="22" t="s">
        <v>218</v>
      </c>
      <c r="FE130" s="22" t="s">
        <v>218</v>
      </c>
      <c r="FF130" s="22" t="s">
        <v>218</v>
      </c>
      <c r="FG130" s="22" t="s">
        <v>218</v>
      </c>
      <c r="FH130" s="22" t="s">
        <v>218</v>
      </c>
      <c r="FI130" s="22" t="s">
        <v>218</v>
      </c>
      <c r="FJ130" s="22" t="s">
        <v>218</v>
      </c>
      <c r="FK130" s="22" t="s">
        <v>218</v>
      </c>
      <c r="FL130" s="22" t="s">
        <v>218</v>
      </c>
      <c r="FM130" s="22" t="s">
        <v>218</v>
      </c>
      <c r="FN130" s="22" t="s">
        <v>218</v>
      </c>
      <c r="FO130" s="22" t="s">
        <v>218</v>
      </c>
      <c r="FP130" s="22" t="s">
        <v>218</v>
      </c>
      <c r="FQ130" s="22" t="s">
        <v>218</v>
      </c>
      <c r="FR130" s="22" t="s">
        <v>218</v>
      </c>
      <c r="FS130" s="22" t="s">
        <v>218</v>
      </c>
      <c r="FT130" s="22" t="s">
        <v>218</v>
      </c>
      <c r="FU130" s="22" t="s">
        <v>218</v>
      </c>
      <c r="FV130" s="22" t="s">
        <v>218</v>
      </c>
      <c r="FW130" s="22" t="s">
        <v>218</v>
      </c>
      <c r="FX130" s="22" t="s">
        <v>218</v>
      </c>
      <c r="FY130" s="22" t="s">
        <v>218</v>
      </c>
      <c r="FZ130" s="22" t="s">
        <v>218</v>
      </c>
      <c r="GA130" s="22" t="s">
        <v>218</v>
      </c>
      <c r="GB130" s="22" t="s">
        <v>218</v>
      </c>
      <c r="GC130" s="22" t="s">
        <v>218</v>
      </c>
      <c r="GD130" s="22" t="s">
        <v>218</v>
      </c>
      <c r="GE130" s="22" t="s">
        <v>218</v>
      </c>
      <c r="GF130" s="22" t="s">
        <v>218</v>
      </c>
      <c r="GG130" s="22" t="s">
        <v>218</v>
      </c>
      <c r="GH130" s="22" t="s">
        <v>218</v>
      </c>
      <c r="GI130" s="22" t="s">
        <v>218</v>
      </c>
      <c r="GJ130" s="22" t="s">
        <v>218</v>
      </c>
      <c r="GK130" s="22" t="s">
        <v>218</v>
      </c>
      <c r="GL130" s="22" t="s">
        <v>218</v>
      </c>
      <c r="GM130" s="22" t="s">
        <v>218</v>
      </c>
      <c r="GN130" s="22" t="s">
        <v>218</v>
      </c>
      <c r="GO130" s="22" t="s">
        <v>218</v>
      </c>
      <c r="GP130" s="22" t="s">
        <v>218</v>
      </c>
      <c r="GQ130" s="22" t="s">
        <v>218</v>
      </c>
      <c r="GR130" s="22" t="s">
        <v>218</v>
      </c>
      <c r="GS130" s="22" t="s">
        <v>218</v>
      </c>
      <c r="GT130" s="22" t="s">
        <v>218</v>
      </c>
      <c r="GU130" s="22" t="s">
        <v>218</v>
      </c>
      <c r="GV130" s="22" t="s">
        <v>218</v>
      </c>
      <c r="GW130" s="22" t="s">
        <v>218</v>
      </c>
      <c r="GX130" s="22" t="s">
        <v>218</v>
      </c>
      <c r="GY130" s="22" t="s">
        <v>218</v>
      </c>
      <c r="GZ130" s="22" t="s">
        <v>218</v>
      </c>
      <c r="HA130" s="22" t="s">
        <v>218</v>
      </c>
      <c r="HB130" s="22" t="s">
        <v>218</v>
      </c>
      <c r="HC130" s="22" t="s">
        <v>218</v>
      </c>
      <c r="HD130" s="22" t="s">
        <v>218</v>
      </c>
      <c r="HE130" s="22" t="s">
        <v>218</v>
      </c>
      <c r="HF130" s="22" t="s">
        <v>218</v>
      </c>
      <c r="HG130" s="22" t="s">
        <v>218</v>
      </c>
      <c r="HH130" s="22" t="s">
        <v>218</v>
      </c>
      <c r="HI130" s="22" t="s">
        <v>218</v>
      </c>
      <c r="HJ130" s="22" t="s">
        <v>218</v>
      </c>
      <c r="HK130" s="22" t="s">
        <v>218</v>
      </c>
      <c r="HL130" s="22" t="s">
        <v>218</v>
      </c>
      <c r="HM130" s="860"/>
      <c r="HN130" s="860"/>
      <c r="HO130" s="860"/>
      <c r="HP130" s="860"/>
      <c r="HQ130" s="860"/>
      <c r="HR130" s="860"/>
      <c r="HS130" s="860"/>
      <c r="HT130" s="145"/>
      <c r="HU130" s="145" t="s">
        <v>1809</v>
      </c>
      <c r="HV130" s="22" t="s">
        <v>1926</v>
      </c>
      <c r="HW130" s="22" t="s">
        <v>218</v>
      </c>
      <c r="HX130" s="22" t="s">
        <v>218</v>
      </c>
      <c r="HY130" s="22" t="s">
        <v>218</v>
      </c>
      <c r="HZ130" s="19"/>
      <c r="IA130" s="19"/>
      <c r="IB130" s="621">
        <f>'background data'!$G$10</f>
        <v>0.47300000000000003</v>
      </c>
      <c r="IC130" s="621">
        <f>'background data'!$H$10</f>
        <v>0.13</v>
      </c>
      <c r="ID130" s="621">
        <f>'background data'!$J$10</f>
        <v>0.39100000000000001</v>
      </c>
      <c r="IE130" s="621">
        <f>'background data'!$L$10</f>
        <v>5.5E-2</v>
      </c>
      <c r="IF130" s="621">
        <f>'background data'!$M$10</f>
        <v>3.97</v>
      </c>
      <c r="IG130" s="621">
        <f>'background data'!$N$10</f>
        <v>4.5999999999999999E-3</v>
      </c>
      <c r="IH130" s="621">
        <f>'background data'!$O$10</f>
        <v>2.73</v>
      </c>
      <c r="II130" s="145"/>
      <c r="IJ130" s="145"/>
      <c r="IK130" s="145"/>
      <c r="IL130" s="145"/>
      <c r="IM130" s="145"/>
      <c r="IN130" s="145"/>
      <c r="IO130" s="145"/>
      <c r="IP130" s="145"/>
      <c r="IQ130" s="145"/>
      <c r="IR130" s="145"/>
      <c r="IS130" s="145"/>
      <c r="IT130" s="145"/>
      <c r="IU130" s="145"/>
      <c r="IV130" s="145"/>
      <c r="IW130" s="145"/>
      <c r="IX130" s="145"/>
      <c r="IY130" s="145"/>
      <c r="IZ130" s="145"/>
      <c r="JA130" s="145"/>
      <c r="JB130" s="145"/>
      <c r="JC130" s="145"/>
      <c r="JD130" s="145"/>
      <c r="JE130" s="145"/>
      <c r="JF130" s="145"/>
      <c r="JG130" s="145"/>
      <c r="JH130" s="145"/>
      <c r="JI130" s="145"/>
      <c r="JJ130" s="145"/>
      <c r="JK130" s="145"/>
      <c r="JL130" s="145"/>
      <c r="JM130" s="145"/>
      <c r="JN130" s="145"/>
      <c r="JO130" s="145"/>
      <c r="JP130" s="145"/>
      <c r="JQ130" s="145"/>
      <c r="JR130" s="145"/>
      <c r="JS130" s="145"/>
      <c r="JT130" s="145"/>
      <c r="JU130" s="145"/>
      <c r="JV130" s="145"/>
      <c r="JW130" s="145"/>
      <c r="JX130" s="145"/>
      <c r="JY130" s="145"/>
      <c r="JZ130" s="145"/>
      <c r="KA130" s="145"/>
      <c r="KB130" s="145"/>
      <c r="KC130" s="145"/>
      <c r="KD130" s="145"/>
      <c r="KE130" s="145"/>
      <c r="KF130" s="145"/>
      <c r="KG130" s="145"/>
      <c r="KH130" s="145"/>
      <c r="KI130" s="145"/>
      <c r="KJ130" s="145"/>
      <c r="KK130" s="145"/>
      <c r="KL130" s="145"/>
      <c r="KM130" s="145"/>
      <c r="KN130" s="145"/>
      <c r="KO130" s="145"/>
      <c r="KP130" s="145"/>
      <c r="KQ130" s="145"/>
      <c r="KR130" s="145"/>
      <c r="KS130" s="145"/>
      <c r="KT130" s="145"/>
      <c r="KU130" s="145"/>
      <c r="KV130" s="145"/>
      <c r="KW130" s="145"/>
      <c r="KX130" s="145"/>
      <c r="KY130" s="145"/>
      <c r="KZ130" s="145"/>
      <c r="LA130" s="145"/>
      <c r="LB130" s="145"/>
      <c r="LC130" s="145"/>
      <c r="LD130" s="145"/>
      <c r="LE130" s="145"/>
      <c r="LF130" s="145"/>
      <c r="LG130" s="145"/>
      <c r="LH130" s="145"/>
      <c r="LI130" s="145"/>
      <c r="LJ130" s="145"/>
      <c r="LK130" s="145"/>
      <c r="LL130" s="145"/>
      <c r="LM130" s="145"/>
      <c r="LN130" s="145"/>
      <c r="LO130" s="145"/>
      <c r="LP130" s="145"/>
      <c r="LQ130" s="145"/>
      <c r="LR130" s="145"/>
      <c r="LS130" s="145"/>
      <c r="LT130" s="145"/>
      <c r="LU130" s="145"/>
      <c r="LV130" s="145"/>
      <c r="LW130" s="145"/>
      <c r="LX130" s="145"/>
      <c r="LY130" s="145"/>
      <c r="LZ130" s="145"/>
      <c r="MA130" s="145"/>
      <c r="MB130" s="145"/>
      <c r="MC130" s="145"/>
      <c r="MD130" s="145"/>
      <c r="ME130" s="145"/>
      <c r="MF130" s="145"/>
      <c r="MG130" s="145"/>
      <c r="MH130" s="145"/>
      <c r="MI130" s="145"/>
      <c r="MJ130" s="145"/>
      <c r="MK130" s="145"/>
      <c r="ML130" s="145"/>
      <c r="MM130" s="145"/>
      <c r="MN130" s="145"/>
      <c r="MO130" s="145"/>
      <c r="MP130" s="145"/>
      <c r="MQ130" s="145"/>
      <c r="MR130" s="145"/>
      <c r="MS130" s="145"/>
      <c r="MT130" s="145"/>
      <c r="MU130" s="145"/>
      <c r="MV130" s="145"/>
      <c r="MW130" s="145"/>
      <c r="MX130" s="145"/>
      <c r="MY130" s="145"/>
      <c r="MZ130" s="145"/>
      <c r="NA130" s="145"/>
      <c r="NB130" s="145"/>
      <c r="NC130" s="145"/>
      <c r="ND130" s="145"/>
      <c r="NE130" s="145"/>
      <c r="NF130" s="145"/>
      <c r="NG130" s="145"/>
      <c r="NH130" s="145"/>
      <c r="NI130" s="145"/>
      <c r="NJ130" s="145"/>
      <c r="NK130" s="145"/>
      <c r="NL130" s="145"/>
      <c r="NM130" s="145"/>
      <c r="NN130" s="145"/>
      <c r="NO130" s="145"/>
      <c r="NP130" s="145"/>
      <c r="NQ130" s="145"/>
      <c r="NR130" s="145"/>
      <c r="NS130" s="145"/>
    </row>
    <row r="131" spans="1:383" s="16" customFormat="1" ht="15" customHeight="1" x14ac:dyDescent="0.2">
      <c r="A131" s="15">
        <v>71300</v>
      </c>
      <c r="B131" s="25">
        <v>713</v>
      </c>
      <c r="C131" s="26">
        <v>0</v>
      </c>
      <c r="D131" s="20" t="s">
        <v>458</v>
      </c>
      <c r="E131" s="14">
        <v>42695</v>
      </c>
      <c r="F131" s="18">
        <v>0.43137418591753801</v>
      </c>
      <c r="G131" s="18">
        <v>0.53413084789684595</v>
      </c>
      <c r="H131" s="21">
        <v>58.7</v>
      </c>
      <c r="I131" s="21">
        <v>41.8</v>
      </c>
      <c r="J131" s="21">
        <v>77</v>
      </c>
      <c r="K131" s="18">
        <v>1</v>
      </c>
      <c r="L131" s="18">
        <v>91.1</v>
      </c>
      <c r="M131" s="18">
        <v>15.1226</v>
      </c>
      <c r="N131" s="18">
        <v>2.1863999999999999</v>
      </c>
      <c r="O131" s="18">
        <v>10.385400000000001</v>
      </c>
      <c r="P131" s="18">
        <v>25.872399999999999</v>
      </c>
      <c r="Q131" s="19"/>
      <c r="R131" s="18">
        <v>52.527762306368302</v>
      </c>
      <c r="S131" s="18">
        <v>50</v>
      </c>
      <c r="T131" s="18">
        <v>50</v>
      </c>
      <c r="U131" s="18">
        <v>50</v>
      </c>
      <c r="V131" s="18">
        <v>50</v>
      </c>
      <c r="W131" s="18">
        <v>50</v>
      </c>
      <c r="X131" s="18"/>
      <c r="Y131" s="18">
        <v>6.9990309034133693</v>
      </c>
      <c r="Z131" s="18">
        <v>2.7996123613653459</v>
      </c>
      <c r="AA131" s="18">
        <v>2.2000000000000002</v>
      </c>
      <c r="AB131" s="18">
        <v>0</v>
      </c>
      <c r="AC131" s="18">
        <v>24.000000000000004</v>
      </c>
      <c r="AD131" s="18">
        <v>2.2000000000000002</v>
      </c>
      <c r="AE131" s="18">
        <v>2.6999999999999997</v>
      </c>
      <c r="AF131" s="18">
        <v>550</v>
      </c>
      <c r="AG131" s="18">
        <v>8.4</v>
      </c>
      <c r="AH131" s="18">
        <v>91.000000000000014</v>
      </c>
      <c r="AI131" s="18">
        <v>37.000000000000007</v>
      </c>
      <c r="AJ131" s="18">
        <v>0</v>
      </c>
      <c r="AK131" s="18">
        <v>0</v>
      </c>
      <c r="AL131" s="18"/>
      <c r="AM131" s="18">
        <v>4.66</v>
      </c>
      <c r="AN131" s="18">
        <v>1.43</v>
      </c>
      <c r="AO131" s="18">
        <v>1.1599999999999999</v>
      </c>
      <c r="AP131" s="18">
        <v>4.01</v>
      </c>
      <c r="AQ131" s="18">
        <v>1.66</v>
      </c>
      <c r="AR131" s="18">
        <v>3.93</v>
      </c>
      <c r="AS131" s="18">
        <v>6.33</v>
      </c>
      <c r="AT131" s="18">
        <v>1.92</v>
      </c>
      <c r="AU131" s="18">
        <v>4.41</v>
      </c>
      <c r="AV131" s="18">
        <v>2.81</v>
      </c>
      <c r="AW131" s="18">
        <v>5.26</v>
      </c>
      <c r="AX131" s="18"/>
      <c r="AY131" s="18">
        <v>1</v>
      </c>
      <c r="AZ131" s="18">
        <v>1</v>
      </c>
      <c r="BA131" s="18">
        <v>1</v>
      </c>
      <c r="BB131" s="18">
        <v>1</v>
      </c>
      <c r="BC131" s="18">
        <v>1</v>
      </c>
      <c r="BD131" s="18">
        <v>1</v>
      </c>
      <c r="BE131" s="18">
        <v>1</v>
      </c>
      <c r="BF131" s="18">
        <v>1</v>
      </c>
      <c r="BG131" s="18">
        <v>1</v>
      </c>
      <c r="BH131" s="18">
        <v>1</v>
      </c>
      <c r="BI131" s="18">
        <v>1</v>
      </c>
      <c r="BJ131" s="19"/>
      <c r="BK131" s="18">
        <v>16.600000000000001</v>
      </c>
      <c r="BL131" s="18">
        <v>2.4</v>
      </c>
      <c r="BM131" s="18">
        <v>11.4</v>
      </c>
      <c r="BN131" s="18">
        <v>28.4</v>
      </c>
      <c r="BO131" s="18"/>
      <c r="BP131" s="18">
        <v>0</v>
      </c>
      <c r="BQ131" s="18">
        <v>0</v>
      </c>
      <c r="BR131" s="18">
        <v>0.47351721835075522</v>
      </c>
      <c r="BS131" s="18">
        <v>0.58631267606679038</v>
      </c>
      <c r="BT131" s="19"/>
      <c r="BU131" s="18">
        <v>886</v>
      </c>
      <c r="BV131" s="18">
        <v>131.8362857142865</v>
      </c>
      <c r="BW131" s="18">
        <v>213.90571428571351</v>
      </c>
      <c r="BX131" s="18">
        <v>68</v>
      </c>
      <c r="BY131" s="18">
        <v>23</v>
      </c>
      <c r="BZ131" s="18">
        <v>91.924755714285737</v>
      </c>
      <c r="CA131" s="18">
        <v>448.80910142857084</v>
      </c>
      <c r="CB131" s="19"/>
      <c r="CC131" s="19">
        <v>6.376117153009579</v>
      </c>
      <c r="CD131" s="19">
        <v>2.55044686120383</v>
      </c>
      <c r="CE131" s="19">
        <v>2.0042</v>
      </c>
      <c r="CF131" s="19">
        <v>0</v>
      </c>
      <c r="CG131" s="19">
        <v>21.864000000000001</v>
      </c>
      <c r="CH131" s="19">
        <v>2.0042</v>
      </c>
      <c r="CI131" s="19">
        <v>2.4596999999999993</v>
      </c>
      <c r="CJ131" s="19"/>
      <c r="CK131" s="19">
        <v>501.04999999999995</v>
      </c>
      <c r="CL131" s="19">
        <v>7.6524000000000001</v>
      </c>
      <c r="CM131" s="19">
        <v>82.90100000000001</v>
      </c>
      <c r="CN131" s="19">
        <v>33.707000000000001</v>
      </c>
      <c r="CO131" s="19">
        <v>0</v>
      </c>
      <c r="CP131" s="19">
        <v>0</v>
      </c>
      <c r="CQ131" s="19">
        <v>79.435633825428596</v>
      </c>
      <c r="CR131" s="19">
        <v>184.14554328620304</v>
      </c>
      <c r="CS131" s="19">
        <v>8.5811823171370563</v>
      </c>
      <c r="CT131" s="19">
        <v>2.6332812689927061</v>
      </c>
      <c r="CU131" s="19">
        <v>2.1360883021199557</v>
      </c>
      <c r="CV131" s="19">
        <v>4.5842752983528277</v>
      </c>
      <c r="CW131" s="19">
        <v>7.3842362857767494</v>
      </c>
      <c r="CX131" s="19">
        <v>3.0568160185509599</v>
      </c>
      <c r="CY131" s="19">
        <v>7.2369198511477943</v>
      </c>
      <c r="CZ131" s="19">
        <v>11.656412890016675</v>
      </c>
      <c r="DA131" s="19">
        <v>3.5355944310951011</v>
      </c>
      <c r="DB131" s="19">
        <v>8.1208184589215282</v>
      </c>
      <c r="DC131" s="19">
        <v>5.1744897663422966</v>
      </c>
      <c r="DD131" s="19">
        <v>13.094491659064985</v>
      </c>
      <c r="DE131" s="19">
        <v>9.6860555768542707</v>
      </c>
      <c r="DF131" s="23">
        <v>0</v>
      </c>
      <c r="DG131" s="23">
        <v>0</v>
      </c>
      <c r="DH131" s="23">
        <v>0</v>
      </c>
      <c r="DI131" s="19">
        <v>0</v>
      </c>
      <c r="DJ131" s="19">
        <v>0</v>
      </c>
      <c r="DK131" s="19">
        <v>0</v>
      </c>
      <c r="DL131" s="19">
        <v>0</v>
      </c>
      <c r="DM131" s="19">
        <v>0</v>
      </c>
      <c r="DN131" s="19">
        <v>0</v>
      </c>
      <c r="DO131" s="19">
        <v>0</v>
      </c>
      <c r="DP131" s="19">
        <v>0</v>
      </c>
      <c r="DQ131" s="19">
        <v>0</v>
      </c>
      <c r="DR131" s="19">
        <v>0</v>
      </c>
      <c r="DS131" s="19">
        <v>0</v>
      </c>
      <c r="DT131" s="19">
        <v>0</v>
      </c>
      <c r="DU131" s="19">
        <v>0</v>
      </c>
      <c r="DV131" s="19">
        <v>0</v>
      </c>
      <c r="DW131" s="17" t="s">
        <v>459</v>
      </c>
      <c r="DX131" s="22">
        <v>2</v>
      </c>
      <c r="DY131" s="22">
        <v>2</v>
      </c>
      <c r="DZ131" s="22">
        <v>2</v>
      </c>
      <c r="EA131" s="22">
        <v>2</v>
      </c>
      <c r="EB131" s="22">
        <v>2</v>
      </c>
      <c r="EC131" s="22">
        <v>2</v>
      </c>
      <c r="ED131" s="22">
        <v>2</v>
      </c>
      <c r="EE131" s="22" t="s">
        <v>218</v>
      </c>
      <c r="EF131" s="22">
        <v>2</v>
      </c>
      <c r="EG131" s="22">
        <v>2</v>
      </c>
      <c r="EH131" s="22" t="s">
        <v>218</v>
      </c>
      <c r="EI131" s="22" t="s">
        <v>218</v>
      </c>
      <c r="EJ131" s="22" t="s">
        <v>218</v>
      </c>
      <c r="EK131" s="22" t="s">
        <v>218</v>
      </c>
      <c r="EL131" s="22" t="s">
        <v>218</v>
      </c>
      <c r="EM131" s="22" t="s">
        <v>218</v>
      </c>
      <c r="EN131" s="22" t="s">
        <v>218</v>
      </c>
      <c r="EO131" s="22" t="s">
        <v>218</v>
      </c>
      <c r="EP131" s="22" t="s">
        <v>218</v>
      </c>
      <c r="EQ131" s="22" t="s">
        <v>218</v>
      </c>
      <c r="ER131" s="22" t="s">
        <v>218</v>
      </c>
      <c r="ES131" s="22">
        <v>1</v>
      </c>
      <c r="ET131" s="22">
        <v>1</v>
      </c>
      <c r="EU131" s="22" t="s">
        <v>218</v>
      </c>
      <c r="EV131" s="22" t="s">
        <v>218</v>
      </c>
      <c r="EW131" s="22" t="s">
        <v>218</v>
      </c>
      <c r="EX131" s="22" t="s">
        <v>218</v>
      </c>
      <c r="EY131" s="22" t="s">
        <v>218</v>
      </c>
      <c r="EZ131" s="22" t="s">
        <v>218</v>
      </c>
      <c r="FA131" s="22" t="s">
        <v>218</v>
      </c>
      <c r="FB131" s="22" t="s">
        <v>218</v>
      </c>
      <c r="FC131" s="22" t="s">
        <v>218</v>
      </c>
      <c r="FD131" s="22" t="s">
        <v>218</v>
      </c>
      <c r="FE131" s="22" t="s">
        <v>218</v>
      </c>
      <c r="FF131" s="22">
        <v>0.9</v>
      </c>
      <c r="FG131" s="22">
        <v>0.2</v>
      </c>
      <c r="FH131" s="22">
        <v>0.1</v>
      </c>
      <c r="FI131" s="22">
        <v>0.4</v>
      </c>
      <c r="FJ131" s="22">
        <v>2.8</v>
      </c>
      <c r="FK131" s="22">
        <v>2.1</v>
      </c>
      <c r="FL131" s="22">
        <v>1.9</v>
      </c>
      <c r="FM131" s="22" t="s">
        <v>218</v>
      </c>
      <c r="FN131" s="22">
        <v>2.7</v>
      </c>
      <c r="FO131" s="22">
        <v>2.6</v>
      </c>
      <c r="FP131" s="22" t="s">
        <v>218</v>
      </c>
      <c r="FQ131" s="22" t="s">
        <v>218</v>
      </c>
      <c r="FR131" s="22" t="s">
        <v>218</v>
      </c>
      <c r="FS131" s="22" t="s">
        <v>218</v>
      </c>
      <c r="FT131" s="22" t="s">
        <v>218</v>
      </c>
      <c r="FU131" s="22" t="s">
        <v>218</v>
      </c>
      <c r="FV131" s="22" t="s">
        <v>218</v>
      </c>
      <c r="FW131" s="22" t="s">
        <v>218</v>
      </c>
      <c r="FX131" s="22" t="s">
        <v>218</v>
      </c>
      <c r="FY131" s="22" t="s">
        <v>218</v>
      </c>
      <c r="FZ131" s="22" t="s">
        <v>218</v>
      </c>
      <c r="GA131" s="22" t="s">
        <v>218</v>
      </c>
      <c r="GB131" s="22" t="s">
        <v>218</v>
      </c>
      <c r="GC131" s="22" t="s">
        <v>218</v>
      </c>
      <c r="GD131" s="22" t="s">
        <v>218</v>
      </c>
      <c r="GE131" s="22" t="s">
        <v>218</v>
      </c>
      <c r="GF131" s="22" t="s">
        <v>218</v>
      </c>
      <c r="GG131" s="22" t="s">
        <v>218</v>
      </c>
      <c r="GH131" s="22" t="s">
        <v>218</v>
      </c>
      <c r="GI131" s="22" t="s">
        <v>218</v>
      </c>
      <c r="GJ131" s="22" t="s">
        <v>218</v>
      </c>
      <c r="GK131" s="22" t="s">
        <v>218</v>
      </c>
      <c r="GL131" s="22" t="s">
        <v>218</v>
      </c>
      <c r="GM131" s="22" t="s">
        <v>218</v>
      </c>
      <c r="GN131" s="22">
        <v>2016</v>
      </c>
      <c r="GO131" s="22">
        <v>2016</v>
      </c>
      <c r="GP131" s="22">
        <v>2016</v>
      </c>
      <c r="GQ131" s="22">
        <v>2016</v>
      </c>
      <c r="GR131" s="22">
        <v>2016</v>
      </c>
      <c r="GS131" s="22">
        <v>2016</v>
      </c>
      <c r="GT131" s="22">
        <v>2016</v>
      </c>
      <c r="GU131" s="22" t="s">
        <v>218</v>
      </c>
      <c r="GV131" s="22">
        <v>2016</v>
      </c>
      <c r="GW131" s="22">
        <v>2016</v>
      </c>
      <c r="GX131" s="22" t="s">
        <v>218</v>
      </c>
      <c r="GY131" s="22" t="s">
        <v>218</v>
      </c>
      <c r="GZ131" s="22" t="s">
        <v>218</v>
      </c>
      <c r="HA131" s="22" t="s">
        <v>218</v>
      </c>
      <c r="HB131" s="22" t="s">
        <v>218</v>
      </c>
      <c r="HC131" s="22" t="s">
        <v>218</v>
      </c>
      <c r="HD131" s="22" t="s">
        <v>218</v>
      </c>
      <c r="HE131" s="22" t="s">
        <v>218</v>
      </c>
      <c r="HF131" s="22" t="s">
        <v>218</v>
      </c>
      <c r="HG131" s="22" t="s">
        <v>218</v>
      </c>
      <c r="HH131" s="22" t="s">
        <v>218</v>
      </c>
      <c r="HI131" s="22">
        <v>2013</v>
      </c>
      <c r="HJ131" s="22">
        <v>2013</v>
      </c>
      <c r="HK131" s="22" t="s">
        <v>218</v>
      </c>
      <c r="HL131" s="22" t="s">
        <v>218</v>
      </c>
      <c r="HM131" s="622">
        <f>'background data'!$G$13</f>
        <v>0.252</v>
      </c>
      <c r="HN131" s="622">
        <f>'background data'!$H$13</f>
        <v>-4.5999999999999999E-2</v>
      </c>
      <c r="HO131" s="622">
        <f>'background data'!$J$13</f>
        <v>0.219</v>
      </c>
      <c r="HP131" s="622">
        <f>'background data'!$L$13</f>
        <v>1.0999999999999999E-2</v>
      </c>
      <c r="HQ131" s="622">
        <f>'background data'!$M$13</f>
        <v>1.65</v>
      </c>
      <c r="HR131" s="622">
        <f>'background data'!$N$13</f>
        <v>1.9E-3</v>
      </c>
      <c r="HS131" s="622">
        <f>'background data'!$O$13</f>
        <v>1.53</v>
      </c>
      <c r="HT131" s="145" t="s">
        <v>1801</v>
      </c>
      <c r="HU131" s="145" t="s">
        <v>1809</v>
      </c>
      <c r="HV131" s="22" t="s">
        <v>1926</v>
      </c>
      <c r="HW131" s="22" t="s">
        <v>460</v>
      </c>
      <c r="HX131" s="22" t="s">
        <v>461</v>
      </c>
      <c r="HY131" s="22" t="s">
        <v>462</v>
      </c>
      <c r="HZ131" s="19"/>
      <c r="IA131" s="19"/>
      <c r="IB131" s="622">
        <f>'background data'!$G$13</f>
        <v>0.252</v>
      </c>
      <c r="IC131" s="622">
        <f>'background data'!$H$13</f>
        <v>-4.5999999999999999E-2</v>
      </c>
      <c r="ID131" s="622">
        <f>'background data'!$J$13</f>
        <v>0.219</v>
      </c>
      <c r="IE131" s="622">
        <f>'background data'!$L$13</f>
        <v>1.0999999999999999E-2</v>
      </c>
      <c r="IF131" s="622">
        <f>'background data'!$M$13</f>
        <v>1.65</v>
      </c>
      <c r="IG131" s="622">
        <f>'background data'!$N$13</f>
        <v>1.9E-3</v>
      </c>
      <c r="IH131" s="622">
        <f>'background data'!$O$13</f>
        <v>1.53</v>
      </c>
      <c r="II131" s="145" t="s">
        <v>1801</v>
      </c>
      <c r="IJ131" s="145"/>
      <c r="IK131" s="145"/>
      <c r="IL131" s="145"/>
      <c r="IM131" s="145"/>
      <c r="IN131" s="145"/>
      <c r="IO131" s="145"/>
      <c r="IP131" s="145"/>
      <c r="IQ131" s="145"/>
      <c r="IR131" s="145"/>
      <c r="IS131" s="145"/>
      <c r="IT131" s="145"/>
      <c r="IU131" s="145"/>
      <c r="IV131" s="145"/>
      <c r="IW131" s="145"/>
      <c r="IX131" s="145"/>
      <c r="IY131" s="145"/>
      <c r="IZ131" s="145"/>
      <c r="JA131" s="145"/>
      <c r="JB131" s="145"/>
      <c r="JC131" s="145"/>
      <c r="JD131" s="145"/>
      <c r="JE131" s="145"/>
      <c r="JF131" s="145"/>
      <c r="JG131" s="145"/>
      <c r="JH131" s="145"/>
      <c r="JI131" s="145"/>
      <c r="JJ131" s="145"/>
      <c r="JK131" s="145"/>
      <c r="JL131" s="145"/>
      <c r="JM131" s="145"/>
      <c r="JN131" s="145"/>
      <c r="JO131" s="145"/>
      <c r="JP131" s="145"/>
      <c r="JQ131" s="145"/>
      <c r="JR131" s="145"/>
      <c r="JS131" s="145"/>
      <c r="JT131" s="145"/>
      <c r="JU131" s="145"/>
      <c r="JV131" s="145"/>
      <c r="JW131" s="145"/>
      <c r="JX131" s="145"/>
      <c r="JY131" s="145"/>
      <c r="JZ131" s="145"/>
      <c r="KA131" s="145"/>
      <c r="KB131" s="145"/>
      <c r="KC131" s="145"/>
      <c r="KD131" s="145"/>
      <c r="KE131" s="145"/>
      <c r="KF131" s="145"/>
      <c r="KG131" s="145"/>
      <c r="KH131" s="145"/>
      <c r="KI131" s="145"/>
      <c r="KJ131" s="145"/>
      <c r="KK131" s="145"/>
      <c r="KL131" s="145"/>
      <c r="KM131" s="145"/>
      <c r="KN131" s="145"/>
      <c r="KO131" s="145"/>
      <c r="KP131" s="145"/>
      <c r="KQ131" s="145"/>
      <c r="KR131" s="145"/>
      <c r="KS131" s="145"/>
      <c r="KT131" s="145"/>
      <c r="KU131" s="145"/>
      <c r="KV131" s="145"/>
      <c r="KW131" s="145"/>
      <c r="KX131" s="145"/>
      <c r="KY131" s="145"/>
      <c r="KZ131" s="145"/>
      <c r="LA131" s="145"/>
      <c r="LB131" s="145"/>
      <c r="LC131" s="145"/>
      <c r="LD131" s="145"/>
      <c r="LE131" s="145"/>
      <c r="LF131" s="145"/>
      <c r="LG131" s="145"/>
      <c r="LH131" s="145"/>
      <c r="LI131" s="145"/>
      <c r="LJ131" s="145"/>
      <c r="LK131" s="145"/>
      <c r="LL131" s="145"/>
      <c r="LM131" s="145"/>
      <c r="LN131" s="145"/>
      <c r="LO131" s="145"/>
      <c r="LP131" s="145"/>
      <c r="LQ131" s="145"/>
      <c r="LR131" s="145"/>
      <c r="LS131" s="145"/>
      <c r="LT131" s="145"/>
      <c r="LU131" s="145"/>
      <c r="LV131" s="145"/>
      <c r="LW131" s="145"/>
      <c r="LX131" s="145"/>
      <c r="LY131" s="145"/>
      <c r="LZ131" s="145"/>
      <c r="MA131" s="145"/>
      <c r="MB131" s="145"/>
      <c r="MC131" s="145"/>
      <c r="MD131" s="145"/>
      <c r="ME131" s="145"/>
      <c r="MF131" s="145"/>
      <c r="MG131" s="145"/>
      <c r="MH131" s="145"/>
      <c r="MI131" s="145"/>
      <c r="MJ131" s="145"/>
      <c r="MK131" s="145"/>
      <c r="ML131" s="145"/>
      <c r="MM131" s="145"/>
      <c r="MN131" s="145"/>
      <c r="MO131" s="145"/>
      <c r="MP131" s="145"/>
      <c r="MQ131" s="145"/>
      <c r="MR131" s="145"/>
      <c r="MS131" s="145"/>
      <c r="MT131" s="145"/>
      <c r="MU131" s="145"/>
      <c r="MV131" s="145"/>
      <c r="MW131" s="145"/>
      <c r="MX131" s="145"/>
      <c r="MY131" s="145"/>
      <c r="MZ131" s="145"/>
      <c r="NA131" s="145"/>
      <c r="NB131" s="145"/>
      <c r="NC131" s="145"/>
      <c r="ND131" s="145"/>
      <c r="NE131" s="145"/>
      <c r="NF131" s="145"/>
      <c r="NG131" s="145"/>
      <c r="NH131" s="145"/>
      <c r="NI131" s="145"/>
      <c r="NJ131" s="145"/>
      <c r="NK131" s="145"/>
      <c r="NL131" s="145"/>
      <c r="NM131" s="145"/>
      <c r="NN131" s="145"/>
      <c r="NO131" s="145"/>
      <c r="NP131" s="145"/>
      <c r="NQ131" s="145"/>
      <c r="NR131" s="145"/>
      <c r="NS131" s="145"/>
    </row>
    <row r="132" spans="1:383" s="16" customFormat="1" ht="15" customHeight="1" x14ac:dyDescent="0.2">
      <c r="A132" s="15">
        <v>64900</v>
      </c>
      <c r="B132" s="25">
        <v>649</v>
      </c>
      <c r="C132" s="26">
        <v>0</v>
      </c>
      <c r="D132" s="20" t="s">
        <v>463</v>
      </c>
      <c r="E132" s="14">
        <v>42520</v>
      </c>
      <c r="F132" s="18">
        <v>0.73282595663956596</v>
      </c>
      <c r="G132" s="18">
        <v>0.81494891532467395</v>
      </c>
      <c r="H132" s="21">
        <v>90</v>
      </c>
      <c r="I132" s="21">
        <v>55.7</v>
      </c>
      <c r="J132" s="21">
        <v>90</v>
      </c>
      <c r="K132" s="18">
        <v>1</v>
      </c>
      <c r="L132" s="18">
        <v>79.400000000000006</v>
      </c>
      <c r="M132" s="18">
        <v>27.7</v>
      </c>
      <c r="N132" s="18">
        <v>5.3</v>
      </c>
      <c r="O132" s="18">
        <v>3.4935999999999998</v>
      </c>
      <c r="P132" s="18">
        <v>13.6568</v>
      </c>
      <c r="Q132" s="19"/>
      <c r="R132" s="18">
        <v>88</v>
      </c>
      <c r="S132" s="18">
        <v>50</v>
      </c>
      <c r="T132" s="18">
        <v>54</v>
      </c>
      <c r="U132" s="18">
        <v>55</v>
      </c>
      <c r="V132" s="18">
        <v>56</v>
      </c>
      <c r="W132" s="18">
        <v>57</v>
      </c>
      <c r="X132" s="18"/>
      <c r="Y132" s="18">
        <v>3.1863979848866495</v>
      </c>
      <c r="Z132" s="18">
        <v>4.6221662468513847</v>
      </c>
      <c r="AA132" s="18">
        <v>9.9999999999999992E-2</v>
      </c>
      <c r="AB132" s="18">
        <v>0</v>
      </c>
      <c r="AC132" s="18">
        <v>11.799999999999999</v>
      </c>
      <c r="AD132" s="18">
        <v>2.2999999999999998</v>
      </c>
      <c r="AE132" s="18">
        <v>2.1</v>
      </c>
      <c r="AF132" s="18">
        <v>41.999999999999993</v>
      </c>
      <c r="AG132" s="18">
        <v>5</v>
      </c>
      <c r="AH132" s="18">
        <v>50</v>
      </c>
      <c r="AI132" s="18">
        <v>41.999999999999993</v>
      </c>
      <c r="AJ132" s="18">
        <v>0</v>
      </c>
      <c r="AK132" s="18">
        <v>0.10999999999999999</v>
      </c>
      <c r="AL132" s="18"/>
      <c r="AM132" s="18">
        <v>4.6570397111913397</v>
      </c>
      <c r="AN132" s="18">
        <v>0.58844765342960303</v>
      </c>
      <c r="AO132" s="18">
        <v>0.94945848375451303</v>
      </c>
      <c r="AP132" s="18">
        <v>3.4259927797833898</v>
      </c>
      <c r="AQ132" s="18">
        <v>0.8</v>
      </c>
      <c r="AR132" s="18">
        <v>3.95</v>
      </c>
      <c r="AS132" s="18">
        <v>6.74</v>
      </c>
      <c r="AT132" s="18">
        <v>2.6</v>
      </c>
      <c r="AU132" s="18">
        <v>3.85</v>
      </c>
      <c r="AV132" s="18">
        <v>3.93</v>
      </c>
      <c r="AW132" s="18">
        <v>3.79</v>
      </c>
      <c r="AX132" s="18"/>
      <c r="AY132" s="18">
        <v>0.99</v>
      </c>
      <c r="AZ132" s="18">
        <v>0.95</v>
      </c>
      <c r="BA132" s="18">
        <v>0.97</v>
      </c>
      <c r="BB132" s="18">
        <v>0.95</v>
      </c>
      <c r="BC132" s="18">
        <v>0.98</v>
      </c>
      <c r="BD132" s="18">
        <v>0.98</v>
      </c>
      <c r="BE132" s="18">
        <v>0.98</v>
      </c>
      <c r="BF132" s="18">
        <v>1.02</v>
      </c>
      <c r="BG132" s="18">
        <v>0.99</v>
      </c>
      <c r="BH132" s="18">
        <v>0.97</v>
      </c>
      <c r="BI132" s="18">
        <v>0.94</v>
      </c>
      <c r="BJ132" s="19"/>
      <c r="BK132" s="18">
        <v>34.886649874055415</v>
      </c>
      <c r="BL132" s="18">
        <v>6.6750629722921913</v>
      </c>
      <c r="BM132" s="18">
        <v>4.3999999999999995</v>
      </c>
      <c r="BN132" s="18">
        <v>17.2</v>
      </c>
      <c r="BO132" s="18"/>
      <c r="BP132" s="18">
        <v>116</v>
      </c>
      <c r="BQ132" s="18">
        <v>77.43073047858941</v>
      </c>
      <c r="BR132" s="18">
        <v>0.92295460533950369</v>
      </c>
      <c r="BS132" s="18">
        <v>1.0263840243383802</v>
      </c>
      <c r="BT132" s="19"/>
      <c r="BU132" s="18">
        <v>955.99999999999989</v>
      </c>
      <c r="BV132" s="18">
        <v>9.7433753148615114</v>
      </c>
      <c r="BW132" s="18">
        <v>468.43999999999994</v>
      </c>
      <c r="BX132" s="18" t="s">
        <v>217</v>
      </c>
      <c r="BY132" s="18" t="s">
        <v>217</v>
      </c>
      <c r="BZ132" s="18">
        <v>168.90186801007556</v>
      </c>
      <c r="CA132" s="18">
        <v>358.91646952141053</v>
      </c>
      <c r="CB132" s="19"/>
      <c r="CC132" s="19">
        <v>2.5299999999999998</v>
      </c>
      <c r="CD132" s="19">
        <v>3.6699999999999995</v>
      </c>
      <c r="CE132" s="19">
        <v>7.9399999999999998E-2</v>
      </c>
      <c r="CF132" s="19">
        <v>0</v>
      </c>
      <c r="CG132" s="19">
        <v>9.3691999999999993</v>
      </c>
      <c r="CH132" s="19">
        <v>1.8262</v>
      </c>
      <c r="CI132" s="19">
        <v>1.6674000000000002</v>
      </c>
      <c r="CJ132" s="19"/>
      <c r="CK132" s="19">
        <v>33.347999999999999</v>
      </c>
      <c r="CL132" s="19">
        <v>3.97</v>
      </c>
      <c r="CM132" s="19">
        <v>39.700000000000003</v>
      </c>
      <c r="CN132" s="19">
        <v>33.347999999999999</v>
      </c>
      <c r="CO132" s="19">
        <v>0</v>
      </c>
      <c r="CP132" s="19">
        <v>8.7339999999999987E-2</v>
      </c>
      <c r="CQ132" s="19">
        <v>243.76</v>
      </c>
      <c r="CR132" s="19">
        <v>332.63013924586085</v>
      </c>
      <c r="CS132" s="19">
        <v>15.335810499310066</v>
      </c>
      <c r="CT132" s="19">
        <v>1.8594865365422941</v>
      </c>
      <c r="CU132" s="19">
        <v>3.0634395242964461</v>
      </c>
      <c r="CV132" s="19">
        <v>4.9229260608387406</v>
      </c>
      <c r="CW132" s="19">
        <v>10.826090326249307</v>
      </c>
      <c r="CX132" s="19">
        <v>2.607820291687549</v>
      </c>
      <c r="CY132" s="19">
        <v>12.876112690207274</v>
      </c>
      <c r="CZ132" s="19">
        <v>21.970885957467601</v>
      </c>
      <c r="DA132" s="19">
        <v>8.8213512928002302</v>
      </c>
      <c r="DB132" s="19">
        <v>12.678197757355985</v>
      </c>
      <c r="DC132" s="19">
        <v>12.68019353819146</v>
      </c>
      <c r="DD132" s="19">
        <v>25.358391295547445</v>
      </c>
      <c r="DE132" s="19">
        <v>11.850281340773037</v>
      </c>
      <c r="DF132" s="23">
        <v>0</v>
      </c>
      <c r="DG132" s="23">
        <v>0</v>
      </c>
      <c r="DH132" s="23">
        <v>0</v>
      </c>
      <c r="DI132" s="19">
        <v>0</v>
      </c>
      <c r="DJ132" s="19">
        <v>0</v>
      </c>
      <c r="DK132" s="19">
        <v>0</v>
      </c>
      <c r="DL132" s="19">
        <v>0</v>
      </c>
      <c r="DM132" s="19">
        <v>0</v>
      </c>
      <c r="DN132" s="19">
        <v>0</v>
      </c>
      <c r="DO132" s="19">
        <v>0</v>
      </c>
      <c r="DP132" s="19">
        <v>0</v>
      </c>
      <c r="DQ132" s="19">
        <v>0</v>
      </c>
      <c r="DR132" s="19">
        <v>0</v>
      </c>
      <c r="DS132" s="19">
        <v>0</v>
      </c>
      <c r="DT132" s="19">
        <v>0</v>
      </c>
      <c r="DU132" s="19">
        <v>0</v>
      </c>
      <c r="DV132" s="19">
        <v>0</v>
      </c>
      <c r="DW132" s="17" t="s">
        <v>464</v>
      </c>
      <c r="DX132" s="22" t="s">
        <v>218</v>
      </c>
      <c r="DY132" s="22">
        <v>4</v>
      </c>
      <c r="DZ132" s="22">
        <v>4</v>
      </c>
      <c r="EA132" s="22">
        <v>4</v>
      </c>
      <c r="EB132" s="22" t="s">
        <v>218</v>
      </c>
      <c r="EC132" s="22" t="s">
        <v>218</v>
      </c>
      <c r="ED132" s="22" t="s">
        <v>218</v>
      </c>
      <c r="EE132" s="22" t="s">
        <v>218</v>
      </c>
      <c r="EF132" s="22" t="s">
        <v>218</v>
      </c>
      <c r="EG132" s="22" t="s">
        <v>218</v>
      </c>
      <c r="EH132" s="22">
        <v>4</v>
      </c>
      <c r="EI132" s="22">
        <v>4</v>
      </c>
      <c r="EJ132" s="22">
        <v>4</v>
      </c>
      <c r="EK132" s="22">
        <v>4</v>
      </c>
      <c r="EL132" s="22" t="s">
        <v>218</v>
      </c>
      <c r="EM132" s="22">
        <v>4</v>
      </c>
      <c r="EN132" s="22">
        <v>4</v>
      </c>
      <c r="EO132" s="22">
        <v>4</v>
      </c>
      <c r="EP132" s="22">
        <v>4</v>
      </c>
      <c r="EQ132" s="22">
        <v>4</v>
      </c>
      <c r="ER132" s="22">
        <v>4</v>
      </c>
      <c r="ES132" s="22">
        <v>4</v>
      </c>
      <c r="ET132" s="22">
        <v>4</v>
      </c>
      <c r="EU132" s="22" t="s">
        <v>218</v>
      </c>
      <c r="EV132" s="22" t="s">
        <v>218</v>
      </c>
      <c r="EW132" s="22" t="s">
        <v>218</v>
      </c>
      <c r="EX132" s="22" t="s">
        <v>218</v>
      </c>
      <c r="EY132" s="22" t="s">
        <v>218</v>
      </c>
      <c r="EZ132" s="22" t="s">
        <v>218</v>
      </c>
      <c r="FA132" s="22" t="s">
        <v>218</v>
      </c>
      <c r="FB132" s="22" t="s">
        <v>218</v>
      </c>
      <c r="FC132" s="22" t="s">
        <v>218</v>
      </c>
      <c r="FD132" s="22" t="s">
        <v>218</v>
      </c>
      <c r="FE132" s="22" t="s">
        <v>218</v>
      </c>
      <c r="FF132" s="22" t="s">
        <v>218</v>
      </c>
      <c r="FG132" s="22">
        <v>0.56999999999999995</v>
      </c>
      <c r="FH132" s="22">
        <v>0.12</v>
      </c>
      <c r="FI132" s="22">
        <v>0.15</v>
      </c>
      <c r="FJ132" s="22" t="s">
        <v>218</v>
      </c>
      <c r="FK132" s="22" t="s">
        <v>218</v>
      </c>
      <c r="FL132" s="22" t="s">
        <v>218</v>
      </c>
      <c r="FM132" s="22" t="s">
        <v>218</v>
      </c>
      <c r="FN132" s="22" t="s">
        <v>218</v>
      </c>
      <c r="FO132" s="22" t="s">
        <v>218</v>
      </c>
      <c r="FP132" s="22">
        <v>0.17</v>
      </c>
      <c r="FQ132" s="22">
        <v>0.02</v>
      </c>
      <c r="FR132" s="22">
        <v>0.02</v>
      </c>
      <c r="FS132" s="22">
        <v>0.13</v>
      </c>
      <c r="FT132" s="22" t="s">
        <v>218</v>
      </c>
      <c r="FU132" s="22">
        <v>0.18</v>
      </c>
      <c r="FV132" s="22">
        <v>0.17</v>
      </c>
      <c r="FW132" s="22">
        <v>0.1</v>
      </c>
      <c r="FX132" s="22">
        <v>0.13</v>
      </c>
      <c r="FY132" s="22">
        <v>0.24</v>
      </c>
      <c r="FZ132" s="22">
        <v>0.21</v>
      </c>
      <c r="GA132" s="22">
        <v>0.25</v>
      </c>
      <c r="GB132" s="22">
        <v>0.21</v>
      </c>
      <c r="GC132" s="22" t="s">
        <v>218</v>
      </c>
      <c r="GD132" s="22" t="s">
        <v>218</v>
      </c>
      <c r="GE132" s="22" t="s">
        <v>218</v>
      </c>
      <c r="GF132" s="22" t="s">
        <v>218</v>
      </c>
      <c r="GG132" s="22" t="s">
        <v>218</v>
      </c>
      <c r="GH132" s="22" t="s">
        <v>218</v>
      </c>
      <c r="GI132" s="22" t="s">
        <v>218</v>
      </c>
      <c r="GJ132" s="22" t="s">
        <v>218</v>
      </c>
      <c r="GK132" s="22" t="s">
        <v>218</v>
      </c>
      <c r="GL132" s="22" t="s">
        <v>218</v>
      </c>
      <c r="GM132" s="22" t="s">
        <v>218</v>
      </c>
      <c r="GN132" s="22" t="s">
        <v>218</v>
      </c>
      <c r="GO132" s="22">
        <v>2013</v>
      </c>
      <c r="GP132" s="22">
        <v>2013</v>
      </c>
      <c r="GQ132" s="22">
        <v>2013</v>
      </c>
      <c r="GR132" s="22" t="s">
        <v>218</v>
      </c>
      <c r="GS132" s="22" t="s">
        <v>218</v>
      </c>
      <c r="GT132" s="22" t="s">
        <v>218</v>
      </c>
      <c r="GU132" s="22" t="s">
        <v>218</v>
      </c>
      <c r="GV132" s="22" t="s">
        <v>218</v>
      </c>
      <c r="GW132" s="22" t="s">
        <v>218</v>
      </c>
      <c r="GX132" s="22">
        <v>2013</v>
      </c>
      <c r="GY132" s="22">
        <v>2013</v>
      </c>
      <c r="GZ132" s="22">
        <v>2013</v>
      </c>
      <c r="HA132" s="22">
        <v>2013</v>
      </c>
      <c r="HB132" s="22" t="s">
        <v>218</v>
      </c>
      <c r="HC132" s="22">
        <v>2013</v>
      </c>
      <c r="HD132" s="22">
        <v>2013</v>
      </c>
      <c r="HE132" s="22">
        <v>2013</v>
      </c>
      <c r="HF132" s="22">
        <v>2013</v>
      </c>
      <c r="HG132" s="22">
        <v>2013</v>
      </c>
      <c r="HH132" s="22">
        <v>2013</v>
      </c>
      <c r="HI132" s="22">
        <v>2013</v>
      </c>
      <c r="HJ132" s="22">
        <v>2013</v>
      </c>
      <c r="HK132" s="22" t="s">
        <v>218</v>
      </c>
      <c r="HL132" s="22" t="s">
        <v>218</v>
      </c>
      <c r="HM132" s="622">
        <f>'background data'!$G$20</f>
        <v>0.14000000000000001</v>
      </c>
      <c r="HN132" s="622">
        <f>'background data'!$H$20</f>
        <v>7.0000000000000007E-2</v>
      </c>
      <c r="HO132" s="622">
        <f>'background data'!$J$20</f>
        <v>0.51702999999999999</v>
      </c>
      <c r="HP132" s="622">
        <f>'background data'!$L$20</f>
        <v>2.1999999999999999E-2</v>
      </c>
      <c r="HQ132" s="622">
        <f>'background data'!$M$20</f>
        <v>0.72</v>
      </c>
      <c r="HR132" s="622">
        <f>'background data'!$N$20</f>
        <v>1.2900000000000001E-3</v>
      </c>
      <c r="HS132" s="622">
        <f>'background data'!$O$20</f>
        <v>3.47</v>
      </c>
      <c r="HT132" s="145" t="s">
        <v>1802</v>
      </c>
      <c r="HU132" s="145" t="s">
        <v>1809</v>
      </c>
      <c r="HV132" s="22" t="s">
        <v>1957</v>
      </c>
      <c r="HW132" s="22" t="s">
        <v>465</v>
      </c>
      <c r="HX132" s="22" t="s">
        <v>466</v>
      </c>
      <c r="HY132" s="22" t="s">
        <v>467</v>
      </c>
      <c r="HZ132" s="19"/>
      <c r="IA132" s="19"/>
      <c r="IB132" s="622">
        <f>'background data'!$G$20</f>
        <v>0.14000000000000001</v>
      </c>
      <c r="IC132" s="622">
        <f>'background data'!$H$20</f>
        <v>7.0000000000000007E-2</v>
      </c>
      <c r="ID132" s="622">
        <f>'background data'!$J$20</f>
        <v>0.51702999999999999</v>
      </c>
      <c r="IE132" s="622">
        <f>'background data'!$L$20</f>
        <v>2.1999999999999999E-2</v>
      </c>
      <c r="IF132" s="622">
        <f>'background data'!$M$20</f>
        <v>0.72</v>
      </c>
      <c r="IG132" s="622">
        <f>'background data'!$N$20</f>
        <v>1.2900000000000001E-3</v>
      </c>
      <c r="IH132" s="622">
        <f>'background data'!$O$20</f>
        <v>3.47</v>
      </c>
      <c r="II132" s="145" t="s">
        <v>1802</v>
      </c>
      <c r="IJ132" s="145"/>
      <c r="IK132" s="145"/>
      <c r="IL132" s="145"/>
      <c r="IM132" s="145"/>
      <c r="IN132" s="145"/>
      <c r="IO132" s="145"/>
      <c r="IP132" s="145"/>
      <c r="IQ132" s="145"/>
      <c r="IR132" s="145"/>
      <c r="IS132" s="145"/>
      <c r="IT132" s="145"/>
      <c r="IU132" s="145"/>
      <c r="IV132" s="145"/>
      <c r="IW132" s="145"/>
      <c r="IX132" s="145"/>
      <c r="IY132" s="145"/>
      <c r="IZ132" s="145"/>
      <c r="JA132" s="145"/>
      <c r="JB132" s="145"/>
      <c r="JC132" s="145"/>
      <c r="JD132" s="145"/>
      <c r="JE132" s="145"/>
      <c r="JF132" s="145"/>
      <c r="JG132" s="145"/>
      <c r="JH132" s="145"/>
      <c r="JI132" s="145"/>
      <c r="JJ132" s="145"/>
      <c r="JK132" s="145"/>
      <c r="JL132" s="145"/>
      <c r="JM132" s="145"/>
      <c r="JN132" s="145"/>
      <c r="JO132" s="145"/>
      <c r="JP132" s="145"/>
      <c r="JQ132" s="145"/>
      <c r="JR132" s="145"/>
      <c r="JS132" s="145"/>
      <c r="JT132" s="145"/>
      <c r="JU132" s="145"/>
      <c r="JV132" s="145"/>
      <c r="JW132" s="145"/>
      <c r="JX132" s="145"/>
      <c r="JY132" s="145"/>
      <c r="JZ132" s="145"/>
      <c r="KA132" s="145"/>
      <c r="KB132" s="145"/>
      <c r="KC132" s="145"/>
      <c r="KD132" s="145"/>
      <c r="KE132" s="145"/>
      <c r="KF132" s="145"/>
      <c r="KG132" s="145"/>
      <c r="KH132" s="145"/>
      <c r="KI132" s="145"/>
      <c r="KJ132" s="145"/>
      <c r="KK132" s="145"/>
      <c r="KL132" s="145"/>
      <c r="KM132" s="145"/>
      <c r="KN132" s="145"/>
      <c r="KO132" s="145"/>
      <c r="KP132" s="145"/>
      <c r="KQ132" s="145"/>
      <c r="KR132" s="145"/>
      <c r="KS132" s="145"/>
      <c r="KT132" s="145"/>
      <c r="KU132" s="145"/>
      <c r="KV132" s="145"/>
      <c r="KW132" s="145"/>
      <c r="KX132" s="145"/>
      <c r="KY132" s="145"/>
      <c r="KZ132" s="145"/>
      <c r="LA132" s="145"/>
      <c r="LB132" s="145"/>
      <c r="LC132" s="145"/>
      <c r="LD132" s="145"/>
      <c r="LE132" s="145"/>
      <c r="LF132" s="145"/>
      <c r="LG132" s="145"/>
      <c r="LH132" s="145"/>
      <c r="LI132" s="145"/>
      <c r="LJ132" s="145"/>
      <c r="LK132" s="145"/>
      <c r="LL132" s="145"/>
      <c r="LM132" s="145"/>
      <c r="LN132" s="145"/>
      <c r="LO132" s="145"/>
      <c r="LP132" s="145"/>
      <c r="LQ132" s="145"/>
      <c r="LR132" s="145"/>
      <c r="LS132" s="145"/>
      <c r="LT132" s="145"/>
      <c r="LU132" s="145"/>
      <c r="LV132" s="145"/>
      <c r="LW132" s="145"/>
      <c r="LX132" s="145"/>
      <c r="LY132" s="145"/>
      <c r="LZ132" s="145"/>
      <c r="MA132" s="145"/>
      <c r="MB132" s="145"/>
      <c r="MC132" s="145"/>
      <c r="MD132" s="145"/>
      <c r="ME132" s="145"/>
      <c r="MF132" s="145"/>
      <c r="MG132" s="145"/>
      <c r="MH132" s="145"/>
      <c r="MI132" s="145"/>
      <c r="MJ132" s="145"/>
      <c r="MK132" s="145"/>
      <c r="ML132" s="145"/>
      <c r="MM132" s="145"/>
      <c r="MN132" s="145"/>
      <c r="MO132" s="145"/>
      <c r="MP132" s="145"/>
      <c r="MQ132" s="145"/>
      <c r="MR132" s="145"/>
      <c r="MS132" s="145"/>
      <c r="MT132" s="145"/>
      <c r="MU132" s="145"/>
      <c r="MV132" s="145"/>
      <c r="MW132" s="145"/>
      <c r="MX132" s="145"/>
      <c r="MY132" s="145"/>
      <c r="MZ132" s="145"/>
      <c r="NA132" s="145"/>
      <c r="NB132" s="145"/>
      <c r="NC132" s="145"/>
      <c r="ND132" s="145"/>
      <c r="NE132" s="145"/>
      <c r="NF132" s="145"/>
      <c r="NG132" s="145"/>
      <c r="NH132" s="145"/>
      <c r="NI132" s="145"/>
      <c r="NJ132" s="145"/>
      <c r="NK132" s="145"/>
      <c r="NL132" s="145"/>
      <c r="NM132" s="145"/>
      <c r="NN132" s="145"/>
      <c r="NO132" s="145"/>
      <c r="NP132" s="145"/>
      <c r="NQ132" s="145"/>
      <c r="NR132" s="145"/>
      <c r="NS132" s="145"/>
    </row>
    <row r="133" spans="1:383" s="16" customFormat="1" ht="15" customHeight="1" x14ac:dyDescent="0.2">
      <c r="A133" s="15">
        <v>65000</v>
      </c>
      <c r="B133" s="25">
        <v>650</v>
      </c>
      <c r="C133" s="26">
        <v>0</v>
      </c>
      <c r="D133" s="20" t="s">
        <v>468</v>
      </c>
      <c r="E133" s="14">
        <v>42520</v>
      </c>
      <c r="F133" s="18">
        <v>0.93743346047189602</v>
      </c>
      <c r="G133" s="18">
        <v>0.97915232937085805</v>
      </c>
      <c r="H133" s="21">
        <v>90</v>
      </c>
      <c r="I133" s="21">
        <v>70</v>
      </c>
      <c r="J133" s="21">
        <v>90</v>
      </c>
      <c r="K133" s="18">
        <v>1</v>
      </c>
      <c r="L133" s="18">
        <v>89</v>
      </c>
      <c r="M133" s="18">
        <v>40.300000109999999</v>
      </c>
      <c r="N133" s="18">
        <v>4.3999997999999998</v>
      </c>
      <c r="O133" s="18">
        <v>4.3000002899999998</v>
      </c>
      <c r="P133" s="18">
        <v>14.50000015</v>
      </c>
      <c r="Q133" s="19"/>
      <c r="R133" s="18">
        <v>88</v>
      </c>
      <c r="S133" s="18">
        <v>50</v>
      </c>
      <c r="T133" s="18">
        <v>54</v>
      </c>
      <c r="U133" s="18">
        <v>55</v>
      </c>
      <c r="V133" s="18">
        <v>56</v>
      </c>
      <c r="W133" s="18">
        <v>57</v>
      </c>
      <c r="X133" s="18"/>
      <c r="Y133" s="18">
        <v>3.59551</v>
      </c>
      <c r="Z133" s="18">
        <v>7.5280899999999997</v>
      </c>
      <c r="AA133" s="18">
        <v>0.22471999999999889</v>
      </c>
      <c r="AB133" s="18">
        <v>0</v>
      </c>
      <c r="AC133" s="18">
        <v>14.044939999999999</v>
      </c>
      <c r="AD133" s="18">
        <v>3.099999999999989</v>
      </c>
      <c r="AE133" s="18">
        <v>2.1</v>
      </c>
      <c r="AF133" s="18">
        <v>98</v>
      </c>
      <c r="AG133" s="18">
        <v>7.9999999999999893</v>
      </c>
      <c r="AH133" s="18">
        <v>61</v>
      </c>
      <c r="AI133" s="18">
        <v>79</v>
      </c>
      <c r="AJ133" s="18">
        <v>0</v>
      </c>
      <c r="AK133" s="18">
        <v>0.11000000000000001</v>
      </c>
      <c r="AL133" s="18"/>
      <c r="AM133" s="18">
        <v>4.83</v>
      </c>
      <c r="AN133" s="18">
        <v>0.72000000000000097</v>
      </c>
      <c r="AO133" s="18">
        <v>1.59</v>
      </c>
      <c r="AP133" s="18">
        <v>3.46</v>
      </c>
      <c r="AQ133" s="18">
        <v>0.92</v>
      </c>
      <c r="AR133" s="18">
        <v>4.0999999999999996</v>
      </c>
      <c r="AS133" s="18">
        <v>7.15</v>
      </c>
      <c r="AT133" s="18">
        <v>2.5099999999999998</v>
      </c>
      <c r="AU133" s="18">
        <v>3.92</v>
      </c>
      <c r="AV133" s="18">
        <v>3.93</v>
      </c>
      <c r="AW133" s="18">
        <v>3.82</v>
      </c>
      <c r="AX133" s="18"/>
      <c r="AY133" s="18">
        <v>0.99</v>
      </c>
      <c r="AZ133" s="18">
        <v>0.95</v>
      </c>
      <c r="BA133" s="18">
        <v>0.97</v>
      </c>
      <c r="BB133" s="18">
        <v>0.95</v>
      </c>
      <c r="BC133" s="18">
        <v>0.98</v>
      </c>
      <c r="BD133" s="18">
        <v>0.98</v>
      </c>
      <c r="BE133" s="18">
        <v>0.98</v>
      </c>
      <c r="BF133" s="18">
        <v>1.02</v>
      </c>
      <c r="BG133" s="18">
        <v>0.99</v>
      </c>
      <c r="BH133" s="18">
        <v>0.97</v>
      </c>
      <c r="BI133" s="18">
        <v>0.94</v>
      </c>
      <c r="BJ133" s="19"/>
      <c r="BK133" s="18">
        <v>45.280898999999998</v>
      </c>
      <c r="BL133" s="18">
        <v>4.9438199999999997</v>
      </c>
      <c r="BM133" s="18">
        <v>4.831461</v>
      </c>
      <c r="BN133" s="18">
        <v>16.292135000000002</v>
      </c>
      <c r="BO133" s="18"/>
      <c r="BP133" s="18">
        <v>130</v>
      </c>
      <c r="BQ133" s="18">
        <v>64.269660000000002</v>
      </c>
      <c r="BR133" s="18">
        <v>1.0532960230021304</v>
      </c>
      <c r="BS133" s="18">
        <v>1.1001711565964698</v>
      </c>
      <c r="BT133" s="19"/>
      <c r="BU133" s="18">
        <v>951.6853900000001</v>
      </c>
      <c r="BV133" s="18">
        <v>124.59550467142921</v>
      </c>
      <c r="BW133" s="18">
        <v>271.91011142857076</v>
      </c>
      <c r="BX133" s="18">
        <v>14</v>
      </c>
      <c r="BY133" s="18">
        <v>104</v>
      </c>
      <c r="BZ133" s="18">
        <v>102.50067373714303</v>
      </c>
      <c r="CA133" s="18">
        <v>217.81393169142811</v>
      </c>
      <c r="CB133" s="19"/>
      <c r="CC133" s="19">
        <v>3.2000039</v>
      </c>
      <c r="CD133" s="19">
        <v>6.7000000999999996</v>
      </c>
      <c r="CE133" s="19">
        <v>0.20000079999999901</v>
      </c>
      <c r="CF133" s="19">
        <v>0</v>
      </c>
      <c r="CG133" s="19">
        <v>12.499996599999999</v>
      </c>
      <c r="CH133" s="19">
        <v>2.7589999999999901</v>
      </c>
      <c r="CI133" s="19">
        <v>1.8690000000000002</v>
      </c>
      <c r="CJ133" s="19"/>
      <c r="CK133" s="19">
        <v>87.22</v>
      </c>
      <c r="CL133" s="19">
        <v>7.1199999999999903</v>
      </c>
      <c r="CM133" s="19">
        <v>54.29</v>
      </c>
      <c r="CN133" s="19">
        <v>70.31</v>
      </c>
      <c r="CO133" s="19">
        <v>0</v>
      </c>
      <c r="CP133" s="19">
        <v>9.7900000000000015E-2</v>
      </c>
      <c r="CQ133" s="19">
        <v>354.64000096799998</v>
      </c>
      <c r="CR133" s="19">
        <v>378.30951840515405</v>
      </c>
      <c r="CS133" s="19">
        <v>18.089626241579296</v>
      </c>
      <c r="CT133" s="19">
        <v>2.5876371058912535</v>
      </c>
      <c r="CU133" s="19">
        <v>5.8346677023626867</v>
      </c>
      <c r="CV133" s="19">
        <v>8.4223048082539407</v>
      </c>
      <c r="CW133" s="19">
        <v>12.435033869977458</v>
      </c>
      <c r="CX133" s="19">
        <v>3.410838617940871</v>
      </c>
      <c r="CY133" s="19">
        <v>15.200476449519048</v>
      </c>
      <c r="CZ133" s="19">
        <v>26.508147954649186</v>
      </c>
      <c r="DA133" s="19">
        <v>9.6854802902087584</v>
      </c>
      <c r="DB133" s="19">
        <v>14.681435790267173</v>
      </c>
      <c r="DC133" s="19">
        <v>14.421537151122847</v>
      </c>
      <c r="DD133" s="19">
        <v>29.102972941390128</v>
      </c>
      <c r="DE133" s="19">
        <v>13.584338186892225</v>
      </c>
      <c r="DF133" s="23">
        <v>0</v>
      </c>
      <c r="DG133" s="23">
        <v>0</v>
      </c>
      <c r="DH133" s="23">
        <v>0</v>
      </c>
      <c r="DI133" s="19">
        <v>0</v>
      </c>
      <c r="DJ133" s="19">
        <v>0</v>
      </c>
      <c r="DK133" s="19">
        <v>0</v>
      </c>
      <c r="DL133" s="19">
        <v>0</v>
      </c>
      <c r="DM133" s="19">
        <v>0</v>
      </c>
      <c r="DN133" s="19">
        <v>0</v>
      </c>
      <c r="DO133" s="19">
        <v>0</v>
      </c>
      <c r="DP133" s="19">
        <v>0</v>
      </c>
      <c r="DQ133" s="19">
        <v>0</v>
      </c>
      <c r="DR133" s="19">
        <v>0</v>
      </c>
      <c r="DS133" s="19">
        <v>0</v>
      </c>
      <c r="DT133" s="19">
        <v>0</v>
      </c>
      <c r="DU133" s="19">
        <v>0</v>
      </c>
      <c r="DV133" s="19">
        <v>0</v>
      </c>
      <c r="DW133" s="17" t="s">
        <v>464</v>
      </c>
      <c r="DX133" s="22" t="s">
        <v>218</v>
      </c>
      <c r="DY133" s="22" t="s">
        <v>218</v>
      </c>
      <c r="DZ133" s="22" t="s">
        <v>218</v>
      </c>
      <c r="EA133" s="22" t="s">
        <v>218</v>
      </c>
      <c r="EB133" s="22" t="s">
        <v>218</v>
      </c>
      <c r="EC133" s="22" t="s">
        <v>218</v>
      </c>
      <c r="ED133" s="22" t="s">
        <v>218</v>
      </c>
      <c r="EE133" s="22" t="s">
        <v>218</v>
      </c>
      <c r="EF133" s="22" t="s">
        <v>218</v>
      </c>
      <c r="EG133" s="22" t="s">
        <v>218</v>
      </c>
      <c r="EH133" s="22" t="s">
        <v>218</v>
      </c>
      <c r="EI133" s="22" t="s">
        <v>218</v>
      </c>
      <c r="EJ133" s="22" t="s">
        <v>218</v>
      </c>
      <c r="EK133" s="22" t="s">
        <v>218</v>
      </c>
      <c r="EL133" s="22" t="s">
        <v>218</v>
      </c>
      <c r="EM133" s="22" t="s">
        <v>218</v>
      </c>
      <c r="EN133" s="22" t="s">
        <v>218</v>
      </c>
      <c r="EO133" s="22" t="s">
        <v>218</v>
      </c>
      <c r="EP133" s="22" t="s">
        <v>218</v>
      </c>
      <c r="EQ133" s="22" t="s">
        <v>218</v>
      </c>
      <c r="ER133" s="22" t="s">
        <v>218</v>
      </c>
      <c r="ES133" s="22" t="s">
        <v>218</v>
      </c>
      <c r="ET133" s="22" t="s">
        <v>218</v>
      </c>
      <c r="EU133" s="22" t="s">
        <v>218</v>
      </c>
      <c r="EV133" s="22" t="s">
        <v>218</v>
      </c>
      <c r="EW133" s="22" t="s">
        <v>218</v>
      </c>
      <c r="EX133" s="22" t="s">
        <v>218</v>
      </c>
      <c r="EY133" s="22" t="s">
        <v>218</v>
      </c>
      <c r="EZ133" s="22" t="s">
        <v>218</v>
      </c>
      <c r="FA133" s="22" t="s">
        <v>218</v>
      </c>
      <c r="FB133" s="22" t="s">
        <v>218</v>
      </c>
      <c r="FC133" s="22" t="s">
        <v>218</v>
      </c>
      <c r="FD133" s="22" t="s">
        <v>218</v>
      </c>
      <c r="FE133" s="22" t="s">
        <v>218</v>
      </c>
      <c r="FF133" s="22" t="s">
        <v>218</v>
      </c>
      <c r="FG133" s="22" t="s">
        <v>218</v>
      </c>
      <c r="FH133" s="22" t="s">
        <v>218</v>
      </c>
      <c r="FI133" s="22" t="s">
        <v>218</v>
      </c>
      <c r="FJ133" s="22" t="s">
        <v>218</v>
      </c>
      <c r="FK133" s="22" t="s">
        <v>218</v>
      </c>
      <c r="FL133" s="22" t="s">
        <v>218</v>
      </c>
      <c r="FM133" s="22" t="s">
        <v>218</v>
      </c>
      <c r="FN133" s="22" t="s">
        <v>218</v>
      </c>
      <c r="FO133" s="22" t="s">
        <v>218</v>
      </c>
      <c r="FP133" s="22" t="s">
        <v>218</v>
      </c>
      <c r="FQ133" s="22" t="s">
        <v>218</v>
      </c>
      <c r="FR133" s="22" t="s">
        <v>218</v>
      </c>
      <c r="FS133" s="22" t="s">
        <v>218</v>
      </c>
      <c r="FT133" s="22" t="s">
        <v>218</v>
      </c>
      <c r="FU133" s="22" t="s">
        <v>218</v>
      </c>
      <c r="FV133" s="22" t="s">
        <v>218</v>
      </c>
      <c r="FW133" s="22" t="s">
        <v>218</v>
      </c>
      <c r="FX133" s="22" t="s">
        <v>218</v>
      </c>
      <c r="FY133" s="22" t="s">
        <v>218</v>
      </c>
      <c r="FZ133" s="22" t="s">
        <v>218</v>
      </c>
      <c r="GA133" s="22" t="s">
        <v>218</v>
      </c>
      <c r="GB133" s="22" t="s">
        <v>218</v>
      </c>
      <c r="GC133" s="22" t="s">
        <v>218</v>
      </c>
      <c r="GD133" s="22" t="s">
        <v>218</v>
      </c>
      <c r="GE133" s="22" t="s">
        <v>218</v>
      </c>
      <c r="GF133" s="22" t="s">
        <v>218</v>
      </c>
      <c r="GG133" s="22" t="s">
        <v>218</v>
      </c>
      <c r="GH133" s="22" t="s">
        <v>218</v>
      </c>
      <c r="GI133" s="22" t="s">
        <v>218</v>
      </c>
      <c r="GJ133" s="22" t="s">
        <v>218</v>
      </c>
      <c r="GK133" s="22" t="s">
        <v>218</v>
      </c>
      <c r="GL133" s="22" t="s">
        <v>218</v>
      </c>
      <c r="GM133" s="22" t="s">
        <v>218</v>
      </c>
      <c r="GN133" s="22" t="s">
        <v>218</v>
      </c>
      <c r="GO133" s="22" t="s">
        <v>218</v>
      </c>
      <c r="GP133" s="22" t="s">
        <v>218</v>
      </c>
      <c r="GQ133" s="22" t="s">
        <v>218</v>
      </c>
      <c r="GR133" s="22" t="s">
        <v>218</v>
      </c>
      <c r="GS133" s="22" t="s">
        <v>218</v>
      </c>
      <c r="GT133" s="22" t="s">
        <v>218</v>
      </c>
      <c r="GU133" s="22" t="s">
        <v>218</v>
      </c>
      <c r="GV133" s="22" t="s">
        <v>218</v>
      </c>
      <c r="GW133" s="22" t="s">
        <v>218</v>
      </c>
      <c r="GX133" s="22" t="s">
        <v>218</v>
      </c>
      <c r="GY133" s="22" t="s">
        <v>218</v>
      </c>
      <c r="GZ133" s="22" t="s">
        <v>218</v>
      </c>
      <c r="HA133" s="22" t="s">
        <v>218</v>
      </c>
      <c r="HB133" s="22" t="s">
        <v>218</v>
      </c>
      <c r="HC133" s="22" t="s">
        <v>218</v>
      </c>
      <c r="HD133" s="22" t="s">
        <v>218</v>
      </c>
      <c r="HE133" s="22" t="s">
        <v>218</v>
      </c>
      <c r="HF133" s="22" t="s">
        <v>218</v>
      </c>
      <c r="HG133" s="22" t="s">
        <v>218</v>
      </c>
      <c r="HH133" s="22" t="s">
        <v>218</v>
      </c>
      <c r="HI133" s="22" t="s">
        <v>218</v>
      </c>
      <c r="HJ133" s="22" t="s">
        <v>218</v>
      </c>
      <c r="HK133" s="22" t="s">
        <v>218</v>
      </c>
      <c r="HL133" s="22" t="s">
        <v>218</v>
      </c>
      <c r="HM133" s="622">
        <f>'background data'!$G$20</f>
        <v>0.14000000000000001</v>
      </c>
      <c r="HN133" s="622">
        <f>'background data'!$H$20</f>
        <v>7.0000000000000007E-2</v>
      </c>
      <c r="HO133" s="622">
        <f>'background data'!$J$20</f>
        <v>0.51702999999999999</v>
      </c>
      <c r="HP133" s="622">
        <f>'background data'!$L$20</f>
        <v>2.1999999999999999E-2</v>
      </c>
      <c r="HQ133" s="622">
        <f>'background data'!$M$20</f>
        <v>0.72</v>
      </c>
      <c r="HR133" s="622">
        <f>'background data'!$N$20</f>
        <v>1.2900000000000001E-3</v>
      </c>
      <c r="HS133" s="622">
        <f>'background data'!$O$20</f>
        <v>3.47</v>
      </c>
      <c r="HT133" s="145"/>
      <c r="HU133" s="145" t="s">
        <v>1809</v>
      </c>
      <c r="HV133" s="22" t="s">
        <v>1957</v>
      </c>
      <c r="HW133" s="22" t="s">
        <v>465</v>
      </c>
      <c r="HX133" s="22" t="s">
        <v>466</v>
      </c>
      <c r="HY133" s="22" t="s">
        <v>467</v>
      </c>
      <c r="HZ133" s="19"/>
      <c r="IA133" s="19"/>
      <c r="IB133" s="622">
        <f>'background data'!$G$20</f>
        <v>0.14000000000000001</v>
      </c>
      <c r="IC133" s="622">
        <f>'background data'!$H$20</f>
        <v>7.0000000000000007E-2</v>
      </c>
      <c r="ID133" s="622">
        <f>'background data'!$J$20</f>
        <v>0.51702999999999999</v>
      </c>
      <c r="IE133" s="622">
        <f>'background data'!$L$20</f>
        <v>2.1999999999999999E-2</v>
      </c>
      <c r="IF133" s="622">
        <f>'background data'!$M$20</f>
        <v>0.72</v>
      </c>
      <c r="IG133" s="622">
        <f>'background data'!$N$20</f>
        <v>1.2900000000000001E-3</v>
      </c>
      <c r="IH133" s="622">
        <f>'background data'!$O$20</f>
        <v>3.47</v>
      </c>
      <c r="II133" s="145"/>
      <c r="IJ133" s="145"/>
      <c r="IK133" s="145"/>
      <c r="IL133" s="145"/>
      <c r="IM133" s="145"/>
      <c r="IN133" s="145"/>
      <c r="IO133" s="145"/>
      <c r="IP133" s="145"/>
      <c r="IQ133" s="145"/>
      <c r="IR133" s="145"/>
      <c r="IS133" s="145"/>
      <c r="IT133" s="145"/>
      <c r="IU133" s="145"/>
      <c r="IV133" s="145"/>
      <c r="IW133" s="145"/>
      <c r="IX133" s="145"/>
      <c r="IY133" s="145"/>
      <c r="IZ133" s="145"/>
      <c r="JA133" s="145"/>
      <c r="JB133" s="145"/>
      <c r="JC133" s="145"/>
      <c r="JD133" s="145"/>
      <c r="JE133" s="145"/>
      <c r="JF133" s="145"/>
      <c r="JG133" s="145"/>
      <c r="JH133" s="145"/>
      <c r="JI133" s="145"/>
      <c r="JJ133" s="145"/>
      <c r="JK133" s="145"/>
      <c r="JL133" s="145"/>
      <c r="JM133" s="145"/>
      <c r="JN133" s="145"/>
      <c r="JO133" s="145"/>
      <c r="JP133" s="145"/>
      <c r="JQ133" s="145"/>
      <c r="JR133" s="145"/>
      <c r="JS133" s="145"/>
      <c r="JT133" s="145"/>
      <c r="JU133" s="145"/>
      <c r="JV133" s="145"/>
      <c r="JW133" s="145"/>
      <c r="JX133" s="145"/>
      <c r="JY133" s="145"/>
      <c r="JZ133" s="145"/>
      <c r="KA133" s="145"/>
      <c r="KB133" s="145"/>
      <c r="KC133" s="145"/>
      <c r="KD133" s="145"/>
      <c r="KE133" s="145"/>
      <c r="KF133" s="145"/>
      <c r="KG133" s="145"/>
      <c r="KH133" s="145"/>
      <c r="KI133" s="145"/>
      <c r="KJ133" s="145"/>
      <c r="KK133" s="145"/>
      <c r="KL133" s="145"/>
      <c r="KM133" s="145"/>
      <c r="KN133" s="145"/>
      <c r="KO133" s="145"/>
      <c r="KP133" s="145"/>
      <c r="KQ133" s="145"/>
      <c r="KR133" s="145"/>
      <c r="KS133" s="145"/>
      <c r="KT133" s="145"/>
      <c r="KU133" s="145"/>
      <c r="KV133" s="145"/>
      <c r="KW133" s="145"/>
      <c r="KX133" s="145"/>
      <c r="KY133" s="145"/>
      <c r="KZ133" s="145"/>
      <c r="LA133" s="145"/>
      <c r="LB133" s="145"/>
      <c r="LC133" s="145"/>
      <c r="LD133" s="145"/>
      <c r="LE133" s="145"/>
      <c r="LF133" s="145"/>
      <c r="LG133" s="145"/>
      <c r="LH133" s="145"/>
      <c r="LI133" s="145"/>
      <c r="LJ133" s="145"/>
      <c r="LK133" s="145"/>
      <c r="LL133" s="145"/>
      <c r="LM133" s="145"/>
      <c r="LN133" s="145"/>
      <c r="LO133" s="145"/>
      <c r="LP133" s="145"/>
      <c r="LQ133" s="145"/>
      <c r="LR133" s="145"/>
      <c r="LS133" s="145"/>
      <c r="LT133" s="145"/>
      <c r="LU133" s="145"/>
      <c r="LV133" s="145"/>
      <c r="LW133" s="145"/>
      <c r="LX133" s="145"/>
      <c r="LY133" s="145"/>
      <c r="LZ133" s="145"/>
      <c r="MA133" s="145"/>
      <c r="MB133" s="145"/>
      <c r="MC133" s="145"/>
      <c r="MD133" s="145"/>
      <c r="ME133" s="145"/>
      <c r="MF133" s="145"/>
      <c r="MG133" s="145"/>
      <c r="MH133" s="145"/>
      <c r="MI133" s="145"/>
      <c r="MJ133" s="145"/>
      <c r="MK133" s="145"/>
      <c r="ML133" s="145"/>
      <c r="MM133" s="145"/>
      <c r="MN133" s="145"/>
      <c r="MO133" s="145"/>
      <c r="MP133" s="145"/>
      <c r="MQ133" s="145"/>
      <c r="MR133" s="145"/>
      <c r="MS133" s="145"/>
      <c r="MT133" s="145"/>
      <c r="MU133" s="145"/>
      <c r="MV133" s="145"/>
      <c r="MW133" s="145"/>
      <c r="MX133" s="145"/>
      <c r="MY133" s="145"/>
      <c r="MZ133" s="145"/>
      <c r="NA133" s="145"/>
      <c r="NB133" s="145"/>
      <c r="NC133" s="145"/>
      <c r="ND133" s="145"/>
      <c r="NE133" s="145"/>
      <c r="NF133" s="145"/>
      <c r="NG133" s="145"/>
      <c r="NH133" s="145"/>
      <c r="NI133" s="145"/>
      <c r="NJ133" s="145"/>
      <c r="NK133" s="145"/>
      <c r="NL133" s="145"/>
      <c r="NM133" s="145"/>
      <c r="NN133" s="145"/>
      <c r="NO133" s="145"/>
      <c r="NP133" s="145"/>
      <c r="NQ133" s="145"/>
      <c r="NR133" s="145"/>
      <c r="NS133" s="145"/>
    </row>
    <row r="134" spans="1:383" s="16" customFormat="1" ht="15" customHeight="1" x14ac:dyDescent="0.2">
      <c r="A134" s="15">
        <v>39001</v>
      </c>
      <c r="B134" s="25">
        <v>390</v>
      </c>
      <c r="C134" s="26">
        <v>1</v>
      </c>
      <c r="D134" s="20" t="s">
        <v>469</v>
      </c>
      <c r="E134" s="14">
        <v>41814</v>
      </c>
      <c r="F134" s="18">
        <v>0.93049820910669401</v>
      </c>
      <c r="G134" s="18">
        <v>0.93467269163834898</v>
      </c>
      <c r="H134" s="21">
        <v>81.038477510691195</v>
      </c>
      <c r="I134" s="21">
        <v>77.747823211727095</v>
      </c>
      <c r="J134" s="21">
        <v>95.867637970566193</v>
      </c>
      <c r="K134" s="18">
        <v>1</v>
      </c>
      <c r="L134" s="18">
        <v>90.73</v>
      </c>
      <c r="M134" s="18">
        <v>39.273949787200003</v>
      </c>
      <c r="N134" s="18">
        <v>3.0099997144000001</v>
      </c>
      <c r="O134" s="18">
        <v>8.5000002380000002</v>
      </c>
      <c r="P134" s="18">
        <v>4.4799997172000001</v>
      </c>
      <c r="Q134" s="19"/>
      <c r="R134" s="18">
        <v>92.814319961452497</v>
      </c>
      <c r="S134" s="18">
        <v>20</v>
      </c>
      <c r="T134" s="18">
        <v>27</v>
      </c>
      <c r="U134" s="18">
        <v>30</v>
      </c>
      <c r="V134" s="18">
        <v>32</v>
      </c>
      <c r="W134" s="18">
        <v>33</v>
      </c>
      <c r="X134" s="18"/>
      <c r="Y134" s="18">
        <v>0.6943690620522428</v>
      </c>
      <c r="Z134" s="18">
        <v>5.0148786795988096</v>
      </c>
      <c r="AA134" s="18">
        <v>7.7154365700429953E-2</v>
      </c>
      <c r="AB134" s="18">
        <v>0</v>
      </c>
      <c r="AC134" s="18">
        <v>5.632093375950622</v>
      </c>
      <c r="AD134" s="18">
        <v>1.6857709688085529</v>
      </c>
      <c r="AE134" s="18">
        <v>0</v>
      </c>
      <c r="AF134" s="18">
        <v>68.105147139865537</v>
      </c>
      <c r="AG134" s="18">
        <v>8.0917006502810533</v>
      </c>
      <c r="AH134" s="18">
        <v>49.224512289209848</v>
      </c>
      <c r="AI134" s="18">
        <v>53.270362614350269</v>
      </c>
      <c r="AJ134" s="18">
        <v>0</v>
      </c>
      <c r="AK134" s="18">
        <v>4.720158712663948E-2</v>
      </c>
      <c r="AL134" s="18"/>
      <c r="AM134" s="18">
        <v>61.934968022056403</v>
      </c>
      <c r="AN134" s="18">
        <v>0.43346797945615301</v>
      </c>
      <c r="AO134" s="18">
        <v>0.54183497432019401</v>
      </c>
      <c r="AP134" s="18">
        <v>0.89402770762831596</v>
      </c>
      <c r="AQ134" s="18">
        <v>0.381993656895735</v>
      </c>
      <c r="AR134" s="18">
        <v>0.89402770762831596</v>
      </c>
      <c r="AS134" s="18">
        <v>1.6823975952642001</v>
      </c>
      <c r="AT134" s="18">
        <v>0.70438546661624901</v>
      </c>
      <c r="AU134" s="18">
        <v>1.0592873747959799</v>
      </c>
      <c r="AV134" s="18">
        <v>0.75856896404826801</v>
      </c>
      <c r="AW134" s="18">
        <v>1.30311311324006</v>
      </c>
      <c r="AX134" s="18"/>
      <c r="AY134" s="18">
        <v>1.0726799236351201</v>
      </c>
      <c r="AZ134" s="18">
        <v>0.86289900912111706</v>
      </c>
      <c r="BA134" s="18">
        <v>0.83123299043777399</v>
      </c>
      <c r="BB134" s="18">
        <v>0.74415143905857795</v>
      </c>
      <c r="BC134" s="18">
        <v>0.90248153247529705</v>
      </c>
      <c r="BD134" s="18">
        <v>0.83123299043777399</v>
      </c>
      <c r="BE134" s="18">
        <v>0.81539998109610201</v>
      </c>
      <c r="BF134" s="18">
        <v>0.86289900912111706</v>
      </c>
      <c r="BG134" s="18">
        <v>0.87081551379195299</v>
      </c>
      <c r="BH134" s="18">
        <v>0.82331648576693806</v>
      </c>
      <c r="BI134" s="18">
        <v>0.81539998109610201</v>
      </c>
      <c r="BJ134" s="19"/>
      <c r="BK134" s="18">
        <v>43.286619406150116</v>
      </c>
      <c r="BL134" s="18">
        <v>3.3175352302435797</v>
      </c>
      <c r="BM134" s="18">
        <v>9.368456120357104</v>
      </c>
      <c r="BN134" s="18">
        <v>4.9377270111319298</v>
      </c>
      <c r="BO134" s="18"/>
      <c r="BP134" s="18">
        <v>0</v>
      </c>
      <c r="BQ134" s="18">
        <v>0</v>
      </c>
      <c r="BR134" s="18">
        <v>1.0255683997649001</v>
      </c>
      <c r="BS134" s="18">
        <v>1.0301693945093673</v>
      </c>
      <c r="BT134" s="19"/>
      <c r="BU134" s="18">
        <v>906.31543879642891</v>
      </c>
      <c r="BV134" s="18">
        <v>265.77060764573787</v>
      </c>
      <c r="BW134" s="18">
        <v>42.605297069900139</v>
      </c>
      <c r="BX134" s="18" t="s">
        <v>217</v>
      </c>
      <c r="BY134" s="18" t="s">
        <v>217</v>
      </c>
      <c r="BZ134" s="18">
        <v>47.875895514162899</v>
      </c>
      <c r="CA134" s="18">
        <v>87.660090378044757</v>
      </c>
      <c r="CB134" s="19"/>
      <c r="CC134" s="19">
        <v>0.63000104999999984</v>
      </c>
      <c r="CD134" s="19">
        <v>4.5499994260000003</v>
      </c>
      <c r="CE134" s="19">
        <v>7.0002156000000093E-2</v>
      </c>
      <c r="CF134" s="19">
        <v>0</v>
      </c>
      <c r="CG134" s="19">
        <v>5.109998319999999</v>
      </c>
      <c r="CH134" s="19">
        <v>1.5295000000000001</v>
      </c>
      <c r="CI134" s="19">
        <v>0</v>
      </c>
      <c r="CJ134" s="19"/>
      <c r="CK134" s="19">
        <v>61.791800000000002</v>
      </c>
      <c r="CL134" s="19">
        <v>7.3415999999999997</v>
      </c>
      <c r="CM134" s="19">
        <v>44.661400000000093</v>
      </c>
      <c r="CN134" s="19">
        <v>48.3322</v>
      </c>
      <c r="CO134" s="19">
        <v>0</v>
      </c>
      <c r="CP134" s="19">
        <v>4.2826000000000003E-2</v>
      </c>
      <c r="CQ134" s="19">
        <v>364.51849416992002</v>
      </c>
      <c r="CR134" s="19">
        <v>391.74550859143363</v>
      </c>
      <c r="CS134" s="19">
        <v>260.26160040957654</v>
      </c>
      <c r="CT134" s="19">
        <v>1.4652813352884844</v>
      </c>
      <c r="CU134" s="19">
        <v>1.7643869289597747</v>
      </c>
      <c r="CV134" s="19">
        <v>3.229668264248259</v>
      </c>
      <c r="CW134" s="19">
        <v>2.6062515493491385</v>
      </c>
      <c r="CX134" s="19">
        <v>1.3505121664809121</v>
      </c>
      <c r="CY134" s="19">
        <v>2.9112384327836129</v>
      </c>
      <c r="CZ134" s="19">
        <v>5.3740705303358931</v>
      </c>
      <c r="DA134" s="19">
        <v>2.3810821698437925</v>
      </c>
      <c r="DB134" s="19">
        <v>3.613632467359996</v>
      </c>
      <c r="DC134" s="19">
        <v>2.4466165414908723</v>
      </c>
      <c r="DD134" s="19">
        <v>6.0602490088508469</v>
      </c>
      <c r="DE134" s="19">
        <v>4.1625248391168297</v>
      </c>
      <c r="DF134" s="23">
        <v>0</v>
      </c>
      <c r="DG134" s="23">
        <v>0</v>
      </c>
      <c r="DH134" s="23">
        <v>0</v>
      </c>
      <c r="DI134" s="19">
        <v>0</v>
      </c>
      <c r="DJ134" s="19">
        <v>0</v>
      </c>
      <c r="DK134" s="19">
        <v>0</v>
      </c>
      <c r="DL134" s="19">
        <v>0</v>
      </c>
      <c r="DM134" s="19">
        <v>0</v>
      </c>
      <c r="DN134" s="19">
        <v>0</v>
      </c>
      <c r="DO134" s="19">
        <v>0</v>
      </c>
      <c r="DP134" s="19">
        <v>0</v>
      </c>
      <c r="DQ134" s="19">
        <v>0</v>
      </c>
      <c r="DR134" s="19">
        <v>0</v>
      </c>
      <c r="DS134" s="19">
        <v>0</v>
      </c>
      <c r="DT134" s="19">
        <v>0</v>
      </c>
      <c r="DU134" s="19">
        <v>0</v>
      </c>
      <c r="DV134" s="19">
        <v>0</v>
      </c>
      <c r="DW134" s="17" t="s">
        <v>218</v>
      </c>
      <c r="DX134" s="22" t="s">
        <v>218</v>
      </c>
      <c r="DY134" s="22" t="s">
        <v>218</v>
      </c>
      <c r="DZ134" s="22" t="s">
        <v>218</v>
      </c>
      <c r="EA134" s="22" t="s">
        <v>218</v>
      </c>
      <c r="EB134" s="22" t="s">
        <v>218</v>
      </c>
      <c r="EC134" s="22" t="s">
        <v>218</v>
      </c>
      <c r="ED134" s="22" t="s">
        <v>218</v>
      </c>
      <c r="EE134" s="22" t="s">
        <v>218</v>
      </c>
      <c r="EF134" s="22" t="s">
        <v>218</v>
      </c>
      <c r="EG134" s="22" t="s">
        <v>218</v>
      </c>
      <c r="EH134" s="22" t="s">
        <v>218</v>
      </c>
      <c r="EI134" s="22" t="s">
        <v>218</v>
      </c>
      <c r="EJ134" s="22" t="s">
        <v>218</v>
      </c>
      <c r="EK134" s="22" t="s">
        <v>218</v>
      </c>
      <c r="EL134" s="22" t="s">
        <v>218</v>
      </c>
      <c r="EM134" s="22" t="s">
        <v>218</v>
      </c>
      <c r="EN134" s="22" t="s">
        <v>218</v>
      </c>
      <c r="EO134" s="22" t="s">
        <v>218</v>
      </c>
      <c r="EP134" s="22" t="s">
        <v>218</v>
      </c>
      <c r="EQ134" s="22" t="s">
        <v>218</v>
      </c>
      <c r="ER134" s="22" t="s">
        <v>218</v>
      </c>
      <c r="ES134" s="22" t="s">
        <v>218</v>
      </c>
      <c r="ET134" s="22" t="s">
        <v>218</v>
      </c>
      <c r="EU134" s="22" t="s">
        <v>218</v>
      </c>
      <c r="EV134" s="22" t="s">
        <v>218</v>
      </c>
      <c r="EW134" s="22" t="s">
        <v>218</v>
      </c>
      <c r="EX134" s="22" t="s">
        <v>218</v>
      </c>
      <c r="EY134" s="22" t="s">
        <v>218</v>
      </c>
      <c r="EZ134" s="22" t="s">
        <v>218</v>
      </c>
      <c r="FA134" s="22" t="s">
        <v>218</v>
      </c>
      <c r="FB134" s="22" t="s">
        <v>218</v>
      </c>
      <c r="FC134" s="22" t="s">
        <v>218</v>
      </c>
      <c r="FD134" s="22" t="s">
        <v>218</v>
      </c>
      <c r="FE134" s="22" t="s">
        <v>218</v>
      </c>
      <c r="FF134" s="22" t="s">
        <v>218</v>
      </c>
      <c r="FG134" s="22" t="s">
        <v>218</v>
      </c>
      <c r="FH134" s="22" t="s">
        <v>218</v>
      </c>
      <c r="FI134" s="22" t="s">
        <v>218</v>
      </c>
      <c r="FJ134" s="22" t="s">
        <v>218</v>
      </c>
      <c r="FK134" s="22" t="s">
        <v>218</v>
      </c>
      <c r="FL134" s="22" t="s">
        <v>218</v>
      </c>
      <c r="FM134" s="22" t="s">
        <v>218</v>
      </c>
      <c r="FN134" s="22" t="s">
        <v>218</v>
      </c>
      <c r="FO134" s="22" t="s">
        <v>218</v>
      </c>
      <c r="FP134" s="22" t="s">
        <v>218</v>
      </c>
      <c r="FQ134" s="22" t="s">
        <v>218</v>
      </c>
      <c r="FR134" s="22" t="s">
        <v>218</v>
      </c>
      <c r="FS134" s="22" t="s">
        <v>218</v>
      </c>
      <c r="FT134" s="22" t="s">
        <v>218</v>
      </c>
      <c r="FU134" s="22" t="s">
        <v>218</v>
      </c>
      <c r="FV134" s="22" t="s">
        <v>218</v>
      </c>
      <c r="FW134" s="22" t="s">
        <v>218</v>
      </c>
      <c r="FX134" s="22" t="s">
        <v>218</v>
      </c>
      <c r="FY134" s="22" t="s">
        <v>218</v>
      </c>
      <c r="FZ134" s="22" t="s">
        <v>218</v>
      </c>
      <c r="GA134" s="22" t="s">
        <v>218</v>
      </c>
      <c r="GB134" s="22" t="s">
        <v>218</v>
      </c>
      <c r="GC134" s="22" t="s">
        <v>218</v>
      </c>
      <c r="GD134" s="22" t="s">
        <v>218</v>
      </c>
      <c r="GE134" s="22" t="s">
        <v>218</v>
      </c>
      <c r="GF134" s="22" t="s">
        <v>218</v>
      </c>
      <c r="GG134" s="22" t="s">
        <v>218</v>
      </c>
      <c r="GH134" s="22" t="s">
        <v>218</v>
      </c>
      <c r="GI134" s="22" t="s">
        <v>218</v>
      </c>
      <c r="GJ134" s="22" t="s">
        <v>218</v>
      </c>
      <c r="GK134" s="22" t="s">
        <v>218</v>
      </c>
      <c r="GL134" s="22" t="s">
        <v>218</v>
      </c>
      <c r="GM134" s="22" t="s">
        <v>218</v>
      </c>
      <c r="GN134" s="22" t="s">
        <v>218</v>
      </c>
      <c r="GO134" s="22" t="s">
        <v>218</v>
      </c>
      <c r="GP134" s="22" t="s">
        <v>218</v>
      </c>
      <c r="GQ134" s="22" t="s">
        <v>218</v>
      </c>
      <c r="GR134" s="22" t="s">
        <v>218</v>
      </c>
      <c r="GS134" s="22" t="s">
        <v>218</v>
      </c>
      <c r="GT134" s="22" t="s">
        <v>218</v>
      </c>
      <c r="GU134" s="22" t="s">
        <v>218</v>
      </c>
      <c r="GV134" s="22" t="s">
        <v>218</v>
      </c>
      <c r="GW134" s="22" t="s">
        <v>218</v>
      </c>
      <c r="GX134" s="22" t="s">
        <v>218</v>
      </c>
      <c r="GY134" s="22" t="s">
        <v>218</v>
      </c>
      <c r="GZ134" s="22" t="s">
        <v>218</v>
      </c>
      <c r="HA134" s="22" t="s">
        <v>218</v>
      </c>
      <c r="HB134" s="22" t="s">
        <v>218</v>
      </c>
      <c r="HC134" s="22" t="s">
        <v>218</v>
      </c>
      <c r="HD134" s="22" t="s">
        <v>218</v>
      </c>
      <c r="HE134" s="22" t="s">
        <v>218</v>
      </c>
      <c r="HF134" s="22" t="s">
        <v>218</v>
      </c>
      <c r="HG134" s="22" t="s">
        <v>218</v>
      </c>
      <c r="HH134" s="22" t="s">
        <v>218</v>
      </c>
      <c r="HI134" s="22" t="s">
        <v>218</v>
      </c>
      <c r="HJ134" s="22" t="s">
        <v>218</v>
      </c>
      <c r="HK134" s="22" t="s">
        <v>218</v>
      </c>
      <c r="HL134" s="22" t="s">
        <v>218</v>
      </c>
      <c r="HM134" s="860"/>
      <c r="HN134" s="860"/>
      <c r="HO134" s="860"/>
      <c r="HP134" s="860"/>
      <c r="HQ134" s="860"/>
      <c r="HR134" s="860"/>
      <c r="HS134" s="860"/>
      <c r="HT134" s="145"/>
      <c r="HU134" s="145" t="s">
        <v>1809</v>
      </c>
      <c r="HV134" s="22" t="s">
        <v>1926</v>
      </c>
      <c r="HW134" s="22">
        <v>0</v>
      </c>
      <c r="HX134" s="22">
        <v>0</v>
      </c>
      <c r="HY134" s="22">
        <v>0</v>
      </c>
      <c r="HZ134" s="19"/>
      <c r="IA134" s="19"/>
      <c r="IB134" s="621">
        <f>'background data'!$G$10</f>
        <v>0.47300000000000003</v>
      </c>
      <c r="IC134" s="621">
        <f>'background data'!$H$10</f>
        <v>0.13</v>
      </c>
      <c r="ID134" s="621">
        <f>'background data'!$J$10</f>
        <v>0.39100000000000001</v>
      </c>
      <c r="IE134" s="621">
        <f>'background data'!$L$10</f>
        <v>5.5E-2</v>
      </c>
      <c r="IF134" s="621">
        <f>'background data'!$M$10</f>
        <v>3.97</v>
      </c>
      <c r="IG134" s="621">
        <f>'background data'!$N$10</f>
        <v>4.5999999999999999E-3</v>
      </c>
      <c r="IH134" s="621">
        <f>'background data'!$O$10</f>
        <v>2.73</v>
      </c>
      <c r="II134" s="145"/>
      <c r="IJ134" s="145"/>
      <c r="IK134" s="145"/>
      <c r="IL134" s="145"/>
      <c r="IM134" s="145"/>
      <c r="IN134" s="145"/>
      <c r="IO134" s="145"/>
      <c r="IP134" s="145"/>
      <c r="IQ134" s="145"/>
      <c r="IR134" s="145"/>
      <c r="IS134" s="145"/>
      <c r="IT134" s="145"/>
      <c r="IU134" s="145"/>
      <c r="IV134" s="145"/>
      <c r="IW134" s="145"/>
      <c r="IX134" s="145"/>
      <c r="IY134" s="145"/>
      <c r="IZ134" s="145"/>
      <c r="JA134" s="145"/>
      <c r="JB134" s="145"/>
      <c r="JC134" s="145"/>
      <c r="JD134" s="145"/>
      <c r="JE134" s="145"/>
      <c r="JF134" s="145"/>
      <c r="JG134" s="145"/>
      <c r="JH134" s="145"/>
      <c r="JI134" s="145"/>
      <c r="JJ134" s="145"/>
      <c r="JK134" s="145"/>
      <c r="JL134" s="145"/>
      <c r="JM134" s="145"/>
      <c r="JN134" s="145"/>
      <c r="JO134" s="145"/>
      <c r="JP134" s="145"/>
      <c r="JQ134" s="145"/>
      <c r="JR134" s="145"/>
      <c r="JS134" s="145"/>
      <c r="JT134" s="145"/>
      <c r="JU134" s="145"/>
      <c r="JV134" s="145"/>
      <c r="JW134" s="145"/>
      <c r="JX134" s="145"/>
      <c r="JY134" s="145"/>
      <c r="JZ134" s="145"/>
      <c r="KA134" s="145"/>
      <c r="KB134" s="145"/>
      <c r="KC134" s="145"/>
      <c r="KD134" s="145"/>
      <c r="KE134" s="145"/>
      <c r="KF134" s="145"/>
      <c r="KG134" s="145"/>
      <c r="KH134" s="145"/>
      <c r="KI134" s="145"/>
      <c r="KJ134" s="145"/>
      <c r="KK134" s="145"/>
      <c r="KL134" s="145"/>
      <c r="KM134" s="145"/>
      <c r="KN134" s="145"/>
      <c r="KO134" s="145"/>
      <c r="KP134" s="145"/>
      <c r="KQ134" s="145"/>
      <c r="KR134" s="145"/>
      <c r="KS134" s="145"/>
      <c r="KT134" s="145"/>
      <c r="KU134" s="145"/>
      <c r="KV134" s="145"/>
      <c r="KW134" s="145"/>
      <c r="KX134" s="145"/>
      <c r="KY134" s="145"/>
      <c r="KZ134" s="145"/>
      <c r="LA134" s="145"/>
      <c r="LB134" s="145"/>
      <c r="LC134" s="145"/>
      <c r="LD134" s="145"/>
      <c r="LE134" s="145"/>
      <c r="LF134" s="145"/>
      <c r="LG134" s="145"/>
      <c r="LH134" s="145"/>
      <c r="LI134" s="145"/>
      <c r="LJ134" s="145"/>
      <c r="LK134" s="145"/>
      <c r="LL134" s="145"/>
      <c r="LM134" s="145"/>
      <c r="LN134" s="145"/>
      <c r="LO134" s="145"/>
      <c r="LP134" s="145"/>
      <c r="LQ134" s="145"/>
      <c r="LR134" s="145"/>
      <c r="LS134" s="145"/>
      <c r="LT134" s="145"/>
      <c r="LU134" s="145"/>
      <c r="LV134" s="145"/>
      <c r="LW134" s="145"/>
      <c r="LX134" s="145"/>
      <c r="LY134" s="145"/>
      <c r="LZ134" s="145"/>
      <c r="MA134" s="145"/>
      <c r="MB134" s="145"/>
      <c r="MC134" s="145"/>
      <c r="MD134" s="145"/>
      <c r="ME134" s="145"/>
      <c r="MF134" s="145"/>
      <c r="MG134" s="145"/>
      <c r="MH134" s="145"/>
      <c r="MI134" s="145"/>
      <c r="MJ134" s="145"/>
      <c r="MK134" s="145"/>
      <c r="ML134" s="145"/>
      <c r="MM134" s="145"/>
      <c r="MN134" s="145"/>
      <c r="MO134" s="145"/>
      <c r="MP134" s="145"/>
      <c r="MQ134" s="145"/>
      <c r="MR134" s="145"/>
      <c r="MS134" s="145"/>
      <c r="MT134" s="145"/>
      <c r="MU134" s="145"/>
      <c r="MV134" s="145"/>
      <c r="MW134" s="145"/>
      <c r="MX134" s="145"/>
      <c r="MY134" s="145"/>
      <c r="MZ134" s="145"/>
      <c r="NA134" s="145"/>
      <c r="NB134" s="145"/>
      <c r="NC134" s="145"/>
      <c r="ND134" s="145"/>
      <c r="NE134" s="145"/>
      <c r="NF134" s="145"/>
      <c r="NG134" s="145"/>
      <c r="NH134" s="145"/>
      <c r="NI134" s="145"/>
      <c r="NJ134" s="145"/>
      <c r="NK134" s="145"/>
      <c r="NL134" s="145"/>
      <c r="NM134" s="145"/>
      <c r="NN134" s="145"/>
      <c r="NO134" s="145"/>
      <c r="NP134" s="145"/>
      <c r="NQ134" s="145"/>
      <c r="NR134" s="145"/>
      <c r="NS134" s="145"/>
    </row>
    <row r="135" spans="1:383" s="16" customFormat="1" ht="15" customHeight="1" x14ac:dyDescent="0.2">
      <c r="A135" s="15">
        <v>39102</v>
      </c>
      <c r="B135" s="25">
        <v>391</v>
      </c>
      <c r="C135" s="26">
        <v>2</v>
      </c>
      <c r="D135" s="20" t="s">
        <v>470</v>
      </c>
      <c r="E135" s="14">
        <v>41814</v>
      </c>
      <c r="F135" s="18">
        <v>0.82085686269629399</v>
      </c>
      <c r="G135" s="18">
        <v>0.83534318934878204</v>
      </c>
      <c r="H135" s="21">
        <v>76.265766723279</v>
      </c>
      <c r="I135" s="21">
        <v>73.657266811279797</v>
      </c>
      <c r="J135" s="21">
        <v>96.111650485436897</v>
      </c>
      <c r="K135" s="18">
        <v>1</v>
      </c>
      <c r="L135" s="18">
        <v>92.2</v>
      </c>
      <c r="M135" s="18">
        <v>47.576999999999998</v>
      </c>
      <c r="N135" s="18">
        <v>2.4815999999999998</v>
      </c>
      <c r="O135" s="18">
        <v>10.674936848</v>
      </c>
      <c r="P135" s="18">
        <v>5.016</v>
      </c>
      <c r="Q135" s="19"/>
      <c r="R135" s="18">
        <v>93.074973201336803</v>
      </c>
      <c r="S135" s="18">
        <v>30</v>
      </c>
      <c r="T135" s="18">
        <v>27</v>
      </c>
      <c r="U135" s="18">
        <v>30</v>
      </c>
      <c r="V135" s="18">
        <v>32</v>
      </c>
      <c r="W135" s="18">
        <v>33</v>
      </c>
      <c r="X135" s="18"/>
      <c r="Y135" s="18">
        <v>0.65899783080260299</v>
      </c>
      <c r="Z135" s="18">
        <v>5.6694143167028299</v>
      </c>
      <c r="AA135" s="18">
        <v>6.5896919739696302E-2</v>
      </c>
      <c r="AB135" s="18">
        <v>0</v>
      </c>
      <c r="AC135" s="18">
        <v>6.5284164859002161</v>
      </c>
      <c r="AD135" s="18">
        <v>2.1761388286334058</v>
      </c>
      <c r="AE135" s="18">
        <v>0</v>
      </c>
      <c r="AF135" s="18">
        <v>76.737527114967449</v>
      </c>
      <c r="AG135" s="18">
        <v>8.5900216919739698</v>
      </c>
      <c r="AH135" s="18">
        <v>62.993492407809107</v>
      </c>
      <c r="AI135" s="18">
        <v>55.548806941431565</v>
      </c>
      <c r="AJ135" s="18">
        <v>0</v>
      </c>
      <c r="AK135" s="18">
        <v>2.8633405639913231E-2</v>
      </c>
      <c r="AL135" s="18"/>
      <c r="AM135" s="18">
        <v>67.775750047291794</v>
      </c>
      <c r="AN135" s="18">
        <v>0.316065325682578</v>
      </c>
      <c r="AO135" s="18">
        <v>0.39508165710322202</v>
      </c>
      <c r="AP135" s="18">
        <v>0.65188473422031601</v>
      </c>
      <c r="AQ135" s="18">
        <v>0.276557159972255</v>
      </c>
      <c r="AR135" s="18">
        <v>0.65188473422031601</v>
      </c>
      <c r="AS135" s="18">
        <v>1.22475313701999</v>
      </c>
      <c r="AT135" s="18">
        <v>0.51360615423418898</v>
      </c>
      <c r="AU135" s="18">
        <v>0.77040923135128303</v>
      </c>
      <c r="AV135" s="18">
        <v>0.55311431994451099</v>
      </c>
      <c r="AW135" s="18">
        <v>0.94819597704773695</v>
      </c>
      <c r="AX135" s="18"/>
      <c r="AY135" s="18">
        <v>1.0701213419578</v>
      </c>
      <c r="AZ135" s="18">
        <v>0.76753395451060902</v>
      </c>
      <c r="BA135" s="18">
        <v>0.72566846608275803</v>
      </c>
      <c r="BB135" s="18">
        <v>0.71869088467811604</v>
      </c>
      <c r="BC135" s="18">
        <v>0.72566846608275803</v>
      </c>
      <c r="BD135" s="18">
        <v>0.74660121029668303</v>
      </c>
      <c r="BE135" s="18">
        <v>0.75357879170132502</v>
      </c>
      <c r="BF135" s="18">
        <v>0.802421861533819</v>
      </c>
      <c r="BG135" s="18">
        <v>0.78846669872453501</v>
      </c>
      <c r="BH135" s="18">
        <v>0.79544428012917701</v>
      </c>
      <c r="BI135" s="18">
        <v>0.72566846608275803</v>
      </c>
      <c r="BJ135" s="19"/>
      <c r="BK135" s="18">
        <v>51.601952277657261</v>
      </c>
      <c r="BL135" s="18">
        <v>2.6915401301518433</v>
      </c>
      <c r="BM135" s="18">
        <v>11.578022611713665</v>
      </c>
      <c r="BN135" s="18">
        <v>5.4403470715835143</v>
      </c>
      <c r="BO135" s="18"/>
      <c r="BP135" s="18">
        <v>0</v>
      </c>
      <c r="BQ135" s="18">
        <v>0</v>
      </c>
      <c r="BR135" s="18">
        <v>0.89030028492005853</v>
      </c>
      <c r="BS135" s="18">
        <v>0.9060121359531258</v>
      </c>
      <c r="BT135" s="19"/>
      <c r="BU135" s="18">
        <v>884.21977388286325</v>
      </c>
      <c r="BV135" s="18">
        <v>145.72146790486443</v>
      </c>
      <c r="BW135" s="18">
        <v>32.949817176591537</v>
      </c>
      <c r="BX135" s="18" t="s">
        <v>217</v>
      </c>
      <c r="BY135" s="18" t="s">
        <v>217</v>
      </c>
      <c r="BZ135" s="18">
        <v>16.607375271149674</v>
      </c>
      <c r="CA135" s="18">
        <v>240.52060737527114</v>
      </c>
      <c r="CB135" s="19"/>
      <c r="CC135" s="19">
        <v>0.60759600000000002</v>
      </c>
      <c r="CD135" s="19">
        <v>5.2272000000000096</v>
      </c>
      <c r="CE135" s="19">
        <v>6.0756959999999992E-2</v>
      </c>
      <c r="CF135" s="19">
        <v>0</v>
      </c>
      <c r="CG135" s="19">
        <v>6.0191999999999997</v>
      </c>
      <c r="CH135" s="19">
        <v>2.0064000000000002</v>
      </c>
      <c r="CI135" s="19">
        <v>0</v>
      </c>
      <c r="CJ135" s="19"/>
      <c r="CK135" s="19">
        <v>70.751999999999995</v>
      </c>
      <c r="CL135" s="19">
        <v>7.9200000000000008</v>
      </c>
      <c r="CM135" s="19">
        <v>58.08</v>
      </c>
      <c r="CN135" s="19">
        <v>51.215999999999902</v>
      </c>
      <c r="CO135" s="19">
        <v>0</v>
      </c>
      <c r="CP135" s="19">
        <v>2.64E-2</v>
      </c>
      <c r="CQ135" s="19">
        <v>442.82279999999997</v>
      </c>
      <c r="CR135" s="19">
        <v>539.46408944605298</v>
      </c>
      <c r="CS135" s="19">
        <v>391.26400691228577</v>
      </c>
      <c r="CT135" s="19">
        <v>1.3086906241745795</v>
      </c>
      <c r="CU135" s="19">
        <v>1.546634374024503</v>
      </c>
      <c r="CV135" s="19">
        <v>2.8553249981990825</v>
      </c>
      <c r="CW135" s="19">
        <v>2.5274087679371564</v>
      </c>
      <c r="CX135" s="19">
        <v>1.0826440618171509</v>
      </c>
      <c r="CY135" s="19">
        <v>2.6255605647502502</v>
      </c>
      <c r="CZ135" s="19">
        <v>4.9789729656096506</v>
      </c>
      <c r="DA135" s="19">
        <v>2.2232869126602228</v>
      </c>
      <c r="DB135" s="19">
        <v>3.2769315799644159</v>
      </c>
      <c r="DC135" s="19">
        <v>2.3734889047529872</v>
      </c>
      <c r="DD135" s="19">
        <v>5.6504204847174035</v>
      </c>
      <c r="DE135" s="19">
        <v>3.711922497658819</v>
      </c>
      <c r="DF135" s="23">
        <v>0</v>
      </c>
      <c r="DG135" s="23">
        <v>0</v>
      </c>
      <c r="DH135" s="23">
        <v>0</v>
      </c>
      <c r="DI135" s="19">
        <v>0</v>
      </c>
      <c r="DJ135" s="19">
        <v>0</v>
      </c>
      <c r="DK135" s="19">
        <v>0</v>
      </c>
      <c r="DL135" s="19">
        <v>0</v>
      </c>
      <c r="DM135" s="19">
        <v>0</v>
      </c>
      <c r="DN135" s="19">
        <v>0</v>
      </c>
      <c r="DO135" s="19">
        <v>0</v>
      </c>
      <c r="DP135" s="19">
        <v>0</v>
      </c>
      <c r="DQ135" s="19">
        <v>0</v>
      </c>
      <c r="DR135" s="19">
        <v>0</v>
      </c>
      <c r="DS135" s="19">
        <v>0</v>
      </c>
      <c r="DT135" s="19">
        <v>0</v>
      </c>
      <c r="DU135" s="19">
        <v>0</v>
      </c>
      <c r="DV135" s="19">
        <v>0</v>
      </c>
      <c r="DW135" s="17" t="s">
        <v>218</v>
      </c>
      <c r="DX135" s="22" t="s">
        <v>218</v>
      </c>
      <c r="DY135" s="22" t="s">
        <v>218</v>
      </c>
      <c r="DZ135" s="22" t="s">
        <v>218</v>
      </c>
      <c r="EA135" s="22" t="s">
        <v>218</v>
      </c>
      <c r="EB135" s="22" t="s">
        <v>218</v>
      </c>
      <c r="EC135" s="22" t="s">
        <v>218</v>
      </c>
      <c r="ED135" s="22" t="s">
        <v>218</v>
      </c>
      <c r="EE135" s="22" t="s">
        <v>218</v>
      </c>
      <c r="EF135" s="22" t="s">
        <v>218</v>
      </c>
      <c r="EG135" s="22" t="s">
        <v>218</v>
      </c>
      <c r="EH135" s="22" t="s">
        <v>218</v>
      </c>
      <c r="EI135" s="22" t="s">
        <v>218</v>
      </c>
      <c r="EJ135" s="22" t="s">
        <v>218</v>
      </c>
      <c r="EK135" s="22" t="s">
        <v>218</v>
      </c>
      <c r="EL135" s="22" t="s">
        <v>218</v>
      </c>
      <c r="EM135" s="22" t="s">
        <v>218</v>
      </c>
      <c r="EN135" s="22" t="s">
        <v>218</v>
      </c>
      <c r="EO135" s="22" t="s">
        <v>218</v>
      </c>
      <c r="EP135" s="22" t="s">
        <v>218</v>
      </c>
      <c r="EQ135" s="22" t="s">
        <v>218</v>
      </c>
      <c r="ER135" s="22" t="s">
        <v>218</v>
      </c>
      <c r="ES135" s="22" t="s">
        <v>218</v>
      </c>
      <c r="ET135" s="22" t="s">
        <v>218</v>
      </c>
      <c r="EU135" s="22" t="s">
        <v>218</v>
      </c>
      <c r="EV135" s="22" t="s">
        <v>218</v>
      </c>
      <c r="EW135" s="22" t="s">
        <v>218</v>
      </c>
      <c r="EX135" s="22" t="s">
        <v>218</v>
      </c>
      <c r="EY135" s="22" t="s">
        <v>218</v>
      </c>
      <c r="EZ135" s="22" t="s">
        <v>218</v>
      </c>
      <c r="FA135" s="22" t="s">
        <v>218</v>
      </c>
      <c r="FB135" s="22" t="s">
        <v>218</v>
      </c>
      <c r="FC135" s="22" t="s">
        <v>218</v>
      </c>
      <c r="FD135" s="22" t="s">
        <v>218</v>
      </c>
      <c r="FE135" s="22" t="s">
        <v>218</v>
      </c>
      <c r="FF135" s="22" t="s">
        <v>218</v>
      </c>
      <c r="FG135" s="22" t="s">
        <v>218</v>
      </c>
      <c r="FH135" s="22" t="s">
        <v>218</v>
      </c>
      <c r="FI135" s="22" t="s">
        <v>218</v>
      </c>
      <c r="FJ135" s="22" t="s">
        <v>218</v>
      </c>
      <c r="FK135" s="22" t="s">
        <v>218</v>
      </c>
      <c r="FL135" s="22" t="s">
        <v>218</v>
      </c>
      <c r="FM135" s="22" t="s">
        <v>218</v>
      </c>
      <c r="FN135" s="22" t="s">
        <v>218</v>
      </c>
      <c r="FO135" s="22" t="s">
        <v>218</v>
      </c>
      <c r="FP135" s="22" t="s">
        <v>218</v>
      </c>
      <c r="FQ135" s="22" t="s">
        <v>218</v>
      </c>
      <c r="FR135" s="22" t="s">
        <v>218</v>
      </c>
      <c r="FS135" s="22" t="s">
        <v>218</v>
      </c>
      <c r="FT135" s="22" t="s">
        <v>218</v>
      </c>
      <c r="FU135" s="22" t="s">
        <v>218</v>
      </c>
      <c r="FV135" s="22" t="s">
        <v>218</v>
      </c>
      <c r="FW135" s="22" t="s">
        <v>218</v>
      </c>
      <c r="FX135" s="22" t="s">
        <v>218</v>
      </c>
      <c r="FY135" s="22" t="s">
        <v>218</v>
      </c>
      <c r="FZ135" s="22" t="s">
        <v>218</v>
      </c>
      <c r="GA135" s="22" t="s">
        <v>218</v>
      </c>
      <c r="GB135" s="22" t="s">
        <v>218</v>
      </c>
      <c r="GC135" s="22" t="s">
        <v>218</v>
      </c>
      <c r="GD135" s="22" t="s">
        <v>218</v>
      </c>
      <c r="GE135" s="22" t="s">
        <v>218</v>
      </c>
      <c r="GF135" s="22" t="s">
        <v>218</v>
      </c>
      <c r="GG135" s="22" t="s">
        <v>218</v>
      </c>
      <c r="GH135" s="22" t="s">
        <v>218</v>
      </c>
      <c r="GI135" s="22" t="s">
        <v>218</v>
      </c>
      <c r="GJ135" s="22" t="s">
        <v>218</v>
      </c>
      <c r="GK135" s="22" t="s">
        <v>218</v>
      </c>
      <c r="GL135" s="22" t="s">
        <v>218</v>
      </c>
      <c r="GM135" s="22" t="s">
        <v>218</v>
      </c>
      <c r="GN135" s="22" t="s">
        <v>218</v>
      </c>
      <c r="GO135" s="22" t="s">
        <v>218</v>
      </c>
      <c r="GP135" s="22" t="s">
        <v>218</v>
      </c>
      <c r="GQ135" s="22" t="s">
        <v>218</v>
      </c>
      <c r="GR135" s="22" t="s">
        <v>218</v>
      </c>
      <c r="GS135" s="22" t="s">
        <v>218</v>
      </c>
      <c r="GT135" s="22" t="s">
        <v>218</v>
      </c>
      <c r="GU135" s="22" t="s">
        <v>218</v>
      </c>
      <c r="GV135" s="22" t="s">
        <v>218</v>
      </c>
      <c r="GW135" s="22" t="s">
        <v>218</v>
      </c>
      <c r="GX135" s="22" t="s">
        <v>218</v>
      </c>
      <c r="GY135" s="22" t="s">
        <v>218</v>
      </c>
      <c r="GZ135" s="22" t="s">
        <v>218</v>
      </c>
      <c r="HA135" s="22" t="s">
        <v>218</v>
      </c>
      <c r="HB135" s="22" t="s">
        <v>218</v>
      </c>
      <c r="HC135" s="22" t="s">
        <v>218</v>
      </c>
      <c r="HD135" s="22" t="s">
        <v>218</v>
      </c>
      <c r="HE135" s="22" t="s">
        <v>218</v>
      </c>
      <c r="HF135" s="22" t="s">
        <v>218</v>
      </c>
      <c r="HG135" s="22" t="s">
        <v>218</v>
      </c>
      <c r="HH135" s="22" t="s">
        <v>218</v>
      </c>
      <c r="HI135" s="22" t="s">
        <v>218</v>
      </c>
      <c r="HJ135" s="22" t="s">
        <v>218</v>
      </c>
      <c r="HK135" s="22" t="s">
        <v>218</v>
      </c>
      <c r="HL135" s="22" t="s">
        <v>218</v>
      </c>
      <c r="HM135" s="860"/>
      <c r="HN135" s="860"/>
      <c r="HO135" s="860"/>
      <c r="HP135" s="860"/>
      <c r="HQ135" s="860"/>
      <c r="HR135" s="860"/>
      <c r="HS135" s="860"/>
      <c r="HT135" s="145"/>
      <c r="HU135" s="145" t="s">
        <v>1809</v>
      </c>
      <c r="HV135" s="22" t="s">
        <v>1926</v>
      </c>
      <c r="HW135" s="22">
        <v>0</v>
      </c>
      <c r="HX135" s="22">
        <v>0</v>
      </c>
      <c r="HY135" s="22">
        <v>0</v>
      </c>
      <c r="HZ135" s="19"/>
      <c r="IA135" s="19"/>
      <c r="IB135" s="621">
        <f>'background data'!$G$10</f>
        <v>0.47300000000000003</v>
      </c>
      <c r="IC135" s="621">
        <f>'background data'!$H$10</f>
        <v>0.13</v>
      </c>
      <c r="ID135" s="621">
        <f>'background data'!$J$10</f>
        <v>0.39100000000000001</v>
      </c>
      <c r="IE135" s="621">
        <f>'background data'!$L$10</f>
        <v>5.5E-2</v>
      </c>
      <c r="IF135" s="621">
        <f>'background data'!$M$10</f>
        <v>3.97</v>
      </c>
      <c r="IG135" s="621">
        <f>'background data'!$N$10</f>
        <v>4.5999999999999999E-3</v>
      </c>
      <c r="IH135" s="621">
        <f>'background data'!$O$10</f>
        <v>2.73</v>
      </c>
      <c r="II135" s="145"/>
      <c r="IJ135" s="145"/>
      <c r="IK135" s="145"/>
      <c r="IL135" s="145"/>
      <c r="IM135" s="145"/>
      <c r="IN135" s="145"/>
      <c r="IO135" s="145"/>
      <c r="IP135" s="145"/>
      <c r="IQ135" s="145"/>
      <c r="IR135" s="145"/>
      <c r="IS135" s="145"/>
      <c r="IT135" s="145"/>
      <c r="IU135" s="145"/>
      <c r="IV135" s="145"/>
      <c r="IW135" s="145"/>
      <c r="IX135" s="145"/>
      <c r="IY135" s="145"/>
      <c r="IZ135" s="145"/>
      <c r="JA135" s="145"/>
      <c r="JB135" s="145"/>
      <c r="JC135" s="145"/>
      <c r="JD135" s="145"/>
      <c r="JE135" s="145"/>
      <c r="JF135" s="145"/>
      <c r="JG135" s="145"/>
      <c r="JH135" s="145"/>
      <c r="JI135" s="145"/>
      <c r="JJ135" s="145"/>
      <c r="JK135" s="145"/>
      <c r="JL135" s="145"/>
      <c r="JM135" s="145"/>
      <c r="JN135" s="145"/>
      <c r="JO135" s="145"/>
      <c r="JP135" s="145"/>
      <c r="JQ135" s="145"/>
      <c r="JR135" s="145"/>
      <c r="JS135" s="145"/>
      <c r="JT135" s="145"/>
      <c r="JU135" s="145"/>
      <c r="JV135" s="145"/>
      <c r="JW135" s="145"/>
      <c r="JX135" s="145"/>
      <c r="JY135" s="145"/>
      <c r="JZ135" s="145"/>
      <c r="KA135" s="145"/>
      <c r="KB135" s="145"/>
      <c r="KC135" s="145"/>
      <c r="KD135" s="145"/>
      <c r="KE135" s="145"/>
      <c r="KF135" s="145"/>
      <c r="KG135" s="145"/>
      <c r="KH135" s="145"/>
      <c r="KI135" s="145"/>
      <c r="KJ135" s="145"/>
      <c r="KK135" s="145"/>
      <c r="KL135" s="145"/>
      <c r="KM135" s="145"/>
      <c r="KN135" s="145"/>
      <c r="KO135" s="145"/>
      <c r="KP135" s="145"/>
      <c r="KQ135" s="145"/>
      <c r="KR135" s="145"/>
      <c r="KS135" s="145"/>
      <c r="KT135" s="145"/>
      <c r="KU135" s="145"/>
      <c r="KV135" s="145"/>
      <c r="KW135" s="145"/>
      <c r="KX135" s="145"/>
      <c r="KY135" s="145"/>
      <c r="KZ135" s="145"/>
      <c r="LA135" s="145"/>
      <c r="LB135" s="145"/>
      <c r="LC135" s="145"/>
      <c r="LD135" s="145"/>
      <c r="LE135" s="145"/>
      <c r="LF135" s="145"/>
      <c r="LG135" s="145"/>
      <c r="LH135" s="145"/>
      <c r="LI135" s="145"/>
      <c r="LJ135" s="145"/>
      <c r="LK135" s="145"/>
      <c r="LL135" s="145"/>
      <c r="LM135" s="145"/>
      <c r="LN135" s="145"/>
      <c r="LO135" s="145"/>
      <c r="LP135" s="145"/>
      <c r="LQ135" s="145"/>
      <c r="LR135" s="145"/>
      <c r="LS135" s="145"/>
      <c r="LT135" s="145"/>
      <c r="LU135" s="145"/>
      <c r="LV135" s="145"/>
      <c r="LW135" s="145"/>
      <c r="LX135" s="145"/>
      <c r="LY135" s="145"/>
      <c r="LZ135" s="145"/>
      <c r="MA135" s="145"/>
      <c r="MB135" s="145"/>
      <c r="MC135" s="145"/>
      <c r="MD135" s="145"/>
      <c r="ME135" s="145"/>
      <c r="MF135" s="145"/>
      <c r="MG135" s="145"/>
      <c r="MH135" s="145"/>
      <c r="MI135" s="145"/>
      <c r="MJ135" s="145"/>
      <c r="MK135" s="145"/>
      <c r="ML135" s="145"/>
      <c r="MM135" s="145"/>
      <c r="MN135" s="145"/>
      <c r="MO135" s="145"/>
      <c r="MP135" s="145"/>
      <c r="MQ135" s="145"/>
      <c r="MR135" s="145"/>
      <c r="MS135" s="145"/>
      <c r="MT135" s="145"/>
      <c r="MU135" s="145"/>
      <c r="MV135" s="145"/>
      <c r="MW135" s="145"/>
      <c r="MX135" s="145"/>
      <c r="MY135" s="145"/>
      <c r="MZ135" s="145"/>
      <c r="NA135" s="145"/>
      <c r="NB135" s="145"/>
      <c r="NC135" s="145"/>
      <c r="ND135" s="145"/>
      <c r="NE135" s="145"/>
      <c r="NF135" s="145"/>
      <c r="NG135" s="145"/>
      <c r="NH135" s="145"/>
      <c r="NI135" s="145"/>
      <c r="NJ135" s="145"/>
      <c r="NK135" s="145"/>
      <c r="NL135" s="145"/>
      <c r="NM135" s="145"/>
      <c r="NN135" s="145"/>
      <c r="NO135" s="145"/>
      <c r="NP135" s="145"/>
      <c r="NQ135" s="145"/>
      <c r="NR135" s="145"/>
      <c r="NS135" s="145"/>
    </row>
    <row r="136" spans="1:383" s="16" customFormat="1" ht="15" customHeight="1" x14ac:dyDescent="0.2">
      <c r="A136" s="15">
        <v>39103</v>
      </c>
      <c r="B136" s="25">
        <v>391</v>
      </c>
      <c r="C136" s="26">
        <v>3</v>
      </c>
      <c r="D136" s="20" t="s">
        <v>471</v>
      </c>
      <c r="E136" s="14">
        <v>40310</v>
      </c>
      <c r="F136" s="18">
        <v>0.25590624198253598</v>
      </c>
      <c r="G136" s="18">
        <v>0.26636611252071302</v>
      </c>
      <c r="H136" s="21">
        <v>100</v>
      </c>
      <c r="I136" s="21">
        <v>81.963562753036399</v>
      </c>
      <c r="J136" s="21">
        <v>100</v>
      </c>
      <c r="K136" s="18">
        <v>1</v>
      </c>
      <c r="L136" s="18">
        <v>98.8</v>
      </c>
      <c r="M136" s="18">
        <v>38.178600000000003</v>
      </c>
      <c r="N136" s="18">
        <v>0</v>
      </c>
      <c r="O136" s="18">
        <v>67.28</v>
      </c>
      <c r="P136" s="18">
        <v>0</v>
      </c>
      <c r="Q136" s="19"/>
      <c r="R136" s="18">
        <v>100</v>
      </c>
      <c r="S136" s="18">
        <v>0</v>
      </c>
      <c r="T136" s="18">
        <v>0</v>
      </c>
      <c r="U136" s="18">
        <v>0</v>
      </c>
      <c r="V136" s="18">
        <v>0</v>
      </c>
      <c r="W136" s="18">
        <v>0</v>
      </c>
      <c r="X136" s="18"/>
      <c r="Y136" s="18">
        <v>230.76922846153948</v>
      </c>
      <c r="Z136" s="18">
        <v>0</v>
      </c>
      <c r="AA136" s="18">
        <v>0</v>
      </c>
      <c r="AB136" s="18">
        <v>0</v>
      </c>
      <c r="AC136" s="18">
        <v>0</v>
      </c>
      <c r="AD136" s="18">
        <v>0</v>
      </c>
      <c r="AE136" s="18">
        <v>0</v>
      </c>
      <c r="AF136" s="18">
        <v>0</v>
      </c>
      <c r="AG136" s="18">
        <v>0</v>
      </c>
      <c r="AH136" s="18">
        <v>0</v>
      </c>
      <c r="AI136" s="18">
        <v>0</v>
      </c>
      <c r="AJ136" s="18">
        <v>0</v>
      </c>
      <c r="AK136" s="18">
        <v>0</v>
      </c>
      <c r="AL136" s="18"/>
      <c r="AM136" s="18">
        <v>83.500000000000099</v>
      </c>
      <c r="AN136" s="18">
        <v>0</v>
      </c>
      <c r="AO136" s="18">
        <v>0</v>
      </c>
      <c r="AP136" s="18">
        <v>0</v>
      </c>
      <c r="AQ136" s="18">
        <v>0</v>
      </c>
      <c r="AR136" s="18">
        <v>0</v>
      </c>
      <c r="AS136" s="18">
        <v>0</v>
      </c>
      <c r="AT136" s="18">
        <v>0</v>
      </c>
      <c r="AU136" s="18">
        <v>0</v>
      </c>
      <c r="AV136" s="18">
        <v>0</v>
      </c>
      <c r="AW136" s="18">
        <v>0</v>
      </c>
      <c r="AX136" s="18"/>
      <c r="AY136" s="18">
        <v>1</v>
      </c>
      <c r="AZ136" s="18">
        <v>0</v>
      </c>
      <c r="BA136" s="18">
        <v>0</v>
      </c>
      <c r="BB136" s="18">
        <v>0</v>
      </c>
      <c r="BC136" s="18">
        <v>0</v>
      </c>
      <c r="BD136" s="18">
        <v>0</v>
      </c>
      <c r="BE136" s="18">
        <v>0</v>
      </c>
      <c r="BF136" s="18">
        <v>0</v>
      </c>
      <c r="BG136" s="18">
        <v>0</v>
      </c>
      <c r="BH136" s="18">
        <v>0</v>
      </c>
      <c r="BI136" s="18">
        <v>0</v>
      </c>
      <c r="BJ136" s="19"/>
      <c r="BK136" s="18">
        <v>38.642307692307696</v>
      </c>
      <c r="BL136" s="18">
        <v>0</v>
      </c>
      <c r="BM136" s="18">
        <v>68.097165991902841</v>
      </c>
      <c r="BN136" s="18">
        <v>0</v>
      </c>
      <c r="BO136" s="18"/>
      <c r="BP136" s="18">
        <v>0</v>
      </c>
      <c r="BQ136" s="18">
        <v>0</v>
      </c>
      <c r="BR136" s="18">
        <v>0.25901441496208094</v>
      </c>
      <c r="BS136" s="18">
        <v>0.26960132846226015</v>
      </c>
      <c r="BT136" s="19"/>
      <c r="BU136" s="18">
        <v>319.02834008097165</v>
      </c>
      <c r="BV136" s="18">
        <v>-114.81858328864777</v>
      </c>
      <c r="BW136" s="18">
        <v>82.201923369620246</v>
      </c>
      <c r="BX136" s="18" t="s">
        <v>217</v>
      </c>
      <c r="BY136" s="18" t="s">
        <v>217</v>
      </c>
      <c r="BZ136" s="18" t="s">
        <v>217</v>
      </c>
      <c r="CA136" s="18" t="s">
        <v>217</v>
      </c>
      <c r="CB136" s="19"/>
      <c r="CC136" s="19">
        <v>227.99999772000101</v>
      </c>
      <c r="CD136" s="19">
        <v>0</v>
      </c>
      <c r="CE136" s="19">
        <v>0</v>
      </c>
      <c r="CF136" s="19">
        <v>0</v>
      </c>
      <c r="CG136" s="19">
        <v>0</v>
      </c>
      <c r="CH136" s="19">
        <v>0</v>
      </c>
      <c r="CI136" s="19">
        <v>0</v>
      </c>
      <c r="CJ136" s="19"/>
      <c r="CK136" s="19">
        <v>0</v>
      </c>
      <c r="CL136" s="19">
        <v>0</v>
      </c>
      <c r="CM136" s="19">
        <v>0</v>
      </c>
      <c r="CN136" s="19">
        <v>0</v>
      </c>
      <c r="CO136" s="19">
        <v>0</v>
      </c>
      <c r="CP136" s="19">
        <v>0</v>
      </c>
      <c r="CQ136" s="19">
        <v>381.786</v>
      </c>
      <c r="CR136" s="19">
        <v>1491.8979585736504</v>
      </c>
      <c r="CS136" s="19">
        <v>1245.734795408998</v>
      </c>
      <c r="CT136" s="19">
        <v>0</v>
      </c>
      <c r="CU136" s="19">
        <v>0</v>
      </c>
      <c r="CV136" s="19">
        <v>0</v>
      </c>
      <c r="CW136" s="19">
        <v>0</v>
      </c>
      <c r="CX136" s="19">
        <v>0</v>
      </c>
      <c r="CY136" s="19">
        <v>0</v>
      </c>
      <c r="CZ136" s="19">
        <v>0</v>
      </c>
      <c r="DA136" s="19">
        <v>0</v>
      </c>
      <c r="DB136" s="19">
        <v>0</v>
      </c>
      <c r="DC136" s="19">
        <v>0</v>
      </c>
      <c r="DD136" s="19">
        <v>0</v>
      </c>
      <c r="DE136" s="19">
        <v>0</v>
      </c>
      <c r="DF136" s="23">
        <v>0</v>
      </c>
      <c r="DG136" s="23">
        <v>0</v>
      </c>
      <c r="DH136" s="23">
        <v>0</v>
      </c>
      <c r="DI136" s="19">
        <v>0</v>
      </c>
      <c r="DJ136" s="19">
        <v>0</v>
      </c>
      <c r="DK136" s="19">
        <v>0</v>
      </c>
      <c r="DL136" s="19">
        <v>0</v>
      </c>
      <c r="DM136" s="19">
        <v>0</v>
      </c>
      <c r="DN136" s="19">
        <v>0</v>
      </c>
      <c r="DO136" s="19">
        <v>0</v>
      </c>
      <c r="DP136" s="19">
        <v>0</v>
      </c>
      <c r="DQ136" s="19">
        <v>0</v>
      </c>
      <c r="DR136" s="19">
        <v>0</v>
      </c>
      <c r="DS136" s="19">
        <v>0</v>
      </c>
      <c r="DT136" s="19">
        <v>0</v>
      </c>
      <c r="DU136" s="19">
        <v>0</v>
      </c>
      <c r="DV136" s="19">
        <v>0</v>
      </c>
      <c r="DW136" s="17" t="s">
        <v>218</v>
      </c>
      <c r="DX136" s="22" t="s">
        <v>218</v>
      </c>
      <c r="DY136" s="22" t="s">
        <v>218</v>
      </c>
      <c r="DZ136" s="22" t="s">
        <v>218</v>
      </c>
      <c r="EA136" s="22" t="s">
        <v>218</v>
      </c>
      <c r="EB136" s="22" t="s">
        <v>218</v>
      </c>
      <c r="EC136" s="22" t="s">
        <v>218</v>
      </c>
      <c r="ED136" s="22" t="s">
        <v>218</v>
      </c>
      <c r="EE136" s="22" t="s">
        <v>218</v>
      </c>
      <c r="EF136" s="22" t="s">
        <v>218</v>
      </c>
      <c r="EG136" s="22" t="s">
        <v>218</v>
      </c>
      <c r="EH136" s="22" t="s">
        <v>218</v>
      </c>
      <c r="EI136" s="22" t="s">
        <v>218</v>
      </c>
      <c r="EJ136" s="22" t="s">
        <v>218</v>
      </c>
      <c r="EK136" s="22" t="s">
        <v>218</v>
      </c>
      <c r="EL136" s="22" t="s">
        <v>218</v>
      </c>
      <c r="EM136" s="22" t="s">
        <v>218</v>
      </c>
      <c r="EN136" s="22" t="s">
        <v>218</v>
      </c>
      <c r="EO136" s="22" t="s">
        <v>218</v>
      </c>
      <c r="EP136" s="22" t="s">
        <v>218</v>
      </c>
      <c r="EQ136" s="22" t="s">
        <v>218</v>
      </c>
      <c r="ER136" s="22" t="s">
        <v>218</v>
      </c>
      <c r="ES136" s="22" t="s">
        <v>218</v>
      </c>
      <c r="ET136" s="22" t="s">
        <v>218</v>
      </c>
      <c r="EU136" s="22" t="s">
        <v>218</v>
      </c>
      <c r="EV136" s="22" t="s">
        <v>218</v>
      </c>
      <c r="EW136" s="22" t="s">
        <v>218</v>
      </c>
      <c r="EX136" s="22" t="s">
        <v>218</v>
      </c>
      <c r="EY136" s="22" t="s">
        <v>218</v>
      </c>
      <c r="EZ136" s="22" t="s">
        <v>218</v>
      </c>
      <c r="FA136" s="22" t="s">
        <v>218</v>
      </c>
      <c r="FB136" s="22" t="s">
        <v>218</v>
      </c>
      <c r="FC136" s="22" t="s">
        <v>218</v>
      </c>
      <c r="FD136" s="22" t="s">
        <v>218</v>
      </c>
      <c r="FE136" s="22" t="s">
        <v>218</v>
      </c>
      <c r="FF136" s="22" t="s">
        <v>218</v>
      </c>
      <c r="FG136" s="22" t="s">
        <v>218</v>
      </c>
      <c r="FH136" s="22" t="s">
        <v>218</v>
      </c>
      <c r="FI136" s="22" t="s">
        <v>218</v>
      </c>
      <c r="FJ136" s="22" t="s">
        <v>218</v>
      </c>
      <c r="FK136" s="22" t="s">
        <v>218</v>
      </c>
      <c r="FL136" s="22" t="s">
        <v>218</v>
      </c>
      <c r="FM136" s="22" t="s">
        <v>218</v>
      </c>
      <c r="FN136" s="22" t="s">
        <v>218</v>
      </c>
      <c r="FO136" s="22" t="s">
        <v>218</v>
      </c>
      <c r="FP136" s="22" t="s">
        <v>218</v>
      </c>
      <c r="FQ136" s="22" t="s">
        <v>218</v>
      </c>
      <c r="FR136" s="22" t="s">
        <v>218</v>
      </c>
      <c r="FS136" s="22" t="s">
        <v>218</v>
      </c>
      <c r="FT136" s="22" t="s">
        <v>218</v>
      </c>
      <c r="FU136" s="22" t="s">
        <v>218</v>
      </c>
      <c r="FV136" s="22" t="s">
        <v>218</v>
      </c>
      <c r="FW136" s="22" t="s">
        <v>218</v>
      </c>
      <c r="FX136" s="22" t="s">
        <v>218</v>
      </c>
      <c r="FY136" s="22" t="s">
        <v>218</v>
      </c>
      <c r="FZ136" s="22" t="s">
        <v>218</v>
      </c>
      <c r="GA136" s="22" t="s">
        <v>218</v>
      </c>
      <c r="GB136" s="22" t="s">
        <v>218</v>
      </c>
      <c r="GC136" s="22" t="s">
        <v>218</v>
      </c>
      <c r="GD136" s="22" t="s">
        <v>218</v>
      </c>
      <c r="GE136" s="22" t="s">
        <v>218</v>
      </c>
      <c r="GF136" s="22" t="s">
        <v>218</v>
      </c>
      <c r="GG136" s="22" t="s">
        <v>218</v>
      </c>
      <c r="GH136" s="22" t="s">
        <v>218</v>
      </c>
      <c r="GI136" s="22" t="s">
        <v>218</v>
      </c>
      <c r="GJ136" s="22" t="s">
        <v>218</v>
      </c>
      <c r="GK136" s="22" t="s">
        <v>218</v>
      </c>
      <c r="GL136" s="22" t="s">
        <v>218</v>
      </c>
      <c r="GM136" s="22" t="s">
        <v>218</v>
      </c>
      <c r="GN136" s="22" t="s">
        <v>218</v>
      </c>
      <c r="GO136" s="22" t="s">
        <v>218</v>
      </c>
      <c r="GP136" s="22" t="s">
        <v>218</v>
      </c>
      <c r="GQ136" s="22" t="s">
        <v>218</v>
      </c>
      <c r="GR136" s="22" t="s">
        <v>218</v>
      </c>
      <c r="GS136" s="22" t="s">
        <v>218</v>
      </c>
      <c r="GT136" s="22" t="s">
        <v>218</v>
      </c>
      <c r="GU136" s="22" t="s">
        <v>218</v>
      </c>
      <c r="GV136" s="22" t="s">
        <v>218</v>
      </c>
      <c r="GW136" s="22" t="s">
        <v>218</v>
      </c>
      <c r="GX136" s="22" t="s">
        <v>218</v>
      </c>
      <c r="GY136" s="22" t="s">
        <v>218</v>
      </c>
      <c r="GZ136" s="22" t="s">
        <v>218</v>
      </c>
      <c r="HA136" s="22" t="s">
        <v>218</v>
      </c>
      <c r="HB136" s="22" t="s">
        <v>218</v>
      </c>
      <c r="HC136" s="22" t="s">
        <v>218</v>
      </c>
      <c r="HD136" s="22" t="s">
        <v>218</v>
      </c>
      <c r="HE136" s="22" t="s">
        <v>218</v>
      </c>
      <c r="HF136" s="22" t="s">
        <v>218</v>
      </c>
      <c r="HG136" s="22" t="s">
        <v>218</v>
      </c>
      <c r="HH136" s="22" t="s">
        <v>218</v>
      </c>
      <c r="HI136" s="22" t="s">
        <v>218</v>
      </c>
      <c r="HJ136" s="22" t="s">
        <v>218</v>
      </c>
      <c r="HK136" s="22" t="s">
        <v>218</v>
      </c>
      <c r="HL136" s="22" t="s">
        <v>218</v>
      </c>
      <c r="HM136" s="860"/>
      <c r="HN136" s="860"/>
      <c r="HO136" s="860"/>
      <c r="HP136" s="860"/>
      <c r="HQ136" s="860"/>
      <c r="HR136" s="860"/>
      <c r="HS136" s="860"/>
      <c r="HT136" s="145"/>
      <c r="HU136" s="145" t="s">
        <v>1809</v>
      </c>
      <c r="HV136" s="22" t="s">
        <v>1926</v>
      </c>
      <c r="HW136" s="22">
        <v>0</v>
      </c>
      <c r="HX136" s="22">
        <v>0</v>
      </c>
      <c r="HY136" s="22">
        <v>0</v>
      </c>
      <c r="HZ136" s="19"/>
      <c r="IA136" s="19"/>
      <c r="IB136" s="621">
        <f>'background data'!$G$10</f>
        <v>0.47300000000000003</v>
      </c>
      <c r="IC136" s="621">
        <f>'background data'!$H$10</f>
        <v>0.13</v>
      </c>
      <c r="ID136" s="621">
        <f>'background data'!$J$10</f>
        <v>0.39100000000000001</v>
      </c>
      <c r="IE136" s="621">
        <f>'background data'!$L$10</f>
        <v>5.5E-2</v>
      </c>
      <c r="IF136" s="621">
        <f>'background data'!$M$10</f>
        <v>3.97</v>
      </c>
      <c r="IG136" s="621">
        <f>'background data'!$N$10</f>
        <v>4.5999999999999999E-3</v>
      </c>
      <c r="IH136" s="621">
        <f>'background data'!$O$10</f>
        <v>2.73</v>
      </c>
      <c r="II136" s="145"/>
      <c r="IJ136" s="145"/>
      <c r="IK136" s="145"/>
      <c r="IL136" s="145"/>
      <c r="IM136" s="145"/>
      <c r="IN136" s="145"/>
      <c r="IO136" s="145"/>
      <c r="IP136" s="145"/>
      <c r="IQ136" s="145"/>
      <c r="IR136" s="145"/>
      <c r="IS136" s="145"/>
      <c r="IT136" s="145"/>
      <c r="IU136" s="145"/>
      <c r="IV136" s="145"/>
      <c r="IW136" s="145"/>
      <c r="IX136" s="145"/>
      <c r="IY136" s="145"/>
      <c r="IZ136" s="145"/>
      <c r="JA136" s="145"/>
      <c r="JB136" s="145"/>
      <c r="JC136" s="145"/>
      <c r="JD136" s="145"/>
      <c r="JE136" s="145"/>
      <c r="JF136" s="145"/>
      <c r="JG136" s="145"/>
      <c r="JH136" s="145"/>
      <c r="JI136" s="145"/>
      <c r="JJ136" s="145"/>
      <c r="JK136" s="145"/>
      <c r="JL136" s="145"/>
      <c r="JM136" s="145"/>
      <c r="JN136" s="145"/>
      <c r="JO136" s="145"/>
      <c r="JP136" s="145"/>
      <c r="JQ136" s="145"/>
      <c r="JR136" s="145"/>
      <c r="JS136" s="145"/>
      <c r="JT136" s="145"/>
      <c r="JU136" s="145"/>
      <c r="JV136" s="145"/>
      <c r="JW136" s="145"/>
      <c r="JX136" s="145"/>
      <c r="JY136" s="145"/>
      <c r="JZ136" s="145"/>
      <c r="KA136" s="145"/>
      <c r="KB136" s="145"/>
      <c r="KC136" s="145"/>
      <c r="KD136" s="145"/>
      <c r="KE136" s="145"/>
      <c r="KF136" s="145"/>
      <c r="KG136" s="145"/>
      <c r="KH136" s="145"/>
      <c r="KI136" s="145"/>
      <c r="KJ136" s="145"/>
      <c r="KK136" s="145"/>
      <c r="KL136" s="145"/>
      <c r="KM136" s="145"/>
      <c r="KN136" s="145"/>
      <c r="KO136" s="145"/>
      <c r="KP136" s="145"/>
      <c r="KQ136" s="145"/>
      <c r="KR136" s="145"/>
      <c r="KS136" s="145"/>
      <c r="KT136" s="145"/>
      <c r="KU136" s="145"/>
      <c r="KV136" s="145"/>
      <c r="KW136" s="145"/>
      <c r="KX136" s="145"/>
      <c r="KY136" s="145"/>
      <c r="KZ136" s="145"/>
      <c r="LA136" s="145"/>
      <c r="LB136" s="145"/>
      <c r="LC136" s="145"/>
      <c r="LD136" s="145"/>
      <c r="LE136" s="145"/>
      <c r="LF136" s="145"/>
      <c r="LG136" s="145"/>
      <c r="LH136" s="145"/>
      <c r="LI136" s="145"/>
      <c r="LJ136" s="145"/>
      <c r="LK136" s="145"/>
      <c r="LL136" s="145"/>
      <c r="LM136" s="145"/>
      <c r="LN136" s="145"/>
      <c r="LO136" s="145"/>
      <c r="LP136" s="145"/>
      <c r="LQ136" s="145"/>
      <c r="LR136" s="145"/>
      <c r="LS136" s="145"/>
      <c r="LT136" s="145"/>
      <c r="LU136" s="145"/>
      <c r="LV136" s="145"/>
      <c r="LW136" s="145"/>
      <c r="LX136" s="145"/>
      <c r="LY136" s="145"/>
      <c r="LZ136" s="145"/>
      <c r="MA136" s="145"/>
      <c r="MB136" s="145"/>
      <c r="MC136" s="145"/>
      <c r="MD136" s="145"/>
      <c r="ME136" s="145"/>
      <c r="MF136" s="145"/>
      <c r="MG136" s="145"/>
      <c r="MH136" s="145"/>
      <c r="MI136" s="145"/>
      <c r="MJ136" s="145"/>
      <c r="MK136" s="145"/>
      <c r="ML136" s="145"/>
      <c r="MM136" s="145"/>
      <c r="MN136" s="145"/>
      <c r="MO136" s="145"/>
      <c r="MP136" s="145"/>
      <c r="MQ136" s="145"/>
      <c r="MR136" s="145"/>
      <c r="MS136" s="145"/>
      <c r="MT136" s="145"/>
      <c r="MU136" s="145"/>
      <c r="MV136" s="145"/>
      <c r="MW136" s="145"/>
      <c r="MX136" s="145"/>
      <c r="MY136" s="145"/>
      <c r="MZ136" s="145"/>
      <c r="NA136" s="145"/>
      <c r="NB136" s="145"/>
      <c r="NC136" s="145"/>
      <c r="ND136" s="145"/>
      <c r="NE136" s="145"/>
      <c r="NF136" s="145"/>
      <c r="NG136" s="145"/>
      <c r="NH136" s="145"/>
      <c r="NI136" s="145"/>
      <c r="NJ136" s="145"/>
      <c r="NK136" s="145"/>
      <c r="NL136" s="145"/>
      <c r="NM136" s="145"/>
      <c r="NN136" s="145"/>
      <c r="NO136" s="145"/>
      <c r="NP136" s="145"/>
      <c r="NQ136" s="145"/>
      <c r="NR136" s="145"/>
      <c r="NS136" s="145"/>
    </row>
    <row r="137" spans="1:383" s="16" customFormat="1" ht="15" customHeight="1" x14ac:dyDescent="0.2">
      <c r="A137" s="15">
        <v>99501</v>
      </c>
      <c r="B137" s="25">
        <v>995</v>
      </c>
      <c r="C137" s="26">
        <v>1</v>
      </c>
      <c r="D137" s="20" t="s">
        <v>472</v>
      </c>
      <c r="E137" s="14">
        <v>41506</v>
      </c>
      <c r="F137" s="18">
        <v>1.0174514905149099</v>
      </c>
      <c r="G137" s="18">
        <v>0.97516779220779204</v>
      </c>
      <c r="H137" s="21">
        <v>100</v>
      </c>
      <c r="I137" s="21">
        <v>100</v>
      </c>
      <c r="J137" s="21">
        <v>100</v>
      </c>
      <c r="K137" s="18">
        <v>1</v>
      </c>
      <c r="L137" s="18">
        <v>98.5</v>
      </c>
      <c r="M137" s="18">
        <v>94.399999999999906</v>
      </c>
      <c r="N137" s="18">
        <v>0</v>
      </c>
      <c r="O137" s="18">
        <v>19.7</v>
      </c>
      <c r="P137" s="18">
        <v>0</v>
      </c>
      <c r="Q137" s="19"/>
      <c r="R137" s="18">
        <v>75</v>
      </c>
      <c r="S137" s="18">
        <v>0</v>
      </c>
      <c r="T137" s="18">
        <v>0</v>
      </c>
      <c r="U137" s="18">
        <v>0</v>
      </c>
      <c r="V137" s="18">
        <v>0</v>
      </c>
      <c r="W137" s="18">
        <v>0</v>
      </c>
      <c r="X137" s="18"/>
      <c r="Y137" s="18">
        <v>0</v>
      </c>
      <c r="Z137" s="18">
        <v>0</v>
      </c>
      <c r="AA137" s="18">
        <v>0</v>
      </c>
      <c r="AB137" s="18">
        <v>192</v>
      </c>
      <c r="AC137" s="18">
        <v>0</v>
      </c>
      <c r="AD137" s="18">
        <v>0</v>
      </c>
      <c r="AE137" s="18">
        <v>0</v>
      </c>
      <c r="AF137" s="18">
        <v>0</v>
      </c>
      <c r="AG137" s="18">
        <v>0</v>
      </c>
      <c r="AH137" s="18">
        <v>0</v>
      </c>
      <c r="AI137" s="18">
        <v>0</v>
      </c>
      <c r="AJ137" s="18">
        <v>0</v>
      </c>
      <c r="AK137" s="18">
        <v>0</v>
      </c>
      <c r="AL137" s="18"/>
      <c r="AM137" s="18">
        <v>83.474576271186507</v>
      </c>
      <c r="AN137" s="18">
        <v>0</v>
      </c>
      <c r="AO137" s="18">
        <v>0</v>
      </c>
      <c r="AP137" s="18">
        <v>0</v>
      </c>
      <c r="AQ137" s="18">
        <v>0</v>
      </c>
      <c r="AR137" s="18">
        <v>0</v>
      </c>
      <c r="AS137" s="18">
        <v>0</v>
      </c>
      <c r="AT137" s="18">
        <v>0</v>
      </c>
      <c r="AU137" s="18">
        <v>0</v>
      </c>
      <c r="AV137" s="18">
        <v>0</v>
      </c>
      <c r="AW137" s="18">
        <v>0</v>
      </c>
      <c r="AX137" s="18"/>
      <c r="AY137" s="18">
        <v>1</v>
      </c>
      <c r="AZ137" s="18">
        <v>1</v>
      </c>
      <c r="BA137" s="18">
        <v>1</v>
      </c>
      <c r="BB137" s="18">
        <v>1</v>
      </c>
      <c r="BC137" s="18">
        <v>1</v>
      </c>
      <c r="BD137" s="18">
        <v>1</v>
      </c>
      <c r="BE137" s="18">
        <v>1</v>
      </c>
      <c r="BF137" s="18">
        <v>1</v>
      </c>
      <c r="BG137" s="18">
        <v>1</v>
      </c>
      <c r="BH137" s="18">
        <v>1</v>
      </c>
      <c r="BI137" s="18">
        <v>1</v>
      </c>
      <c r="BJ137" s="19"/>
      <c r="BK137" s="18">
        <v>95.83756345177656</v>
      </c>
      <c r="BL137" s="18">
        <v>0</v>
      </c>
      <c r="BM137" s="18">
        <v>20</v>
      </c>
      <c r="BN137" s="18">
        <v>0</v>
      </c>
      <c r="BO137" s="18"/>
      <c r="BP137" s="18">
        <v>0</v>
      </c>
      <c r="BQ137" s="18">
        <v>0</v>
      </c>
      <c r="BR137" s="18">
        <v>1.0329456756496547</v>
      </c>
      <c r="BS137" s="18">
        <v>0.99001806315511887</v>
      </c>
      <c r="BT137" s="19"/>
      <c r="BU137" s="18">
        <v>800</v>
      </c>
      <c r="BV137" s="18">
        <v>-72.121827411167516</v>
      </c>
      <c r="BW137" s="18">
        <v>0</v>
      </c>
      <c r="BX137" s="18" t="s">
        <v>217</v>
      </c>
      <c r="BY137" s="18" t="s">
        <v>217</v>
      </c>
      <c r="BZ137" s="18" t="s">
        <v>217</v>
      </c>
      <c r="CA137" s="18" t="s">
        <v>217</v>
      </c>
      <c r="CB137" s="19"/>
      <c r="CC137" s="19">
        <v>0</v>
      </c>
      <c r="CD137" s="19">
        <v>0</v>
      </c>
      <c r="CE137" s="19">
        <v>0</v>
      </c>
      <c r="CF137" s="19">
        <v>189.12</v>
      </c>
      <c r="CG137" s="19">
        <v>0</v>
      </c>
      <c r="CH137" s="19">
        <v>0</v>
      </c>
      <c r="CI137" s="19">
        <v>0</v>
      </c>
      <c r="CJ137" s="19"/>
      <c r="CK137" s="19">
        <v>0</v>
      </c>
      <c r="CL137" s="19">
        <v>0</v>
      </c>
      <c r="CM137" s="19">
        <v>0</v>
      </c>
      <c r="CN137" s="19">
        <v>0</v>
      </c>
      <c r="CO137" s="19">
        <v>0</v>
      </c>
      <c r="CP137" s="19">
        <v>0</v>
      </c>
      <c r="CQ137" s="19">
        <v>708</v>
      </c>
      <c r="CR137" s="19">
        <v>695.8562708888428</v>
      </c>
      <c r="CS137" s="19">
        <v>580.86307358094075</v>
      </c>
      <c r="CT137" s="19">
        <v>0</v>
      </c>
      <c r="CU137" s="19">
        <v>0</v>
      </c>
      <c r="CV137" s="19">
        <v>0</v>
      </c>
      <c r="CW137" s="19">
        <v>0</v>
      </c>
      <c r="CX137" s="19">
        <v>0</v>
      </c>
      <c r="CY137" s="19">
        <v>0</v>
      </c>
      <c r="CZ137" s="19">
        <v>0</v>
      </c>
      <c r="DA137" s="19">
        <v>0</v>
      </c>
      <c r="DB137" s="19">
        <v>0</v>
      </c>
      <c r="DC137" s="19">
        <v>0</v>
      </c>
      <c r="DD137" s="19">
        <v>0</v>
      </c>
      <c r="DE137" s="19">
        <v>0</v>
      </c>
      <c r="DF137" s="23">
        <v>0</v>
      </c>
      <c r="DG137" s="23">
        <v>0</v>
      </c>
      <c r="DH137" s="23">
        <v>0</v>
      </c>
      <c r="DI137" s="19">
        <v>0</v>
      </c>
      <c r="DJ137" s="19">
        <v>0</v>
      </c>
      <c r="DK137" s="19">
        <v>0</v>
      </c>
      <c r="DL137" s="19">
        <v>0</v>
      </c>
      <c r="DM137" s="19">
        <v>0</v>
      </c>
      <c r="DN137" s="19">
        <v>0</v>
      </c>
      <c r="DO137" s="19">
        <v>0</v>
      </c>
      <c r="DP137" s="19">
        <v>0</v>
      </c>
      <c r="DQ137" s="19">
        <v>0</v>
      </c>
      <c r="DR137" s="19">
        <v>0</v>
      </c>
      <c r="DS137" s="19">
        <v>0</v>
      </c>
      <c r="DT137" s="19">
        <v>0</v>
      </c>
      <c r="DU137" s="19">
        <v>0</v>
      </c>
      <c r="DV137" s="19">
        <v>0</v>
      </c>
      <c r="DW137" s="17" t="s">
        <v>218</v>
      </c>
      <c r="DX137" s="22" t="s">
        <v>218</v>
      </c>
      <c r="DY137" s="22" t="s">
        <v>218</v>
      </c>
      <c r="DZ137" s="22" t="s">
        <v>218</v>
      </c>
      <c r="EA137" s="22" t="s">
        <v>218</v>
      </c>
      <c r="EB137" s="22" t="s">
        <v>218</v>
      </c>
      <c r="EC137" s="22" t="s">
        <v>218</v>
      </c>
      <c r="ED137" s="22" t="s">
        <v>218</v>
      </c>
      <c r="EE137" s="22" t="s">
        <v>218</v>
      </c>
      <c r="EF137" s="22" t="s">
        <v>218</v>
      </c>
      <c r="EG137" s="22" t="s">
        <v>218</v>
      </c>
      <c r="EH137" s="22" t="s">
        <v>218</v>
      </c>
      <c r="EI137" s="22" t="s">
        <v>218</v>
      </c>
      <c r="EJ137" s="22" t="s">
        <v>218</v>
      </c>
      <c r="EK137" s="22" t="s">
        <v>218</v>
      </c>
      <c r="EL137" s="22" t="s">
        <v>218</v>
      </c>
      <c r="EM137" s="22" t="s">
        <v>218</v>
      </c>
      <c r="EN137" s="22" t="s">
        <v>218</v>
      </c>
      <c r="EO137" s="22" t="s">
        <v>218</v>
      </c>
      <c r="EP137" s="22" t="s">
        <v>218</v>
      </c>
      <c r="EQ137" s="22" t="s">
        <v>218</v>
      </c>
      <c r="ER137" s="22" t="s">
        <v>218</v>
      </c>
      <c r="ES137" s="22" t="s">
        <v>218</v>
      </c>
      <c r="ET137" s="22" t="s">
        <v>218</v>
      </c>
      <c r="EU137" s="22" t="s">
        <v>218</v>
      </c>
      <c r="EV137" s="22" t="s">
        <v>218</v>
      </c>
      <c r="EW137" s="22" t="s">
        <v>218</v>
      </c>
      <c r="EX137" s="22" t="s">
        <v>218</v>
      </c>
      <c r="EY137" s="22" t="s">
        <v>218</v>
      </c>
      <c r="EZ137" s="22" t="s">
        <v>218</v>
      </c>
      <c r="FA137" s="22" t="s">
        <v>218</v>
      </c>
      <c r="FB137" s="22" t="s">
        <v>218</v>
      </c>
      <c r="FC137" s="22" t="s">
        <v>218</v>
      </c>
      <c r="FD137" s="22" t="s">
        <v>218</v>
      </c>
      <c r="FE137" s="22" t="s">
        <v>218</v>
      </c>
      <c r="FF137" s="22" t="s">
        <v>218</v>
      </c>
      <c r="FG137" s="22" t="s">
        <v>218</v>
      </c>
      <c r="FH137" s="22" t="s">
        <v>218</v>
      </c>
      <c r="FI137" s="22" t="s">
        <v>218</v>
      </c>
      <c r="FJ137" s="22" t="s">
        <v>218</v>
      </c>
      <c r="FK137" s="22" t="s">
        <v>218</v>
      </c>
      <c r="FL137" s="22" t="s">
        <v>218</v>
      </c>
      <c r="FM137" s="22" t="s">
        <v>218</v>
      </c>
      <c r="FN137" s="22" t="s">
        <v>218</v>
      </c>
      <c r="FO137" s="22" t="s">
        <v>218</v>
      </c>
      <c r="FP137" s="22" t="s">
        <v>218</v>
      </c>
      <c r="FQ137" s="22" t="s">
        <v>218</v>
      </c>
      <c r="FR137" s="22" t="s">
        <v>218</v>
      </c>
      <c r="FS137" s="22" t="s">
        <v>218</v>
      </c>
      <c r="FT137" s="22" t="s">
        <v>218</v>
      </c>
      <c r="FU137" s="22" t="s">
        <v>218</v>
      </c>
      <c r="FV137" s="22" t="s">
        <v>218</v>
      </c>
      <c r="FW137" s="22" t="s">
        <v>218</v>
      </c>
      <c r="FX137" s="22" t="s">
        <v>218</v>
      </c>
      <c r="FY137" s="22" t="s">
        <v>218</v>
      </c>
      <c r="FZ137" s="22" t="s">
        <v>218</v>
      </c>
      <c r="GA137" s="22" t="s">
        <v>218</v>
      </c>
      <c r="GB137" s="22" t="s">
        <v>218</v>
      </c>
      <c r="GC137" s="22" t="s">
        <v>218</v>
      </c>
      <c r="GD137" s="22" t="s">
        <v>218</v>
      </c>
      <c r="GE137" s="22" t="s">
        <v>218</v>
      </c>
      <c r="GF137" s="22" t="s">
        <v>218</v>
      </c>
      <c r="GG137" s="22" t="s">
        <v>218</v>
      </c>
      <c r="GH137" s="22" t="s">
        <v>218</v>
      </c>
      <c r="GI137" s="22" t="s">
        <v>218</v>
      </c>
      <c r="GJ137" s="22" t="s">
        <v>218</v>
      </c>
      <c r="GK137" s="22" t="s">
        <v>218</v>
      </c>
      <c r="GL137" s="22" t="s">
        <v>218</v>
      </c>
      <c r="GM137" s="22" t="s">
        <v>218</v>
      </c>
      <c r="GN137" s="22" t="s">
        <v>218</v>
      </c>
      <c r="GO137" s="22" t="s">
        <v>218</v>
      </c>
      <c r="GP137" s="22" t="s">
        <v>218</v>
      </c>
      <c r="GQ137" s="22" t="s">
        <v>218</v>
      </c>
      <c r="GR137" s="22" t="s">
        <v>218</v>
      </c>
      <c r="GS137" s="22" t="s">
        <v>218</v>
      </c>
      <c r="GT137" s="22" t="s">
        <v>218</v>
      </c>
      <c r="GU137" s="22" t="s">
        <v>218</v>
      </c>
      <c r="GV137" s="22" t="s">
        <v>218</v>
      </c>
      <c r="GW137" s="22" t="s">
        <v>218</v>
      </c>
      <c r="GX137" s="22">
        <v>2013</v>
      </c>
      <c r="GY137" s="22" t="s">
        <v>218</v>
      </c>
      <c r="GZ137" s="22" t="s">
        <v>218</v>
      </c>
      <c r="HA137" s="22" t="s">
        <v>218</v>
      </c>
      <c r="HB137" s="22" t="s">
        <v>218</v>
      </c>
      <c r="HC137" s="22" t="s">
        <v>218</v>
      </c>
      <c r="HD137" s="22" t="s">
        <v>218</v>
      </c>
      <c r="HE137" s="22" t="s">
        <v>218</v>
      </c>
      <c r="HF137" s="22" t="s">
        <v>218</v>
      </c>
      <c r="HG137" s="22" t="s">
        <v>218</v>
      </c>
      <c r="HH137" s="22" t="s">
        <v>218</v>
      </c>
      <c r="HI137" s="22" t="s">
        <v>218</v>
      </c>
      <c r="HJ137" s="22" t="s">
        <v>218</v>
      </c>
      <c r="HK137" s="22" t="s">
        <v>218</v>
      </c>
      <c r="HL137" s="22" t="s">
        <v>218</v>
      </c>
      <c r="HM137" s="860"/>
      <c r="HN137" s="860"/>
      <c r="HO137" s="860"/>
      <c r="HP137" s="860"/>
      <c r="HQ137" s="860"/>
      <c r="HR137" s="860"/>
      <c r="HS137" s="860"/>
      <c r="HT137" s="145"/>
      <c r="HU137" s="145" t="s">
        <v>1809</v>
      </c>
      <c r="HV137" s="22" t="s">
        <v>1926</v>
      </c>
      <c r="HW137" s="22" t="s">
        <v>218</v>
      </c>
      <c r="HX137" s="22" t="s">
        <v>218</v>
      </c>
      <c r="HY137" s="22" t="s">
        <v>218</v>
      </c>
      <c r="HZ137" s="19"/>
      <c r="IA137" s="19"/>
      <c r="IB137" s="621">
        <f>'background data'!$G$10</f>
        <v>0.47300000000000003</v>
      </c>
      <c r="IC137" s="621">
        <f>'background data'!$H$10</f>
        <v>0.13</v>
      </c>
      <c r="ID137" s="621">
        <f>'background data'!$J$10</f>
        <v>0.39100000000000001</v>
      </c>
      <c r="IE137" s="621">
        <f>'background data'!$L$10</f>
        <v>5.5E-2</v>
      </c>
      <c r="IF137" s="621">
        <f>'background data'!$M$10</f>
        <v>3.97</v>
      </c>
      <c r="IG137" s="621">
        <f>'background data'!$N$10</f>
        <v>4.5999999999999999E-3</v>
      </c>
      <c r="IH137" s="621">
        <f>'background data'!$O$10</f>
        <v>2.73</v>
      </c>
      <c r="II137" s="145"/>
      <c r="IJ137" s="145"/>
      <c r="IK137" s="145"/>
      <c r="IL137" s="145"/>
      <c r="IM137" s="145"/>
      <c r="IN137" s="145"/>
      <c r="IO137" s="145"/>
      <c r="IP137" s="145"/>
      <c r="IQ137" s="145"/>
      <c r="IR137" s="145"/>
      <c r="IS137" s="145"/>
      <c r="IT137" s="145"/>
      <c r="IU137" s="145"/>
      <c r="IV137" s="145"/>
      <c r="IW137" s="145"/>
      <c r="IX137" s="145"/>
      <c r="IY137" s="145"/>
      <c r="IZ137" s="145"/>
      <c r="JA137" s="145"/>
      <c r="JB137" s="145"/>
      <c r="JC137" s="145"/>
      <c r="JD137" s="145"/>
      <c r="JE137" s="145"/>
      <c r="JF137" s="145"/>
      <c r="JG137" s="145"/>
      <c r="JH137" s="145"/>
      <c r="JI137" s="145"/>
      <c r="JJ137" s="145"/>
      <c r="JK137" s="145"/>
      <c r="JL137" s="145"/>
      <c r="JM137" s="145"/>
      <c r="JN137" s="145"/>
      <c r="JO137" s="145"/>
      <c r="JP137" s="145"/>
      <c r="JQ137" s="145"/>
      <c r="JR137" s="145"/>
      <c r="JS137" s="145"/>
      <c r="JT137" s="145"/>
      <c r="JU137" s="145"/>
      <c r="JV137" s="145"/>
      <c r="JW137" s="145"/>
      <c r="JX137" s="145"/>
      <c r="JY137" s="145"/>
      <c r="JZ137" s="145"/>
      <c r="KA137" s="145"/>
      <c r="KB137" s="145"/>
      <c r="KC137" s="145"/>
      <c r="KD137" s="145"/>
      <c r="KE137" s="145"/>
      <c r="KF137" s="145"/>
      <c r="KG137" s="145"/>
      <c r="KH137" s="145"/>
      <c r="KI137" s="145"/>
      <c r="KJ137" s="145"/>
      <c r="KK137" s="145"/>
      <c r="KL137" s="145"/>
      <c r="KM137" s="145"/>
      <c r="KN137" s="145"/>
      <c r="KO137" s="145"/>
      <c r="KP137" s="145"/>
      <c r="KQ137" s="145"/>
      <c r="KR137" s="145"/>
      <c r="KS137" s="145"/>
      <c r="KT137" s="145"/>
      <c r="KU137" s="145"/>
      <c r="KV137" s="145"/>
      <c r="KW137" s="145"/>
      <c r="KX137" s="145"/>
      <c r="KY137" s="145"/>
      <c r="KZ137" s="145"/>
      <c r="LA137" s="145"/>
      <c r="LB137" s="145"/>
      <c r="LC137" s="145"/>
      <c r="LD137" s="145"/>
      <c r="LE137" s="145"/>
      <c r="LF137" s="145"/>
      <c r="LG137" s="145"/>
      <c r="LH137" s="145"/>
      <c r="LI137" s="145"/>
      <c r="LJ137" s="145"/>
      <c r="LK137" s="145"/>
      <c r="LL137" s="145"/>
      <c r="LM137" s="145"/>
      <c r="LN137" s="145"/>
      <c r="LO137" s="145"/>
      <c r="LP137" s="145"/>
      <c r="LQ137" s="145"/>
      <c r="LR137" s="145"/>
      <c r="LS137" s="145"/>
      <c r="LT137" s="145"/>
      <c r="LU137" s="145"/>
      <c r="LV137" s="145"/>
      <c r="LW137" s="145"/>
      <c r="LX137" s="145"/>
      <c r="LY137" s="145"/>
      <c r="LZ137" s="145"/>
      <c r="MA137" s="145"/>
      <c r="MB137" s="145"/>
      <c r="MC137" s="145"/>
      <c r="MD137" s="145"/>
      <c r="ME137" s="145"/>
      <c r="MF137" s="145"/>
      <c r="MG137" s="145"/>
      <c r="MH137" s="145"/>
      <c r="MI137" s="145"/>
      <c r="MJ137" s="145"/>
      <c r="MK137" s="145"/>
      <c r="ML137" s="145"/>
      <c r="MM137" s="145"/>
      <c r="MN137" s="145"/>
      <c r="MO137" s="145"/>
      <c r="MP137" s="145"/>
      <c r="MQ137" s="145"/>
      <c r="MR137" s="145"/>
      <c r="MS137" s="145"/>
      <c r="MT137" s="145"/>
      <c r="MU137" s="145"/>
      <c r="MV137" s="145"/>
      <c r="MW137" s="145"/>
      <c r="MX137" s="145"/>
      <c r="MY137" s="145"/>
      <c r="MZ137" s="145"/>
      <c r="NA137" s="145"/>
      <c r="NB137" s="145"/>
      <c r="NC137" s="145"/>
      <c r="ND137" s="145"/>
      <c r="NE137" s="145"/>
      <c r="NF137" s="145"/>
      <c r="NG137" s="145"/>
      <c r="NH137" s="145"/>
      <c r="NI137" s="145"/>
      <c r="NJ137" s="145"/>
      <c r="NK137" s="145"/>
      <c r="NL137" s="145"/>
      <c r="NM137" s="145"/>
      <c r="NN137" s="145"/>
      <c r="NO137" s="145"/>
      <c r="NP137" s="145"/>
      <c r="NQ137" s="145"/>
      <c r="NR137" s="145"/>
      <c r="NS137" s="145"/>
    </row>
    <row r="138" spans="1:383" s="16" customFormat="1" ht="15" customHeight="1" x14ac:dyDescent="0.2">
      <c r="A138" s="15">
        <v>99500</v>
      </c>
      <c r="B138" s="25">
        <v>995</v>
      </c>
      <c r="C138" s="26">
        <v>0</v>
      </c>
      <c r="D138" s="20" t="s">
        <v>473</v>
      </c>
      <c r="E138" s="14">
        <v>41506</v>
      </c>
      <c r="F138" s="18">
        <v>1.0174514905149099</v>
      </c>
      <c r="G138" s="18">
        <v>0.97516779220779204</v>
      </c>
      <c r="H138" s="21">
        <v>100</v>
      </c>
      <c r="I138" s="21">
        <v>100</v>
      </c>
      <c r="J138" s="21">
        <v>100</v>
      </c>
      <c r="K138" s="18">
        <v>1</v>
      </c>
      <c r="L138" s="18">
        <v>98.5</v>
      </c>
      <c r="M138" s="18">
        <v>94.399999999999906</v>
      </c>
      <c r="N138" s="18">
        <v>0</v>
      </c>
      <c r="O138" s="18">
        <v>19.7</v>
      </c>
      <c r="P138" s="18">
        <v>0</v>
      </c>
      <c r="Q138" s="19"/>
      <c r="R138" s="18">
        <v>100</v>
      </c>
      <c r="S138" s="18">
        <v>0</v>
      </c>
      <c r="T138" s="18">
        <v>0</v>
      </c>
      <c r="U138" s="18">
        <v>0</v>
      </c>
      <c r="V138" s="18">
        <v>0</v>
      </c>
      <c r="W138" s="18">
        <v>0</v>
      </c>
      <c r="X138" s="18"/>
      <c r="Y138" s="18">
        <v>0</v>
      </c>
      <c r="Z138" s="18">
        <v>0</v>
      </c>
      <c r="AA138" s="18">
        <v>0</v>
      </c>
      <c r="AB138" s="18">
        <v>192</v>
      </c>
      <c r="AC138" s="18">
        <v>0</v>
      </c>
      <c r="AD138" s="18">
        <v>0</v>
      </c>
      <c r="AE138" s="18">
        <v>0</v>
      </c>
      <c r="AF138" s="18">
        <v>0</v>
      </c>
      <c r="AG138" s="18">
        <v>0</v>
      </c>
      <c r="AH138" s="18">
        <v>0</v>
      </c>
      <c r="AI138" s="18">
        <v>0</v>
      </c>
      <c r="AJ138" s="18">
        <v>0</v>
      </c>
      <c r="AK138" s="18">
        <v>0</v>
      </c>
      <c r="AL138" s="18"/>
      <c r="AM138" s="18">
        <v>83.474576271186507</v>
      </c>
      <c r="AN138" s="18">
        <v>0</v>
      </c>
      <c r="AO138" s="18">
        <v>0</v>
      </c>
      <c r="AP138" s="18">
        <v>0</v>
      </c>
      <c r="AQ138" s="18">
        <v>0</v>
      </c>
      <c r="AR138" s="18">
        <v>0</v>
      </c>
      <c r="AS138" s="18">
        <v>0</v>
      </c>
      <c r="AT138" s="18">
        <v>0</v>
      </c>
      <c r="AU138" s="18">
        <v>0</v>
      </c>
      <c r="AV138" s="18">
        <v>0</v>
      </c>
      <c r="AW138" s="18">
        <v>0</v>
      </c>
      <c r="AX138" s="18"/>
      <c r="AY138" s="18">
        <v>1</v>
      </c>
      <c r="AZ138" s="18">
        <v>1</v>
      </c>
      <c r="BA138" s="18">
        <v>1</v>
      </c>
      <c r="BB138" s="18">
        <v>1</v>
      </c>
      <c r="BC138" s="18">
        <v>1</v>
      </c>
      <c r="BD138" s="18">
        <v>1</v>
      </c>
      <c r="BE138" s="18">
        <v>1</v>
      </c>
      <c r="BF138" s="18">
        <v>1</v>
      </c>
      <c r="BG138" s="18">
        <v>1</v>
      </c>
      <c r="BH138" s="18">
        <v>1</v>
      </c>
      <c r="BI138" s="18">
        <v>1</v>
      </c>
      <c r="BJ138" s="19"/>
      <c r="BK138" s="18">
        <v>95.83756345177656</v>
      </c>
      <c r="BL138" s="18">
        <v>0</v>
      </c>
      <c r="BM138" s="18">
        <v>20</v>
      </c>
      <c r="BN138" s="18">
        <v>0</v>
      </c>
      <c r="BO138" s="18"/>
      <c r="BP138" s="18">
        <v>0</v>
      </c>
      <c r="BQ138" s="18">
        <v>0</v>
      </c>
      <c r="BR138" s="18">
        <v>1.0329456756496547</v>
      </c>
      <c r="BS138" s="18">
        <v>0.99001806315511887</v>
      </c>
      <c r="BT138" s="19"/>
      <c r="BU138" s="18">
        <v>800</v>
      </c>
      <c r="BV138" s="18">
        <v>-72.121827411167516</v>
      </c>
      <c r="BW138" s="18">
        <v>0</v>
      </c>
      <c r="BX138" s="18" t="s">
        <v>217</v>
      </c>
      <c r="BY138" s="18" t="s">
        <v>217</v>
      </c>
      <c r="BZ138" s="18" t="s">
        <v>217</v>
      </c>
      <c r="CA138" s="18" t="s">
        <v>217</v>
      </c>
      <c r="CB138" s="19"/>
      <c r="CC138" s="19">
        <v>0</v>
      </c>
      <c r="CD138" s="19">
        <v>0</v>
      </c>
      <c r="CE138" s="19">
        <v>0</v>
      </c>
      <c r="CF138" s="19">
        <v>189.12</v>
      </c>
      <c r="CG138" s="19">
        <v>0</v>
      </c>
      <c r="CH138" s="19">
        <v>0</v>
      </c>
      <c r="CI138" s="19">
        <v>0</v>
      </c>
      <c r="CJ138" s="19"/>
      <c r="CK138" s="19">
        <v>0</v>
      </c>
      <c r="CL138" s="19">
        <v>0</v>
      </c>
      <c r="CM138" s="19">
        <v>0</v>
      </c>
      <c r="CN138" s="19">
        <v>0</v>
      </c>
      <c r="CO138" s="19">
        <v>0</v>
      </c>
      <c r="CP138" s="19">
        <v>0</v>
      </c>
      <c r="CQ138" s="19">
        <v>943.99999999999898</v>
      </c>
      <c r="CR138" s="19">
        <v>927.80836118512275</v>
      </c>
      <c r="CS138" s="19">
        <v>774.48409810792111</v>
      </c>
      <c r="CT138" s="19">
        <v>0</v>
      </c>
      <c r="CU138" s="19">
        <v>0</v>
      </c>
      <c r="CV138" s="19">
        <v>0</v>
      </c>
      <c r="CW138" s="19">
        <v>0</v>
      </c>
      <c r="CX138" s="19">
        <v>0</v>
      </c>
      <c r="CY138" s="19">
        <v>0</v>
      </c>
      <c r="CZ138" s="19">
        <v>0</v>
      </c>
      <c r="DA138" s="19">
        <v>0</v>
      </c>
      <c r="DB138" s="19">
        <v>0</v>
      </c>
      <c r="DC138" s="19">
        <v>0</v>
      </c>
      <c r="DD138" s="19">
        <v>0</v>
      </c>
      <c r="DE138" s="19">
        <v>0</v>
      </c>
      <c r="DF138" s="23">
        <v>0</v>
      </c>
      <c r="DG138" s="23">
        <v>0</v>
      </c>
      <c r="DH138" s="23">
        <v>0</v>
      </c>
      <c r="DI138" s="19">
        <v>0</v>
      </c>
      <c r="DJ138" s="19">
        <v>0</v>
      </c>
      <c r="DK138" s="19">
        <v>0</v>
      </c>
      <c r="DL138" s="19">
        <v>0</v>
      </c>
      <c r="DM138" s="19">
        <v>0</v>
      </c>
      <c r="DN138" s="19">
        <v>0</v>
      </c>
      <c r="DO138" s="19">
        <v>0</v>
      </c>
      <c r="DP138" s="19">
        <v>0</v>
      </c>
      <c r="DQ138" s="19">
        <v>0</v>
      </c>
      <c r="DR138" s="19">
        <v>0</v>
      </c>
      <c r="DS138" s="19">
        <v>0</v>
      </c>
      <c r="DT138" s="19">
        <v>0</v>
      </c>
      <c r="DU138" s="19">
        <v>0</v>
      </c>
      <c r="DV138" s="19">
        <v>0</v>
      </c>
      <c r="DW138" s="17" t="s">
        <v>218</v>
      </c>
      <c r="DX138" s="22" t="s">
        <v>218</v>
      </c>
      <c r="DY138" s="22" t="s">
        <v>218</v>
      </c>
      <c r="DZ138" s="22" t="s">
        <v>218</v>
      </c>
      <c r="EA138" s="22" t="s">
        <v>218</v>
      </c>
      <c r="EB138" s="22" t="s">
        <v>218</v>
      </c>
      <c r="EC138" s="22" t="s">
        <v>218</v>
      </c>
      <c r="ED138" s="22" t="s">
        <v>218</v>
      </c>
      <c r="EE138" s="22" t="s">
        <v>218</v>
      </c>
      <c r="EF138" s="22" t="s">
        <v>218</v>
      </c>
      <c r="EG138" s="22" t="s">
        <v>218</v>
      </c>
      <c r="EH138" s="22" t="s">
        <v>218</v>
      </c>
      <c r="EI138" s="22" t="s">
        <v>218</v>
      </c>
      <c r="EJ138" s="22" t="s">
        <v>218</v>
      </c>
      <c r="EK138" s="22" t="s">
        <v>218</v>
      </c>
      <c r="EL138" s="22" t="s">
        <v>218</v>
      </c>
      <c r="EM138" s="22" t="s">
        <v>218</v>
      </c>
      <c r="EN138" s="22" t="s">
        <v>218</v>
      </c>
      <c r="EO138" s="22" t="s">
        <v>218</v>
      </c>
      <c r="EP138" s="22" t="s">
        <v>218</v>
      </c>
      <c r="EQ138" s="22" t="s">
        <v>218</v>
      </c>
      <c r="ER138" s="22" t="s">
        <v>218</v>
      </c>
      <c r="ES138" s="22" t="s">
        <v>218</v>
      </c>
      <c r="ET138" s="22" t="s">
        <v>218</v>
      </c>
      <c r="EU138" s="22" t="s">
        <v>218</v>
      </c>
      <c r="EV138" s="22" t="s">
        <v>218</v>
      </c>
      <c r="EW138" s="22" t="s">
        <v>218</v>
      </c>
      <c r="EX138" s="22" t="s">
        <v>218</v>
      </c>
      <c r="EY138" s="22" t="s">
        <v>218</v>
      </c>
      <c r="EZ138" s="22" t="s">
        <v>218</v>
      </c>
      <c r="FA138" s="22" t="s">
        <v>218</v>
      </c>
      <c r="FB138" s="22" t="s">
        <v>218</v>
      </c>
      <c r="FC138" s="22" t="s">
        <v>218</v>
      </c>
      <c r="FD138" s="22" t="s">
        <v>218</v>
      </c>
      <c r="FE138" s="22" t="s">
        <v>218</v>
      </c>
      <c r="FF138" s="22" t="s">
        <v>218</v>
      </c>
      <c r="FG138" s="22" t="s">
        <v>218</v>
      </c>
      <c r="FH138" s="22" t="s">
        <v>218</v>
      </c>
      <c r="FI138" s="22" t="s">
        <v>218</v>
      </c>
      <c r="FJ138" s="22" t="s">
        <v>218</v>
      </c>
      <c r="FK138" s="22" t="s">
        <v>218</v>
      </c>
      <c r="FL138" s="22" t="s">
        <v>218</v>
      </c>
      <c r="FM138" s="22" t="s">
        <v>218</v>
      </c>
      <c r="FN138" s="22" t="s">
        <v>218</v>
      </c>
      <c r="FO138" s="22" t="s">
        <v>218</v>
      </c>
      <c r="FP138" s="22" t="s">
        <v>218</v>
      </c>
      <c r="FQ138" s="22" t="s">
        <v>218</v>
      </c>
      <c r="FR138" s="22" t="s">
        <v>218</v>
      </c>
      <c r="FS138" s="22" t="s">
        <v>218</v>
      </c>
      <c r="FT138" s="22" t="s">
        <v>218</v>
      </c>
      <c r="FU138" s="22" t="s">
        <v>218</v>
      </c>
      <c r="FV138" s="22" t="s">
        <v>218</v>
      </c>
      <c r="FW138" s="22" t="s">
        <v>218</v>
      </c>
      <c r="FX138" s="22" t="s">
        <v>218</v>
      </c>
      <c r="FY138" s="22" t="s">
        <v>218</v>
      </c>
      <c r="FZ138" s="22" t="s">
        <v>218</v>
      </c>
      <c r="GA138" s="22" t="s">
        <v>218</v>
      </c>
      <c r="GB138" s="22" t="s">
        <v>218</v>
      </c>
      <c r="GC138" s="22" t="s">
        <v>218</v>
      </c>
      <c r="GD138" s="22" t="s">
        <v>218</v>
      </c>
      <c r="GE138" s="22" t="s">
        <v>218</v>
      </c>
      <c r="GF138" s="22" t="s">
        <v>218</v>
      </c>
      <c r="GG138" s="22" t="s">
        <v>218</v>
      </c>
      <c r="GH138" s="22" t="s">
        <v>218</v>
      </c>
      <c r="GI138" s="22" t="s">
        <v>218</v>
      </c>
      <c r="GJ138" s="22" t="s">
        <v>218</v>
      </c>
      <c r="GK138" s="22" t="s">
        <v>218</v>
      </c>
      <c r="GL138" s="22" t="s">
        <v>218</v>
      </c>
      <c r="GM138" s="22" t="s">
        <v>218</v>
      </c>
      <c r="GN138" s="22" t="s">
        <v>218</v>
      </c>
      <c r="GO138" s="22" t="s">
        <v>218</v>
      </c>
      <c r="GP138" s="22" t="s">
        <v>218</v>
      </c>
      <c r="GQ138" s="22" t="s">
        <v>218</v>
      </c>
      <c r="GR138" s="22" t="s">
        <v>218</v>
      </c>
      <c r="GS138" s="22" t="s">
        <v>218</v>
      </c>
      <c r="GT138" s="22" t="s">
        <v>218</v>
      </c>
      <c r="GU138" s="22" t="s">
        <v>218</v>
      </c>
      <c r="GV138" s="22" t="s">
        <v>218</v>
      </c>
      <c r="GW138" s="22" t="s">
        <v>218</v>
      </c>
      <c r="GX138" s="22">
        <v>2013</v>
      </c>
      <c r="GY138" s="22" t="s">
        <v>218</v>
      </c>
      <c r="GZ138" s="22" t="s">
        <v>218</v>
      </c>
      <c r="HA138" s="22" t="s">
        <v>218</v>
      </c>
      <c r="HB138" s="22" t="s">
        <v>218</v>
      </c>
      <c r="HC138" s="22" t="s">
        <v>218</v>
      </c>
      <c r="HD138" s="22" t="s">
        <v>218</v>
      </c>
      <c r="HE138" s="22" t="s">
        <v>218</v>
      </c>
      <c r="HF138" s="22" t="s">
        <v>218</v>
      </c>
      <c r="HG138" s="22" t="s">
        <v>218</v>
      </c>
      <c r="HH138" s="22" t="s">
        <v>218</v>
      </c>
      <c r="HI138" s="22" t="s">
        <v>218</v>
      </c>
      <c r="HJ138" s="22" t="s">
        <v>218</v>
      </c>
      <c r="HK138" s="22" t="s">
        <v>218</v>
      </c>
      <c r="HL138" s="22" t="s">
        <v>218</v>
      </c>
      <c r="HM138" s="860"/>
      <c r="HN138" s="860"/>
      <c r="HO138" s="860"/>
      <c r="HP138" s="860"/>
      <c r="HQ138" s="860"/>
      <c r="HR138" s="860"/>
      <c r="HS138" s="860"/>
      <c r="HT138" s="145"/>
      <c r="HU138" s="145" t="s">
        <v>1809</v>
      </c>
      <c r="HV138" s="22" t="s">
        <v>1926</v>
      </c>
      <c r="HW138" s="22" t="s">
        <v>218</v>
      </c>
      <c r="HX138" s="22" t="s">
        <v>218</v>
      </c>
      <c r="HY138" s="22" t="s">
        <v>218</v>
      </c>
      <c r="HZ138" s="19"/>
      <c r="IA138" s="19"/>
      <c r="IB138" s="621">
        <f>'background data'!$G$10</f>
        <v>0.47300000000000003</v>
      </c>
      <c r="IC138" s="621">
        <f>'background data'!$H$10</f>
        <v>0.13</v>
      </c>
      <c r="ID138" s="621">
        <f>'background data'!$J$10</f>
        <v>0.39100000000000001</v>
      </c>
      <c r="IE138" s="621">
        <f>'background data'!$L$10</f>
        <v>5.5E-2</v>
      </c>
      <c r="IF138" s="621">
        <f>'background data'!$M$10</f>
        <v>3.97</v>
      </c>
      <c r="IG138" s="621">
        <f>'background data'!$N$10</f>
        <v>4.5999999999999999E-3</v>
      </c>
      <c r="IH138" s="621">
        <f>'background data'!$O$10</f>
        <v>2.73</v>
      </c>
      <c r="II138" s="145"/>
      <c r="IJ138" s="145"/>
      <c r="IK138" s="145"/>
      <c r="IL138" s="145"/>
      <c r="IM138" s="145"/>
      <c r="IN138" s="145"/>
      <c r="IO138" s="145"/>
      <c r="IP138" s="145"/>
      <c r="IQ138" s="145"/>
      <c r="IR138" s="145"/>
      <c r="IS138" s="145"/>
      <c r="IT138" s="145"/>
      <c r="IU138" s="145"/>
      <c r="IV138" s="145"/>
      <c r="IW138" s="145"/>
      <c r="IX138" s="145"/>
      <c r="IY138" s="145"/>
      <c r="IZ138" s="145"/>
      <c r="JA138" s="145"/>
      <c r="JB138" s="145"/>
      <c r="JC138" s="145"/>
      <c r="JD138" s="145"/>
      <c r="JE138" s="145"/>
      <c r="JF138" s="145"/>
      <c r="JG138" s="145"/>
      <c r="JH138" s="145"/>
      <c r="JI138" s="145"/>
      <c r="JJ138" s="145"/>
      <c r="JK138" s="145"/>
      <c r="JL138" s="145"/>
      <c r="JM138" s="145"/>
      <c r="JN138" s="145"/>
      <c r="JO138" s="145"/>
      <c r="JP138" s="145"/>
      <c r="JQ138" s="145"/>
      <c r="JR138" s="145"/>
      <c r="JS138" s="145"/>
      <c r="JT138" s="145"/>
      <c r="JU138" s="145"/>
      <c r="JV138" s="145"/>
      <c r="JW138" s="145"/>
      <c r="JX138" s="145"/>
      <c r="JY138" s="145"/>
      <c r="JZ138" s="145"/>
      <c r="KA138" s="145"/>
      <c r="KB138" s="145"/>
      <c r="KC138" s="145"/>
      <c r="KD138" s="145"/>
      <c r="KE138" s="145"/>
      <c r="KF138" s="145"/>
      <c r="KG138" s="145"/>
      <c r="KH138" s="145"/>
      <c r="KI138" s="145"/>
      <c r="KJ138" s="145"/>
      <c r="KK138" s="145"/>
      <c r="KL138" s="145"/>
      <c r="KM138" s="145"/>
      <c r="KN138" s="145"/>
      <c r="KO138" s="145"/>
      <c r="KP138" s="145"/>
      <c r="KQ138" s="145"/>
      <c r="KR138" s="145"/>
      <c r="KS138" s="145"/>
      <c r="KT138" s="145"/>
      <c r="KU138" s="145"/>
      <c r="KV138" s="145"/>
      <c r="KW138" s="145"/>
      <c r="KX138" s="145"/>
      <c r="KY138" s="145"/>
      <c r="KZ138" s="145"/>
      <c r="LA138" s="145"/>
      <c r="LB138" s="145"/>
      <c r="LC138" s="145"/>
      <c r="LD138" s="145"/>
      <c r="LE138" s="145"/>
      <c r="LF138" s="145"/>
      <c r="LG138" s="145"/>
      <c r="LH138" s="145"/>
      <c r="LI138" s="145"/>
      <c r="LJ138" s="145"/>
      <c r="LK138" s="145"/>
      <c r="LL138" s="145"/>
      <c r="LM138" s="145"/>
      <c r="LN138" s="145"/>
      <c r="LO138" s="145"/>
      <c r="LP138" s="145"/>
      <c r="LQ138" s="145"/>
      <c r="LR138" s="145"/>
      <c r="LS138" s="145"/>
      <c r="LT138" s="145"/>
      <c r="LU138" s="145"/>
      <c r="LV138" s="145"/>
      <c r="LW138" s="145"/>
      <c r="LX138" s="145"/>
      <c r="LY138" s="145"/>
      <c r="LZ138" s="145"/>
      <c r="MA138" s="145"/>
      <c r="MB138" s="145"/>
      <c r="MC138" s="145"/>
      <c r="MD138" s="145"/>
      <c r="ME138" s="145"/>
      <c r="MF138" s="145"/>
      <c r="MG138" s="145"/>
      <c r="MH138" s="145"/>
      <c r="MI138" s="145"/>
      <c r="MJ138" s="145"/>
      <c r="MK138" s="145"/>
      <c r="ML138" s="145"/>
      <c r="MM138" s="145"/>
      <c r="MN138" s="145"/>
      <c r="MO138" s="145"/>
      <c r="MP138" s="145"/>
      <c r="MQ138" s="145"/>
      <c r="MR138" s="145"/>
      <c r="MS138" s="145"/>
      <c r="MT138" s="145"/>
      <c r="MU138" s="145"/>
      <c r="MV138" s="145"/>
      <c r="MW138" s="145"/>
      <c r="MX138" s="145"/>
      <c r="MY138" s="145"/>
      <c r="MZ138" s="145"/>
      <c r="NA138" s="145"/>
      <c r="NB138" s="145"/>
      <c r="NC138" s="145"/>
      <c r="ND138" s="145"/>
      <c r="NE138" s="145"/>
      <c r="NF138" s="145"/>
      <c r="NG138" s="145"/>
      <c r="NH138" s="145"/>
      <c r="NI138" s="145"/>
      <c r="NJ138" s="145"/>
      <c r="NK138" s="145"/>
      <c r="NL138" s="145"/>
      <c r="NM138" s="145"/>
      <c r="NN138" s="145"/>
      <c r="NO138" s="145"/>
      <c r="NP138" s="145"/>
      <c r="NQ138" s="145"/>
      <c r="NR138" s="145"/>
      <c r="NS138" s="145"/>
    </row>
    <row r="139" spans="1:383" s="16" customFormat="1" ht="15" customHeight="1" x14ac:dyDescent="0.2">
      <c r="A139" s="15">
        <v>99511</v>
      </c>
      <c r="B139" s="25">
        <v>995</v>
      </c>
      <c r="C139" s="26">
        <v>11</v>
      </c>
      <c r="D139" s="20" t="s">
        <v>474</v>
      </c>
      <c r="E139" s="14">
        <v>42279</v>
      </c>
      <c r="F139" s="18">
        <v>1.0138184281842799</v>
      </c>
      <c r="G139" s="18">
        <v>0.97168571428571504</v>
      </c>
      <c r="H139" s="21">
        <v>100</v>
      </c>
      <c r="I139" s="21">
        <v>100</v>
      </c>
      <c r="J139" s="21">
        <v>100</v>
      </c>
      <c r="K139" s="18">
        <v>1</v>
      </c>
      <c r="L139" s="18">
        <v>96</v>
      </c>
      <c r="M139" s="18">
        <v>82</v>
      </c>
      <c r="N139" s="18">
        <v>0</v>
      </c>
      <c r="O139" s="18">
        <v>19.2</v>
      </c>
      <c r="P139" s="18">
        <v>0</v>
      </c>
      <c r="Q139" s="19"/>
      <c r="R139" s="18">
        <v>75</v>
      </c>
      <c r="S139" s="18">
        <v>0</v>
      </c>
      <c r="T139" s="18">
        <v>0</v>
      </c>
      <c r="U139" s="18">
        <v>0</v>
      </c>
      <c r="V139" s="18">
        <v>0</v>
      </c>
      <c r="W139" s="18">
        <v>0</v>
      </c>
      <c r="X139" s="18"/>
      <c r="Y139" s="18">
        <v>0</v>
      </c>
      <c r="Z139" s="18">
        <v>1.875</v>
      </c>
      <c r="AA139" s="18">
        <v>3.2291666666666665</v>
      </c>
      <c r="AB139" s="18">
        <v>0</v>
      </c>
      <c r="AC139" s="18">
        <v>0</v>
      </c>
      <c r="AD139" s="18">
        <v>0</v>
      </c>
      <c r="AE139" s="18">
        <v>0</v>
      </c>
      <c r="AF139" s="18">
        <v>0</v>
      </c>
      <c r="AG139" s="18">
        <v>0</v>
      </c>
      <c r="AH139" s="18">
        <v>0</v>
      </c>
      <c r="AI139" s="18">
        <v>0</v>
      </c>
      <c r="AJ139" s="18">
        <v>0</v>
      </c>
      <c r="AK139" s="18">
        <v>0</v>
      </c>
      <c r="AL139" s="18"/>
      <c r="AM139" s="18">
        <v>67.853658536585399</v>
      </c>
      <c r="AN139" s="18">
        <v>0.146341463414634</v>
      </c>
      <c r="AO139" s="18">
        <v>0.109756097560976</v>
      </c>
      <c r="AP139" s="18">
        <v>0.39024390243902402</v>
      </c>
      <c r="AQ139" s="18">
        <v>0.15853658536585399</v>
      </c>
      <c r="AR139" s="18">
        <v>0.40243902439024398</v>
      </c>
      <c r="AS139" s="18">
        <v>0.53658536585365901</v>
      </c>
      <c r="AT139" s="18">
        <v>0</v>
      </c>
      <c r="AU139" s="18">
        <v>0</v>
      </c>
      <c r="AV139" s="18">
        <v>0</v>
      </c>
      <c r="AW139" s="18">
        <v>0.51219512195121997</v>
      </c>
      <c r="AX139" s="18"/>
      <c r="AY139" s="18">
        <v>1</v>
      </c>
      <c r="AZ139" s="18">
        <v>0.85</v>
      </c>
      <c r="BA139" s="18">
        <v>0.85</v>
      </c>
      <c r="BB139" s="18">
        <v>0.85</v>
      </c>
      <c r="BC139" s="18">
        <v>0.85</v>
      </c>
      <c r="BD139" s="18">
        <v>0.85</v>
      </c>
      <c r="BE139" s="18">
        <v>0.85</v>
      </c>
      <c r="BF139" s="18">
        <v>0.85</v>
      </c>
      <c r="BG139" s="18">
        <v>0.85</v>
      </c>
      <c r="BH139" s="18">
        <v>0.85</v>
      </c>
      <c r="BI139" s="18">
        <v>0.85</v>
      </c>
      <c r="BJ139" s="19"/>
      <c r="BK139" s="18">
        <v>85.416666666666671</v>
      </c>
      <c r="BL139" s="18">
        <v>0</v>
      </c>
      <c r="BM139" s="18">
        <v>20</v>
      </c>
      <c r="BN139" s="18">
        <v>0</v>
      </c>
      <c r="BO139" s="18"/>
      <c r="BP139" s="18">
        <v>0</v>
      </c>
      <c r="BQ139" s="18">
        <v>0</v>
      </c>
      <c r="BR139" s="18">
        <v>1.0560608626919583</v>
      </c>
      <c r="BS139" s="18">
        <v>1.0121726190476199</v>
      </c>
      <c r="BT139" s="19"/>
      <c r="BU139" s="18">
        <v>800</v>
      </c>
      <c r="BV139" s="18">
        <v>22.708333333333439</v>
      </c>
      <c r="BW139" s="18">
        <v>0</v>
      </c>
      <c r="BX139" s="18" t="s">
        <v>217</v>
      </c>
      <c r="BY139" s="18" t="s">
        <v>217</v>
      </c>
      <c r="BZ139" s="18" t="s">
        <v>217</v>
      </c>
      <c r="CA139" s="18" t="s">
        <v>217</v>
      </c>
      <c r="CB139" s="19"/>
      <c r="CC139" s="19">
        <v>0</v>
      </c>
      <c r="CD139" s="19">
        <v>1.7999999999999998</v>
      </c>
      <c r="CE139" s="19">
        <v>3.0999999999999996</v>
      </c>
      <c r="CF139" s="19">
        <v>0</v>
      </c>
      <c r="CG139" s="19">
        <v>0</v>
      </c>
      <c r="CH139" s="19">
        <v>0</v>
      </c>
      <c r="CI139" s="19">
        <v>0</v>
      </c>
      <c r="CJ139" s="19"/>
      <c r="CK139" s="19">
        <v>0</v>
      </c>
      <c r="CL139" s="19">
        <v>0</v>
      </c>
      <c r="CM139" s="19">
        <v>0</v>
      </c>
      <c r="CN139" s="19">
        <v>0</v>
      </c>
      <c r="CO139" s="19">
        <v>0</v>
      </c>
      <c r="CP139" s="19">
        <v>0</v>
      </c>
      <c r="CQ139" s="19">
        <v>615</v>
      </c>
      <c r="CR139" s="19">
        <v>606.61749964581679</v>
      </c>
      <c r="CS139" s="19">
        <v>411.61216683284448</v>
      </c>
      <c r="CT139" s="19">
        <v>0.75457298736430878</v>
      </c>
      <c r="CU139" s="19">
        <v>0.56592974052323353</v>
      </c>
      <c r="CV139" s="19">
        <v>1.3205027278875403</v>
      </c>
      <c r="CW139" s="19">
        <v>2.0121946329714899</v>
      </c>
      <c r="CX139" s="19">
        <v>0.81745406964466971</v>
      </c>
      <c r="CY139" s="19">
        <v>2.0750757152518489</v>
      </c>
      <c r="CZ139" s="19">
        <v>2.7667676203357989</v>
      </c>
      <c r="DA139" s="19">
        <v>0</v>
      </c>
      <c r="DB139" s="19">
        <v>0</v>
      </c>
      <c r="DC139" s="19">
        <v>0</v>
      </c>
      <c r="DD139" s="19">
        <v>0</v>
      </c>
      <c r="DE139" s="19">
        <v>2.6410054557750806</v>
      </c>
      <c r="DF139" s="23">
        <v>0</v>
      </c>
      <c r="DG139" s="23">
        <v>0</v>
      </c>
      <c r="DH139" s="23">
        <v>0</v>
      </c>
      <c r="DI139" s="19">
        <v>0</v>
      </c>
      <c r="DJ139" s="19">
        <v>0</v>
      </c>
      <c r="DK139" s="19">
        <v>0</v>
      </c>
      <c r="DL139" s="19">
        <v>0</v>
      </c>
      <c r="DM139" s="19">
        <v>0</v>
      </c>
      <c r="DN139" s="19">
        <v>0</v>
      </c>
      <c r="DO139" s="19">
        <v>0</v>
      </c>
      <c r="DP139" s="19">
        <v>0</v>
      </c>
      <c r="DQ139" s="19">
        <v>0</v>
      </c>
      <c r="DR139" s="19">
        <v>0</v>
      </c>
      <c r="DS139" s="19">
        <v>0</v>
      </c>
      <c r="DT139" s="19">
        <v>0</v>
      </c>
      <c r="DU139" s="19">
        <v>0</v>
      </c>
      <c r="DV139" s="19">
        <v>0</v>
      </c>
      <c r="DW139" s="17" t="s">
        <v>218</v>
      </c>
      <c r="DX139" s="22" t="s">
        <v>218</v>
      </c>
      <c r="DY139" s="22" t="s">
        <v>218</v>
      </c>
      <c r="DZ139" s="22" t="s">
        <v>218</v>
      </c>
      <c r="EA139" s="22" t="s">
        <v>218</v>
      </c>
      <c r="EB139" s="22" t="s">
        <v>218</v>
      </c>
      <c r="EC139" s="22" t="s">
        <v>218</v>
      </c>
      <c r="ED139" s="22" t="s">
        <v>218</v>
      </c>
      <c r="EE139" s="22" t="s">
        <v>218</v>
      </c>
      <c r="EF139" s="22" t="s">
        <v>218</v>
      </c>
      <c r="EG139" s="22" t="s">
        <v>218</v>
      </c>
      <c r="EH139" s="22" t="s">
        <v>218</v>
      </c>
      <c r="EI139" s="22" t="s">
        <v>218</v>
      </c>
      <c r="EJ139" s="22" t="s">
        <v>218</v>
      </c>
      <c r="EK139" s="22" t="s">
        <v>218</v>
      </c>
      <c r="EL139" s="22" t="s">
        <v>218</v>
      </c>
      <c r="EM139" s="22" t="s">
        <v>218</v>
      </c>
      <c r="EN139" s="22" t="s">
        <v>218</v>
      </c>
      <c r="EO139" s="22" t="s">
        <v>218</v>
      </c>
      <c r="EP139" s="22" t="s">
        <v>218</v>
      </c>
      <c r="EQ139" s="22" t="s">
        <v>218</v>
      </c>
      <c r="ER139" s="22" t="s">
        <v>218</v>
      </c>
      <c r="ES139" s="22" t="s">
        <v>218</v>
      </c>
      <c r="ET139" s="22" t="s">
        <v>218</v>
      </c>
      <c r="EU139" s="22" t="s">
        <v>218</v>
      </c>
      <c r="EV139" s="22" t="s">
        <v>218</v>
      </c>
      <c r="EW139" s="22" t="s">
        <v>218</v>
      </c>
      <c r="EX139" s="22" t="s">
        <v>218</v>
      </c>
      <c r="EY139" s="22" t="s">
        <v>218</v>
      </c>
      <c r="EZ139" s="22" t="s">
        <v>218</v>
      </c>
      <c r="FA139" s="22" t="s">
        <v>218</v>
      </c>
      <c r="FB139" s="22" t="s">
        <v>218</v>
      </c>
      <c r="FC139" s="22" t="s">
        <v>218</v>
      </c>
      <c r="FD139" s="22" t="s">
        <v>218</v>
      </c>
      <c r="FE139" s="22" t="s">
        <v>218</v>
      </c>
      <c r="FF139" s="22" t="s">
        <v>218</v>
      </c>
      <c r="FG139" s="22" t="s">
        <v>218</v>
      </c>
      <c r="FH139" s="22" t="s">
        <v>218</v>
      </c>
      <c r="FI139" s="22" t="s">
        <v>218</v>
      </c>
      <c r="FJ139" s="22" t="s">
        <v>218</v>
      </c>
      <c r="FK139" s="22" t="s">
        <v>218</v>
      </c>
      <c r="FL139" s="22" t="s">
        <v>218</v>
      </c>
      <c r="FM139" s="22" t="s">
        <v>218</v>
      </c>
      <c r="FN139" s="22" t="s">
        <v>218</v>
      </c>
      <c r="FO139" s="22" t="s">
        <v>218</v>
      </c>
      <c r="FP139" s="22" t="s">
        <v>218</v>
      </c>
      <c r="FQ139" s="22" t="s">
        <v>218</v>
      </c>
      <c r="FR139" s="22" t="s">
        <v>218</v>
      </c>
      <c r="FS139" s="22" t="s">
        <v>218</v>
      </c>
      <c r="FT139" s="22" t="s">
        <v>218</v>
      </c>
      <c r="FU139" s="22" t="s">
        <v>218</v>
      </c>
      <c r="FV139" s="22" t="s">
        <v>218</v>
      </c>
      <c r="FW139" s="22" t="s">
        <v>218</v>
      </c>
      <c r="FX139" s="22" t="s">
        <v>218</v>
      </c>
      <c r="FY139" s="22" t="s">
        <v>218</v>
      </c>
      <c r="FZ139" s="22" t="s">
        <v>218</v>
      </c>
      <c r="GA139" s="22" t="s">
        <v>218</v>
      </c>
      <c r="GB139" s="22" t="s">
        <v>218</v>
      </c>
      <c r="GC139" s="22" t="s">
        <v>218</v>
      </c>
      <c r="GD139" s="22" t="s">
        <v>218</v>
      </c>
      <c r="GE139" s="22" t="s">
        <v>218</v>
      </c>
      <c r="GF139" s="22" t="s">
        <v>218</v>
      </c>
      <c r="GG139" s="22" t="s">
        <v>218</v>
      </c>
      <c r="GH139" s="22" t="s">
        <v>218</v>
      </c>
      <c r="GI139" s="22" t="s">
        <v>218</v>
      </c>
      <c r="GJ139" s="22" t="s">
        <v>218</v>
      </c>
      <c r="GK139" s="22" t="s">
        <v>218</v>
      </c>
      <c r="GL139" s="22" t="s">
        <v>218</v>
      </c>
      <c r="GM139" s="22" t="s">
        <v>218</v>
      </c>
      <c r="GN139" s="22" t="s">
        <v>218</v>
      </c>
      <c r="GO139" s="22" t="s">
        <v>218</v>
      </c>
      <c r="GP139" s="22" t="s">
        <v>218</v>
      </c>
      <c r="GQ139" s="22" t="s">
        <v>218</v>
      </c>
      <c r="GR139" s="22" t="s">
        <v>218</v>
      </c>
      <c r="GS139" s="22" t="s">
        <v>218</v>
      </c>
      <c r="GT139" s="22" t="s">
        <v>218</v>
      </c>
      <c r="GU139" s="22" t="s">
        <v>218</v>
      </c>
      <c r="GV139" s="22" t="s">
        <v>218</v>
      </c>
      <c r="GW139" s="22" t="s">
        <v>218</v>
      </c>
      <c r="GX139" s="22" t="s">
        <v>218</v>
      </c>
      <c r="GY139" s="22" t="s">
        <v>218</v>
      </c>
      <c r="GZ139" s="22" t="s">
        <v>218</v>
      </c>
      <c r="HA139" s="22" t="s">
        <v>218</v>
      </c>
      <c r="HB139" s="22" t="s">
        <v>218</v>
      </c>
      <c r="HC139" s="22" t="s">
        <v>218</v>
      </c>
      <c r="HD139" s="22" t="s">
        <v>218</v>
      </c>
      <c r="HE139" s="22" t="s">
        <v>218</v>
      </c>
      <c r="HF139" s="22" t="s">
        <v>218</v>
      </c>
      <c r="HG139" s="22" t="s">
        <v>218</v>
      </c>
      <c r="HH139" s="22" t="s">
        <v>218</v>
      </c>
      <c r="HI139" s="22" t="s">
        <v>218</v>
      </c>
      <c r="HJ139" s="22" t="s">
        <v>218</v>
      </c>
      <c r="HK139" s="22" t="s">
        <v>218</v>
      </c>
      <c r="HL139" s="22" t="s">
        <v>218</v>
      </c>
      <c r="HM139" s="860"/>
      <c r="HN139" s="860"/>
      <c r="HO139" s="860"/>
      <c r="HP139" s="860"/>
      <c r="HQ139" s="860"/>
      <c r="HR139" s="860"/>
      <c r="HS139" s="860"/>
      <c r="HT139" s="145"/>
      <c r="HU139" s="145" t="s">
        <v>1809</v>
      </c>
      <c r="HV139" s="22" t="s">
        <v>1926</v>
      </c>
      <c r="HW139" s="22" t="s">
        <v>218</v>
      </c>
      <c r="HX139" s="22" t="s">
        <v>218</v>
      </c>
      <c r="HY139" s="22" t="s">
        <v>218</v>
      </c>
      <c r="HZ139" s="19"/>
      <c r="IA139" s="19"/>
      <c r="IB139" s="621">
        <f>'background data'!$G$10</f>
        <v>0.47300000000000003</v>
      </c>
      <c r="IC139" s="621">
        <f>'background data'!$H$10</f>
        <v>0.13</v>
      </c>
      <c r="ID139" s="621">
        <f>'background data'!$J$10</f>
        <v>0.39100000000000001</v>
      </c>
      <c r="IE139" s="621">
        <f>'background data'!$L$10</f>
        <v>5.5E-2</v>
      </c>
      <c r="IF139" s="621">
        <f>'background data'!$M$10</f>
        <v>3.97</v>
      </c>
      <c r="IG139" s="621">
        <f>'background data'!$N$10</f>
        <v>4.5999999999999999E-3</v>
      </c>
      <c r="IH139" s="621">
        <f>'background data'!$O$10</f>
        <v>2.73</v>
      </c>
      <c r="II139" s="145"/>
      <c r="IJ139" s="145"/>
      <c r="IK139" s="145"/>
      <c r="IL139" s="145"/>
      <c r="IM139" s="145"/>
      <c r="IN139" s="145"/>
      <c r="IO139" s="145"/>
      <c r="IP139" s="145"/>
      <c r="IQ139" s="145"/>
      <c r="IR139" s="145"/>
      <c r="IS139" s="145"/>
      <c r="IT139" s="145"/>
      <c r="IU139" s="145"/>
      <c r="IV139" s="145"/>
      <c r="IW139" s="145"/>
      <c r="IX139" s="145"/>
      <c r="IY139" s="145"/>
      <c r="IZ139" s="145"/>
      <c r="JA139" s="145"/>
      <c r="JB139" s="145"/>
      <c r="JC139" s="145"/>
      <c r="JD139" s="145"/>
      <c r="JE139" s="145"/>
      <c r="JF139" s="145"/>
      <c r="JG139" s="145"/>
      <c r="JH139" s="145"/>
      <c r="JI139" s="145"/>
      <c r="JJ139" s="145"/>
      <c r="JK139" s="145"/>
      <c r="JL139" s="145"/>
      <c r="JM139" s="145"/>
      <c r="JN139" s="145"/>
      <c r="JO139" s="145"/>
      <c r="JP139" s="145"/>
      <c r="JQ139" s="145"/>
      <c r="JR139" s="145"/>
      <c r="JS139" s="145"/>
      <c r="JT139" s="145"/>
      <c r="JU139" s="145"/>
      <c r="JV139" s="145"/>
      <c r="JW139" s="145"/>
      <c r="JX139" s="145"/>
      <c r="JY139" s="145"/>
      <c r="JZ139" s="145"/>
      <c r="KA139" s="145"/>
      <c r="KB139" s="145"/>
      <c r="KC139" s="145"/>
      <c r="KD139" s="145"/>
      <c r="KE139" s="145"/>
      <c r="KF139" s="145"/>
      <c r="KG139" s="145"/>
      <c r="KH139" s="145"/>
      <c r="KI139" s="145"/>
      <c r="KJ139" s="145"/>
      <c r="KK139" s="145"/>
      <c r="KL139" s="145"/>
      <c r="KM139" s="145"/>
      <c r="KN139" s="145"/>
      <c r="KO139" s="145"/>
      <c r="KP139" s="145"/>
      <c r="KQ139" s="145"/>
      <c r="KR139" s="145"/>
      <c r="KS139" s="145"/>
      <c r="KT139" s="145"/>
      <c r="KU139" s="145"/>
      <c r="KV139" s="145"/>
      <c r="KW139" s="145"/>
      <c r="KX139" s="145"/>
      <c r="KY139" s="145"/>
      <c r="KZ139" s="145"/>
      <c r="LA139" s="145"/>
      <c r="LB139" s="145"/>
      <c r="LC139" s="145"/>
      <c r="LD139" s="145"/>
      <c r="LE139" s="145"/>
      <c r="LF139" s="145"/>
      <c r="LG139" s="145"/>
      <c r="LH139" s="145"/>
      <c r="LI139" s="145"/>
      <c r="LJ139" s="145"/>
      <c r="LK139" s="145"/>
      <c r="LL139" s="145"/>
      <c r="LM139" s="145"/>
      <c r="LN139" s="145"/>
      <c r="LO139" s="145"/>
      <c r="LP139" s="145"/>
      <c r="LQ139" s="145"/>
      <c r="LR139" s="145"/>
      <c r="LS139" s="145"/>
      <c r="LT139" s="145"/>
      <c r="LU139" s="145"/>
      <c r="LV139" s="145"/>
      <c r="LW139" s="145"/>
      <c r="LX139" s="145"/>
      <c r="LY139" s="145"/>
      <c r="LZ139" s="145"/>
      <c r="MA139" s="145"/>
      <c r="MB139" s="145"/>
      <c r="MC139" s="145"/>
      <c r="MD139" s="145"/>
      <c r="ME139" s="145"/>
      <c r="MF139" s="145"/>
      <c r="MG139" s="145"/>
      <c r="MH139" s="145"/>
      <c r="MI139" s="145"/>
      <c r="MJ139" s="145"/>
      <c r="MK139" s="145"/>
      <c r="ML139" s="145"/>
      <c r="MM139" s="145"/>
      <c r="MN139" s="145"/>
      <c r="MO139" s="145"/>
      <c r="MP139" s="145"/>
      <c r="MQ139" s="145"/>
      <c r="MR139" s="145"/>
      <c r="MS139" s="145"/>
      <c r="MT139" s="145"/>
      <c r="MU139" s="145"/>
      <c r="MV139" s="145"/>
      <c r="MW139" s="145"/>
      <c r="MX139" s="145"/>
      <c r="MY139" s="145"/>
      <c r="MZ139" s="145"/>
      <c r="NA139" s="145"/>
      <c r="NB139" s="145"/>
      <c r="NC139" s="145"/>
      <c r="ND139" s="145"/>
      <c r="NE139" s="145"/>
      <c r="NF139" s="145"/>
      <c r="NG139" s="145"/>
      <c r="NH139" s="145"/>
      <c r="NI139" s="145"/>
      <c r="NJ139" s="145"/>
      <c r="NK139" s="145"/>
      <c r="NL139" s="145"/>
      <c r="NM139" s="145"/>
      <c r="NN139" s="145"/>
      <c r="NO139" s="145"/>
      <c r="NP139" s="145"/>
      <c r="NQ139" s="145"/>
      <c r="NR139" s="145"/>
      <c r="NS139" s="145"/>
    </row>
    <row r="140" spans="1:383" s="16" customFormat="1" ht="15" customHeight="1" x14ac:dyDescent="0.2">
      <c r="A140" s="15">
        <v>99510</v>
      </c>
      <c r="B140" s="25">
        <v>995</v>
      </c>
      <c r="C140" s="26">
        <v>10</v>
      </c>
      <c r="D140" s="20" t="s">
        <v>475</v>
      </c>
      <c r="E140" s="14">
        <v>42279</v>
      </c>
      <c r="F140" s="18">
        <v>1.0138184281842799</v>
      </c>
      <c r="G140" s="18">
        <v>0.97168571428571404</v>
      </c>
      <c r="H140" s="21">
        <v>100</v>
      </c>
      <c r="I140" s="21">
        <v>100</v>
      </c>
      <c r="J140" s="21">
        <v>100</v>
      </c>
      <c r="K140" s="18">
        <v>1</v>
      </c>
      <c r="L140" s="18">
        <v>96</v>
      </c>
      <c r="M140" s="18">
        <v>82</v>
      </c>
      <c r="N140" s="18">
        <v>0</v>
      </c>
      <c r="O140" s="18">
        <v>19.2</v>
      </c>
      <c r="P140" s="18">
        <v>0</v>
      </c>
      <c r="Q140" s="19"/>
      <c r="R140" s="18">
        <v>100</v>
      </c>
      <c r="S140" s="18">
        <v>0</v>
      </c>
      <c r="T140" s="18">
        <v>0</v>
      </c>
      <c r="U140" s="18">
        <v>0</v>
      </c>
      <c r="V140" s="18">
        <v>0</v>
      </c>
      <c r="W140" s="18">
        <v>0</v>
      </c>
      <c r="X140" s="18"/>
      <c r="Y140" s="18">
        <v>0</v>
      </c>
      <c r="Z140" s="18">
        <v>1.875</v>
      </c>
      <c r="AA140" s="18">
        <v>3.2291666666666665</v>
      </c>
      <c r="AB140" s="18">
        <v>0</v>
      </c>
      <c r="AC140" s="18">
        <v>0</v>
      </c>
      <c r="AD140" s="18">
        <v>0</v>
      </c>
      <c r="AE140" s="18">
        <v>0</v>
      </c>
      <c r="AF140" s="18">
        <v>0</v>
      </c>
      <c r="AG140" s="18">
        <v>0</v>
      </c>
      <c r="AH140" s="18">
        <v>0</v>
      </c>
      <c r="AI140" s="18">
        <v>0</v>
      </c>
      <c r="AJ140" s="18">
        <v>0</v>
      </c>
      <c r="AK140" s="18">
        <v>0</v>
      </c>
      <c r="AL140" s="18"/>
      <c r="AM140" s="18">
        <v>67.853658536585399</v>
      </c>
      <c r="AN140" s="18">
        <v>0.146341463414634</v>
      </c>
      <c r="AO140" s="18">
        <v>0.109756097560976</v>
      </c>
      <c r="AP140" s="18">
        <v>0.39024390243902402</v>
      </c>
      <c r="AQ140" s="18">
        <v>0.15853658536585399</v>
      </c>
      <c r="AR140" s="18">
        <v>0.40243902439024398</v>
      </c>
      <c r="AS140" s="18">
        <v>0.53658536585365901</v>
      </c>
      <c r="AT140" s="18">
        <v>0</v>
      </c>
      <c r="AU140" s="18">
        <v>0</v>
      </c>
      <c r="AV140" s="18">
        <v>0</v>
      </c>
      <c r="AW140" s="18">
        <v>0.51219512195121997</v>
      </c>
      <c r="AX140" s="18"/>
      <c r="AY140" s="18">
        <v>1</v>
      </c>
      <c r="AZ140" s="18">
        <v>0.85</v>
      </c>
      <c r="BA140" s="18">
        <v>0.85</v>
      </c>
      <c r="BB140" s="18">
        <v>0.85</v>
      </c>
      <c r="BC140" s="18">
        <v>0.85</v>
      </c>
      <c r="BD140" s="18">
        <v>0.85</v>
      </c>
      <c r="BE140" s="18">
        <v>0.85</v>
      </c>
      <c r="BF140" s="18">
        <v>0.85</v>
      </c>
      <c r="BG140" s="18">
        <v>0.85</v>
      </c>
      <c r="BH140" s="18">
        <v>0.85</v>
      </c>
      <c r="BI140" s="18">
        <v>0.85</v>
      </c>
      <c r="BJ140" s="19"/>
      <c r="BK140" s="18">
        <v>85.416666666666671</v>
      </c>
      <c r="BL140" s="18">
        <v>0</v>
      </c>
      <c r="BM140" s="18">
        <v>20</v>
      </c>
      <c r="BN140" s="18">
        <v>0</v>
      </c>
      <c r="BO140" s="18"/>
      <c r="BP140" s="18">
        <v>0</v>
      </c>
      <c r="BQ140" s="18">
        <v>0</v>
      </c>
      <c r="BR140" s="18">
        <v>1.0560608626919583</v>
      </c>
      <c r="BS140" s="18">
        <v>1.0121726190476188</v>
      </c>
      <c r="BT140" s="19"/>
      <c r="BU140" s="18">
        <v>800</v>
      </c>
      <c r="BV140" s="18">
        <v>22.708333333333332</v>
      </c>
      <c r="BW140" s="18">
        <v>0</v>
      </c>
      <c r="BX140" s="18" t="s">
        <v>217</v>
      </c>
      <c r="BY140" s="18" t="s">
        <v>217</v>
      </c>
      <c r="BZ140" s="18" t="s">
        <v>217</v>
      </c>
      <c r="CA140" s="18" t="s">
        <v>217</v>
      </c>
      <c r="CB140" s="19"/>
      <c r="CC140" s="19">
        <v>0</v>
      </c>
      <c r="CD140" s="19">
        <v>1.7999999999999998</v>
      </c>
      <c r="CE140" s="19">
        <v>3.0999999999999996</v>
      </c>
      <c r="CF140" s="19">
        <v>0</v>
      </c>
      <c r="CG140" s="19">
        <v>0</v>
      </c>
      <c r="CH140" s="19">
        <v>0</v>
      </c>
      <c r="CI140" s="19">
        <v>0</v>
      </c>
      <c r="CJ140" s="19"/>
      <c r="CK140" s="19">
        <v>0</v>
      </c>
      <c r="CL140" s="19">
        <v>0</v>
      </c>
      <c r="CM140" s="19">
        <v>0</v>
      </c>
      <c r="CN140" s="19">
        <v>0</v>
      </c>
      <c r="CO140" s="19">
        <v>0</v>
      </c>
      <c r="CP140" s="19">
        <v>0</v>
      </c>
      <c r="CQ140" s="19">
        <v>820</v>
      </c>
      <c r="CR140" s="19">
        <v>808.82333286108906</v>
      </c>
      <c r="CS140" s="19">
        <v>548.81622244379264</v>
      </c>
      <c r="CT140" s="19">
        <v>1.006097316485745</v>
      </c>
      <c r="CU140" s="19">
        <v>0.75457298736430878</v>
      </c>
      <c r="CV140" s="19">
        <v>1.7606703038500537</v>
      </c>
      <c r="CW140" s="19">
        <v>2.6829261772953203</v>
      </c>
      <c r="CX140" s="19">
        <v>1.0899387595262238</v>
      </c>
      <c r="CY140" s="19">
        <v>2.7667676203357989</v>
      </c>
      <c r="CZ140" s="19">
        <v>3.6890234937810651</v>
      </c>
      <c r="DA140" s="19">
        <v>0</v>
      </c>
      <c r="DB140" s="19">
        <v>0</v>
      </c>
      <c r="DC140" s="19">
        <v>0</v>
      </c>
      <c r="DD140" s="19">
        <v>0</v>
      </c>
      <c r="DE140" s="19">
        <v>3.5213406077001075</v>
      </c>
      <c r="DF140" s="23">
        <v>0</v>
      </c>
      <c r="DG140" s="23">
        <v>0</v>
      </c>
      <c r="DH140" s="23">
        <v>0</v>
      </c>
      <c r="DI140" s="19">
        <v>0</v>
      </c>
      <c r="DJ140" s="19">
        <v>0</v>
      </c>
      <c r="DK140" s="19">
        <v>0</v>
      </c>
      <c r="DL140" s="19">
        <v>0</v>
      </c>
      <c r="DM140" s="19">
        <v>0</v>
      </c>
      <c r="DN140" s="19">
        <v>0</v>
      </c>
      <c r="DO140" s="19">
        <v>0</v>
      </c>
      <c r="DP140" s="19">
        <v>0</v>
      </c>
      <c r="DQ140" s="19">
        <v>0</v>
      </c>
      <c r="DR140" s="19">
        <v>0</v>
      </c>
      <c r="DS140" s="19">
        <v>0</v>
      </c>
      <c r="DT140" s="19">
        <v>0</v>
      </c>
      <c r="DU140" s="19">
        <v>0</v>
      </c>
      <c r="DV140" s="19">
        <v>0</v>
      </c>
      <c r="DW140" s="17" t="s">
        <v>218</v>
      </c>
      <c r="DX140" s="22" t="s">
        <v>218</v>
      </c>
      <c r="DY140" s="22" t="s">
        <v>218</v>
      </c>
      <c r="DZ140" s="22" t="s">
        <v>218</v>
      </c>
      <c r="EA140" s="22" t="s">
        <v>218</v>
      </c>
      <c r="EB140" s="22" t="s">
        <v>218</v>
      </c>
      <c r="EC140" s="22" t="s">
        <v>218</v>
      </c>
      <c r="ED140" s="22" t="s">
        <v>218</v>
      </c>
      <c r="EE140" s="22" t="s">
        <v>218</v>
      </c>
      <c r="EF140" s="22" t="s">
        <v>218</v>
      </c>
      <c r="EG140" s="22" t="s">
        <v>218</v>
      </c>
      <c r="EH140" s="22" t="s">
        <v>218</v>
      </c>
      <c r="EI140" s="22" t="s">
        <v>218</v>
      </c>
      <c r="EJ140" s="22" t="s">
        <v>218</v>
      </c>
      <c r="EK140" s="22" t="s">
        <v>218</v>
      </c>
      <c r="EL140" s="22" t="s">
        <v>218</v>
      </c>
      <c r="EM140" s="22" t="s">
        <v>218</v>
      </c>
      <c r="EN140" s="22" t="s">
        <v>218</v>
      </c>
      <c r="EO140" s="22" t="s">
        <v>218</v>
      </c>
      <c r="EP140" s="22" t="s">
        <v>218</v>
      </c>
      <c r="EQ140" s="22" t="s">
        <v>218</v>
      </c>
      <c r="ER140" s="22" t="s">
        <v>218</v>
      </c>
      <c r="ES140" s="22" t="s">
        <v>218</v>
      </c>
      <c r="ET140" s="22" t="s">
        <v>218</v>
      </c>
      <c r="EU140" s="22" t="s">
        <v>218</v>
      </c>
      <c r="EV140" s="22" t="s">
        <v>218</v>
      </c>
      <c r="EW140" s="22" t="s">
        <v>218</v>
      </c>
      <c r="EX140" s="22" t="s">
        <v>218</v>
      </c>
      <c r="EY140" s="22" t="s">
        <v>218</v>
      </c>
      <c r="EZ140" s="22" t="s">
        <v>218</v>
      </c>
      <c r="FA140" s="22" t="s">
        <v>218</v>
      </c>
      <c r="FB140" s="22" t="s">
        <v>218</v>
      </c>
      <c r="FC140" s="22" t="s">
        <v>218</v>
      </c>
      <c r="FD140" s="22" t="s">
        <v>218</v>
      </c>
      <c r="FE140" s="22" t="s">
        <v>218</v>
      </c>
      <c r="FF140" s="22" t="s">
        <v>218</v>
      </c>
      <c r="FG140" s="22" t="s">
        <v>218</v>
      </c>
      <c r="FH140" s="22" t="s">
        <v>218</v>
      </c>
      <c r="FI140" s="22" t="s">
        <v>218</v>
      </c>
      <c r="FJ140" s="22" t="s">
        <v>218</v>
      </c>
      <c r="FK140" s="22" t="s">
        <v>218</v>
      </c>
      <c r="FL140" s="22" t="s">
        <v>218</v>
      </c>
      <c r="FM140" s="22" t="s">
        <v>218</v>
      </c>
      <c r="FN140" s="22" t="s">
        <v>218</v>
      </c>
      <c r="FO140" s="22" t="s">
        <v>218</v>
      </c>
      <c r="FP140" s="22" t="s">
        <v>218</v>
      </c>
      <c r="FQ140" s="22" t="s">
        <v>218</v>
      </c>
      <c r="FR140" s="22" t="s">
        <v>218</v>
      </c>
      <c r="FS140" s="22" t="s">
        <v>218</v>
      </c>
      <c r="FT140" s="22" t="s">
        <v>218</v>
      </c>
      <c r="FU140" s="22" t="s">
        <v>218</v>
      </c>
      <c r="FV140" s="22" t="s">
        <v>218</v>
      </c>
      <c r="FW140" s="22" t="s">
        <v>218</v>
      </c>
      <c r="FX140" s="22" t="s">
        <v>218</v>
      </c>
      <c r="FY140" s="22" t="s">
        <v>218</v>
      </c>
      <c r="FZ140" s="22" t="s">
        <v>218</v>
      </c>
      <c r="GA140" s="22" t="s">
        <v>218</v>
      </c>
      <c r="GB140" s="22" t="s">
        <v>218</v>
      </c>
      <c r="GC140" s="22" t="s">
        <v>218</v>
      </c>
      <c r="GD140" s="22" t="s">
        <v>218</v>
      </c>
      <c r="GE140" s="22" t="s">
        <v>218</v>
      </c>
      <c r="GF140" s="22" t="s">
        <v>218</v>
      </c>
      <c r="GG140" s="22" t="s">
        <v>218</v>
      </c>
      <c r="GH140" s="22" t="s">
        <v>218</v>
      </c>
      <c r="GI140" s="22" t="s">
        <v>218</v>
      </c>
      <c r="GJ140" s="22" t="s">
        <v>218</v>
      </c>
      <c r="GK140" s="22" t="s">
        <v>218</v>
      </c>
      <c r="GL140" s="22" t="s">
        <v>218</v>
      </c>
      <c r="GM140" s="22" t="s">
        <v>218</v>
      </c>
      <c r="GN140" s="22" t="s">
        <v>218</v>
      </c>
      <c r="GO140" s="22" t="s">
        <v>218</v>
      </c>
      <c r="GP140" s="22" t="s">
        <v>218</v>
      </c>
      <c r="GQ140" s="22" t="s">
        <v>218</v>
      </c>
      <c r="GR140" s="22" t="s">
        <v>218</v>
      </c>
      <c r="GS140" s="22" t="s">
        <v>218</v>
      </c>
      <c r="GT140" s="22" t="s">
        <v>218</v>
      </c>
      <c r="GU140" s="22" t="s">
        <v>218</v>
      </c>
      <c r="GV140" s="22" t="s">
        <v>218</v>
      </c>
      <c r="GW140" s="22" t="s">
        <v>218</v>
      </c>
      <c r="GX140" s="22" t="s">
        <v>218</v>
      </c>
      <c r="GY140" s="22" t="s">
        <v>218</v>
      </c>
      <c r="GZ140" s="22" t="s">
        <v>218</v>
      </c>
      <c r="HA140" s="22" t="s">
        <v>218</v>
      </c>
      <c r="HB140" s="22" t="s">
        <v>218</v>
      </c>
      <c r="HC140" s="22" t="s">
        <v>218</v>
      </c>
      <c r="HD140" s="22" t="s">
        <v>218</v>
      </c>
      <c r="HE140" s="22" t="s">
        <v>218</v>
      </c>
      <c r="HF140" s="22" t="s">
        <v>218</v>
      </c>
      <c r="HG140" s="22" t="s">
        <v>218</v>
      </c>
      <c r="HH140" s="22" t="s">
        <v>218</v>
      </c>
      <c r="HI140" s="22" t="s">
        <v>218</v>
      </c>
      <c r="HJ140" s="22" t="s">
        <v>218</v>
      </c>
      <c r="HK140" s="22" t="s">
        <v>218</v>
      </c>
      <c r="HL140" s="22" t="s">
        <v>218</v>
      </c>
      <c r="HM140" s="860"/>
      <c r="HN140" s="860"/>
      <c r="HO140" s="860"/>
      <c r="HP140" s="860"/>
      <c r="HQ140" s="860"/>
      <c r="HR140" s="860"/>
      <c r="HS140" s="860"/>
      <c r="HT140" s="145"/>
      <c r="HU140" s="145" t="s">
        <v>1809</v>
      </c>
      <c r="HV140" s="22" t="s">
        <v>1926</v>
      </c>
      <c r="HW140" s="22" t="s">
        <v>218</v>
      </c>
      <c r="HX140" s="22" t="s">
        <v>218</v>
      </c>
      <c r="HY140" s="22" t="s">
        <v>218</v>
      </c>
      <c r="HZ140" s="19"/>
      <c r="IA140" s="19"/>
      <c r="IB140" s="621">
        <f>'background data'!$G$10</f>
        <v>0.47300000000000003</v>
      </c>
      <c r="IC140" s="621">
        <f>'background data'!$H$10</f>
        <v>0.13</v>
      </c>
      <c r="ID140" s="621">
        <f>'background data'!$J$10</f>
        <v>0.39100000000000001</v>
      </c>
      <c r="IE140" s="621">
        <f>'background data'!$L$10</f>
        <v>5.5E-2</v>
      </c>
      <c r="IF140" s="621">
        <f>'background data'!$M$10</f>
        <v>3.97</v>
      </c>
      <c r="IG140" s="621">
        <f>'background data'!$N$10</f>
        <v>4.5999999999999999E-3</v>
      </c>
      <c r="IH140" s="621">
        <f>'background data'!$O$10</f>
        <v>2.73</v>
      </c>
      <c r="II140" s="145"/>
      <c r="IJ140" s="145"/>
      <c r="IK140" s="145"/>
      <c r="IL140" s="145"/>
      <c r="IM140" s="145"/>
      <c r="IN140" s="145"/>
      <c r="IO140" s="145"/>
      <c r="IP140" s="145"/>
      <c r="IQ140" s="145"/>
      <c r="IR140" s="145"/>
      <c r="IS140" s="145"/>
      <c r="IT140" s="145"/>
      <c r="IU140" s="145"/>
      <c r="IV140" s="145"/>
      <c r="IW140" s="145"/>
      <c r="IX140" s="145"/>
      <c r="IY140" s="145"/>
      <c r="IZ140" s="145"/>
      <c r="JA140" s="145"/>
      <c r="JB140" s="145"/>
      <c r="JC140" s="145"/>
      <c r="JD140" s="145"/>
      <c r="JE140" s="145"/>
      <c r="JF140" s="145"/>
      <c r="JG140" s="145"/>
      <c r="JH140" s="145"/>
      <c r="JI140" s="145"/>
      <c r="JJ140" s="145"/>
      <c r="JK140" s="145"/>
      <c r="JL140" s="145"/>
      <c r="JM140" s="145"/>
      <c r="JN140" s="145"/>
      <c r="JO140" s="145"/>
      <c r="JP140" s="145"/>
      <c r="JQ140" s="145"/>
      <c r="JR140" s="145"/>
      <c r="JS140" s="145"/>
      <c r="JT140" s="145"/>
      <c r="JU140" s="145"/>
      <c r="JV140" s="145"/>
      <c r="JW140" s="145"/>
      <c r="JX140" s="145"/>
      <c r="JY140" s="145"/>
      <c r="JZ140" s="145"/>
      <c r="KA140" s="145"/>
      <c r="KB140" s="145"/>
      <c r="KC140" s="145"/>
      <c r="KD140" s="145"/>
      <c r="KE140" s="145"/>
      <c r="KF140" s="145"/>
      <c r="KG140" s="145"/>
      <c r="KH140" s="145"/>
      <c r="KI140" s="145"/>
      <c r="KJ140" s="145"/>
      <c r="KK140" s="145"/>
      <c r="KL140" s="145"/>
      <c r="KM140" s="145"/>
      <c r="KN140" s="145"/>
      <c r="KO140" s="145"/>
      <c r="KP140" s="145"/>
      <c r="KQ140" s="145"/>
      <c r="KR140" s="145"/>
      <c r="KS140" s="145"/>
      <c r="KT140" s="145"/>
      <c r="KU140" s="145"/>
      <c r="KV140" s="145"/>
      <c r="KW140" s="145"/>
      <c r="KX140" s="145"/>
      <c r="KY140" s="145"/>
      <c r="KZ140" s="145"/>
      <c r="LA140" s="145"/>
      <c r="LB140" s="145"/>
      <c r="LC140" s="145"/>
      <c r="LD140" s="145"/>
      <c r="LE140" s="145"/>
      <c r="LF140" s="145"/>
      <c r="LG140" s="145"/>
      <c r="LH140" s="145"/>
      <c r="LI140" s="145"/>
      <c r="LJ140" s="145"/>
      <c r="LK140" s="145"/>
      <c r="LL140" s="145"/>
      <c r="LM140" s="145"/>
      <c r="LN140" s="145"/>
      <c r="LO140" s="145"/>
      <c r="LP140" s="145"/>
      <c r="LQ140" s="145"/>
      <c r="LR140" s="145"/>
      <c r="LS140" s="145"/>
      <c r="LT140" s="145"/>
      <c r="LU140" s="145"/>
      <c r="LV140" s="145"/>
      <c r="LW140" s="145"/>
      <c r="LX140" s="145"/>
      <c r="LY140" s="145"/>
      <c r="LZ140" s="145"/>
      <c r="MA140" s="145"/>
      <c r="MB140" s="145"/>
      <c r="MC140" s="145"/>
      <c r="MD140" s="145"/>
      <c r="ME140" s="145"/>
      <c r="MF140" s="145"/>
      <c r="MG140" s="145"/>
      <c r="MH140" s="145"/>
      <c r="MI140" s="145"/>
      <c r="MJ140" s="145"/>
      <c r="MK140" s="145"/>
      <c r="ML140" s="145"/>
      <c r="MM140" s="145"/>
      <c r="MN140" s="145"/>
      <c r="MO140" s="145"/>
      <c r="MP140" s="145"/>
      <c r="MQ140" s="145"/>
      <c r="MR140" s="145"/>
      <c r="MS140" s="145"/>
      <c r="MT140" s="145"/>
      <c r="MU140" s="145"/>
      <c r="MV140" s="145"/>
      <c r="MW140" s="145"/>
      <c r="MX140" s="145"/>
      <c r="MY140" s="145"/>
      <c r="MZ140" s="145"/>
      <c r="NA140" s="145"/>
      <c r="NB140" s="145"/>
      <c r="NC140" s="145"/>
      <c r="ND140" s="145"/>
      <c r="NE140" s="145"/>
      <c r="NF140" s="145"/>
      <c r="NG140" s="145"/>
      <c r="NH140" s="145"/>
      <c r="NI140" s="145"/>
      <c r="NJ140" s="145"/>
      <c r="NK140" s="145"/>
      <c r="NL140" s="145"/>
      <c r="NM140" s="145"/>
      <c r="NN140" s="145"/>
      <c r="NO140" s="145"/>
      <c r="NP140" s="145"/>
      <c r="NQ140" s="145"/>
      <c r="NR140" s="145"/>
      <c r="NS140" s="145"/>
    </row>
    <row r="141" spans="1:383" s="16" customFormat="1" ht="15" customHeight="1" x14ac:dyDescent="0.2">
      <c r="A141" s="15">
        <v>99550</v>
      </c>
      <c r="B141" s="25">
        <v>995</v>
      </c>
      <c r="C141" s="26">
        <v>50</v>
      </c>
      <c r="D141" s="20" t="s">
        <v>476</v>
      </c>
      <c r="E141" s="14">
        <v>41583</v>
      </c>
      <c r="F141" s="18">
        <v>0.79427375400657396</v>
      </c>
      <c r="G141" s="18">
        <v>0.76126497461929199</v>
      </c>
      <c r="H141" s="21">
        <v>100</v>
      </c>
      <c r="I141" s="21">
        <v>100</v>
      </c>
      <c r="J141" s="21">
        <v>100</v>
      </c>
      <c r="K141" s="18">
        <v>1</v>
      </c>
      <c r="L141" s="18">
        <v>55</v>
      </c>
      <c r="M141" s="18">
        <v>32.720812182741099</v>
      </c>
      <c r="N141" s="18">
        <v>0</v>
      </c>
      <c r="O141" s="18">
        <v>0.3</v>
      </c>
      <c r="P141" s="18">
        <v>0</v>
      </c>
      <c r="Q141" s="19"/>
      <c r="R141" s="18">
        <v>100</v>
      </c>
      <c r="S141" s="18">
        <v>0</v>
      </c>
      <c r="T141" s="18">
        <v>0</v>
      </c>
      <c r="U141" s="18">
        <v>0</v>
      </c>
      <c r="V141" s="18">
        <v>0</v>
      </c>
      <c r="W141" s="18">
        <v>0</v>
      </c>
      <c r="X141" s="18"/>
      <c r="Y141" s="18">
        <v>0</v>
      </c>
      <c r="Z141" s="18">
        <v>0</v>
      </c>
      <c r="AA141" s="18">
        <v>0</v>
      </c>
      <c r="AB141" s="18">
        <v>0</v>
      </c>
      <c r="AC141" s="18">
        <v>0</v>
      </c>
      <c r="AD141" s="18">
        <v>0</v>
      </c>
      <c r="AE141" s="18">
        <v>0</v>
      </c>
      <c r="AF141" s="18">
        <v>0</v>
      </c>
      <c r="AG141" s="18">
        <v>0</v>
      </c>
      <c r="AH141" s="18">
        <v>0</v>
      </c>
      <c r="AI141" s="18">
        <v>0</v>
      </c>
      <c r="AJ141" s="18">
        <v>0</v>
      </c>
      <c r="AK141" s="18">
        <v>0</v>
      </c>
      <c r="AL141" s="18"/>
      <c r="AM141" s="18">
        <v>152.807942910332</v>
      </c>
      <c r="AN141" s="18">
        <v>0</v>
      </c>
      <c r="AO141" s="18">
        <v>0</v>
      </c>
      <c r="AP141" s="18">
        <v>0</v>
      </c>
      <c r="AQ141" s="18">
        <v>0</v>
      </c>
      <c r="AR141" s="18">
        <v>0</v>
      </c>
      <c r="AS141" s="18">
        <v>0</v>
      </c>
      <c r="AT141" s="18">
        <v>0</v>
      </c>
      <c r="AU141" s="18">
        <v>0</v>
      </c>
      <c r="AV141" s="18">
        <v>0</v>
      </c>
      <c r="AW141" s="18">
        <v>0</v>
      </c>
      <c r="AX141" s="18"/>
      <c r="AY141" s="18">
        <v>1</v>
      </c>
      <c r="AZ141" s="18">
        <v>0.85</v>
      </c>
      <c r="BA141" s="18">
        <v>0.85</v>
      </c>
      <c r="BB141" s="18">
        <v>0.85</v>
      </c>
      <c r="BC141" s="18">
        <v>0.85</v>
      </c>
      <c r="BD141" s="18">
        <v>0.85</v>
      </c>
      <c r="BE141" s="18">
        <v>0.85</v>
      </c>
      <c r="BF141" s="18">
        <v>0.85</v>
      </c>
      <c r="BG141" s="18">
        <v>0.85</v>
      </c>
      <c r="BH141" s="18">
        <v>0.85</v>
      </c>
      <c r="BI141" s="18">
        <v>0.85</v>
      </c>
      <c r="BJ141" s="19"/>
      <c r="BK141" s="18">
        <v>59.492385786801997</v>
      </c>
      <c r="BL141" s="18">
        <v>0</v>
      </c>
      <c r="BM141" s="18">
        <v>0.54545454545454541</v>
      </c>
      <c r="BN141" s="18">
        <v>0</v>
      </c>
      <c r="BO141" s="18"/>
      <c r="BP141" s="18">
        <v>0</v>
      </c>
      <c r="BQ141" s="18">
        <v>0</v>
      </c>
      <c r="BR141" s="18">
        <v>1.4441340981937709</v>
      </c>
      <c r="BS141" s="18">
        <v>1.38411813567144</v>
      </c>
      <c r="BT141" s="19"/>
      <c r="BU141" s="18">
        <v>994.5454545454545</v>
      </c>
      <c r="BV141" s="18">
        <v>453.16474388555633</v>
      </c>
      <c r="BW141" s="18">
        <v>0</v>
      </c>
      <c r="BX141" s="18" t="s">
        <v>217</v>
      </c>
      <c r="BY141" s="18" t="s">
        <v>217</v>
      </c>
      <c r="BZ141" s="18" t="s">
        <v>217</v>
      </c>
      <c r="CA141" s="18" t="s">
        <v>217</v>
      </c>
      <c r="CB141" s="19"/>
      <c r="CC141" s="19">
        <v>0</v>
      </c>
      <c r="CD141" s="19">
        <v>0</v>
      </c>
      <c r="CE141" s="19">
        <v>0</v>
      </c>
      <c r="CF141" s="19">
        <v>0</v>
      </c>
      <c r="CG141" s="19">
        <v>0</v>
      </c>
      <c r="CH141" s="19">
        <v>0</v>
      </c>
      <c r="CI141" s="19">
        <v>0</v>
      </c>
      <c r="CJ141" s="19"/>
      <c r="CK141" s="19">
        <v>0</v>
      </c>
      <c r="CL141" s="19">
        <v>0</v>
      </c>
      <c r="CM141" s="19">
        <v>0</v>
      </c>
      <c r="CN141" s="19">
        <v>0</v>
      </c>
      <c r="CO141" s="19">
        <v>0</v>
      </c>
      <c r="CP141" s="19">
        <v>0</v>
      </c>
      <c r="CQ141" s="19">
        <v>327.20812182741099</v>
      </c>
      <c r="CR141" s="19">
        <v>411.95887460320489</v>
      </c>
      <c r="CS141" s="19">
        <v>629.5058819177118</v>
      </c>
      <c r="CT141" s="19">
        <v>0</v>
      </c>
      <c r="CU141" s="19">
        <v>0</v>
      </c>
      <c r="CV141" s="19">
        <v>0</v>
      </c>
      <c r="CW141" s="19">
        <v>0</v>
      </c>
      <c r="CX141" s="19">
        <v>0</v>
      </c>
      <c r="CY141" s="19">
        <v>0</v>
      </c>
      <c r="CZ141" s="19">
        <v>0</v>
      </c>
      <c r="DA141" s="19">
        <v>0</v>
      </c>
      <c r="DB141" s="19">
        <v>0</v>
      </c>
      <c r="DC141" s="19">
        <v>0</v>
      </c>
      <c r="DD141" s="19">
        <v>0</v>
      </c>
      <c r="DE141" s="19">
        <v>0</v>
      </c>
      <c r="DF141" s="23">
        <v>0</v>
      </c>
      <c r="DG141" s="23">
        <v>0</v>
      </c>
      <c r="DH141" s="23">
        <v>0</v>
      </c>
      <c r="DI141" s="19">
        <v>0</v>
      </c>
      <c r="DJ141" s="19">
        <v>0</v>
      </c>
      <c r="DK141" s="19">
        <v>0</v>
      </c>
      <c r="DL141" s="19">
        <v>0</v>
      </c>
      <c r="DM141" s="19">
        <v>0</v>
      </c>
      <c r="DN141" s="19">
        <v>0</v>
      </c>
      <c r="DO141" s="19">
        <v>0</v>
      </c>
      <c r="DP141" s="19">
        <v>0</v>
      </c>
      <c r="DQ141" s="19">
        <v>0</v>
      </c>
      <c r="DR141" s="19">
        <v>0</v>
      </c>
      <c r="DS141" s="19">
        <v>0</v>
      </c>
      <c r="DT141" s="19">
        <v>0</v>
      </c>
      <c r="DU141" s="19">
        <v>0</v>
      </c>
      <c r="DV141" s="19">
        <v>0</v>
      </c>
      <c r="DW141" s="17" t="s">
        <v>218</v>
      </c>
      <c r="DX141" s="22" t="s">
        <v>218</v>
      </c>
      <c r="DY141" s="22" t="s">
        <v>218</v>
      </c>
      <c r="DZ141" s="22" t="s">
        <v>218</v>
      </c>
      <c r="EA141" s="22" t="s">
        <v>218</v>
      </c>
      <c r="EB141" s="22" t="s">
        <v>218</v>
      </c>
      <c r="EC141" s="22" t="s">
        <v>218</v>
      </c>
      <c r="ED141" s="22" t="s">
        <v>218</v>
      </c>
      <c r="EE141" s="22" t="s">
        <v>218</v>
      </c>
      <c r="EF141" s="22" t="s">
        <v>218</v>
      </c>
      <c r="EG141" s="22" t="s">
        <v>218</v>
      </c>
      <c r="EH141" s="22" t="s">
        <v>218</v>
      </c>
      <c r="EI141" s="22" t="s">
        <v>218</v>
      </c>
      <c r="EJ141" s="22" t="s">
        <v>218</v>
      </c>
      <c r="EK141" s="22" t="s">
        <v>218</v>
      </c>
      <c r="EL141" s="22" t="s">
        <v>218</v>
      </c>
      <c r="EM141" s="22" t="s">
        <v>218</v>
      </c>
      <c r="EN141" s="22" t="s">
        <v>218</v>
      </c>
      <c r="EO141" s="22" t="s">
        <v>218</v>
      </c>
      <c r="EP141" s="22" t="s">
        <v>218</v>
      </c>
      <c r="EQ141" s="22" t="s">
        <v>218</v>
      </c>
      <c r="ER141" s="22" t="s">
        <v>218</v>
      </c>
      <c r="ES141" s="22" t="s">
        <v>218</v>
      </c>
      <c r="ET141" s="22" t="s">
        <v>218</v>
      </c>
      <c r="EU141" s="22" t="s">
        <v>218</v>
      </c>
      <c r="EV141" s="22" t="s">
        <v>218</v>
      </c>
      <c r="EW141" s="22" t="s">
        <v>218</v>
      </c>
      <c r="EX141" s="22" t="s">
        <v>218</v>
      </c>
      <c r="EY141" s="22" t="s">
        <v>218</v>
      </c>
      <c r="EZ141" s="22" t="s">
        <v>218</v>
      </c>
      <c r="FA141" s="22" t="s">
        <v>218</v>
      </c>
      <c r="FB141" s="22" t="s">
        <v>218</v>
      </c>
      <c r="FC141" s="22" t="s">
        <v>218</v>
      </c>
      <c r="FD141" s="22" t="s">
        <v>218</v>
      </c>
      <c r="FE141" s="22" t="s">
        <v>218</v>
      </c>
      <c r="FF141" s="22" t="s">
        <v>218</v>
      </c>
      <c r="FG141" s="22" t="s">
        <v>218</v>
      </c>
      <c r="FH141" s="22" t="s">
        <v>218</v>
      </c>
      <c r="FI141" s="22" t="s">
        <v>218</v>
      </c>
      <c r="FJ141" s="22" t="s">
        <v>218</v>
      </c>
      <c r="FK141" s="22" t="s">
        <v>218</v>
      </c>
      <c r="FL141" s="22" t="s">
        <v>218</v>
      </c>
      <c r="FM141" s="22" t="s">
        <v>218</v>
      </c>
      <c r="FN141" s="22" t="s">
        <v>218</v>
      </c>
      <c r="FO141" s="22" t="s">
        <v>218</v>
      </c>
      <c r="FP141" s="22" t="s">
        <v>218</v>
      </c>
      <c r="FQ141" s="22" t="s">
        <v>218</v>
      </c>
      <c r="FR141" s="22" t="s">
        <v>218</v>
      </c>
      <c r="FS141" s="22" t="s">
        <v>218</v>
      </c>
      <c r="FT141" s="22" t="s">
        <v>218</v>
      </c>
      <c r="FU141" s="22" t="s">
        <v>218</v>
      </c>
      <c r="FV141" s="22" t="s">
        <v>218</v>
      </c>
      <c r="FW141" s="22" t="s">
        <v>218</v>
      </c>
      <c r="FX141" s="22" t="s">
        <v>218</v>
      </c>
      <c r="FY141" s="22" t="s">
        <v>218</v>
      </c>
      <c r="FZ141" s="22" t="s">
        <v>218</v>
      </c>
      <c r="GA141" s="22" t="s">
        <v>218</v>
      </c>
      <c r="GB141" s="22" t="s">
        <v>218</v>
      </c>
      <c r="GC141" s="22" t="s">
        <v>218</v>
      </c>
      <c r="GD141" s="22" t="s">
        <v>218</v>
      </c>
      <c r="GE141" s="22" t="s">
        <v>218</v>
      </c>
      <c r="GF141" s="22" t="s">
        <v>218</v>
      </c>
      <c r="GG141" s="22" t="s">
        <v>218</v>
      </c>
      <c r="GH141" s="22" t="s">
        <v>218</v>
      </c>
      <c r="GI141" s="22" t="s">
        <v>218</v>
      </c>
      <c r="GJ141" s="22" t="s">
        <v>218</v>
      </c>
      <c r="GK141" s="22" t="s">
        <v>218</v>
      </c>
      <c r="GL141" s="22" t="s">
        <v>218</v>
      </c>
      <c r="GM141" s="22" t="s">
        <v>218</v>
      </c>
      <c r="GN141" s="22" t="s">
        <v>218</v>
      </c>
      <c r="GO141" s="22" t="s">
        <v>218</v>
      </c>
      <c r="GP141" s="22" t="s">
        <v>218</v>
      </c>
      <c r="GQ141" s="22" t="s">
        <v>218</v>
      </c>
      <c r="GR141" s="22" t="s">
        <v>218</v>
      </c>
      <c r="GS141" s="22" t="s">
        <v>218</v>
      </c>
      <c r="GT141" s="22" t="s">
        <v>218</v>
      </c>
      <c r="GU141" s="22" t="s">
        <v>218</v>
      </c>
      <c r="GV141" s="22" t="s">
        <v>218</v>
      </c>
      <c r="GW141" s="22" t="s">
        <v>218</v>
      </c>
      <c r="GX141" s="22" t="s">
        <v>218</v>
      </c>
      <c r="GY141" s="22" t="s">
        <v>218</v>
      </c>
      <c r="GZ141" s="22" t="s">
        <v>218</v>
      </c>
      <c r="HA141" s="22" t="s">
        <v>218</v>
      </c>
      <c r="HB141" s="22" t="s">
        <v>218</v>
      </c>
      <c r="HC141" s="22" t="s">
        <v>218</v>
      </c>
      <c r="HD141" s="22" t="s">
        <v>218</v>
      </c>
      <c r="HE141" s="22" t="s">
        <v>218</v>
      </c>
      <c r="HF141" s="22" t="s">
        <v>218</v>
      </c>
      <c r="HG141" s="22" t="s">
        <v>218</v>
      </c>
      <c r="HH141" s="22" t="s">
        <v>218</v>
      </c>
      <c r="HI141" s="22" t="s">
        <v>218</v>
      </c>
      <c r="HJ141" s="22" t="s">
        <v>218</v>
      </c>
      <c r="HK141" s="22" t="s">
        <v>218</v>
      </c>
      <c r="HL141" s="22" t="s">
        <v>218</v>
      </c>
      <c r="HM141" s="860"/>
      <c r="HN141" s="860"/>
      <c r="HO141" s="860"/>
      <c r="HP141" s="860"/>
      <c r="HQ141" s="860"/>
      <c r="HR141" s="860"/>
      <c r="HS141" s="860"/>
      <c r="HT141" s="145"/>
      <c r="HU141" s="145" t="s">
        <v>1809</v>
      </c>
      <c r="HV141" s="22" t="s">
        <v>1926</v>
      </c>
      <c r="HW141" s="22" t="s">
        <v>218</v>
      </c>
      <c r="HX141" s="22" t="s">
        <v>218</v>
      </c>
      <c r="HY141" s="22" t="s">
        <v>218</v>
      </c>
      <c r="HZ141" s="19"/>
      <c r="IA141" s="19"/>
      <c r="IB141" s="621">
        <f>'background data'!$G$10</f>
        <v>0.47300000000000003</v>
      </c>
      <c r="IC141" s="621">
        <f>'background data'!$H$10</f>
        <v>0.13</v>
      </c>
      <c r="ID141" s="621">
        <f>'background data'!$J$10</f>
        <v>0.39100000000000001</v>
      </c>
      <c r="IE141" s="621">
        <f>'background data'!$L$10</f>
        <v>5.5E-2</v>
      </c>
      <c r="IF141" s="621">
        <f>'background data'!$M$10</f>
        <v>3.97</v>
      </c>
      <c r="IG141" s="621">
        <f>'background data'!$N$10</f>
        <v>4.5999999999999999E-3</v>
      </c>
      <c r="IH141" s="621">
        <f>'background data'!$O$10</f>
        <v>2.73</v>
      </c>
      <c r="II141" s="145"/>
      <c r="IJ141" s="145"/>
      <c r="IK141" s="145"/>
      <c r="IL141" s="145"/>
      <c r="IM141" s="145"/>
      <c r="IN141" s="145"/>
      <c r="IO141" s="145"/>
      <c r="IP141" s="145"/>
      <c r="IQ141" s="145"/>
      <c r="IR141" s="145"/>
      <c r="IS141" s="145"/>
      <c r="IT141" s="145"/>
      <c r="IU141" s="145"/>
      <c r="IV141" s="145"/>
      <c r="IW141" s="145"/>
      <c r="IX141" s="145"/>
      <c r="IY141" s="145"/>
      <c r="IZ141" s="145"/>
      <c r="JA141" s="145"/>
      <c r="JB141" s="145"/>
      <c r="JC141" s="145"/>
      <c r="JD141" s="145"/>
      <c r="JE141" s="145"/>
      <c r="JF141" s="145"/>
      <c r="JG141" s="145"/>
      <c r="JH141" s="145"/>
      <c r="JI141" s="145"/>
      <c r="JJ141" s="145"/>
      <c r="JK141" s="145"/>
      <c r="JL141" s="145"/>
      <c r="JM141" s="145"/>
      <c r="JN141" s="145"/>
      <c r="JO141" s="145"/>
      <c r="JP141" s="145"/>
      <c r="JQ141" s="145"/>
      <c r="JR141" s="145"/>
      <c r="JS141" s="145"/>
      <c r="JT141" s="145"/>
      <c r="JU141" s="145"/>
      <c r="JV141" s="145"/>
      <c r="JW141" s="145"/>
      <c r="JX141" s="145"/>
      <c r="JY141" s="145"/>
      <c r="JZ141" s="145"/>
      <c r="KA141" s="145"/>
      <c r="KB141" s="145"/>
      <c r="KC141" s="145"/>
      <c r="KD141" s="145"/>
      <c r="KE141" s="145"/>
      <c r="KF141" s="145"/>
      <c r="KG141" s="145"/>
      <c r="KH141" s="145"/>
      <c r="KI141" s="145"/>
      <c r="KJ141" s="145"/>
      <c r="KK141" s="145"/>
      <c r="KL141" s="145"/>
      <c r="KM141" s="145"/>
      <c r="KN141" s="145"/>
      <c r="KO141" s="145"/>
      <c r="KP141" s="145"/>
      <c r="KQ141" s="145"/>
      <c r="KR141" s="145"/>
      <c r="KS141" s="145"/>
      <c r="KT141" s="145"/>
      <c r="KU141" s="145"/>
      <c r="KV141" s="145"/>
      <c r="KW141" s="145"/>
      <c r="KX141" s="145"/>
      <c r="KY141" s="145"/>
      <c r="KZ141" s="145"/>
      <c r="LA141" s="145"/>
      <c r="LB141" s="145"/>
      <c r="LC141" s="145"/>
      <c r="LD141" s="145"/>
      <c r="LE141" s="145"/>
      <c r="LF141" s="145"/>
      <c r="LG141" s="145"/>
      <c r="LH141" s="145"/>
      <c r="LI141" s="145"/>
      <c r="LJ141" s="145"/>
      <c r="LK141" s="145"/>
      <c r="LL141" s="145"/>
      <c r="LM141" s="145"/>
      <c r="LN141" s="145"/>
      <c r="LO141" s="145"/>
      <c r="LP141" s="145"/>
      <c r="LQ141" s="145"/>
      <c r="LR141" s="145"/>
      <c r="LS141" s="145"/>
      <c r="LT141" s="145"/>
      <c r="LU141" s="145"/>
      <c r="LV141" s="145"/>
      <c r="LW141" s="145"/>
      <c r="LX141" s="145"/>
      <c r="LY141" s="145"/>
      <c r="LZ141" s="145"/>
      <c r="MA141" s="145"/>
      <c r="MB141" s="145"/>
      <c r="MC141" s="145"/>
      <c r="MD141" s="145"/>
      <c r="ME141" s="145"/>
      <c r="MF141" s="145"/>
      <c r="MG141" s="145"/>
      <c r="MH141" s="145"/>
      <c r="MI141" s="145"/>
      <c r="MJ141" s="145"/>
      <c r="MK141" s="145"/>
      <c r="ML141" s="145"/>
      <c r="MM141" s="145"/>
      <c r="MN141" s="145"/>
      <c r="MO141" s="145"/>
      <c r="MP141" s="145"/>
      <c r="MQ141" s="145"/>
      <c r="MR141" s="145"/>
      <c r="MS141" s="145"/>
      <c r="MT141" s="145"/>
      <c r="MU141" s="145"/>
      <c r="MV141" s="145"/>
      <c r="MW141" s="145"/>
      <c r="MX141" s="145"/>
      <c r="MY141" s="145"/>
      <c r="MZ141" s="145"/>
      <c r="NA141" s="145"/>
      <c r="NB141" s="145"/>
      <c r="NC141" s="145"/>
      <c r="ND141" s="145"/>
      <c r="NE141" s="145"/>
      <c r="NF141" s="145"/>
      <c r="NG141" s="145"/>
      <c r="NH141" s="145"/>
      <c r="NI141" s="145"/>
      <c r="NJ141" s="145"/>
      <c r="NK141" s="145"/>
      <c r="NL141" s="145"/>
      <c r="NM141" s="145"/>
      <c r="NN141" s="145"/>
      <c r="NO141" s="145"/>
      <c r="NP141" s="145"/>
      <c r="NQ141" s="145"/>
      <c r="NR141" s="145"/>
      <c r="NS141" s="145"/>
    </row>
    <row r="142" spans="1:383" s="16" customFormat="1" ht="15" customHeight="1" x14ac:dyDescent="0.2">
      <c r="A142" s="15">
        <v>99551</v>
      </c>
      <c r="B142" s="25">
        <v>995</v>
      </c>
      <c r="C142" s="26">
        <v>51</v>
      </c>
      <c r="D142" s="20" t="s">
        <v>477</v>
      </c>
      <c r="E142" s="14">
        <v>41583</v>
      </c>
      <c r="F142" s="18">
        <v>0.79427375400657396</v>
      </c>
      <c r="G142" s="18">
        <v>0.76126497461929199</v>
      </c>
      <c r="H142" s="21">
        <v>100</v>
      </c>
      <c r="I142" s="21">
        <v>100</v>
      </c>
      <c r="J142" s="21">
        <v>100</v>
      </c>
      <c r="K142" s="18">
        <v>1</v>
      </c>
      <c r="L142" s="18">
        <v>55</v>
      </c>
      <c r="M142" s="18">
        <v>32.720812182741099</v>
      </c>
      <c r="N142" s="18">
        <v>0</v>
      </c>
      <c r="O142" s="18">
        <v>0.3</v>
      </c>
      <c r="P142" s="18">
        <v>0</v>
      </c>
      <c r="Q142" s="19"/>
      <c r="R142" s="18">
        <v>75</v>
      </c>
      <c r="S142" s="18">
        <v>0</v>
      </c>
      <c r="T142" s="18">
        <v>0</v>
      </c>
      <c r="U142" s="18">
        <v>0</v>
      </c>
      <c r="V142" s="18">
        <v>0</v>
      </c>
      <c r="W142" s="18">
        <v>0</v>
      </c>
      <c r="X142" s="18"/>
      <c r="Y142" s="18">
        <v>0</v>
      </c>
      <c r="Z142" s="18">
        <v>0</v>
      </c>
      <c r="AA142" s="18">
        <v>0</v>
      </c>
      <c r="AB142" s="18">
        <v>0</v>
      </c>
      <c r="AC142" s="18">
        <v>0</v>
      </c>
      <c r="AD142" s="18">
        <v>0</v>
      </c>
      <c r="AE142" s="18">
        <v>0</v>
      </c>
      <c r="AF142" s="18">
        <v>0</v>
      </c>
      <c r="AG142" s="18">
        <v>0</v>
      </c>
      <c r="AH142" s="18">
        <v>0</v>
      </c>
      <c r="AI142" s="18">
        <v>0</v>
      </c>
      <c r="AJ142" s="18">
        <v>0</v>
      </c>
      <c r="AK142" s="18">
        <v>0</v>
      </c>
      <c r="AL142" s="18"/>
      <c r="AM142" s="18">
        <v>152.807942910332</v>
      </c>
      <c r="AN142" s="18">
        <v>0</v>
      </c>
      <c r="AO142" s="18">
        <v>0</v>
      </c>
      <c r="AP142" s="18">
        <v>0</v>
      </c>
      <c r="AQ142" s="18">
        <v>0</v>
      </c>
      <c r="AR142" s="18">
        <v>0</v>
      </c>
      <c r="AS142" s="18">
        <v>0</v>
      </c>
      <c r="AT142" s="18">
        <v>0</v>
      </c>
      <c r="AU142" s="18">
        <v>0</v>
      </c>
      <c r="AV142" s="18">
        <v>0</v>
      </c>
      <c r="AW142" s="18">
        <v>0</v>
      </c>
      <c r="AX142" s="18"/>
      <c r="AY142" s="18">
        <v>1</v>
      </c>
      <c r="AZ142" s="18">
        <v>0.85</v>
      </c>
      <c r="BA142" s="18">
        <v>0.85</v>
      </c>
      <c r="BB142" s="18">
        <v>0.85</v>
      </c>
      <c r="BC142" s="18">
        <v>0.85</v>
      </c>
      <c r="BD142" s="18">
        <v>0.85</v>
      </c>
      <c r="BE142" s="18">
        <v>0.85</v>
      </c>
      <c r="BF142" s="18">
        <v>0.85</v>
      </c>
      <c r="BG142" s="18">
        <v>0.85</v>
      </c>
      <c r="BH142" s="18">
        <v>0.85</v>
      </c>
      <c r="BI142" s="18">
        <v>0.85</v>
      </c>
      <c r="BJ142" s="19"/>
      <c r="BK142" s="18">
        <v>59.492385786801997</v>
      </c>
      <c r="BL142" s="18">
        <v>0</v>
      </c>
      <c r="BM142" s="18">
        <v>0.54545454545454541</v>
      </c>
      <c r="BN142" s="18">
        <v>0</v>
      </c>
      <c r="BO142" s="18"/>
      <c r="BP142" s="18">
        <v>0</v>
      </c>
      <c r="BQ142" s="18">
        <v>0</v>
      </c>
      <c r="BR142" s="18">
        <v>1.4441340981937709</v>
      </c>
      <c r="BS142" s="18">
        <v>1.38411813567144</v>
      </c>
      <c r="BT142" s="19"/>
      <c r="BU142" s="18">
        <v>994.5454545454545</v>
      </c>
      <c r="BV142" s="18">
        <v>453.16474388555633</v>
      </c>
      <c r="BW142" s="18">
        <v>0</v>
      </c>
      <c r="BX142" s="18" t="s">
        <v>217</v>
      </c>
      <c r="BY142" s="18" t="s">
        <v>217</v>
      </c>
      <c r="BZ142" s="18" t="s">
        <v>217</v>
      </c>
      <c r="CA142" s="18" t="s">
        <v>217</v>
      </c>
      <c r="CB142" s="19"/>
      <c r="CC142" s="19">
        <v>0</v>
      </c>
      <c r="CD142" s="19">
        <v>0</v>
      </c>
      <c r="CE142" s="19">
        <v>0</v>
      </c>
      <c r="CF142" s="19">
        <v>0</v>
      </c>
      <c r="CG142" s="19">
        <v>0</v>
      </c>
      <c r="CH142" s="19">
        <v>0</v>
      </c>
      <c r="CI142" s="19">
        <v>0</v>
      </c>
      <c r="CJ142" s="19"/>
      <c r="CK142" s="19">
        <v>0</v>
      </c>
      <c r="CL142" s="19">
        <v>0</v>
      </c>
      <c r="CM142" s="19">
        <v>0</v>
      </c>
      <c r="CN142" s="19">
        <v>0</v>
      </c>
      <c r="CO142" s="19">
        <v>0</v>
      </c>
      <c r="CP142" s="19">
        <v>0</v>
      </c>
      <c r="CQ142" s="19">
        <v>245.40609137055799</v>
      </c>
      <c r="CR142" s="19">
        <v>308.96915595240336</v>
      </c>
      <c r="CS142" s="19">
        <v>472.12941143828385</v>
      </c>
      <c r="CT142" s="19">
        <v>0</v>
      </c>
      <c r="CU142" s="19">
        <v>0</v>
      </c>
      <c r="CV142" s="19">
        <v>0</v>
      </c>
      <c r="CW142" s="19">
        <v>0</v>
      </c>
      <c r="CX142" s="19">
        <v>0</v>
      </c>
      <c r="CY142" s="19">
        <v>0</v>
      </c>
      <c r="CZ142" s="19">
        <v>0</v>
      </c>
      <c r="DA142" s="19">
        <v>0</v>
      </c>
      <c r="DB142" s="19">
        <v>0</v>
      </c>
      <c r="DC142" s="19">
        <v>0</v>
      </c>
      <c r="DD142" s="19">
        <v>0</v>
      </c>
      <c r="DE142" s="19">
        <v>0</v>
      </c>
      <c r="DF142" s="23">
        <v>0</v>
      </c>
      <c r="DG142" s="23">
        <v>0</v>
      </c>
      <c r="DH142" s="23">
        <v>0</v>
      </c>
      <c r="DI142" s="19">
        <v>0</v>
      </c>
      <c r="DJ142" s="19">
        <v>0</v>
      </c>
      <c r="DK142" s="19">
        <v>0</v>
      </c>
      <c r="DL142" s="19">
        <v>0</v>
      </c>
      <c r="DM142" s="19">
        <v>0</v>
      </c>
      <c r="DN142" s="19">
        <v>0</v>
      </c>
      <c r="DO142" s="19">
        <v>0</v>
      </c>
      <c r="DP142" s="19">
        <v>0</v>
      </c>
      <c r="DQ142" s="19">
        <v>0</v>
      </c>
      <c r="DR142" s="19">
        <v>0</v>
      </c>
      <c r="DS142" s="19">
        <v>0</v>
      </c>
      <c r="DT142" s="19">
        <v>0</v>
      </c>
      <c r="DU142" s="19">
        <v>0</v>
      </c>
      <c r="DV142" s="19">
        <v>0</v>
      </c>
      <c r="DW142" s="17" t="s">
        <v>218</v>
      </c>
      <c r="DX142" s="22" t="s">
        <v>218</v>
      </c>
      <c r="DY142" s="22" t="s">
        <v>218</v>
      </c>
      <c r="DZ142" s="22" t="s">
        <v>218</v>
      </c>
      <c r="EA142" s="22" t="s">
        <v>218</v>
      </c>
      <c r="EB142" s="22" t="s">
        <v>218</v>
      </c>
      <c r="EC142" s="22" t="s">
        <v>218</v>
      </c>
      <c r="ED142" s="22" t="s">
        <v>218</v>
      </c>
      <c r="EE142" s="22" t="s">
        <v>218</v>
      </c>
      <c r="EF142" s="22" t="s">
        <v>218</v>
      </c>
      <c r="EG142" s="22" t="s">
        <v>218</v>
      </c>
      <c r="EH142" s="22" t="s">
        <v>218</v>
      </c>
      <c r="EI142" s="22" t="s">
        <v>218</v>
      </c>
      <c r="EJ142" s="22" t="s">
        <v>218</v>
      </c>
      <c r="EK142" s="22" t="s">
        <v>218</v>
      </c>
      <c r="EL142" s="22" t="s">
        <v>218</v>
      </c>
      <c r="EM142" s="22" t="s">
        <v>218</v>
      </c>
      <c r="EN142" s="22" t="s">
        <v>218</v>
      </c>
      <c r="EO142" s="22" t="s">
        <v>218</v>
      </c>
      <c r="EP142" s="22" t="s">
        <v>218</v>
      </c>
      <c r="EQ142" s="22" t="s">
        <v>218</v>
      </c>
      <c r="ER142" s="22" t="s">
        <v>218</v>
      </c>
      <c r="ES142" s="22" t="s">
        <v>218</v>
      </c>
      <c r="ET142" s="22" t="s">
        <v>218</v>
      </c>
      <c r="EU142" s="22" t="s">
        <v>218</v>
      </c>
      <c r="EV142" s="22" t="s">
        <v>218</v>
      </c>
      <c r="EW142" s="22" t="s">
        <v>218</v>
      </c>
      <c r="EX142" s="22" t="s">
        <v>218</v>
      </c>
      <c r="EY142" s="22" t="s">
        <v>218</v>
      </c>
      <c r="EZ142" s="22" t="s">
        <v>218</v>
      </c>
      <c r="FA142" s="22" t="s">
        <v>218</v>
      </c>
      <c r="FB142" s="22" t="s">
        <v>218</v>
      </c>
      <c r="FC142" s="22" t="s">
        <v>218</v>
      </c>
      <c r="FD142" s="22" t="s">
        <v>218</v>
      </c>
      <c r="FE142" s="22" t="s">
        <v>218</v>
      </c>
      <c r="FF142" s="22" t="s">
        <v>218</v>
      </c>
      <c r="FG142" s="22" t="s">
        <v>218</v>
      </c>
      <c r="FH142" s="22" t="s">
        <v>218</v>
      </c>
      <c r="FI142" s="22" t="s">
        <v>218</v>
      </c>
      <c r="FJ142" s="22" t="s">
        <v>218</v>
      </c>
      <c r="FK142" s="22" t="s">
        <v>218</v>
      </c>
      <c r="FL142" s="22" t="s">
        <v>218</v>
      </c>
      <c r="FM142" s="22" t="s">
        <v>218</v>
      </c>
      <c r="FN142" s="22" t="s">
        <v>218</v>
      </c>
      <c r="FO142" s="22" t="s">
        <v>218</v>
      </c>
      <c r="FP142" s="22" t="s">
        <v>218</v>
      </c>
      <c r="FQ142" s="22" t="s">
        <v>218</v>
      </c>
      <c r="FR142" s="22" t="s">
        <v>218</v>
      </c>
      <c r="FS142" s="22" t="s">
        <v>218</v>
      </c>
      <c r="FT142" s="22" t="s">
        <v>218</v>
      </c>
      <c r="FU142" s="22" t="s">
        <v>218</v>
      </c>
      <c r="FV142" s="22" t="s">
        <v>218</v>
      </c>
      <c r="FW142" s="22" t="s">
        <v>218</v>
      </c>
      <c r="FX142" s="22" t="s">
        <v>218</v>
      </c>
      <c r="FY142" s="22" t="s">
        <v>218</v>
      </c>
      <c r="FZ142" s="22" t="s">
        <v>218</v>
      </c>
      <c r="GA142" s="22" t="s">
        <v>218</v>
      </c>
      <c r="GB142" s="22" t="s">
        <v>218</v>
      </c>
      <c r="GC142" s="22" t="s">
        <v>218</v>
      </c>
      <c r="GD142" s="22" t="s">
        <v>218</v>
      </c>
      <c r="GE142" s="22" t="s">
        <v>218</v>
      </c>
      <c r="GF142" s="22" t="s">
        <v>218</v>
      </c>
      <c r="GG142" s="22" t="s">
        <v>218</v>
      </c>
      <c r="GH142" s="22" t="s">
        <v>218</v>
      </c>
      <c r="GI142" s="22" t="s">
        <v>218</v>
      </c>
      <c r="GJ142" s="22" t="s">
        <v>218</v>
      </c>
      <c r="GK142" s="22" t="s">
        <v>218</v>
      </c>
      <c r="GL142" s="22" t="s">
        <v>218</v>
      </c>
      <c r="GM142" s="22" t="s">
        <v>218</v>
      </c>
      <c r="GN142" s="22" t="s">
        <v>218</v>
      </c>
      <c r="GO142" s="22" t="s">
        <v>218</v>
      </c>
      <c r="GP142" s="22" t="s">
        <v>218</v>
      </c>
      <c r="GQ142" s="22" t="s">
        <v>218</v>
      </c>
      <c r="GR142" s="22" t="s">
        <v>218</v>
      </c>
      <c r="GS142" s="22" t="s">
        <v>218</v>
      </c>
      <c r="GT142" s="22" t="s">
        <v>218</v>
      </c>
      <c r="GU142" s="22" t="s">
        <v>218</v>
      </c>
      <c r="GV142" s="22" t="s">
        <v>218</v>
      </c>
      <c r="GW142" s="22" t="s">
        <v>218</v>
      </c>
      <c r="GX142" s="22" t="s">
        <v>218</v>
      </c>
      <c r="GY142" s="22" t="s">
        <v>218</v>
      </c>
      <c r="GZ142" s="22" t="s">
        <v>218</v>
      </c>
      <c r="HA142" s="22" t="s">
        <v>218</v>
      </c>
      <c r="HB142" s="22" t="s">
        <v>218</v>
      </c>
      <c r="HC142" s="22" t="s">
        <v>218</v>
      </c>
      <c r="HD142" s="22" t="s">
        <v>218</v>
      </c>
      <c r="HE142" s="22" t="s">
        <v>218</v>
      </c>
      <c r="HF142" s="22" t="s">
        <v>218</v>
      </c>
      <c r="HG142" s="22" t="s">
        <v>218</v>
      </c>
      <c r="HH142" s="22" t="s">
        <v>218</v>
      </c>
      <c r="HI142" s="22" t="s">
        <v>218</v>
      </c>
      <c r="HJ142" s="22" t="s">
        <v>218</v>
      </c>
      <c r="HK142" s="22" t="s">
        <v>218</v>
      </c>
      <c r="HL142" s="22" t="s">
        <v>218</v>
      </c>
      <c r="HM142" s="860"/>
      <c r="HN142" s="860"/>
      <c r="HO142" s="860"/>
      <c r="HP142" s="860"/>
      <c r="HQ142" s="860"/>
      <c r="HR142" s="860"/>
      <c r="HS142" s="860"/>
      <c r="HT142" s="145"/>
      <c r="HU142" s="145" t="s">
        <v>1809</v>
      </c>
      <c r="HV142" s="22" t="s">
        <v>1926</v>
      </c>
      <c r="HW142" s="22" t="s">
        <v>218</v>
      </c>
      <c r="HX142" s="22" t="s">
        <v>218</v>
      </c>
      <c r="HY142" s="22" t="s">
        <v>218</v>
      </c>
      <c r="HZ142" s="19"/>
      <c r="IA142" s="19"/>
      <c r="IB142" s="621">
        <f>'background data'!$G$10</f>
        <v>0.47300000000000003</v>
      </c>
      <c r="IC142" s="621">
        <f>'background data'!$H$10</f>
        <v>0.13</v>
      </c>
      <c r="ID142" s="621">
        <f>'background data'!$J$10</f>
        <v>0.39100000000000001</v>
      </c>
      <c r="IE142" s="621">
        <f>'background data'!$L$10</f>
        <v>5.5E-2</v>
      </c>
      <c r="IF142" s="621">
        <f>'background data'!$M$10</f>
        <v>3.97</v>
      </c>
      <c r="IG142" s="621">
        <f>'background data'!$N$10</f>
        <v>4.5999999999999999E-3</v>
      </c>
      <c r="IH142" s="621">
        <f>'background data'!$O$10</f>
        <v>2.73</v>
      </c>
      <c r="II142" s="145"/>
      <c r="IJ142" s="145"/>
      <c r="IK142" s="145"/>
      <c r="IL142" s="145"/>
      <c r="IM142" s="145"/>
      <c r="IN142" s="145"/>
      <c r="IO142" s="145"/>
      <c r="IP142" s="145"/>
      <c r="IQ142" s="145"/>
      <c r="IR142" s="145"/>
      <c r="IS142" s="145"/>
      <c r="IT142" s="145"/>
      <c r="IU142" s="145"/>
      <c r="IV142" s="145"/>
      <c r="IW142" s="145"/>
      <c r="IX142" s="145"/>
      <c r="IY142" s="145"/>
      <c r="IZ142" s="145"/>
      <c r="JA142" s="145"/>
      <c r="JB142" s="145"/>
      <c r="JC142" s="145"/>
      <c r="JD142" s="145"/>
      <c r="JE142" s="145"/>
      <c r="JF142" s="145"/>
      <c r="JG142" s="145"/>
      <c r="JH142" s="145"/>
      <c r="JI142" s="145"/>
      <c r="JJ142" s="145"/>
      <c r="JK142" s="145"/>
      <c r="JL142" s="145"/>
      <c r="JM142" s="145"/>
      <c r="JN142" s="145"/>
      <c r="JO142" s="145"/>
      <c r="JP142" s="145"/>
      <c r="JQ142" s="145"/>
      <c r="JR142" s="145"/>
      <c r="JS142" s="145"/>
      <c r="JT142" s="145"/>
      <c r="JU142" s="145"/>
      <c r="JV142" s="145"/>
      <c r="JW142" s="145"/>
      <c r="JX142" s="145"/>
      <c r="JY142" s="145"/>
      <c r="JZ142" s="145"/>
      <c r="KA142" s="145"/>
      <c r="KB142" s="145"/>
      <c r="KC142" s="145"/>
      <c r="KD142" s="145"/>
      <c r="KE142" s="145"/>
      <c r="KF142" s="145"/>
      <c r="KG142" s="145"/>
      <c r="KH142" s="145"/>
      <c r="KI142" s="145"/>
      <c r="KJ142" s="145"/>
      <c r="KK142" s="145"/>
      <c r="KL142" s="145"/>
      <c r="KM142" s="145"/>
      <c r="KN142" s="145"/>
      <c r="KO142" s="145"/>
      <c r="KP142" s="145"/>
      <c r="KQ142" s="145"/>
      <c r="KR142" s="145"/>
      <c r="KS142" s="145"/>
      <c r="KT142" s="145"/>
      <c r="KU142" s="145"/>
      <c r="KV142" s="145"/>
      <c r="KW142" s="145"/>
      <c r="KX142" s="145"/>
      <c r="KY142" s="145"/>
      <c r="KZ142" s="145"/>
      <c r="LA142" s="145"/>
      <c r="LB142" s="145"/>
      <c r="LC142" s="145"/>
      <c r="LD142" s="145"/>
      <c r="LE142" s="145"/>
      <c r="LF142" s="145"/>
      <c r="LG142" s="145"/>
      <c r="LH142" s="145"/>
      <c r="LI142" s="145"/>
      <c r="LJ142" s="145"/>
      <c r="LK142" s="145"/>
      <c r="LL142" s="145"/>
      <c r="LM142" s="145"/>
      <c r="LN142" s="145"/>
      <c r="LO142" s="145"/>
      <c r="LP142" s="145"/>
      <c r="LQ142" s="145"/>
      <c r="LR142" s="145"/>
      <c r="LS142" s="145"/>
      <c r="LT142" s="145"/>
      <c r="LU142" s="145"/>
      <c r="LV142" s="145"/>
      <c r="LW142" s="145"/>
      <c r="LX142" s="145"/>
      <c r="LY142" s="145"/>
      <c r="LZ142" s="145"/>
      <c r="MA142" s="145"/>
      <c r="MB142" s="145"/>
      <c r="MC142" s="145"/>
      <c r="MD142" s="145"/>
      <c r="ME142" s="145"/>
      <c r="MF142" s="145"/>
      <c r="MG142" s="145"/>
      <c r="MH142" s="145"/>
      <c r="MI142" s="145"/>
      <c r="MJ142" s="145"/>
      <c r="MK142" s="145"/>
      <c r="ML142" s="145"/>
      <c r="MM142" s="145"/>
      <c r="MN142" s="145"/>
      <c r="MO142" s="145"/>
      <c r="MP142" s="145"/>
      <c r="MQ142" s="145"/>
      <c r="MR142" s="145"/>
      <c r="MS142" s="145"/>
      <c r="MT142" s="145"/>
      <c r="MU142" s="145"/>
      <c r="MV142" s="145"/>
      <c r="MW142" s="145"/>
      <c r="MX142" s="145"/>
      <c r="MY142" s="145"/>
      <c r="MZ142" s="145"/>
      <c r="NA142" s="145"/>
      <c r="NB142" s="145"/>
      <c r="NC142" s="145"/>
      <c r="ND142" s="145"/>
      <c r="NE142" s="145"/>
      <c r="NF142" s="145"/>
      <c r="NG142" s="145"/>
      <c r="NH142" s="145"/>
      <c r="NI142" s="145"/>
      <c r="NJ142" s="145"/>
      <c r="NK142" s="145"/>
      <c r="NL142" s="145"/>
      <c r="NM142" s="145"/>
      <c r="NN142" s="145"/>
      <c r="NO142" s="145"/>
      <c r="NP142" s="145"/>
      <c r="NQ142" s="145"/>
      <c r="NR142" s="145"/>
      <c r="NS142" s="145"/>
    </row>
    <row r="143" spans="1:383" s="16" customFormat="1" ht="15" customHeight="1" x14ac:dyDescent="0.2">
      <c r="A143" s="15">
        <v>78300</v>
      </c>
      <c r="B143" s="25">
        <v>783</v>
      </c>
      <c r="C143" s="26">
        <v>0</v>
      </c>
      <c r="D143" s="20" t="s">
        <v>478</v>
      </c>
      <c r="E143" s="14">
        <v>41495</v>
      </c>
      <c r="F143" s="18">
        <v>1.5182291424699901</v>
      </c>
      <c r="G143" s="18">
        <v>1.4564522578849699</v>
      </c>
      <c r="H143" s="21">
        <v>99.7</v>
      </c>
      <c r="I143" s="21">
        <v>99.5</v>
      </c>
      <c r="J143" s="21">
        <v>94.4</v>
      </c>
      <c r="K143" s="18">
        <v>1</v>
      </c>
      <c r="L143" s="18">
        <v>99</v>
      </c>
      <c r="M143" s="18">
        <v>1</v>
      </c>
      <c r="N143" s="18">
        <v>0.45</v>
      </c>
      <c r="O143" s="18">
        <v>3</v>
      </c>
      <c r="P143" s="18">
        <v>0</v>
      </c>
      <c r="Q143" s="19"/>
      <c r="R143" s="18">
        <v>85</v>
      </c>
      <c r="S143" s="18">
        <v>58</v>
      </c>
      <c r="T143" s="18">
        <v>58</v>
      </c>
      <c r="U143" s="18">
        <v>58</v>
      </c>
      <c r="V143" s="18">
        <v>58</v>
      </c>
      <c r="W143" s="18">
        <v>58</v>
      </c>
      <c r="X143" s="18"/>
      <c r="Y143" s="18">
        <v>1.595959595959596</v>
      </c>
      <c r="Z143" s="18">
        <v>1.5151515151515151</v>
      </c>
      <c r="AA143" s="18">
        <v>1.1919191919191918</v>
      </c>
      <c r="AB143" s="18">
        <v>15</v>
      </c>
      <c r="AC143" s="18">
        <v>22</v>
      </c>
      <c r="AD143" s="18">
        <v>1.5353535353535355</v>
      </c>
      <c r="AE143" s="18">
        <v>2</v>
      </c>
      <c r="AF143" s="18">
        <v>4</v>
      </c>
      <c r="AG143" s="18">
        <v>3</v>
      </c>
      <c r="AH143" s="18">
        <v>2</v>
      </c>
      <c r="AI143" s="18">
        <v>2</v>
      </c>
      <c r="AJ143" s="18">
        <v>0</v>
      </c>
      <c r="AK143" s="18">
        <v>0.05</v>
      </c>
      <c r="AL143" s="18"/>
      <c r="AM143" s="18">
        <v>7.47</v>
      </c>
      <c r="AN143" s="18">
        <v>1.45</v>
      </c>
      <c r="AO143" s="18">
        <v>1.82</v>
      </c>
      <c r="AP143" s="18">
        <v>6.07</v>
      </c>
      <c r="AQ143" s="18">
        <v>1.29</v>
      </c>
      <c r="AR143" s="18">
        <v>5.88</v>
      </c>
      <c r="AS143" s="18">
        <v>8.6300000000000008</v>
      </c>
      <c r="AT143" s="18">
        <v>2.15</v>
      </c>
      <c r="AU143" s="18">
        <v>3</v>
      </c>
      <c r="AV143" s="18">
        <v>2.75</v>
      </c>
      <c r="AW143" s="18">
        <v>5.29</v>
      </c>
      <c r="AX143" s="18"/>
      <c r="AY143" s="18">
        <v>0.89</v>
      </c>
      <c r="AZ143" s="18">
        <v>1.06</v>
      </c>
      <c r="BA143" s="18">
        <v>1.04</v>
      </c>
      <c r="BB143" s="18">
        <v>1.01</v>
      </c>
      <c r="BC143" s="18">
        <v>1.08</v>
      </c>
      <c r="BD143" s="18">
        <v>1.05</v>
      </c>
      <c r="BE143" s="18">
        <v>1.0900000000000001</v>
      </c>
      <c r="BF143" s="18">
        <v>1.05</v>
      </c>
      <c r="BG143" s="18">
        <v>1.02</v>
      </c>
      <c r="BH143" s="18">
        <v>1.1200000000000001</v>
      </c>
      <c r="BI143" s="18">
        <v>1.05</v>
      </c>
      <c r="BJ143" s="19"/>
      <c r="BK143" s="18">
        <v>1.0101010101010102</v>
      </c>
      <c r="BL143" s="18">
        <v>0.45454545454545453</v>
      </c>
      <c r="BM143" s="18">
        <v>3.0303030303030303</v>
      </c>
      <c r="BN143" s="18">
        <v>0</v>
      </c>
      <c r="BO143" s="18"/>
      <c r="BP143" s="18">
        <v>34</v>
      </c>
      <c r="BQ143" s="18">
        <v>1.5454545454545454</v>
      </c>
      <c r="BR143" s="18">
        <v>1.5335647903737273</v>
      </c>
      <c r="BS143" s="18">
        <v>1.471163896853505</v>
      </c>
      <c r="BT143" s="19"/>
      <c r="BU143" s="18">
        <v>969.69696969696975</v>
      </c>
      <c r="BV143" s="18">
        <v>950.41630591630599</v>
      </c>
      <c r="BW143" s="18">
        <v>2.7705627705628082</v>
      </c>
      <c r="BX143" s="18">
        <v>0</v>
      </c>
      <c r="BY143" s="18">
        <v>775</v>
      </c>
      <c r="BZ143" s="18">
        <v>0</v>
      </c>
      <c r="CA143" s="18">
        <v>0</v>
      </c>
      <c r="CB143" s="19"/>
      <c r="CC143" s="19">
        <v>1.58</v>
      </c>
      <c r="CD143" s="19">
        <v>1.5</v>
      </c>
      <c r="CE143" s="19">
        <v>1.18</v>
      </c>
      <c r="CF143" s="19">
        <v>14.85</v>
      </c>
      <c r="CG143" s="19">
        <v>21.78</v>
      </c>
      <c r="CH143" s="19">
        <v>1.52</v>
      </c>
      <c r="CI143" s="19">
        <v>1.98</v>
      </c>
      <c r="CJ143" s="19"/>
      <c r="CK143" s="19">
        <v>3.96</v>
      </c>
      <c r="CL143" s="19">
        <v>2.9699999999999998</v>
      </c>
      <c r="CM143" s="19">
        <v>1.98</v>
      </c>
      <c r="CN143" s="19">
        <v>1.98</v>
      </c>
      <c r="CO143" s="19">
        <v>0</v>
      </c>
      <c r="CP143" s="19">
        <v>4.9500000000000002E-2</v>
      </c>
      <c r="CQ143" s="19">
        <v>7.8</v>
      </c>
      <c r="CR143" s="19">
        <v>5.1375644043495745</v>
      </c>
      <c r="CS143" s="19">
        <v>0.36226415671695722</v>
      </c>
      <c r="CT143" s="19">
        <v>6.5866210312174031E-2</v>
      </c>
      <c r="CU143" s="19">
        <v>0.13173242062434806</v>
      </c>
      <c r="CV143" s="19">
        <v>0.19759863093652208</v>
      </c>
      <c r="CW143" s="19">
        <v>0.30298456743600055</v>
      </c>
      <c r="CX143" s="19">
        <v>7.2452831343391436E-2</v>
      </c>
      <c r="CY143" s="19">
        <v>0.34565928509725807</v>
      </c>
      <c r="CZ143" s="19">
        <v>0.52664612846199843</v>
      </c>
      <c r="DA143" s="19">
        <v>0.10538593649947846</v>
      </c>
      <c r="DB143" s="19">
        <v>0.17131801302196467</v>
      </c>
      <c r="DC143" s="19">
        <v>0.1724377385972716</v>
      </c>
      <c r="DD143" s="19">
        <v>0.34375575161923633</v>
      </c>
      <c r="DE143" s="19">
        <v>0.29639794640478317</v>
      </c>
      <c r="DF143" s="23">
        <v>0</v>
      </c>
      <c r="DG143" s="23">
        <v>0</v>
      </c>
      <c r="DH143" s="23">
        <v>0</v>
      </c>
      <c r="DI143" s="19">
        <v>0</v>
      </c>
      <c r="DJ143" s="19">
        <v>0</v>
      </c>
      <c r="DK143" s="19">
        <v>0</v>
      </c>
      <c r="DL143" s="19">
        <v>0</v>
      </c>
      <c r="DM143" s="19">
        <v>0</v>
      </c>
      <c r="DN143" s="19">
        <v>0</v>
      </c>
      <c r="DO143" s="19">
        <v>0</v>
      </c>
      <c r="DP143" s="19">
        <v>0</v>
      </c>
      <c r="DQ143" s="19">
        <v>0</v>
      </c>
      <c r="DR143" s="19">
        <v>0</v>
      </c>
      <c r="DS143" s="19">
        <v>0</v>
      </c>
      <c r="DT143" s="19">
        <v>0</v>
      </c>
      <c r="DU143" s="19">
        <v>0</v>
      </c>
      <c r="DV143" s="19">
        <v>0</v>
      </c>
      <c r="DW143" s="17" t="s">
        <v>479</v>
      </c>
      <c r="DX143" s="22" t="s">
        <v>218</v>
      </c>
      <c r="DY143" s="22" t="s">
        <v>218</v>
      </c>
      <c r="DZ143" s="22" t="s">
        <v>218</v>
      </c>
      <c r="EA143" s="22" t="s">
        <v>218</v>
      </c>
      <c r="EB143" s="22" t="s">
        <v>218</v>
      </c>
      <c r="EC143" s="22" t="s">
        <v>218</v>
      </c>
      <c r="ED143" s="22" t="s">
        <v>218</v>
      </c>
      <c r="EE143" s="22" t="s">
        <v>218</v>
      </c>
      <c r="EF143" s="22" t="s">
        <v>218</v>
      </c>
      <c r="EG143" s="22" t="s">
        <v>218</v>
      </c>
      <c r="EH143" s="22" t="s">
        <v>218</v>
      </c>
      <c r="EI143" s="22" t="s">
        <v>218</v>
      </c>
      <c r="EJ143" s="22" t="s">
        <v>218</v>
      </c>
      <c r="EK143" s="22" t="s">
        <v>218</v>
      </c>
      <c r="EL143" s="22" t="s">
        <v>218</v>
      </c>
      <c r="EM143" s="22" t="s">
        <v>218</v>
      </c>
      <c r="EN143" s="22" t="s">
        <v>218</v>
      </c>
      <c r="EO143" s="22" t="s">
        <v>218</v>
      </c>
      <c r="EP143" s="22" t="s">
        <v>218</v>
      </c>
      <c r="EQ143" s="22" t="s">
        <v>218</v>
      </c>
      <c r="ER143" s="22" t="s">
        <v>218</v>
      </c>
      <c r="ES143" s="22" t="s">
        <v>218</v>
      </c>
      <c r="ET143" s="22" t="s">
        <v>218</v>
      </c>
      <c r="EU143" s="22" t="s">
        <v>218</v>
      </c>
      <c r="EV143" s="22" t="s">
        <v>218</v>
      </c>
      <c r="EW143" s="22" t="s">
        <v>218</v>
      </c>
      <c r="EX143" s="22" t="s">
        <v>218</v>
      </c>
      <c r="EY143" s="22" t="s">
        <v>218</v>
      </c>
      <c r="EZ143" s="22" t="s">
        <v>218</v>
      </c>
      <c r="FA143" s="22" t="s">
        <v>218</v>
      </c>
      <c r="FB143" s="22" t="s">
        <v>218</v>
      </c>
      <c r="FC143" s="22" t="s">
        <v>218</v>
      </c>
      <c r="FD143" s="22" t="s">
        <v>218</v>
      </c>
      <c r="FE143" s="22" t="s">
        <v>218</v>
      </c>
      <c r="FF143" s="22" t="s">
        <v>218</v>
      </c>
      <c r="FG143" s="22" t="s">
        <v>218</v>
      </c>
      <c r="FH143" s="22" t="s">
        <v>218</v>
      </c>
      <c r="FI143" s="22" t="s">
        <v>218</v>
      </c>
      <c r="FJ143" s="22" t="s">
        <v>218</v>
      </c>
      <c r="FK143" s="22" t="s">
        <v>218</v>
      </c>
      <c r="FL143" s="22" t="s">
        <v>218</v>
      </c>
      <c r="FM143" s="22" t="s">
        <v>218</v>
      </c>
      <c r="FN143" s="22" t="s">
        <v>218</v>
      </c>
      <c r="FO143" s="22" t="s">
        <v>218</v>
      </c>
      <c r="FP143" s="22" t="s">
        <v>218</v>
      </c>
      <c r="FQ143" s="22" t="s">
        <v>218</v>
      </c>
      <c r="FR143" s="22" t="s">
        <v>218</v>
      </c>
      <c r="FS143" s="22" t="s">
        <v>218</v>
      </c>
      <c r="FT143" s="22" t="s">
        <v>218</v>
      </c>
      <c r="FU143" s="22" t="s">
        <v>218</v>
      </c>
      <c r="FV143" s="22" t="s">
        <v>218</v>
      </c>
      <c r="FW143" s="22" t="s">
        <v>218</v>
      </c>
      <c r="FX143" s="22" t="s">
        <v>218</v>
      </c>
      <c r="FY143" s="22" t="s">
        <v>218</v>
      </c>
      <c r="FZ143" s="22" t="s">
        <v>218</v>
      </c>
      <c r="GA143" s="22" t="s">
        <v>218</v>
      </c>
      <c r="GB143" s="22" t="s">
        <v>218</v>
      </c>
      <c r="GC143" s="22" t="s">
        <v>218</v>
      </c>
      <c r="GD143" s="22" t="s">
        <v>218</v>
      </c>
      <c r="GE143" s="22" t="s">
        <v>218</v>
      </c>
      <c r="GF143" s="22" t="s">
        <v>218</v>
      </c>
      <c r="GG143" s="22" t="s">
        <v>218</v>
      </c>
      <c r="GH143" s="22" t="s">
        <v>218</v>
      </c>
      <c r="GI143" s="22" t="s">
        <v>218</v>
      </c>
      <c r="GJ143" s="22" t="s">
        <v>218</v>
      </c>
      <c r="GK143" s="22" t="s">
        <v>218</v>
      </c>
      <c r="GL143" s="22" t="s">
        <v>218</v>
      </c>
      <c r="GM143" s="22" t="s">
        <v>218</v>
      </c>
      <c r="GN143" s="22" t="s">
        <v>218</v>
      </c>
      <c r="GO143" s="22" t="s">
        <v>218</v>
      </c>
      <c r="GP143" s="22" t="s">
        <v>218</v>
      </c>
      <c r="GQ143" s="22" t="s">
        <v>218</v>
      </c>
      <c r="GR143" s="22" t="s">
        <v>218</v>
      </c>
      <c r="GS143" s="22" t="s">
        <v>218</v>
      </c>
      <c r="GT143" s="22" t="s">
        <v>218</v>
      </c>
      <c r="GU143" s="22" t="s">
        <v>218</v>
      </c>
      <c r="GV143" s="22" t="s">
        <v>218</v>
      </c>
      <c r="GW143" s="22" t="s">
        <v>218</v>
      </c>
      <c r="GX143" s="22" t="s">
        <v>218</v>
      </c>
      <c r="GY143" s="22" t="s">
        <v>218</v>
      </c>
      <c r="GZ143" s="22" t="s">
        <v>218</v>
      </c>
      <c r="HA143" s="22" t="s">
        <v>218</v>
      </c>
      <c r="HB143" s="22" t="s">
        <v>218</v>
      </c>
      <c r="HC143" s="22" t="s">
        <v>218</v>
      </c>
      <c r="HD143" s="22" t="s">
        <v>218</v>
      </c>
      <c r="HE143" s="22" t="s">
        <v>218</v>
      </c>
      <c r="HF143" s="22" t="s">
        <v>218</v>
      </c>
      <c r="HG143" s="22" t="s">
        <v>218</v>
      </c>
      <c r="HH143" s="22" t="s">
        <v>218</v>
      </c>
      <c r="HI143" s="22" t="s">
        <v>218</v>
      </c>
      <c r="HJ143" s="22" t="s">
        <v>218</v>
      </c>
      <c r="HK143" s="22" t="s">
        <v>218</v>
      </c>
      <c r="HL143" s="22" t="s">
        <v>218</v>
      </c>
      <c r="HM143" s="860"/>
      <c r="HN143" s="860"/>
      <c r="HO143" s="860"/>
      <c r="HP143" s="860"/>
      <c r="HQ143" s="860"/>
      <c r="HR143" s="860"/>
      <c r="HS143" s="860"/>
      <c r="HT143" s="145"/>
      <c r="HU143" s="145" t="s">
        <v>1809</v>
      </c>
      <c r="HV143" s="22" t="s">
        <v>1958</v>
      </c>
      <c r="HW143" s="22">
        <v>0</v>
      </c>
      <c r="HX143" s="22">
        <v>0</v>
      </c>
      <c r="HY143" s="22">
        <v>0</v>
      </c>
      <c r="HZ143" s="19"/>
      <c r="IA143" s="19"/>
      <c r="IB143" s="621">
        <f>'background data'!$G$10</f>
        <v>0.47300000000000003</v>
      </c>
      <c r="IC143" s="621">
        <f>'background data'!$H$10</f>
        <v>0.13</v>
      </c>
      <c r="ID143" s="621">
        <f>'background data'!$J$10</f>
        <v>0.39100000000000001</v>
      </c>
      <c r="IE143" s="621">
        <f>'background data'!$L$10</f>
        <v>5.5E-2</v>
      </c>
      <c r="IF143" s="621">
        <f>'background data'!$M$10</f>
        <v>3.97</v>
      </c>
      <c r="IG143" s="621">
        <f>'background data'!$N$10</f>
        <v>4.5999999999999999E-3</v>
      </c>
      <c r="IH143" s="621">
        <f>'background data'!$O$10</f>
        <v>2.73</v>
      </c>
      <c r="II143" s="145"/>
      <c r="IJ143" s="145"/>
      <c r="IK143" s="145"/>
      <c r="IL143" s="145"/>
      <c r="IM143" s="145"/>
      <c r="IN143" s="145"/>
      <c r="IO143" s="145"/>
      <c r="IP143" s="145"/>
      <c r="IQ143" s="145"/>
      <c r="IR143" s="145"/>
      <c r="IS143" s="145"/>
      <c r="IT143" s="145"/>
      <c r="IU143" s="145"/>
      <c r="IV143" s="145"/>
      <c r="IW143" s="145"/>
      <c r="IX143" s="145"/>
      <c r="IY143" s="145"/>
      <c r="IZ143" s="145"/>
      <c r="JA143" s="145"/>
      <c r="JB143" s="145"/>
      <c r="JC143" s="145"/>
      <c r="JD143" s="145"/>
      <c r="JE143" s="145"/>
      <c r="JF143" s="145"/>
      <c r="JG143" s="145"/>
      <c r="JH143" s="145"/>
      <c r="JI143" s="145"/>
      <c r="JJ143" s="145"/>
      <c r="JK143" s="145"/>
      <c r="JL143" s="145"/>
      <c r="JM143" s="145"/>
      <c r="JN143" s="145"/>
      <c r="JO143" s="145"/>
      <c r="JP143" s="145"/>
      <c r="JQ143" s="145"/>
      <c r="JR143" s="145"/>
      <c r="JS143" s="145"/>
      <c r="JT143" s="145"/>
      <c r="JU143" s="145"/>
      <c r="JV143" s="145"/>
      <c r="JW143" s="145"/>
      <c r="JX143" s="145"/>
      <c r="JY143" s="145"/>
      <c r="JZ143" s="145"/>
      <c r="KA143" s="145"/>
      <c r="KB143" s="145"/>
      <c r="KC143" s="145"/>
      <c r="KD143" s="145"/>
      <c r="KE143" s="145"/>
      <c r="KF143" s="145"/>
      <c r="KG143" s="145"/>
      <c r="KH143" s="145"/>
      <c r="KI143" s="145"/>
      <c r="KJ143" s="145"/>
      <c r="KK143" s="145"/>
      <c r="KL143" s="145"/>
      <c r="KM143" s="145"/>
      <c r="KN143" s="145"/>
      <c r="KO143" s="145"/>
      <c r="KP143" s="145"/>
      <c r="KQ143" s="145"/>
      <c r="KR143" s="145"/>
      <c r="KS143" s="145"/>
      <c r="KT143" s="145"/>
      <c r="KU143" s="145"/>
      <c r="KV143" s="145"/>
      <c r="KW143" s="145"/>
      <c r="KX143" s="145"/>
      <c r="KY143" s="145"/>
      <c r="KZ143" s="145"/>
      <c r="LA143" s="145"/>
      <c r="LB143" s="145"/>
      <c r="LC143" s="145"/>
      <c r="LD143" s="145"/>
      <c r="LE143" s="145"/>
      <c r="LF143" s="145"/>
      <c r="LG143" s="145"/>
      <c r="LH143" s="145"/>
      <c r="LI143" s="145"/>
      <c r="LJ143" s="145"/>
      <c r="LK143" s="145"/>
      <c r="LL143" s="145"/>
      <c r="LM143" s="145"/>
      <c r="LN143" s="145"/>
      <c r="LO143" s="145"/>
      <c r="LP143" s="145"/>
      <c r="LQ143" s="145"/>
      <c r="LR143" s="145"/>
      <c r="LS143" s="145"/>
      <c r="LT143" s="145"/>
      <c r="LU143" s="145"/>
      <c r="LV143" s="145"/>
      <c r="LW143" s="145"/>
      <c r="LX143" s="145"/>
      <c r="LY143" s="145"/>
      <c r="LZ143" s="145"/>
      <c r="MA143" s="145"/>
      <c r="MB143" s="145"/>
      <c r="MC143" s="145"/>
      <c r="MD143" s="145"/>
      <c r="ME143" s="145"/>
      <c r="MF143" s="145"/>
      <c r="MG143" s="145"/>
      <c r="MH143" s="145"/>
      <c r="MI143" s="145"/>
      <c r="MJ143" s="145"/>
      <c r="MK143" s="145"/>
      <c r="ML143" s="145"/>
      <c r="MM143" s="145"/>
      <c r="MN143" s="145"/>
      <c r="MO143" s="145"/>
      <c r="MP143" s="145"/>
      <c r="MQ143" s="145"/>
      <c r="MR143" s="145"/>
      <c r="MS143" s="145"/>
      <c r="MT143" s="145"/>
      <c r="MU143" s="145"/>
      <c r="MV143" s="145"/>
      <c r="MW143" s="145"/>
      <c r="MX143" s="145"/>
      <c r="MY143" s="145"/>
      <c r="MZ143" s="145"/>
      <c r="NA143" s="145"/>
      <c r="NB143" s="145"/>
      <c r="NC143" s="145"/>
      <c r="ND143" s="145"/>
      <c r="NE143" s="145"/>
      <c r="NF143" s="145"/>
      <c r="NG143" s="145"/>
      <c r="NH143" s="145"/>
      <c r="NI143" s="145"/>
      <c r="NJ143" s="145"/>
      <c r="NK143" s="145"/>
      <c r="NL143" s="145"/>
      <c r="NM143" s="145"/>
      <c r="NN143" s="145"/>
      <c r="NO143" s="145"/>
      <c r="NP143" s="145"/>
      <c r="NQ143" s="145"/>
      <c r="NR143" s="145"/>
      <c r="NS143" s="145"/>
    </row>
    <row r="144" spans="1:383" s="16" customFormat="1" ht="15" customHeight="1" x14ac:dyDescent="0.2">
      <c r="A144" s="15">
        <v>89100</v>
      </c>
      <c r="B144" s="25">
        <v>891</v>
      </c>
      <c r="C144" s="26">
        <v>0</v>
      </c>
      <c r="D144" s="20" t="s">
        <v>480</v>
      </c>
      <c r="E144" s="14">
        <v>40310</v>
      </c>
      <c r="F144" s="18">
        <v>3.5421593455150502</v>
      </c>
      <c r="G144" s="18">
        <v>3.4007932441430002</v>
      </c>
      <c r="H144" s="21">
        <v>97</v>
      </c>
      <c r="I144" s="21">
        <v>97</v>
      </c>
      <c r="J144" s="21">
        <v>90</v>
      </c>
      <c r="K144" s="18">
        <v>0.93</v>
      </c>
      <c r="L144" s="18">
        <v>99.5</v>
      </c>
      <c r="M144" s="18">
        <v>1.0050505050505E-4</v>
      </c>
      <c r="N144" s="18">
        <v>99.5</v>
      </c>
      <c r="O144" s="18">
        <v>0</v>
      </c>
      <c r="P144" s="18">
        <v>0</v>
      </c>
      <c r="Q144" s="19"/>
      <c r="R144" s="18">
        <v>0</v>
      </c>
      <c r="S144" s="18">
        <v>0</v>
      </c>
      <c r="T144" s="18">
        <v>0</v>
      </c>
      <c r="U144" s="18">
        <v>0</v>
      </c>
      <c r="V144" s="18">
        <v>0</v>
      </c>
      <c r="W144" s="18">
        <v>0</v>
      </c>
      <c r="X144" s="18"/>
      <c r="Y144" s="18">
        <v>0</v>
      </c>
      <c r="Z144" s="18">
        <v>0</v>
      </c>
      <c r="AA144" s="18">
        <v>0</v>
      </c>
      <c r="AB144" s="18">
        <v>0</v>
      </c>
      <c r="AC144" s="18">
        <v>0</v>
      </c>
      <c r="AD144" s="18">
        <v>0</v>
      </c>
      <c r="AE144" s="18">
        <v>0</v>
      </c>
      <c r="AF144" s="18">
        <v>0</v>
      </c>
      <c r="AG144" s="18">
        <v>0</v>
      </c>
      <c r="AH144" s="18">
        <v>0</v>
      </c>
      <c r="AI144" s="18">
        <v>0</v>
      </c>
      <c r="AJ144" s="18">
        <v>0</v>
      </c>
      <c r="AK144" s="18">
        <v>0</v>
      </c>
      <c r="AL144" s="18"/>
      <c r="AM144" s="18">
        <v>0</v>
      </c>
      <c r="AN144" s="18">
        <v>0</v>
      </c>
      <c r="AO144" s="18">
        <v>0</v>
      </c>
      <c r="AP144" s="18">
        <v>0</v>
      </c>
      <c r="AQ144" s="18">
        <v>0</v>
      </c>
      <c r="AR144" s="18">
        <v>0</v>
      </c>
      <c r="AS144" s="18">
        <v>0</v>
      </c>
      <c r="AT144" s="18">
        <v>0</v>
      </c>
      <c r="AU144" s="18">
        <v>0</v>
      </c>
      <c r="AV144" s="18">
        <v>0</v>
      </c>
      <c r="AW144" s="18">
        <v>0</v>
      </c>
      <c r="AX144" s="18"/>
      <c r="AY144" s="18">
        <v>1</v>
      </c>
      <c r="AZ144" s="18">
        <v>1</v>
      </c>
      <c r="BA144" s="18">
        <v>1</v>
      </c>
      <c r="BB144" s="18">
        <v>1</v>
      </c>
      <c r="BC144" s="18">
        <v>1</v>
      </c>
      <c r="BD144" s="18">
        <v>1</v>
      </c>
      <c r="BE144" s="18">
        <v>1</v>
      </c>
      <c r="BF144" s="18">
        <v>1</v>
      </c>
      <c r="BG144" s="18">
        <v>1</v>
      </c>
      <c r="BH144" s="18">
        <v>1</v>
      </c>
      <c r="BI144" s="18">
        <v>1</v>
      </c>
      <c r="BJ144" s="19"/>
      <c r="BK144" s="18">
        <v>1.010101010101005E-4</v>
      </c>
      <c r="BL144" s="18">
        <v>100</v>
      </c>
      <c r="BM144" s="18">
        <v>0</v>
      </c>
      <c r="BN144" s="18">
        <v>0</v>
      </c>
      <c r="BO144" s="18"/>
      <c r="BP144" s="18">
        <v>10</v>
      </c>
      <c r="BQ144" s="18">
        <v>100</v>
      </c>
      <c r="BR144" s="18">
        <v>3.5599591412211558</v>
      </c>
      <c r="BS144" s="18">
        <v>3.4178826574301509</v>
      </c>
      <c r="BT144" s="19"/>
      <c r="BU144" s="18">
        <v>1000</v>
      </c>
      <c r="BV144" s="18">
        <v>-9.1919191907823211E-4</v>
      </c>
      <c r="BW144" s="18">
        <v>0</v>
      </c>
      <c r="BX144" s="18">
        <v>0</v>
      </c>
      <c r="BY144" s="18">
        <v>0</v>
      </c>
      <c r="BZ144" s="18">
        <v>0</v>
      </c>
      <c r="CA144" s="18">
        <v>0</v>
      </c>
      <c r="CB144" s="19"/>
      <c r="CC144" s="19">
        <v>0</v>
      </c>
      <c r="CD144" s="19">
        <v>0</v>
      </c>
      <c r="CE144" s="19">
        <v>0</v>
      </c>
      <c r="CF144" s="19">
        <v>0</v>
      </c>
      <c r="CG144" s="19">
        <v>0</v>
      </c>
      <c r="CH144" s="19">
        <v>0</v>
      </c>
      <c r="CI144" s="19">
        <v>0</v>
      </c>
      <c r="CJ144" s="19"/>
      <c r="CK144" s="19">
        <v>0</v>
      </c>
      <c r="CL144" s="19">
        <v>0</v>
      </c>
      <c r="CM144" s="19">
        <v>0</v>
      </c>
      <c r="CN144" s="19">
        <v>0</v>
      </c>
      <c r="CO144" s="19">
        <v>0</v>
      </c>
      <c r="CP144" s="19">
        <v>0</v>
      </c>
      <c r="CQ144" s="19">
        <v>0</v>
      </c>
      <c r="CR144" s="19">
        <v>0</v>
      </c>
      <c r="CS144" s="19">
        <v>0</v>
      </c>
      <c r="CT144" s="19">
        <v>0</v>
      </c>
      <c r="CU144" s="19">
        <v>0</v>
      </c>
      <c r="CV144" s="19">
        <v>0</v>
      </c>
      <c r="CW144" s="19">
        <v>0</v>
      </c>
      <c r="CX144" s="19">
        <v>0</v>
      </c>
      <c r="CY144" s="19">
        <v>0</v>
      </c>
      <c r="CZ144" s="19">
        <v>0</v>
      </c>
      <c r="DA144" s="19">
        <v>0</v>
      </c>
      <c r="DB144" s="19">
        <v>0</v>
      </c>
      <c r="DC144" s="19">
        <v>0</v>
      </c>
      <c r="DD144" s="19">
        <v>0</v>
      </c>
      <c r="DE144" s="19">
        <v>0</v>
      </c>
      <c r="DF144" s="23">
        <v>0</v>
      </c>
      <c r="DG144" s="23" t="s">
        <v>217</v>
      </c>
      <c r="DH144" s="23" t="s">
        <v>217</v>
      </c>
      <c r="DI144" s="19">
        <v>0</v>
      </c>
      <c r="DJ144" s="19">
        <v>0</v>
      </c>
      <c r="DK144" s="19">
        <v>9100</v>
      </c>
      <c r="DL144" s="19">
        <v>0</v>
      </c>
      <c r="DM144" s="19">
        <v>0</v>
      </c>
      <c r="DN144" s="19">
        <v>0</v>
      </c>
      <c r="DO144" s="19">
        <v>0</v>
      </c>
      <c r="DP144" s="19">
        <v>0</v>
      </c>
      <c r="DQ144" s="19">
        <v>0</v>
      </c>
      <c r="DR144" s="19">
        <v>0</v>
      </c>
      <c r="DS144" s="19">
        <v>0</v>
      </c>
      <c r="DT144" s="19">
        <v>0</v>
      </c>
      <c r="DU144" s="19">
        <v>0</v>
      </c>
      <c r="DV144" s="19">
        <v>0</v>
      </c>
      <c r="DW144" s="17" t="s">
        <v>218</v>
      </c>
      <c r="DX144" s="22" t="s">
        <v>218</v>
      </c>
      <c r="DY144" s="22" t="s">
        <v>218</v>
      </c>
      <c r="DZ144" s="22" t="s">
        <v>218</v>
      </c>
      <c r="EA144" s="22" t="s">
        <v>218</v>
      </c>
      <c r="EB144" s="22" t="s">
        <v>218</v>
      </c>
      <c r="EC144" s="22" t="s">
        <v>218</v>
      </c>
      <c r="ED144" s="22" t="s">
        <v>218</v>
      </c>
      <c r="EE144" s="22" t="s">
        <v>218</v>
      </c>
      <c r="EF144" s="22" t="s">
        <v>218</v>
      </c>
      <c r="EG144" s="22" t="s">
        <v>218</v>
      </c>
      <c r="EH144" s="22" t="s">
        <v>218</v>
      </c>
      <c r="EI144" s="22" t="s">
        <v>218</v>
      </c>
      <c r="EJ144" s="22" t="s">
        <v>218</v>
      </c>
      <c r="EK144" s="22" t="s">
        <v>218</v>
      </c>
      <c r="EL144" s="22" t="s">
        <v>218</v>
      </c>
      <c r="EM144" s="22" t="s">
        <v>218</v>
      </c>
      <c r="EN144" s="22" t="s">
        <v>218</v>
      </c>
      <c r="EO144" s="22" t="s">
        <v>218</v>
      </c>
      <c r="EP144" s="22" t="s">
        <v>218</v>
      </c>
      <c r="EQ144" s="22" t="s">
        <v>218</v>
      </c>
      <c r="ER144" s="22" t="s">
        <v>218</v>
      </c>
      <c r="ES144" s="22" t="s">
        <v>218</v>
      </c>
      <c r="ET144" s="22" t="s">
        <v>218</v>
      </c>
      <c r="EU144" s="22" t="s">
        <v>218</v>
      </c>
      <c r="EV144" s="22" t="s">
        <v>218</v>
      </c>
      <c r="EW144" s="22" t="s">
        <v>218</v>
      </c>
      <c r="EX144" s="22" t="s">
        <v>218</v>
      </c>
      <c r="EY144" s="22" t="s">
        <v>218</v>
      </c>
      <c r="EZ144" s="22" t="s">
        <v>218</v>
      </c>
      <c r="FA144" s="22" t="s">
        <v>218</v>
      </c>
      <c r="FB144" s="22" t="s">
        <v>218</v>
      </c>
      <c r="FC144" s="22" t="s">
        <v>218</v>
      </c>
      <c r="FD144" s="22" t="s">
        <v>218</v>
      </c>
      <c r="FE144" s="22" t="s">
        <v>218</v>
      </c>
      <c r="FF144" s="22" t="s">
        <v>218</v>
      </c>
      <c r="FG144" s="22" t="s">
        <v>218</v>
      </c>
      <c r="FH144" s="22" t="s">
        <v>218</v>
      </c>
      <c r="FI144" s="22" t="s">
        <v>218</v>
      </c>
      <c r="FJ144" s="22" t="s">
        <v>218</v>
      </c>
      <c r="FK144" s="22" t="s">
        <v>218</v>
      </c>
      <c r="FL144" s="22" t="s">
        <v>218</v>
      </c>
      <c r="FM144" s="22" t="s">
        <v>218</v>
      </c>
      <c r="FN144" s="22" t="s">
        <v>218</v>
      </c>
      <c r="FO144" s="22" t="s">
        <v>218</v>
      </c>
      <c r="FP144" s="22" t="s">
        <v>218</v>
      </c>
      <c r="FQ144" s="22" t="s">
        <v>218</v>
      </c>
      <c r="FR144" s="22" t="s">
        <v>218</v>
      </c>
      <c r="FS144" s="22" t="s">
        <v>218</v>
      </c>
      <c r="FT144" s="22" t="s">
        <v>218</v>
      </c>
      <c r="FU144" s="22" t="s">
        <v>218</v>
      </c>
      <c r="FV144" s="22" t="s">
        <v>218</v>
      </c>
      <c r="FW144" s="22" t="s">
        <v>218</v>
      </c>
      <c r="FX144" s="22" t="s">
        <v>218</v>
      </c>
      <c r="FY144" s="22" t="s">
        <v>218</v>
      </c>
      <c r="FZ144" s="22" t="s">
        <v>218</v>
      </c>
      <c r="GA144" s="22" t="s">
        <v>218</v>
      </c>
      <c r="GB144" s="22" t="s">
        <v>218</v>
      </c>
      <c r="GC144" s="22" t="s">
        <v>218</v>
      </c>
      <c r="GD144" s="22" t="s">
        <v>218</v>
      </c>
      <c r="GE144" s="22" t="s">
        <v>218</v>
      </c>
      <c r="GF144" s="22" t="s">
        <v>218</v>
      </c>
      <c r="GG144" s="22" t="s">
        <v>218</v>
      </c>
      <c r="GH144" s="22" t="s">
        <v>218</v>
      </c>
      <c r="GI144" s="22" t="s">
        <v>218</v>
      </c>
      <c r="GJ144" s="22" t="s">
        <v>218</v>
      </c>
      <c r="GK144" s="22" t="s">
        <v>218</v>
      </c>
      <c r="GL144" s="22" t="s">
        <v>218</v>
      </c>
      <c r="GM144" s="22" t="s">
        <v>218</v>
      </c>
      <c r="GN144" s="22" t="s">
        <v>218</v>
      </c>
      <c r="GO144" s="22" t="s">
        <v>218</v>
      </c>
      <c r="GP144" s="22" t="s">
        <v>218</v>
      </c>
      <c r="GQ144" s="22" t="s">
        <v>218</v>
      </c>
      <c r="GR144" s="22" t="s">
        <v>218</v>
      </c>
      <c r="GS144" s="22" t="s">
        <v>218</v>
      </c>
      <c r="GT144" s="22" t="s">
        <v>218</v>
      </c>
      <c r="GU144" s="22" t="s">
        <v>218</v>
      </c>
      <c r="GV144" s="22" t="s">
        <v>218</v>
      </c>
      <c r="GW144" s="22" t="s">
        <v>218</v>
      </c>
      <c r="GX144" s="22" t="s">
        <v>218</v>
      </c>
      <c r="GY144" s="22" t="s">
        <v>218</v>
      </c>
      <c r="GZ144" s="22" t="s">
        <v>218</v>
      </c>
      <c r="HA144" s="22" t="s">
        <v>218</v>
      </c>
      <c r="HB144" s="22" t="s">
        <v>218</v>
      </c>
      <c r="HC144" s="22" t="s">
        <v>218</v>
      </c>
      <c r="HD144" s="22" t="s">
        <v>218</v>
      </c>
      <c r="HE144" s="22" t="s">
        <v>218</v>
      </c>
      <c r="HF144" s="22" t="s">
        <v>218</v>
      </c>
      <c r="HG144" s="22" t="s">
        <v>218</v>
      </c>
      <c r="HH144" s="22" t="s">
        <v>218</v>
      </c>
      <c r="HI144" s="22" t="s">
        <v>218</v>
      </c>
      <c r="HJ144" s="22" t="s">
        <v>218</v>
      </c>
      <c r="HK144" s="22" t="s">
        <v>218</v>
      </c>
      <c r="HL144" s="22" t="s">
        <v>218</v>
      </c>
      <c r="HM144" s="860"/>
      <c r="HN144" s="860"/>
      <c r="HO144" s="860"/>
      <c r="HP144" s="860"/>
      <c r="HQ144" s="860"/>
      <c r="HR144" s="860"/>
      <c r="HS144" s="860"/>
      <c r="HT144" s="145"/>
      <c r="HU144" s="145" t="s">
        <v>1809</v>
      </c>
      <c r="HV144" s="22" t="s">
        <v>1926</v>
      </c>
      <c r="HW144" s="22">
        <v>0</v>
      </c>
      <c r="HX144" s="22">
        <v>0</v>
      </c>
      <c r="HY144" s="22">
        <v>0</v>
      </c>
      <c r="HZ144" s="19"/>
      <c r="IA144" s="19"/>
      <c r="IB144" s="621">
        <f>'background data'!$G$10</f>
        <v>0.47300000000000003</v>
      </c>
      <c r="IC144" s="621">
        <f>'background data'!$H$10</f>
        <v>0.13</v>
      </c>
      <c r="ID144" s="621">
        <f>'background data'!$J$10</f>
        <v>0.39100000000000001</v>
      </c>
      <c r="IE144" s="621">
        <f>'background data'!$L$10</f>
        <v>5.5E-2</v>
      </c>
      <c r="IF144" s="621">
        <f>'background data'!$M$10</f>
        <v>3.97</v>
      </c>
      <c r="IG144" s="621">
        <f>'background data'!$N$10</f>
        <v>4.5999999999999999E-3</v>
      </c>
      <c r="IH144" s="621">
        <f>'background data'!$O$10</f>
        <v>2.73</v>
      </c>
      <c r="II144" s="145"/>
      <c r="IJ144" s="145"/>
      <c r="IK144" s="145"/>
      <c r="IL144" s="145"/>
      <c r="IM144" s="145"/>
      <c r="IN144" s="145"/>
      <c r="IO144" s="145"/>
      <c r="IP144" s="145"/>
      <c r="IQ144" s="145"/>
      <c r="IR144" s="145"/>
      <c r="IS144" s="145"/>
      <c r="IT144" s="145"/>
      <c r="IU144" s="145"/>
      <c r="IV144" s="145"/>
      <c r="IW144" s="145"/>
      <c r="IX144" s="145"/>
      <c r="IY144" s="145"/>
      <c r="IZ144" s="145"/>
      <c r="JA144" s="145"/>
      <c r="JB144" s="145"/>
      <c r="JC144" s="145"/>
      <c r="JD144" s="145"/>
      <c r="JE144" s="145"/>
      <c r="JF144" s="145"/>
      <c r="JG144" s="145"/>
      <c r="JH144" s="145"/>
      <c r="JI144" s="145"/>
      <c r="JJ144" s="145"/>
      <c r="JK144" s="145"/>
      <c r="JL144" s="145"/>
      <c r="JM144" s="145"/>
      <c r="JN144" s="145"/>
      <c r="JO144" s="145"/>
      <c r="JP144" s="145"/>
      <c r="JQ144" s="145"/>
      <c r="JR144" s="145"/>
      <c r="JS144" s="145"/>
      <c r="JT144" s="145"/>
      <c r="JU144" s="145"/>
      <c r="JV144" s="145"/>
      <c r="JW144" s="145"/>
      <c r="JX144" s="145"/>
      <c r="JY144" s="145"/>
      <c r="JZ144" s="145"/>
      <c r="KA144" s="145"/>
      <c r="KB144" s="145"/>
      <c r="KC144" s="145"/>
      <c r="KD144" s="145"/>
      <c r="KE144" s="145"/>
      <c r="KF144" s="145"/>
      <c r="KG144" s="145"/>
      <c r="KH144" s="145"/>
      <c r="KI144" s="145"/>
      <c r="KJ144" s="145"/>
      <c r="KK144" s="145"/>
      <c r="KL144" s="145"/>
      <c r="KM144" s="145"/>
      <c r="KN144" s="145"/>
      <c r="KO144" s="145"/>
      <c r="KP144" s="145"/>
      <c r="KQ144" s="145"/>
      <c r="KR144" s="145"/>
      <c r="KS144" s="145"/>
      <c r="KT144" s="145"/>
      <c r="KU144" s="145"/>
      <c r="KV144" s="145"/>
      <c r="KW144" s="145"/>
      <c r="KX144" s="145"/>
      <c r="KY144" s="145"/>
      <c r="KZ144" s="145"/>
      <c r="LA144" s="145"/>
      <c r="LB144" s="145"/>
      <c r="LC144" s="145"/>
      <c r="LD144" s="145"/>
      <c r="LE144" s="145"/>
      <c r="LF144" s="145"/>
      <c r="LG144" s="145"/>
      <c r="LH144" s="145"/>
      <c r="LI144" s="145"/>
      <c r="LJ144" s="145"/>
      <c r="LK144" s="145"/>
      <c r="LL144" s="145"/>
      <c r="LM144" s="145"/>
      <c r="LN144" s="145"/>
      <c r="LO144" s="145"/>
      <c r="LP144" s="145"/>
      <c r="LQ144" s="145"/>
      <c r="LR144" s="145"/>
      <c r="LS144" s="145"/>
      <c r="LT144" s="145"/>
      <c r="LU144" s="145"/>
      <c r="LV144" s="145"/>
      <c r="LW144" s="145"/>
      <c r="LX144" s="145"/>
      <c r="LY144" s="145"/>
      <c r="LZ144" s="145"/>
      <c r="MA144" s="145"/>
      <c r="MB144" s="145"/>
      <c r="MC144" s="145"/>
      <c r="MD144" s="145"/>
      <c r="ME144" s="145"/>
      <c r="MF144" s="145"/>
      <c r="MG144" s="145"/>
      <c r="MH144" s="145"/>
      <c r="MI144" s="145"/>
      <c r="MJ144" s="145"/>
      <c r="MK144" s="145"/>
      <c r="ML144" s="145"/>
      <c r="MM144" s="145"/>
      <c r="MN144" s="145"/>
      <c r="MO144" s="145"/>
      <c r="MP144" s="145"/>
      <c r="MQ144" s="145"/>
      <c r="MR144" s="145"/>
      <c r="MS144" s="145"/>
      <c r="MT144" s="145"/>
      <c r="MU144" s="145"/>
      <c r="MV144" s="145"/>
      <c r="MW144" s="145"/>
      <c r="MX144" s="145"/>
      <c r="MY144" s="145"/>
      <c r="MZ144" s="145"/>
      <c r="NA144" s="145"/>
      <c r="NB144" s="145"/>
      <c r="NC144" s="145"/>
      <c r="ND144" s="145"/>
      <c r="NE144" s="145"/>
      <c r="NF144" s="145"/>
      <c r="NG144" s="145"/>
      <c r="NH144" s="145"/>
      <c r="NI144" s="145"/>
      <c r="NJ144" s="145"/>
      <c r="NK144" s="145"/>
      <c r="NL144" s="145"/>
      <c r="NM144" s="145"/>
      <c r="NN144" s="145"/>
      <c r="NO144" s="145"/>
      <c r="NP144" s="145"/>
      <c r="NQ144" s="145"/>
      <c r="NR144" s="145"/>
      <c r="NS144" s="145"/>
    </row>
    <row r="145" spans="1:383" s="16" customFormat="1" ht="15" customHeight="1" x14ac:dyDescent="0.2">
      <c r="A145" s="15">
        <v>48000</v>
      </c>
      <c r="B145" s="25">
        <v>480</v>
      </c>
      <c r="C145" s="26">
        <v>0</v>
      </c>
      <c r="D145" s="20" t="s">
        <v>481</v>
      </c>
      <c r="E145" s="14">
        <v>40310</v>
      </c>
      <c r="F145" s="18">
        <v>-0.112682926829268</v>
      </c>
      <c r="G145" s="18">
        <v>-0.108</v>
      </c>
      <c r="H145" s="21">
        <v>70</v>
      </c>
      <c r="I145" s="21">
        <v>70</v>
      </c>
      <c r="J145" s="21">
        <v>0</v>
      </c>
      <c r="K145" s="18">
        <v>1</v>
      </c>
      <c r="L145" s="18">
        <v>99</v>
      </c>
      <c r="M145" s="18">
        <v>0</v>
      </c>
      <c r="N145" s="18">
        <v>0</v>
      </c>
      <c r="O145" s="18">
        <v>99</v>
      </c>
      <c r="P145" s="18">
        <v>0</v>
      </c>
      <c r="Q145" s="19"/>
      <c r="R145" s="18">
        <v>0</v>
      </c>
      <c r="S145" s="18">
        <v>0</v>
      </c>
      <c r="T145" s="18">
        <v>0</v>
      </c>
      <c r="U145" s="18">
        <v>0</v>
      </c>
      <c r="V145" s="18">
        <v>0</v>
      </c>
      <c r="W145" s="18">
        <v>0</v>
      </c>
      <c r="X145" s="18"/>
      <c r="Y145" s="18">
        <v>0</v>
      </c>
      <c r="Z145" s="18">
        <v>0</v>
      </c>
      <c r="AA145" s="18">
        <v>0</v>
      </c>
      <c r="AB145" s="18">
        <v>0</v>
      </c>
      <c r="AC145" s="18">
        <v>0</v>
      </c>
      <c r="AD145" s="18">
        <v>292.92928999999998</v>
      </c>
      <c r="AE145" s="18">
        <v>0</v>
      </c>
      <c r="AF145" s="18">
        <v>0</v>
      </c>
      <c r="AG145" s="18">
        <v>0</v>
      </c>
      <c r="AH145" s="18">
        <v>0</v>
      </c>
      <c r="AI145" s="18">
        <v>0</v>
      </c>
      <c r="AJ145" s="18">
        <v>0</v>
      </c>
      <c r="AK145" s="18">
        <v>0</v>
      </c>
      <c r="AL145" s="18"/>
      <c r="AM145" s="18">
        <v>0</v>
      </c>
      <c r="AN145" s="18">
        <v>0</v>
      </c>
      <c r="AO145" s="18">
        <v>0</v>
      </c>
      <c r="AP145" s="18">
        <v>0</v>
      </c>
      <c r="AQ145" s="18">
        <v>0</v>
      </c>
      <c r="AR145" s="18">
        <v>0</v>
      </c>
      <c r="AS145" s="18">
        <v>0</v>
      </c>
      <c r="AT145" s="18">
        <v>0</v>
      </c>
      <c r="AU145" s="18">
        <v>0</v>
      </c>
      <c r="AV145" s="18">
        <v>0</v>
      </c>
      <c r="AW145" s="18">
        <v>0</v>
      </c>
      <c r="AX145" s="18"/>
      <c r="AY145" s="18">
        <v>1</v>
      </c>
      <c r="AZ145" s="18">
        <v>1</v>
      </c>
      <c r="BA145" s="18">
        <v>1</v>
      </c>
      <c r="BB145" s="18">
        <v>1</v>
      </c>
      <c r="BC145" s="18">
        <v>1</v>
      </c>
      <c r="BD145" s="18">
        <v>1</v>
      </c>
      <c r="BE145" s="18">
        <v>1</v>
      </c>
      <c r="BF145" s="18">
        <v>1</v>
      </c>
      <c r="BG145" s="18">
        <v>1</v>
      </c>
      <c r="BH145" s="18">
        <v>1</v>
      </c>
      <c r="BI145" s="18">
        <v>1</v>
      </c>
      <c r="BJ145" s="19"/>
      <c r="BK145" s="18">
        <v>0</v>
      </c>
      <c r="BL145" s="18">
        <v>0</v>
      </c>
      <c r="BM145" s="18">
        <v>100</v>
      </c>
      <c r="BN145" s="18">
        <v>0</v>
      </c>
      <c r="BO145" s="18"/>
      <c r="BP145" s="18">
        <v>0</v>
      </c>
      <c r="BQ145" s="18">
        <v>0</v>
      </c>
      <c r="BR145" s="18">
        <v>-0.11382113821138182</v>
      </c>
      <c r="BS145" s="18">
        <v>-0.10909090909090909</v>
      </c>
      <c r="BT145" s="19"/>
      <c r="BU145" s="18">
        <v>0</v>
      </c>
      <c r="BV145" s="18">
        <v>0</v>
      </c>
      <c r="BW145" s="18">
        <v>0</v>
      </c>
      <c r="BX145" s="18" t="s">
        <v>217</v>
      </c>
      <c r="BY145" s="18" t="s">
        <v>217</v>
      </c>
      <c r="BZ145" s="18" t="s">
        <v>217</v>
      </c>
      <c r="CA145" s="18" t="s">
        <v>217</v>
      </c>
      <c r="CB145" s="19"/>
      <c r="CC145" s="19">
        <v>0</v>
      </c>
      <c r="CD145" s="19">
        <v>0</v>
      </c>
      <c r="CE145" s="19">
        <v>0</v>
      </c>
      <c r="CF145" s="19">
        <v>0</v>
      </c>
      <c r="CG145" s="19">
        <v>0</v>
      </c>
      <c r="CH145" s="19">
        <v>289.99999709999997</v>
      </c>
      <c r="CI145" s="19">
        <v>0</v>
      </c>
      <c r="CJ145" s="19"/>
      <c r="CK145" s="19">
        <v>0</v>
      </c>
      <c r="CL145" s="19">
        <v>0</v>
      </c>
      <c r="CM145" s="19">
        <v>0</v>
      </c>
      <c r="CN145" s="19">
        <v>0</v>
      </c>
      <c r="CO145" s="19">
        <v>0</v>
      </c>
      <c r="CP145" s="19">
        <v>0</v>
      </c>
      <c r="CQ145" s="19">
        <v>0</v>
      </c>
      <c r="CR145" s="19">
        <v>0</v>
      </c>
      <c r="CS145" s="19">
        <v>0</v>
      </c>
      <c r="CT145" s="19">
        <v>0</v>
      </c>
      <c r="CU145" s="19">
        <v>0</v>
      </c>
      <c r="CV145" s="19">
        <v>0</v>
      </c>
      <c r="CW145" s="19">
        <v>0</v>
      </c>
      <c r="CX145" s="19">
        <v>0</v>
      </c>
      <c r="CY145" s="19">
        <v>0</v>
      </c>
      <c r="CZ145" s="19">
        <v>0</v>
      </c>
      <c r="DA145" s="19">
        <v>0</v>
      </c>
      <c r="DB145" s="19">
        <v>0</v>
      </c>
      <c r="DC145" s="19">
        <v>0</v>
      </c>
      <c r="DD145" s="19">
        <v>0</v>
      </c>
      <c r="DE145" s="19">
        <v>0</v>
      </c>
      <c r="DF145" s="23">
        <v>0</v>
      </c>
      <c r="DG145" s="23">
        <v>0</v>
      </c>
      <c r="DH145" s="23">
        <v>0</v>
      </c>
      <c r="DI145" s="19">
        <v>0</v>
      </c>
      <c r="DJ145" s="19">
        <v>0</v>
      </c>
      <c r="DK145" s="19">
        <v>0</v>
      </c>
      <c r="DL145" s="19">
        <v>0</v>
      </c>
      <c r="DM145" s="19">
        <v>0</v>
      </c>
      <c r="DN145" s="19">
        <v>0</v>
      </c>
      <c r="DO145" s="19">
        <v>0</v>
      </c>
      <c r="DP145" s="19">
        <v>0</v>
      </c>
      <c r="DQ145" s="19">
        <v>0</v>
      </c>
      <c r="DR145" s="19">
        <v>0</v>
      </c>
      <c r="DS145" s="19">
        <v>0</v>
      </c>
      <c r="DT145" s="19">
        <v>0</v>
      </c>
      <c r="DU145" s="19">
        <v>0</v>
      </c>
      <c r="DV145" s="19">
        <v>0</v>
      </c>
      <c r="DW145" s="17" t="s">
        <v>482</v>
      </c>
      <c r="DX145" s="22" t="s">
        <v>218</v>
      </c>
      <c r="DY145" s="22" t="s">
        <v>218</v>
      </c>
      <c r="DZ145" s="22" t="s">
        <v>218</v>
      </c>
      <c r="EA145" s="22" t="s">
        <v>218</v>
      </c>
      <c r="EB145" s="22" t="s">
        <v>218</v>
      </c>
      <c r="EC145" s="22" t="s">
        <v>218</v>
      </c>
      <c r="ED145" s="22" t="s">
        <v>218</v>
      </c>
      <c r="EE145" s="22" t="s">
        <v>218</v>
      </c>
      <c r="EF145" s="22" t="s">
        <v>218</v>
      </c>
      <c r="EG145" s="22" t="s">
        <v>218</v>
      </c>
      <c r="EH145" s="22" t="s">
        <v>218</v>
      </c>
      <c r="EI145" s="22" t="s">
        <v>218</v>
      </c>
      <c r="EJ145" s="22" t="s">
        <v>218</v>
      </c>
      <c r="EK145" s="22" t="s">
        <v>218</v>
      </c>
      <c r="EL145" s="22" t="s">
        <v>218</v>
      </c>
      <c r="EM145" s="22" t="s">
        <v>218</v>
      </c>
      <c r="EN145" s="22" t="s">
        <v>218</v>
      </c>
      <c r="EO145" s="22" t="s">
        <v>218</v>
      </c>
      <c r="EP145" s="22" t="s">
        <v>218</v>
      </c>
      <c r="EQ145" s="22" t="s">
        <v>218</v>
      </c>
      <c r="ER145" s="22" t="s">
        <v>218</v>
      </c>
      <c r="ES145" s="22" t="s">
        <v>218</v>
      </c>
      <c r="ET145" s="22" t="s">
        <v>218</v>
      </c>
      <c r="EU145" s="22" t="s">
        <v>218</v>
      </c>
      <c r="EV145" s="22" t="s">
        <v>218</v>
      </c>
      <c r="EW145" s="22" t="s">
        <v>218</v>
      </c>
      <c r="EX145" s="22" t="s">
        <v>218</v>
      </c>
      <c r="EY145" s="22" t="s">
        <v>218</v>
      </c>
      <c r="EZ145" s="22" t="s">
        <v>218</v>
      </c>
      <c r="FA145" s="22" t="s">
        <v>218</v>
      </c>
      <c r="FB145" s="22" t="s">
        <v>218</v>
      </c>
      <c r="FC145" s="22" t="s">
        <v>218</v>
      </c>
      <c r="FD145" s="22" t="s">
        <v>218</v>
      </c>
      <c r="FE145" s="22" t="s">
        <v>218</v>
      </c>
      <c r="FF145" s="22" t="s">
        <v>218</v>
      </c>
      <c r="FG145" s="22" t="s">
        <v>218</v>
      </c>
      <c r="FH145" s="22" t="s">
        <v>218</v>
      </c>
      <c r="FI145" s="22" t="s">
        <v>218</v>
      </c>
      <c r="FJ145" s="22" t="s">
        <v>218</v>
      </c>
      <c r="FK145" s="22" t="s">
        <v>218</v>
      </c>
      <c r="FL145" s="22" t="s">
        <v>218</v>
      </c>
      <c r="FM145" s="22" t="s">
        <v>218</v>
      </c>
      <c r="FN145" s="22" t="s">
        <v>218</v>
      </c>
      <c r="FO145" s="22" t="s">
        <v>218</v>
      </c>
      <c r="FP145" s="22" t="s">
        <v>218</v>
      </c>
      <c r="FQ145" s="22" t="s">
        <v>218</v>
      </c>
      <c r="FR145" s="22" t="s">
        <v>218</v>
      </c>
      <c r="FS145" s="22" t="s">
        <v>218</v>
      </c>
      <c r="FT145" s="22" t="s">
        <v>218</v>
      </c>
      <c r="FU145" s="22" t="s">
        <v>218</v>
      </c>
      <c r="FV145" s="22" t="s">
        <v>218</v>
      </c>
      <c r="FW145" s="22" t="s">
        <v>218</v>
      </c>
      <c r="FX145" s="22" t="s">
        <v>218</v>
      </c>
      <c r="FY145" s="22" t="s">
        <v>218</v>
      </c>
      <c r="FZ145" s="22" t="s">
        <v>218</v>
      </c>
      <c r="GA145" s="22" t="s">
        <v>218</v>
      </c>
      <c r="GB145" s="22" t="s">
        <v>218</v>
      </c>
      <c r="GC145" s="22" t="s">
        <v>218</v>
      </c>
      <c r="GD145" s="22" t="s">
        <v>218</v>
      </c>
      <c r="GE145" s="22" t="s">
        <v>218</v>
      </c>
      <c r="GF145" s="22" t="s">
        <v>218</v>
      </c>
      <c r="GG145" s="22" t="s">
        <v>218</v>
      </c>
      <c r="GH145" s="22" t="s">
        <v>218</v>
      </c>
      <c r="GI145" s="22" t="s">
        <v>218</v>
      </c>
      <c r="GJ145" s="22" t="s">
        <v>218</v>
      </c>
      <c r="GK145" s="22" t="s">
        <v>218</v>
      </c>
      <c r="GL145" s="22" t="s">
        <v>218</v>
      </c>
      <c r="GM145" s="22" t="s">
        <v>218</v>
      </c>
      <c r="GN145" s="22" t="s">
        <v>218</v>
      </c>
      <c r="GO145" s="22" t="s">
        <v>218</v>
      </c>
      <c r="GP145" s="22" t="s">
        <v>218</v>
      </c>
      <c r="GQ145" s="22" t="s">
        <v>218</v>
      </c>
      <c r="GR145" s="22" t="s">
        <v>218</v>
      </c>
      <c r="GS145" s="22" t="s">
        <v>218</v>
      </c>
      <c r="GT145" s="22" t="s">
        <v>218</v>
      </c>
      <c r="GU145" s="22" t="s">
        <v>218</v>
      </c>
      <c r="GV145" s="22" t="s">
        <v>218</v>
      </c>
      <c r="GW145" s="22" t="s">
        <v>218</v>
      </c>
      <c r="GX145" s="22" t="s">
        <v>218</v>
      </c>
      <c r="GY145" s="22" t="s">
        <v>218</v>
      </c>
      <c r="GZ145" s="22" t="s">
        <v>218</v>
      </c>
      <c r="HA145" s="22" t="s">
        <v>218</v>
      </c>
      <c r="HB145" s="22" t="s">
        <v>218</v>
      </c>
      <c r="HC145" s="22" t="s">
        <v>218</v>
      </c>
      <c r="HD145" s="22" t="s">
        <v>218</v>
      </c>
      <c r="HE145" s="22" t="s">
        <v>218</v>
      </c>
      <c r="HF145" s="22" t="s">
        <v>218</v>
      </c>
      <c r="HG145" s="22" t="s">
        <v>218</v>
      </c>
      <c r="HH145" s="22" t="s">
        <v>218</v>
      </c>
      <c r="HI145" s="22" t="s">
        <v>218</v>
      </c>
      <c r="HJ145" s="22" t="s">
        <v>218</v>
      </c>
      <c r="HK145" s="22" t="s">
        <v>218</v>
      </c>
      <c r="HL145" s="22" t="s">
        <v>218</v>
      </c>
      <c r="HM145" s="860"/>
      <c r="HN145" s="860"/>
      <c r="HO145" s="860"/>
      <c r="HP145" s="860"/>
      <c r="HQ145" s="860"/>
      <c r="HR145" s="860"/>
      <c r="HS145" s="860"/>
      <c r="HT145" s="145"/>
      <c r="HU145" s="145" t="s">
        <v>1809</v>
      </c>
      <c r="HV145" s="22" t="s">
        <v>1926</v>
      </c>
      <c r="HW145" s="22">
        <v>0</v>
      </c>
      <c r="HX145" s="22">
        <v>0</v>
      </c>
      <c r="HY145" s="22">
        <v>0</v>
      </c>
      <c r="HZ145" s="19"/>
      <c r="IA145" s="19"/>
      <c r="IB145" s="621">
        <f>'background data'!$G$10</f>
        <v>0.47300000000000003</v>
      </c>
      <c r="IC145" s="621">
        <f>'background data'!$H$10</f>
        <v>0.13</v>
      </c>
      <c r="ID145" s="621">
        <f>'background data'!$J$10</f>
        <v>0.39100000000000001</v>
      </c>
      <c r="IE145" s="621">
        <f>'background data'!$L$10</f>
        <v>5.5E-2</v>
      </c>
      <c r="IF145" s="621">
        <f>'background data'!$M$10</f>
        <v>3.97</v>
      </c>
      <c r="IG145" s="621">
        <f>'background data'!$N$10</f>
        <v>4.5999999999999999E-3</v>
      </c>
      <c r="IH145" s="621">
        <f>'background data'!$O$10</f>
        <v>2.73</v>
      </c>
      <c r="II145" s="145"/>
      <c r="IJ145" s="145"/>
      <c r="IK145" s="145"/>
      <c r="IL145" s="145"/>
      <c r="IM145" s="145"/>
      <c r="IN145" s="145"/>
      <c r="IO145" s="145"/>
      <c r="IP145" s="145"/>
      <c r="IQ145" s="145"/>
      <c r="IR145" s="145"/>
      <c r="IS145" s="145"/>
      <c r="IT145" s="145"/>
      <c r="IU145" s="145"/>
      <c r="IV145" s="145"/>
      <c r="IW145" s="145"/>
      <c r="IX145" s="145"/>
      <c r="IY145" s="145"/>
      <c r="IZ145" s="145"/>
      <c r="JA145" s="145"/>
      <c r="JB145" s="145"/>
      <c r="JC145" s="145"/>
      <c r="JD145" s="145"/>
      <c r="JE145" s="145"/>
      <c r="JF145" s="145"/>
      <c r="JG145" s="145"/>
      <c r="JH145" s="145"/>
      <c r="JI145" s="145"/>
      <c r="JJ145" s="145"/>
      <c r="JK145" s="145"/>
      <c r="JL145" s="145"/>
      <c r="JM145" s="145"/>
      <c r="JN145" s="145"/>
      <c r="JO145" s="145"/>
      <c r="JP145" s="145"/>
      <c r="JQ145" s="145"/>
      <c r="JR145" s="145"/>
      <c r="JS145" s="145"/>
      <c r="JT145" s="145"/>
      <c r="JU145" s="145"/>
      <c r="JV145" s="145"/>
      <c r="JW145" s="145"/>
      <c r="JX145" s="145"/>
      <c r="JY145" s="145"/>
      <c r="JZ145" s="145"/>
      <c r="KA145" s="145"/>
      <c r="KB145" s="145"/>
      <c r="KC145" s="145"/>
      <c r="KD145" s="145"/>
      <c r="KE145" s="145"/>
      <c r="KF145" s="145"/>
      <c r="KG145" s="145"/>
      <c r="KH145" s="145"/>
      <c r="KI145" s="145"/>
      <c r="KJ145" s="145"/>
      <c r="KK145" s="145"/>
      <c r="KL145" s="145"/>
      <c r="KM145" s="145"/>
      <c r="KN145" s="145"/>
      <c r="KO145" s="145"/>
      <c r="KP145" s="145"/>
      <c r="KQ145" s="145"/>
      <c r="KR145" s="145"/>
      <c r="KS145" s="145"/>
      <c r="KT145" s="145"/>
      <c r="KU145" s="145"/>
      <c r="KV145" s="145"/>
      <c r="KW145" s="145"/>
      <c r="KX145" s="145"/>
      <c r="KY145" s="145"/>
      <c r="KZ145" s="145"/>
      <c r="LA145" s="145"/>
      <c r="LB145" s="145"/>
      <c r="LC145" s="145"/>
      <c r="LD145" s="145"/>
      <c r="LE145" s="145"/>
      <c r="LF145" s="145"/>
      <c r="LG145" s="145"/>
      <c r="LH145" s="145"/>
      <c r="LI145" s="145"/>
      <c r="LJ145" s="145"/>
      <c r="LK145" s="145"/>
      <c r="LL145" s="145"/>
      <c r="LM145" s="145"/>
      <c r="LN145" s="145"/>
      <c r="LO145" s="145"/>
      <c r="LP145" s="145"/>
      <c r="LQ145" s="145"/>
      <c r="LR145" s="145"/>
      <c r="LS145" s="145"/>
      <c r="LT145" s="145"/>
      <c r="LU145" s="145"/>
      <c r="LV145" s="145"/>
      <c r="LW145" s="145"/>
      <c r="LX145" s="145"/>
      <c r="LY145" s="145"/>
      <c r="LZ145" s="145"/>
      <c r="MA145" s="145"/>
      <c r="MB145" s="145"/>
      <c r="MC145" s="145"/>
      <c r="MD145" s="145"/>
      <c r="ME145" s="145"/>
      <c r="MF145" s="145"/>
      <c r="MG145" s="145"/>
      <c r="MH145" s="145"/>
      <c r="MI145" s="145"/>
      <c r="MJ145" s="145"/>
      <c r="MK145" s="145"/>
      <c r="ML145" s="145"/>
      <c r="MM145" s="145"/>
      <c r="MN145" s="145"/>
      <c r="MO145" s="145"/>
      <c r="MP145" s="145"/>
      <c r="MQ145" s="145"/>
      <c r="MR145" s="145"/>
      <c r="MS145" s="145"/>
      <c r="MT145" s="145"/>
      <c r="MU145" s="145"/>
      <c r="MV145" s="145"/>
      <c r="MW145" s="145"/>
      <c r="MX145" s="145"/>
      <c r="MY145" s="145"/>
      <c r="MZ145" s="145"/>
      <c r="NA145" s="145"/>
      <c r="NB145" s="145"/>
      <c r="NC145" s="145"/>
      <c r="ND145" s="145"/>
      <c r="NE145" s="145"/>
      <c r="NF145" s="145"/>
      <c r="NG145" s="145"/>
      <c r="NH145" s="145"/>
      <c r="NI145" s="145"/>
      <c r="NJ145" s="145"/>
      <c r="NK145" s="145"/>
      <c r="NL145" s="145"/>
      <c r="NM145" s="145"/>
      <c r="NN145" s="145"/>
      <c r="NO145" s="145"/>
      <c r="NP145" s="145"/>
      <c r="NQ145" s="145"/>
      <c r="NR145" s="145"/>
      <c r="NS145" s="145"/>
    </row>
    <row r="146" spans="1:383" s="16" customFormat="1" ht="15" customHeight="1" x14ac:dyDescent="0.2">
      <c r="A146" s="15">
        <v>46400</v>
      </c>
      <c r="B146" s="25">
        <v>464</v>
      </c>
      <c r="C146" s="26">
        <v>0</v>
      </c>
      <c r="D146" s="20" t="s">
        <v>483</v>
      </c>
      <c r="E146" s="14">
        <v>40310</v>
      </c>
      <c r="F146" s="18">
        <v>-0.112682926829268</v>
      </c>
      <c r="G146" s="18">
        <v>-0.108</v>
      </c>
      <c r="H146" s="21">
        <v>70</v>
      </c>
      <c r="I146" s="21">
        <v>70</v>
      </c>
      <c r="J146" s="21">
        <v>0</v>
      </c>
      <c r="K146" s="18">
        <v>1</v>
      </c>
      <c r="L146" s="18">
        <v>99</v>
      </c>
      <c r="M146" s="18">
        <v>0</v>
      </c>
      <c r="N146" s="18">
        <v>0</v>
      </c>
      <c r="O146" s="18">
        <v>99</v>
      </c>
      <c r="P146" s="18">
        <v>0</v>
      </c>
      <c r="Q146" s="19"/>
      <c r="R146" s="18">
        <v>0</v>
      </c>
      <c r="S146" s="18">
        <v>0</v>
      </c>
      <c r="T146" s="18">
        <v>0</v>
      </c>
      <c r="U146" s="18">
        <v>0</v>
      </c>
      <c r="V146" s="18">
        <v>0</v>
      </c>
      <c r="W146" s="18">
        <v>0</v>
      </c>
      <c r="X146" s="18"/>
      <c r="Y146" s="18">
        <v>0</v>
      </c>
      <c r="Z146" s="18">
        <v>0</v>
      </c>
      <c r="AA146" s="18">
        <v>0</v>
      </c>
      <c r="AB146" s="18">
        <v>0</v>
      </c>
      <c r="AC146" s="18">
        <v>0</v>
      </c>
      <c r="AD146" s="18">
        <v>515.15152000000103</v>
      </c>
      <c r="AE146" s="18">
        <v>0</v>
      </c>
      <c r="AF146" s="18">
        <v>0</v>
      </c>
      <c r="AG146" s="18">
        <v>0</v>
      </c>
      <c r="AH146" s="18">
        <v>0</v>
      </c>
      <c r="AI146" s="18">
        <v>0</v>
      </c>
      <c r="AJ146" s="18">
        <v>0</v>
      </c>
      <c r="AK146" s="18">
        <v>0</v>
      </c>
      <c r="AL146" s="18"/>
      <c r="AM146" s="18">
        <v>0</v>
      </c>
      <c r="AN146" s="18">
        <v>0</v>
      </c>
      <c r="AO146" s="18">
        <v>0</v>
      </c>
      <c r="AP146" s="18">
        <v>0</v>
      </c>
      <c r="AQ146" s="18">
        <v>0</v>
      </c>
      <c r="AR146" s="18">
        <v>0</v>
      </c>
      <c r="AS146" s="18">
        <v>0</v>
      </c>
      <c r="AT146" s="18">
        <v>0</v>
      </c>
      <c r="AU146" s="18">
        <v>0</v>
      </c>
      <c r="AV146" s="18">
        <v>0</v>
      </c>
      <c r="AW146" s="18">
        <v>0</v>
      </c>
      <c r="AX146" s="18"/>
      <c r="AY146" s="18">
        <v>1</v>
      </c>
      <c r="AZ146" s="18">
        <v>1</v>
      </c>
      <c r="BA146" s="18">
        <v>1</v>
      </c>
      <c r="BB146" s="18">
        <v>1</v>
      </c>
      <c r="BC146" s="18">
        <v>1</v>
      </c>
      <c r="BD146" s="18">
        <v>1</v>
      </c>
      <c r="BE146" s="18">
        <v>1</v>
      </c>
      <c r="BF146" s="18">
        <v>1</v>
      </c>
      <c r="BG146" s="18">
        <v>1</v>
      </c>
      <c r="BH146" s="18">
        <v>1</v>
      </c>
      <c r="BI146" s="18">
        <v>1</v>
      </c>
      <c r="BJ146" s="19"/>
      <c r="BK146" s="18">
        <v>0</v>
      </c>
      <c r="BL146" s="18">
        <v>0</v>
      </c>
      <c r="BM146" s="18">
        <v>100</v>
      </c>
      <c r="BN146" s="18">
        <v>0</v>
      </c>
      <c r="BO146" s="18"/>
      <c r="BP146" s="18">
        <v>0</v>
      </c>
      <c r="BQ146" s="18">
        <v>0</v>
      </c>
      <c r="BR146" s="18">
        <v>-0.11382113821138182</v>
      </c>
      <c r="BS146" s="18">
        <v>-0.10909090909090909</v>
      </c>
      <c r="BT146" s="19"/>
      <c r="BU146" s="18">
        <v>0</v>
      </c>
      <c r="BV146" s="18">
        <v>0</v>
      </c>
      <c r="BW146" s="18">
        <v>0</v>
      </c>
      <c r="BX146" s="18" t="s">
        <v>217</v>
      </c>
      <c r="BY146" s="18" t="s">
        <v>217</v>
      </c>
      <c r="BZ146" s="18" t="s">
        <v>217</v>
      </c>
      <c r="CA146" s="18" t="s">
        <v>217</v>
      </c>
      <c r="CB146" s="19"/>
      <c r="CC146" s="19">
        <v>0</v>
      </c>
      <c r="CD146" s="19">
        <v>0</v>
      </c>
      <c r="CE146" s="19">
        <v>0</v>
      </c>
      <c r="CF146" s="19">
        <v>0</v>
      </c>
      <c r="CG146" s="19">
        <v>0</v>
      </c>
      <c r="CH146" s="19">
        <v>510.00000480000102</v>
      </c>
      <c r="CI146" s="19">
        <v>0</v>
      </c>
      <c r="CJ146" s="19"/>
      <c r="CK146" s="19">
        <v>0</v>
      </c>
      <c r="CL146" s="19">
        <v>0</v>
      </c>
      <c r="CM146" s="19">
        <v>0</v>
      </c>
      <c r="CN146" s="19">
        <v>0</v>
      </c>
      <c r="CO146" s="19">
        <v>0</v>
      </c>
      <c r="CP146" s="19">
        <v>0</v>
      </c>
      <c r="CQ146" s="19">
        <v>0</v>
      </c>
      <c r="CR146" s="19">
        <v>0</v>
      </c>
      <c r="CS146" s="19">
        <v>0</v>
      </c>
      <c r="CT146" s="19">
        <v>0</v>
      </c>
      <c r="CU146" s="19">
        <v>0</v>
      </c>
      <c r="CV146" s="19">
        <v>0</v>
      </c>
      <c r="CW146" s="19">
        <v>0</v>
      </c>
      <c r="CX146" s="19">
        <v>0</v>
      </c>
      <c r="CY146" s="19">
        <v>0</v>
      </c>
      <c r="CZ146" s="19">
        <v>0</v>
      </c>
      <c r="DA146" s="19">
        <v>0</v>
      </c>
      <c r="DB146" s="19">
        <v>0</v>
      </c>
      <c r="DC146" s="19">
        <v>0</v>
      </c>
      <c r="DD146" s="19">
        <v>0</v>
      </c>
      <c r="DE146" s="19">
        <v>0</v>
      </c>
      <c r="DF146" s="23">
        <v>0</v>
      </c>
      <c r="DG146" s="23">
        <v>0</v>
      </c>
      <c r="DH146" s="23">
        <v>0</v>
      </c>
      <c r="DI146" s="19">
        <v>0</v>
      </c>
      <c r="DJ146" s="19">
        <v>0</v>
      </c>
      <c r="DK146" s="19">
        <v>0</v>
      </c>
      <c r="DL146" s="19">
        <v>0</v>
      </c>
      <c r="DM146" s="19">
        <v>0</v>
      </c>
      <c r="DN146" s="19">
        <v>0</v>
      </c>
      <c r="DO146" s="19">
        <v>0</v>
      </c>
      <c r="DP146" s="19">
        <v>0</v>
      </c>
      <c r="DQ146" s="19">
        <v>0</v>
      </c>
      <c r="DR146" s="19">
        <v>0</v>
      </c>
      <c r="DS146" s="19">
        <v>0</v>
      </c>
      <c r="DT146" s="19">
        <v>0</v>
      </c>
      <c r="DU146" s="19">
        <v>0</v>
      </c>
      <c r="DV146" s="19">
        <v>0</v>
      </c>
      <c r="DW146" s="17" t="s">
        <v>484</v>
      </c>
      <c r="DX146" s="22" t="s">
        <v>218</v>
      </c>
      <c r="DY146" s="22" t="s">
        <v>218</v>
      </c>
      <c r="DZ146" s="22" t="s">
        <v>218</v>
      </c>
      <c r="EA146" s="22" t="s">
        <v>218</v>
      </c>
      <c r="EB146" s="22" t="s">
        <v>218</v>
      </c>
      <c r="EC146" s="22" t="s">
        <v>218</v>
      </c>
      <c r="ED146" s="22" t="s">
        <v>218</v>
      </c>
      <c r="EE146" s="22" t="s">
        <v>218</v>
      </c>
      <c r="EF146" s="22" t="s">
        <v>218</v>
      </c>
      <c r="EG146" s="22" t="s">
        <v>218</v>
      </c>
      <c r="EH146" s="22" t="s">
        <v>218</v>
      </c>
      <c r="EI146" s="22" t="s">
        <v>218</v>
      </c>
      <c r="EJ146" s="22" t="s">
        <v>218</v>
      </c>
      <c r="EK146" s="22" t="s">
        <v>218</v>
      </c>
      <c r="EL146" s="22" t="s">
        <v>218</v>
      </c>
      <c r="EM146" s="22" t="s">
        <v>218</v>
      </c>
      <c r="EN146" s="22" t="s">
        <v>218</v>
      </c>
      <c r="EO146" s="22" t="s">
        <v>218</v>
      </c>
      <c r="EP146" s="22" t="s">
        <v>218</v>
      </c>
      <c r="EQ146" s="22" t="s">
        <v>218</v>
      </c>
      <c r="ER146" s="22" t="s">
        <v>218</v>
      </c>
      <c r="ES146" s="22" t="s">
        <v>218</v>
      </c>
      <c r="ET146" s="22" t="s">
        <v>218</v>
      </c>
      <c r="EU146" s="22" t="s">
        <v>218</v>
      </c>
      <c r="EV146" s="22" t="s">
        <v>218</v>
      </c>
      <c r="EW146" s="22" t="s">
        <v>218</v>
      </c>
      <c r="EX146" s="22" t="s">
        <v>218</v>
      </c>
      <c r="EY146" s="22" t="s">
        <v>218</v>
      </c>
      <c r="EZ146" s="22" t="s">
        <v>218</v>
      </c>
      <c r="FA146" s="22" t="s">
        <v>218</v>
      </c>
      <c r="FB146" s="22" t="s">
        <v>218</v>
      </c>
      <c r="FC146" s="22" t="s">
        <v>218</v>
      </c>
      <c r="FD146" s="22" t="s">
        <v>218</v>
      </c>
      <c r="FE146" s="22" t="s">
        <v>218</v>
      </c>
      <c r="FF146" s="22" t="s">
        <v>218</v>
      </c>
      <c r="FG146" s="22" t="s">
        <v>218</v>
      </c>
      <c r="FH146" s="22" t="s">
        <v>218</v>
      </c>
      <c r="FI146" s="22" t="s">
        <v>218</v>
      </c>
      <c r="FJ146" s="22" t="s">
        <v>218</v>
      </c>
      <c r="FK146" s="22" t="s">
        <v>218</v>
      </c>
      <c r="FL146" s="22" t="s">
        <v>218</v>
      </c>
      <c r="FM146" s="22" t="s">
        <v>218</v>
      </c>
      <c r="FN146" s="22" t="s">
        <v>218</v>
      </c>
      <c r="FO146" s="22" t="s">
        <v>218</v>
      </c>
      <c r="FP146" s="22" t="s">
        <v>218</v>
      </c>
      <c r="FQ146" s="22" t="s">
        <v>218</v>
      </c>
      <c r="FR146" s="22" t="s">
        <v>218</v>
      </c>
      <c r="FS146" s="22" t="s">
        <v>218</v>
      </c>
      <c r="FT146" s="22" t="s">
        <v>218</v>
      </c>
      <c r="FU146" s="22" t="s">
        <v>218</v>
      </c>
      <c r="FV146" s="22" t="s">
        <v>218</v>
      </c>
      <c r="FW146" s="22" t="s">
        <v>218</v>
      </c>
      <c r="FX146" s="22" t="s">
        <v>218</v>
      </c>
      <c r="FY146" s="22" t="s">
        <v>218</v>
      </c>
      <c r="FZ146" s="22" t="s">
        <v>218</v>
      </c>
      <c r="GA146" s="22" t="s">
        <v>218</v>
      </c>
      <c r="GB146" s="22" t="s">
        <v>218</v>
      </c>
      <c r="GC146" s="22" t="s">
        <v>218</v>
      </c>
      <c r="GD146" s="22" t="s">
        <v>218</v>
      </c>
      <c r="GE146" s="22" t="s">
        <v>218</v>
      </c>
      <c r="GF146" s="22" t="s">
        <v>218</v>
      </c>
      <c r="GG146" s="22" t="s">
        <v>218</v>
      </c>
      <c r="GH146" s="22" t="s">
        <v>218</v>
      </c>
      <c r="GI146" s="22" t="s">
        <v>218</v>
      </c>
      <c r="GJ146" s="22" t="s">
        <v>218</v>
      </c>
      <c r="GK146" s="22" t="s">
        <v>218</v>
      </c>
      <c r="GL146" s="22" t="s">
        <v>218</v>
      </c>
      <c r="GM146" s="22" t="s">
        <v>218</v>
      </c>
      <c r="GN146" s="22" t="s">
        <v>218</v>
      </c>
      <c r="GO146" s="22" t="s">
        <v>218</v>
      </c>
      <c r="GP146" s="22" t="s">
        <v>218</v>
      </c>
      <c r="GQ146" s="22" t="s">
        <v>218</v>
      </c>
      <c r="GR146" s="22" t="s">
        <v>218</v>
      </c>
      <c r="GS146" s="22" t="s">
        <v>218</v>
      </c>
      <c r="GT146" s="22" t="s">
        <v>218</v>
      </c>
      <c r="GU146" s="22" t="s">
        <v>218</v>
      </c>
      <c r="GV146" s="22" t="s">
        <v>218</v>
      </c>
      <c r="GW146" s="22" t="s">
        <v>218</v>
      </c>
      <c r="GX146" s="22" t="s">
        <v>218</v>
      </c>
      <c r="GY146" s="22" t="s">
        <v>218</v>
      </c>
      <c r="GZ146" s="22" t="s">
        <v>218</v>
      </c>
      <c r="HA146" s="22" t="s">
        <v>218</v>
      </c>
      <c r="HB146" s="22" t="s">
        <v>218</v>
      </c>
      <c r="HC146" s="22" t="s">
        <v>218</v>
      </c>
      <c r="HD146" s="22" t="s">
        <v>218</v>
      </c>
      <c r="HE146" s="22" t="s">
        <v>218</v>
      </c>
      <c r="HF146" s="22" t="s">
        <v>218</v>
      </c>
      <c r="HG146" s="22" t="s">
        <v>218</v>
      </c>
      <c r="HH146" s="22" t="s">
        <v>218</v>
      </c>
      <c r="HI146" s="22" t="s">
        <v>218</v>
      </c>
      <c r="HJ146" s="22" t="s">
        <v>218</v>
      </c>
      <c r="HK146" s="22" t="s">
        <v>218</v>
      </c>
      <c r="HL146" s="22" t="s">
        <v>218</v>
      </c>
      <c r="HM146" s="860"/>
      <c r="HN146" s="860"/>
      <c r="HO146" s="860"/>
      <c r="HP146" s="860"/>
      <c r="HQ146" s="860"/>
      <c r="HR146" s="860"/>
      <c r="HS146" s="860"/>
      <c r="HT146" s="145"/>
      <c r="HU146" s="145" t="s">
        <v>1809</v>
      </c>
      <c r="HV146" s="22" t="s">
        <v>1926</v>
      </c>
      <c r="HW146" s="22">
        <v>0</v>
      </c>
      <c r="HX146" s="22">
        <v>0</v>
      </c>
      <c r="HY146" s="22">
        <v>0</v>
      </c>
      <c r="HZ146" s="19"/>
      <c r="IA146" s="19"/>
      <c r="IB146" s="621">
        <f>'background data'!$G$10</f>
        <v>0.47300000000000003</v>
      </c>
      <c r="IC146" s="621">
        <f>'background data'!$H$10</f>
        <v>0.13</v>
      </c>
      <c r="ID146" s="621">
        <f>'background data'!$J$10</f>
        <v>0.39100000000000001</v>
      </c>
      <c r="IE146" s="621">
        <f>'background data'!$L$10</f>
        <v>5.5E-2</v>
      </c>
      <c r="IF146" s="621">
        <f>'background data'!$M$10</f>
        <v>3.97</v>
      </c>
      <c r="IG146" s="621">
        <f>'background data'!$N$10</f>
        <v>4.5999999999999999E-3</v>
      </c>
      <c r="IH146" s="621">
        <f>'background data'!$O$10</f>
        <v>2.73</v>
      </c>
      <c r="II146" s="145"/>
      <c r="IJ146" s="145"/>
      <c r="IK146" s="145"/>
      <c r="IL146" s="145"/>
      <c r="IM146" s="145"/>
      <c r="IN146" s="145"/>
      <c r="IO146" s="145"/>
      <c r="IP146" s="145"/>
      <c r="IQ146" s="145"/>
      <c r="IR146" s="145"/>
      <c r="IS146" s="145"/>
      <c r="IT146" s="145"/>
      <c r="IU146" s="145"/>
      <c r="IV146" s="145"/>
      <c r="IW146" s="145"/>
      <c r="IX146" s="145"/>
      <c r="IY146" s="145"/>
      <c r="IZ146" s="145"/>
      <c r="JA146" s="145"/>
      <c r="JB146" s="145"/>
      <c r="JC146" s="145"/>
      <c r="JD146" s="145"/>
      <c r="JE146" s="145"/>
      <c r="JF146" s="145"/>
      <c r="JG146" s="145"/>
      <c r="JH146" s="145"/>
      <c r="JI146" s="145"/>
      <c r="JJ146" s="145"/>
      <c r="JK146" s="145"/>
      <c r="JL146" s="145"/>
      <c r="JM146" s="145"/>
      <c r="JN146" s="145"/>
      <c r="JO146" s="145"/>
      <c r="JP146" s="145"/>
      <c r="JQ146" s="145"/>
      <c r="JR146" s="145"/>
      <c r="JS146" s="145"/>
      <c r="JT146" s="145"/>
      <c r="JU146" s="145"/>
      <c r="JV146" s="145"/>
      <c r="JW146" s="145"/>
      <c r="JX146" s="145"/>
      <c r="JY146" s="145"/>
      <c r="JZ146" s="145"/>
      <c r="KA146" s="145"/>
      <c r="KB146" s="145"/>
      <c r="KC146" s="145"/>
      <c r="KD146" s="145"/>
      <c r="KE146" s="145"/>
      <c r="KF146" s="145"/>
      <c r="KG146" s="145"/>
      <c r="KH146" s="145"/>
      <c r="KI146" s="145"/>
      <c r="KJ146" s="145"/>
      <c r="KK146" s="145"/>
      <c r="KL146" s="145"/>
      <c r="KM146" s="145"/>
      <c r="KN146" s="145"/>
      <c r="KO146" s="145"/>
      <c r="KP146" s="145"/>
      <c r="KQ146" s="145"/>
      <c r="KR146" s="145"/>
      <c r="KS146" s="145"/>
      <c r="KT146" s="145"/>
      <c r="KU146" s="145"/>
      <c r="KV146" s="145"/>
      <c r="KW146" s="145"/>
      <c r="KX146" s="145"/>
      <c r="KY146" s="145"/>
      <c r="KZ146" s="145"/>
      <c r="LA146" s="145"/>
      <c r="LB146" s="145"/>
      <c r="LC146" s="145"/>
      <c r="LD146" s="145"/>
      <c r="LE146" s="145"/>
      <c r="LF146" s="145"/>
      <c r="LG146" s="145"/>
      <c r="LH146" s="145"/>
      <c r="LI146" s="145"/>
      <c r="LJ146" s="145"/>
      <c r="LK146" s="145"/>
      <c r="LL146" s="145"/>
      <c r="LM146" s="145"/>
      <c r="LN146" s="145"/>
      <c r="LO146" s="145"/>
      <c r="LP146" s="145"/>
      <c r="LQ146" s="145"/>
      <c r="LR146" s="145"/>
      <c r="LS146" s="145"/>
      <c r="LT146" s="145"/>
      <c r="LU146" s="145"/>
      <c r="LV146" s="145"/>
      <c r="LW146" s="145"/>
      <c r="LX146" s="145"/>
      <c r="LY146" s="145"/>
      <c r="LZ146" s="145"/>
      <c r="MA146" s="145"/>
      <c r="MB146" s="145"/>
      <c r="MC146" s="145"/>
      <c r="MD146" s="145"/>
      <c r="ME146" s="145"/>
      <c r="MF146" s="145"/>
      <c r="MG146" s="145"/>
      <c r="MH146" s="145"/>
      <c r="MI146" s="145"/>
      <c r="MJ146" s="145"/>
      <c r="MK146" s="145"/>
      <c r="ML146" s="145"/>
      <c r="MM146" s="145"/>
      <c r="MN146" s="145"/>
      <c r="MO146" s="145"/>
      <c r="MP146" s="145"/>
      <c r="MQ146" s="145"/>
      <c r="MR146" s="145"/>
      <c r="MS146" s="145"/>
      <c r="MT146" s="145"/>
      <c r="MU146" s="145"/>
      <c r="MV146" s="145"/>
      <c r="MW146" s="145"/>
      <c r="MX146" s="145"/>
      <c r="MY146" s="145"/>
      <c r="MZ146" s="145"/>
      <c r="NA146" s="145"/>
      <c r="NB146" s="145"/>
      <c r="NC146" s="145"/>
      <c r="ND146" s="145"/>
      <c r="NE146" s="145"/>
      <c r="NF146" s="145"/>
      <c r="NG146" s="145"/>
      <c r="NH146" s="145"/>
      <c r="NI146" s="145"/>
      <c r="NJ146" s="145"/>
      <c r="NK146" s="145"/>
      <c r="NL146" s="145"/>
      <c r="NM146" s="145"/>
      <c r="NN146" s="145"/>
      <c r="NO146" s="145"/>
      <c r="NP146" s="145"/>
      <c r="NQ146" s="145"/>
      <c r="NR146" s="145"/>
      <c r="NS146" s="145"/>
    </row>
    <row r="147" spans="1:383" s="16" customFormat="1" ht="15" customHeight="1" x14ac:dyDescent="0.2">
      <c r="A147" s="15">
        <v>54000</v>
      </c>
      <c r="B147" s="25">
        <v>540</v>
      </c>
      <c r="C147" s="26">
        <v>0</v>
      </c>
      <c r="D147" s="20" t="s">
        <v>485</v>
      </c>
      <c r="E147" s="14">
        <v>40310</v>
      </c>
      <c r="F147" s="18">
        <v>1.24836066226287</v>
      </c>
      <c r="G147" s="18">
        <v>1.2207856136363699</v>
      </c>
      <c r="H147" s="21">
        <v>90.3</v>
      </c>
      <c r="I147" s="21">
        <v>88.2</v>
      </c>
      <c r="J147" s="21">
        <v>91</v>
      </c>
      <c r="K147" s="18">
        <v>1</v>
      </c>
      <c r="L147" s="18">
        <v>87.5</v>
      </c>
      <c r="M147" s="18">
        <v>8.4</v>
      </c>
      <c r="N147" s="18">
        <v>4.0250000000000004</v>
      </c>
      <c r="O147" s="18">
        <v>1.3125</v>
      </c>
      <c r="P147" s="18">
        <v>2.0125000000000002</v>
      </c>
      <c r="Q147" s="19"/>
      <c r="R147" s="18">
        <v>86</v>
      </c>
      <c r="S147" s="18">
        <v>20</v>
      </c>
      <c r="T147" s="18">
        <v>33</v>
      </c>
      <c r="U147" s="18">
        <v>38</v>
      </c>
      <c r="V147" s="18">
        <v>42</v>
      </c>
      <c r="W147" s="18">
        <v>45</v>
      </c>
      <c r="X147" s="18"/>
      <c r="Y147" s="18">
        <v>9.9999999999999992E-2</v>
      </c>
      <c r="Z147" s="18">
        <v>3.1999999999999997</v>
      </c>
      <c r="AA147" s="18">
        <v>9.9999999999999992E-2</v>
      </c>
      <c r="AB147" s="18">
        <v>0</v>
      </c>
      <c r="AC147" s="18">
        <v>4</v>
      </c>
      <c r="AD147" s="18">
        <v>1.2</v>
      </c>
      <c r="AE147" s="18">
        <v>1.2</v>
      </c>
      <c r="AF147" s="18">
        <v>35</v>
      </c>
      <c r="AG147" s="18">
        <v>3.6</v>
      </c>
      <c r="AH147" s="18">
        <v>6.3999999999999995</v>
      </c>
      <c r="AI147" s="18">
        <v>28</v>
      </c>
      <c r="AJ147" s="18">
        <v>0</v>
      </c>
      <c r="AK147" s="18">
        <v>0.06</v>
      </c>
      <c r="AL147" s="18"/>
      <c r="AM147" s="18">
        <v>2.9</v>
      </c>
      <c r="AN147" s="18">
        <v>2.0999999999999899</v>
      </c>
      <c r="AO147" s="18">
        <v>2.2000000000000099</v>
      </c>
      <c r="AP147" s="18">
        <v>3.51</v>
      </c>
      <c r="AQ147" s="18">
        <v>0.71</v>
      </c>
      <c r="AR147" s="18">
        <v>3.3699999999999899</v>
      </c>
      <c r="AS147" s="18">
        <v>12.11</v>
      </c>
      <c r="AT147" s="18">
        <v>2.94</v>
      </c>
      <c r="AU147" s="18">
        <v>4.67</v>
      </c>
      <c r="AV147" s="18">
        <v>3.7299999999999902</v>
      </c>
      <c r="AW147" s="18">
        <v>4.76</v>
      </c>
      <c r="AX147" s="18"/>
      <c r="AY147" s="18">
        <v>0.88</v>
      </c>
      <c r="AZ147" s="18">
        <v>1.02</v>
      </c>
      <c r="BA147" s="18">
        <v>0.99</v>
      </c>
      <c r="BB147" s="18">
        <v>0.93</v>
      </c>
      <c r="BC147" s="18">
        <v>0.86</v>
      </c>
      <c r="BD147" s="18">
        <v>0.99</v>
      </c>
      <c r="BE147" s="18">
        <v>1.03</v>
      </c>
      <c r="BF147" s="18">
        <v>0.98</v>
      </c>
      <c r="BG147" s="18">
        <v>1</v>
      </c>
      <c r="BH147" s="18">
        <v>1.02</v>
      </c>
      <c r="BI147" s="18">
        <v>0.97</v>
      </c>
      <c r="BJ147" s="19"/>
      <c r="BK147" s="18">
        <v>9.6</v>
      </c>
      <c r="BL147" s="18">
        <v>4.6000000000000005</v>
      </c>
      <c r="BM147" s="18">
        <v>1.5</v>
      </c>
      <c r="BN147" s="18">
        <v>2.3000000000000003</v>
      </c>
      <c r="BO147" s="18"/>
      <c r="BP147" s="18">
        <v>120</v>
      </c>
      <c r="BQ147" s="18">
        <v>55.199999999999996</v>
      </c>
      <c r="BR147" s="18">
        <v>1.4266978997289943</v>
      </c>
      <c r="BS147" s="18">
        <v>1.3951835584415657</v>
      </c>
      <c r="BT147" s="19"/>
      <c r="BU147" s="18">
        <v>985</v>
      </c>
      <c r="BV147" s="18">
        <v>727.92500000000007</v>
      </c>
      <c r="BW147" s="18">
        <v>29.549999999999887</v>
      </c>
      <c r="BX147" s="18">
        <v>690</v>
      </c>
      <c r="BY147" s="18">
        <v>20</v>
      </c>
      <c r="BZ147" s="18">
        <v>9</v>
      </c>
      <c r="CA147" s="18">
        <v>99</v>
      </c>
      <c r="CB147" s="19"/>
      <c r="CC147" s="19">
        <v>8.7499999999999994E-2</v>
      </c>
      <c r="CD147" s="19">
        <v>2.8</v>
      </c>
      <c r="CE147" s="19">
        <v>8.7499999999999994E-2</v>
      </c>
      <c r="CF147" s="19">
        <v>0</v>
      </c>
      <c r="CG147" s="19">
        <v>3.5</v>
      </c>
      <c r="CH147" s="19">
        <v>1.05</v>
      </c>
      <c r="CI147" s="19">
        <v>1.05</v>
      </c>
      <c r="CJ147" s="19"/>
      <c r="CK147" s="19">
        <v>30.625</v>
      </c>
      <c r="CL147" s="19">
        <v>3.15</v>
      </c>
      <c r="CM147" s="19">
        <v>5.6</v>
      </c>
      <c r="CN147" s="19">
        <v>24.5</v>
      </c>
      <c r="CO147" s="19">
        <v>0</v>
      </c>
      <c r="CP147" s="19">
        <v>5.2499999999999998E-2</v>
      </c>
      <c r="CQ147" s="19">
        <v>72.239999999999995</v>
      </c>
      <c r="CR147" s="19">
        <v>57.867892015319093</v>
      </c>
      <c r="CS147" s="19">
        <v>1.4767886042309435</v>
      </c>
      <c r="CT147" s="19">
        <v>1.2395302469681271</v>
      </c>
      <c r="CU147" s="19">
        <v>1.260362688093658</v>
      </c>
      <c r="CV147" s="19">
        <v>2.4998929350617853</v>
      </c>
      <c r="CW147" s="19">
        <v>1.8889815990560612</v>
      </c>
      <c r="CX147" s="19">
        <v>0.35334134864553846</v>
      </c>
      <c r="CY147" s="19">
        <v>1.9306464813070832</v>
      </c>
      <c r="CZ147" s="19">
        <v>7.2180357747467978</v>
      </c>
      <c r="DA147" s="19">
        <v>1.6672897047453739</v>
      </c>
      <c r="DB147" s="19">
        <v>2.7024305571154019</v>
      </c>
      <c r="DC147" s="19">
        <v>2.2016418196148226</v>
      </c>
      <c r="DD147" s="19">
        <v>4.9040723767302241</v>
      </c>
      <c r="DE147" s="19">
        <v>2.6718763101313137</v>
      </c>
      <c r="DF147" s="23">
        <v>0</v>
      </c>
      <c r="DG147" s="23">
        <v>0</v>
      </c>
      <c r="DH147" s="23">
        <v>0</v>
      </c>
      <c r="DI147" s="19">
        <v>0</v>
      </c>
      <c r="DJ147" s="19">
        <v>0</v>
      </c>
      <c r="DK147" s="19">
        <v>0</v>
      </c>
      <c r="DL147" s="19">
        <v>0</v>
      </c>
      <c r="DM147" s="19">
        <v>0</v>
      </c>
      <c r="DN147" s="19">
        <v>0</v>
      </c>
      <c r="DO147" s="19">
        <v>0</v>
      </c>
      <c r="DP147" s="19">
        <v>0</v>
      </c>
      <c r="DQ147" s="19">
        <v>0</v>
      </c>
      <c r="DR147" s="19">
        <v>0</v>
      </c>
      <c r="DS147" s="19">
        <v>0</v>
      </c>
      <c r="DT147" s="19">
        <v>0</v>
      </c>
      <c r="DU147" s="19">
        <v>0</v>
      </c>
      <c r="DV147" s="19">
        <v>0</v>
      </c>
      <c r="DW147" s="17" t="s">
        <v>486</v>
      </c>
      <c r="DX147" s="22" t="s">
        <v>218</v>
      </c>
      <c r="DY147" s="22" t="s">
        <v>218</v>
      </c>
      <c r="DZ147" s="22">
        <v>5</v>
      </c>
      <c r="EA147" s="22">
        <v>5</v>
      </c>
      <c r="EB147" s="22" t="s">
        <v>218</v>
      </c>
      <c r="EC147" s="22">
        <v>5</v>
      </c>
      <c r="ED147" s="22">
        <v>5</v>
      </c>
      <c r="EE147" s="22" t="s">
        <v>218</v>
      </c>
      <c r="EF147" s="22">
        <v>5</v>
      </c>
      <c r="EG147" s="22" t="s">
        <v>218</v>
      </c>
      <c r="EH147" s="22" t="s">
        <v>218</v>
      </c>
      <c r="EI147" s="22" t="s">
        <v>218</v>
      </c>
      <c r="EJ147" s="22" t="s">
        <v>218</v>
      </c>
      <c r="EK147" s="22" t="s">
        <v>218</v>
      </c>
      <c r="EL147" s="22" t="s">
        <v>218</v>
      </c>
      <c r="EM147" s="22" t="s">
        <v>218</v>
      </c>
      <c r="EN147" s="22" t="s">
        <v>218</v>
      </c>
      <c r="EO147" s="22" t="s">
        <v>218</v>
      </c>
      <c r="EP147" s="22" t="s">
        <v>218</v>
      </c>
      <c r="EQ147" s="22" t="s">
        <v>218</v>
      </c>
      <c r="ER147" s="22" t="s">
        <v>218</v>
      </c>
      <c r="ES147" s="22">
        <v>5</v>
      </c>
      <c r="ET147" s="22">
        <v>5</v>
      </c>
      <c r="EU147" s="22">
        <v>5</v>
      </c>
      <c r="EV147" s="22" t="s">
        <v>218</v>
      </c>
      <c r="EW147" s="22">
        <v>5</v>
      </c>
      <c r="EX147" s="22">
        <v>5</v>
      </c>
      <c r="EY147" s="22">
        <v>5</v>
      </c>
      <c r="EZ147" s="22">
        <v>5</v>
      </c>
      <c r="FA147" s="22">
        <v>5</v>
      </c>
      <c r="FB147" s="22">
        <v>5</v>
      </c>
      <c r="FC147" s="22">
        <v>5</v>
      </c>
      <c r="FD147" s="22" t="s">
        <v>218</v>
      </c>
      <c r="FE147" s="22" t="s">
        <v>218</v>
      </c>
      <c r="FF147" s="22" t="s">
        <v>218</v>
      </c>
      <c r="FG147" s="22" t="s">
        <v>218</v>
      </c>
      <c r="FH147" s="22">
        <v>0.4</v>
      </c>
      <c r="FI147" s="22">
        <v>0.1</v>
      </c>
      <c r="FJ147" s="22" t="s">
        <v>218</v>
      </c>
      <c r="FK147" s="22">
        <v>2.2999999999999998</v>
      </c>
      <c r="FL147" s="22">
        <v>0.7</v>
      </c>
      <c r="FM147" s="22" t="s">
        <v>218</v>
      </c>
      <c r="FN147" s="22">
        <v>1.8</v>
      </c>
      <c r="FO147" s="22" t="s">
        <v>218</v>
      </c>
      <c r="FP147" s="22" t="s">
        <v>218</v>
      </c>
      <c r="FQ147" s="22" t="s">
        <v>218</v>
      </c>
      <c r="FR147" s="22" t="s">
        <v>218</v>
      </c>
      <c r="FS147" s="22" t="s">
        <v>218</v>
      </c>
      <c r="FT147" s="22" t="s">
        <v>218</v>
      </c>
      <c r="FU147" s="22" t="s">
        <v>218</v>
      </c>
      <c r="FV147" s="22" t="s">
        <v>218</v>
      </c>
      <c r="FW147" s="22" t="s">
        <v>218</v>
      </c>
      <c r="FX147" s="22" t="s">
        <v>218</v>
      </c>
      <c r="FY147" s="22" t="s">
        <v>218</v>
      </c>
      <c r="FZ147" s="22" t="s">
        <v>218</v>
      </c>
      <c r="GA147" s="22" t="s">
        <v>218</v>
      </c>
      <c r="GB147" s="22">
        <v>0.35</v>
      </c>
      <c r="GC147" s="22">
        <v>0.1</v>
      </c>
      <c r="GD147" s="22" t="s">
        <v>218</v>
      </c>
      <c r="GE147" s="22">
        <v>0.42</v>
      </c>
      <c r="GF147" s="22">
        <v>0.16</v>
      </c>
      <c r="GG147" s="22">
        <v>0.18</v>
      </c>
      <c r="GH147" s="22">
        <v>4.34</v>
      </c>
      <c r="GI147" s="22">
        <v>0.49</v>
      </c>
      <c r="GJ147" s="22">
        <v>0.57999999999999996</v>
      </c>
      <c r="GK147" s="22">
        <v>3.21</v>
      </c>
      <c r="GL147" s="22" t="s">
        <v>218</v>
      </c>
      <c r="GM147" s="22" t="s">
        <v>218</v>
      </c>
      <c r="GN147" s="22" t="s">
        <v>218</v>
      </c>
      <c r="GO147" s="22" t="s">
        <v>218</v>
      </c>
      <c r="GP147" s="22">
        <v>2005</v>
      </c>
      <c r="GQ147" s="22">
        <v>2005</v>
      </c>
      <c r="GR147" s="22" t="s">
        <v>218</v>
      </c>
      <c r="GS147" s="22">
        <v>2005</v>
      </c>
      <c r="GT147" s="22">
        <v>2005</v>
      </c>
      <c r="GU147" s="22" t="s">
        <v>218</v>
      </c>
      <c r="GV147" s="22">
        <v>2005</v>
      </c>
      <c r="GW147" s="22" t="s">
        <v>218</v>
      </c>
      <c r="GX147" s="22" t="s">
        <v>218</v>
      </c>
      <c r="GY147" s="22" t="s">
        <v>218</v>
      </c>
      <c r="GZ147" s="22" t="s">
        <v>218</v>
      </c>
      <c r="HA147" s="22" t="s">
        <v>218</v>
      </c>
      <c r="HB147" s="22" t="s">
        <v>218</v>
      </c>
      <c r="HC147" s="22" t="s">
        <v>218</v>
      </c>
      <c r="HD147" s="22" t="s">
        <v>218</v>
      </c>
      <c r="HE147" s="22" t="s">
        <v>218</v>
      </c>
      <c r="HF147" s="22" t="s">
        <v>218</v>
      </c>
      <c r="HG147" s="22" t="s">
        <v>218</v>
      </c>
      <c r="HH147" s="22" t="s">
        <v>218</v>
      </c>
      <c r="HI147" s="22">
        <v>2005</v>
      </c>
      <c r="HJ147" s="22">
        <v>2005</v>
      </c>
      <c r="HK147" s="22">
        <v>2005</v>
      </c>
      <c r="HL147" s="22" t="s">
        <v>218</v>
      </c>
      <c r="HM147" s="622">
        <f>'background data'!$G$15</f>
        <v>0.221</v>
      </c>
      <c r="HN147" s="622">
        <f>'background data'!$H$15</f>
        <v>6.7000000000000004E-2</v>
      </c>
      <c r="HO147" s="622">
        <f>'background data'!$J$15</f>
        <v>0.20100000000000001</v>
      </c>
      <c r="HP147" s="622">
        <f>'background data'!$L$15</f>
        <v>1.4999999999999999E-2</v>
      </c>
      <c r="HQ147" s="622">
        <f>'background data'!$M$15</f>
        <v>1.74</v>
      </c>
      <c r="HR147" s="622">
        <f>'background data'!$N$15</f>
        <v>2.3999999999999998E-3</v>
      </c>
      <c r="HS147" s="622">
        <f>'background data'!$O$15</f>
        <v>1.41</v>
      </c>
      <c r="HT147" s="145" t="s">
        <v>1798</v>
      </c>
      <c r="HU147" s="145" t="s">
        <v>1809</v>
      </c>
      <c r="HV147" s="22" t="s">
        <v>1959</v>
      </c>
      <c r="HW147" s="22" t="s">
        <v>487</v>
      </c>
      <c r="HX147" s="22" t="s">
        <v>488</v>
      </c>
      <c r="HY147" s="22" t="s">
        <v>489</v>
      </c>
      <c r="HZ147" s="19"/>
      <c r="IA147" s="19"/>
      <c r="IB147" s="622">
        <f>'background data'!$G$15</f>
        <v>0.221</v>
      </c>
      <c r="IC147" s="622">
        <f>'background data'!$H$15</f>
        <v>6.7000000000000004E-2</v>
      </c>
      <c r="ID147" s="622">
        <f>'background data'!$J$15</f>
        <v>0.20100000000000001</v>
      </c>
      <c r="IE147" s="622">
        <f>'background data'!$L$15</f>
        <v>1.4999999999999999E-2</v>
      </c>
      <c r="IF147" s="622">
        <f>'background data'!$M$15</f>
        <v>1.74</v>
      </c>
      <c r="IG147" s="622">
        <f>'background data'!$N$15</f>
        <v>2.3999999999999998E-3</v>
      </c>
      <c r="IH147" s="622">
        <f>'background data'!$O$15</f>
        <v>1.41</v>
      </c>
      <c r="II147" s="145" t="s">
        <v>1798</v>
      </c>
      <c r="IJ147" s="145"/>
      <c r="IK147" s="145"/>
      <c r="IL147" s="145"/>
      <c r="IM147" s="145"/>
      <c r="IN147" s="145"/>
      <c r="IO147" s="145"/>
      <c r="IP147" s="145"/>
      <c r="IQ147" s="145"/>
      <c r="IR147" s="145"/>
      <c r="IS147" s="145"/>
      <c r="IT147" s="145"/>
      <c r="IU147" s="145"/>
      <c r="IV147" s="145"/>
      <c r="IW147" s="145"/>
      <c r="IX147" s="145"/>
      <c r="IY147" s="145"/>
      <c r="IZ147" s="145"/>
      <c r="JA147" s="145"/>
      <c r="JB147" s="145"/>
      <c r="JC147" s="145"/>
      <c r="JD147" s="145"/>
      <c r="JE147" s="145"/>
      <c r="JF147" s="145"/>
      <c r="JG147" s="145"/>
      <c r="JH147" s="145"/>
      <c r="JI147" s="145"/>
      <c r="JJ147" s="145"/>
      <c r="JK147" s="145"/>
      <c r="JL147" s="145"/>
      <c r="JM147" s="145"/>
      <c r="JN147" s="145"/>
      <c r="JO147" s="145"/>
      <c r="JP147" s="145"/>
      <c r="JQ147" s="145"/>
      <c r="JR147" s="145"/>
      <c r="JS147" s="145"/>
      <c r="JT147" s="145"/>
      <c r="JU147" s="145"/>
      <c r="JV147" s="145"/>
      <c r="JW147" s="145"/>
      <c r="JX147" s="145"/>
      <c r="JY147" s="145"/>
      <c r="JZ147" s="145"/>
      <c r="KA147" s="145"/>
      <c r="KB147" s="145"/>
      <c r="KC147" s="145"/>
      <c r="KD147" s="145"/>
      <c r="KE147" s="145"/>
      <c r="KF147" s="145"/>
      <c r="KG147" s="145"/>
      <c r="KH147" s="145"/>
      <c r="KI147" s="145"/>
      <c r="KJ147" s="145"/>
      <c r="KK147" s="145"/>
      <c r="KL147" s="145"/>
      <c r="KM147" s="145"/>
      <c r="KN147" s="145"/>
      <c r="KO147" s="145"/>
      <c r="KP147" s="145"/>
      <c r="KQ147" s="145"/>
      <c r="KR147" s="145"/>
      <c r="KS147" s="145"/>
      <c r="KT147" s="145"/>
      <c r="KU147" s="145"/>
      <c r="KV147" s="145"/>
      <c r="KW147" s="145"/>
      <c r="KX147" s="145"/>
      <c r="KY147" s="145"/>
      <c r="KZ147" s="145"/>
      <c r="LA147" s="145"/>
      <c r="LB147" s="145"/>
      <c r="LC147" s="145"/>
      <c r="LD147" s="145"/>
      <c r="LE147" s="145"/>
      <c r="LF147" s="145"/>
      <c r="LG147" s="145"/>
      <c r="LH147" s="145"/>
      <c r="LI147" s="145"/>
      <c r="LJ147" s="145"/>
      <c r="LK147" s="145"/>
      <c r="LL147" s="145"/>
      <c r="LM147" s="145"/>
      <c r="LN147" s="145"/>
      <c r="LO147" s="145"/>
      <c r="LP147" s="145"/>
      <c r="LQ147" s="145"/>
      <c r="LR147" s="145"/>
      <c r="LS147" s="145"/>
      <c r="LT147" s="145"/>
      <c r="LU147" s="145"/>
      <c r="LV147" s="145"/>
      <c r="LW147" s="145"/>
      <c r="LX147" s="145"/>
      <c r="LY147" s="145"/>
      <c r="LZ147" s="145"/>
      <c r="MA147" s="145"/>
      <c r="MB147" s="145"/>
      <c r="MC147" s="145"/>
      <c r="MD147" s="145"/>
      <c r="ME147" s="145"/>
      <c r="MF147" s="145"/>
      <c r="MG147" s="145"/>
      <c r="MH147" s="145"/>
      <c r="MI147" s="145"/>
      <c r="MJ147" s="145"/>
      <c r="MK147" s="145"/>
      <c r="ML147" s="145"/>
      <c r="MM147" s="145"/>
      <c r="MN147" s="145"/>
      <c r="MO147" s="145"/>
      <c r="MP147" s="145"/>
      <c r="MQ147" s="145"/>
      <c r="MR147" s="145"/>
      <c r="MS147" s="145"/>
      <c r="MT147" s="145"/>
      <c r="MU147" s="145"/>
      <c r="MV147" s="145"/>
      <c r="MW147" s="145"/>
      <c r="MX147" s="145"/>
      <c r="MY147" s="145"/>
      <c r="MZ147" s="145"/>
      <c r="NA147" s="145"/>
      <c r="NB147" s="145"/>
      <c r="NC147" s="145"/>
      <c r="ND147" s="145"/>
      <c r="NE147" s="145"/>
      <c r="NF147" s="145"/>
      <c r="NG147" s="145"/>
      <c r="NH147" s="145"/>
      <c r="NI147" s="145"/>
      <c r="NJ147" s="145"/>
      <c r="NK147" s="145"/>
      <c r="NL147" s="145"/>
      <c r="NM147" s="145"/>
      <c r="NN147" s="145"/>
      <c r="NO147" s="145"/>
      <c r="NP147" s="145"/>
      <c r="NQ147" s="145"/>
      <c r="NR147" s="145"/>
      <c r="NS147" s="145"/>
    </row>
    <row r="148" spans="1:383" s="16" customFormat="1" ht="15" customHeight="1" x14ac:dyDescent="0.2">
      <c r="A148" s="15">
        <v>54010</v>
      </c>
      <c r="B148" s="25">
        <v>540</v>
      </c>
      <c r="C148" s="26">
        <v>10</v>
      </c>
      <c r="D148" s="20" t="s">
        <v>490</v>
      </c>
      <c r="E148" s="14">
        <v>40310</v>
      </c>
      <c r="F148" s="18">
        <v>1.24836066226287</v>
      </c>
      <c r="G148" s="18">
        <v>1.2207856136363699</v>
      </c>
      <c r="H148" s="21">
        <v>90.3</v>
      </c>
      <c r="I148" s="21">
        <v>88.2</v>
      </c>
      <c r="J148" s="21">
        <v>91</v>
      </c>
      <c r="K148" s="18">
        <v>1</v>
      </c>
      <c r="L148" s="18">
        <v>87.5</v>
      </c>
      <c r="M148" s="18">
        <v>8.4</v>
      </c>
      <c r="N148" s="18">
        <v>4.0250000000000004</v>
      </c>
      <c r="O148" s="18">
        <v>1.3125</v>
      </c>
      <c r="P148" s="18">
        <v>2.0125000000000002</v>
      </c>
      <c r="Q148" s="19"/>
      <c r="R148" s="18">
        <v>86</v>
      </c>
      <c r="S148" s="18">
        <v>20</v>
      </c>
      <c r="T148" s="18">
        <v>33</v>
      </c>
      <c r="U148" s="18">
        <v>38</v>
      </c>
      <c r="V148" s="18">
        <v>42</v>
      </c>
      <c r="W148" s="18">
        <v>45</v>
      </c>
      <c r="X148" s="18"/>
      <c r="Y148" s="18">
        <v>9.9999999999999992E-2</v>
      </c>
      <c r="Z148" s="18">
        <v>3.1999999999999997</v>
      </c>
      <c r="AA148" s="18">
        <v>9.9999999999999992E-2</v>
      </c>
      <c r="AB148" s="18">
        <v>0</v>
      </c>
      <c r="AC148" s="18">
        <v>4</v>
      </c>
      <c r="AD148" s="18">
        <v>1.2</v>
      </c>
      <c r="AE148" s="18">
        <v>1.2</v>
      </c>
      <c r="AF148" s="18">
        <v>35</v>
      </c>
      <c r="AG148" s="18">
        <v>3.6</v>
      </c>
      <c r="AH148" s="18">
        <v>6.3999999999999995</v>
      </c>
      <c r="AI148" s="18">
        <v>28</v>
      </c>
      <c r="AJ148" s="18">
        <v>0</v>
      </c>
      <c r="AK148" s="18">
        <v>0.06</v>
      </c>
      <c r="AL148" s="18"/>
      <c r="AM148" s="18">
        <v>2.9</v>
      </c>
      <c r="AN148" s="18">
        <v>2.0999999999999899</v>
      </c>
      <c r="AO148" s="18">
        <v>2.2000000000000099</v>
      </c>
      <c r="AP148" s="18">
        <v>3.51</v>
      </c>
      <c r="AQ148" s="18">
        <v>0.71</v>
      </c>
      <c r="AR148" s="18">
        <v>3.3699999999999899</v>
      </c>
      <c r="AS148" s="18">
        <v>12.11</v>
      </c>
      <c r="AT148" s="18">
        <v>2.94</v>
      </c>
      <c r="AU148" s="18">
        <v>4.67</v>
      </c>
      <c r="AV148" s="18">
        <v>3.7299999999999902</v>
      </c>
      <c r="AW148" s="18">
        <v>4.76</v>
      </c>
      <c r="AX148" s="18"/>
      <c r="AY148" s="18">
        <v>0.88</v>
      </c>
      <c r="AZ148" s="18">
        <v>1.02</v>
      </c>
      <c r="BA148" s="18">
        <v>0.99</v>
      </c>
      <c r="BB148" s="18">
        <v>0.93</v>
      </c>
      <c r="BC148" s="18">
        <v>0.86</v>
      </c>
      <c r="BD148" s="18">
        <v>0.99</v>
      </c>
      <c r="BE148" s="18">
        <v>1.03</v>
      </c>
      <c r="BF148" s="18">
        <v>0.98</v>
      </c>
      <c r="BG148" s="18">
        <v>1</v>
      </c>
      <c r="BH148" s="18">
        <v>1.02</v>
      </c>
      <c r="BI148" s="18">
        <v>0.97</v>
      </c>
      <c r="BJ148" s="19"/>
      <c r="BK148" s="18">
        <v>9.6</v>
      </c>
      <c r="BL148" s="18">
        <v>4.6000000000000005</v>
      </c>
      <c r="BM148" s="18">
        <v>1.5</v>
      </c>
      <c r="BN148" s="18">
        <v>2.3000000000000003</v>
      </c>
      <c r="BO148" s="18"/>
      <c r="BP148" s="18">
        <v>120</v>
      </c>
      <c r="BQ148" s="18">
        <v>55.199999999999996</v>
      </c>
      <c r="BR148" s="18">
        <v>1.4266978997289943</v>
      </c>
      <c r="BS148" s="18">
        <v>1.3951835584415657</v>
      </c>
      <c r="BT148" s="19"/>
      <c r="BU148" s="18">
        <v>985</v>
      </c>
      <c r="BV148" s="18">
        <v>727.92500000000007</v>
      </c>
      <c r="BW148" s="18">
        <v>29.549999999999887</v>
      </c>
      <c r="BX148" s="18">
        <v>690</v>
      </c>
      <c r="BY148" s="18">
        <v>20</v>
      </c>
      <c r="BZ148" s="18">
        <v>9</v>
      </c>
      <c r="CA148" s="18">
        <v>99</v>
      </c>
      <c r="CB148" s="19"/>
      <c r="CC148" s="19">
        <v>8.7499999999999994E-2</v>
      </c>
      <c r="CD148" s="19">
        <v>2.8</v>
      </c>
      <c r="CE148" s="19">
        <v>8.7499999999999994E-2</v>
      </c>
      <c r="CF148" s="19">
        <v>0</v>
      </c>
      <c r="CG148" s="19">
        <v>3.5</v>
      </c>
      <c r="CH148" s="19">
        <v>1.05</v>
      </c>
      <c r="CI148" s="19">
        <v>1.05</v>
      </c>
      <c r="CJ148" s="19"/>
      <c r="CK148" s="19">
        <v>30.625</v>
      </c>
      <c r="CL148" s="19">
        <v>3.15</v>
      </c>
      <c r="CM148" s="19">
        <v>5.6</v>
      </c>
      <c r="CN148" s="19">
        <v>24.5</v>
      </c>
      <c r="CO148" s="19">
        <v>0</v>
      </c>
      <c r="CP148" s="19">
        <v>5.2499999999999998E-2</v>
      </c>
      <c r="CQ148" s="19">
        <v>72.239999999999995</v>
      </c>
      <c r="CR148" s="19">
        <v>57.867892015319093</v>
      </c>
      <c r="CS148" s="19">
        <v>1.4767886042309435</v>
      </c>
      <c r="CT148" s="19">
        <v>1.2395302469681271</v>
      </c>
      <c r="CU148" s="19">
        <v>1.260362688093658</v>
      </c>
      <c r="CV148" s="19">
        <v>2.4998929350617853</v>
      </c>
      <c r="CW148" s="19">
        <v>1.8889815990560612</v>
      </c>
      <c r="CX148" s="19">
        <v>0.35334134864553846</v>
      </c>
      <c r="CY148" s="19">
        <v>1.9306464813070832</v>
      </c>
      <c r="CZ148" s="19">
        <v>7.2180357747467978</v>
      </c>
      <c r="DA148" s="19">
        <v>1.6672897047453739</v>
      </c>
      <c r="DB148" s="19">
        <v>2.7024305571154019</v>
      </c>
      <c r="DC148" s="19">
        <v>2.2016418196148226</v>
      </c>
      <c r="DD148" s="19">
        <v>4.9040723767302241</v>
      </c>
      <c r="DE148" s="19">
        <v>2.6718763101313137</v>
      </c>
      <c r="DF148" s="23">
        <v>0</v>
      </c>
      <c r="DG148" s="23">
        <v>0</v>
      </c>
      <c r="DH148" s="23">
        <v>0</v>
      </c>
      <c r="DI148" s="19">
        <v>0</v>
      </c>
      <c r="DJ148" s="19">
        <v>0</v>
      </c>
      <c r="DK148" s="19">
        <v>0</v>
      </c>
      <c r="DL148" s="19">
        <v>0</v>
      </c>
      <c r="DM148" s="19">
        <v>0</v>
      </c>
      <c r="DN148" s="19">
        <v>0</v>
      </c>
      <c r="DO148" s="19">
        <v>0</v>
      </c>
      <c r="DP148" s="19">
        <v>0</v>
      </c>
      <c r="DQ148" s="19">
        <v>0</v>
      </c>
      <c r="DR148" s="19">
        <v>0</v>
      </c>
      <c r="DS148" s="19">
        <v>0</v>
      </c>
      <c r="DT148" s="19">
        <v>0</v>
      </c>
      <c r="DU148" s="19">
        <v>0</v>
      </c>
      <c r="DV148" s="19">
        <v>0</v>
      </c>
      <c r="DW148" s="17" t="s">
        <v>486</v>
      </c>
      <c r="DX148" s="22" t="s">
        <v>218</v>
      </c>
      <c r="DY148" s="22" t="s">
        <v>218</v>
      </c>
      <c r="DZ148" s="22">
        <v>5</v>
      </c>
      <c r="EA148" s="22">
        <v>5</v>
      </c>
      <c r="EB148" s="22" t="s">
        <v>218</v>
      </c>
      <c r="EC148" s="22">
        <v>5</v>
      </c>
      <c r="ED148" s="22">
        <v>5</v>
      </c>
      <c r="EE148" s="22" t="s">
        <v>218</v>
      </c>
      <c r="EF148" s="22">
        <v>5</v>
      </c>
      <c r="EG148" s="22" t="s">
        <v>218</v>
      </c>
      <c r="EH148" s="22" t="s">
        <v>218</v>
      </c>
      <c r="EI148" s="22" t="s">
        <v>218</v>
      </c>
      <c r="EJ148" s="22" t="s">
        <v>218</v>
      </c>
      <c r="EK148" s="22" t="s">
        <v>218</v>
      </c>
      <c r="EL148" s="22" t="s">
        <v>218</v>
      </c>
      <c r="EM148" s="22" t="s">
        <v>218</v>
      </c>
      <c r="EN148" s="22" t="s">
        <v>218</v>
      </c>
      <c r="EO148" s="22" t="s">
        <v>218</v>
      </c>
      <c r="EP148" s="22" t="s">
        <v>218</v>
      </c>
      <c r="EQ148" s="22" t="s">
        <v>218</v>
      </c>
      <c r="ER148" s="22" t="s">
        <v>218</v>
      </c>
      <c r="ES148" s="22">
        <v>5</v>
      </c>
      <c r="ET148" s="22">
        <v>5</v>
      </c>
      <c r="EU148" s="22">
        <v>5</v>
      </c>
      <c r="EV148" s="22" t="s">
        <v>218</v>
      </c>
      <c r="EW148" s="22">
        <v>5</v>
      </c>
      <c r="EX148" s="22">
        <v>5</v>
      </c>
      <c r="EY148" s="22">
        <v>5</v>
      </c>
      <c r="EZ148" s="22">
        <v>5</v>
      </c>
      <c r="FA148" s="22">
        <v>5</v>
      </c>
      <c r="FB148" s="22">
        <v>5</v>
      </c>
      <c r="FC148" s="22">
        <v>5</v>
      </c>
      <c r="FD148" s="22" t="s">
        <v>218</v>
      </c>
      <c r="FE148" s="22" t="s">
        <v>218</v>
      </c>
      <c r="FF148" s="22" t="s">
        <v>218</v>
      </c>
      <c r="FG148" s="22" t="s">
        <v>218</v>
      </c>
      <c r="FH148" s="22">
        <v>0.4</v>
      </c>
      <c r="FI148" s="22">
        <v>0.1</v>
      </c>
      <c r="FJ148" s="22" t="s">
        <v>218</v>
      </c>
      <c r="FK148" s="22">
        <v>2.2999999999999998</v>
      </c>
      <c r="FL148" s="22">
        <v>0.7</v>
      </c>
      <c r="FM148" s="22" t="s">
        <v>218</v>
      </c>
      <c r="FN148" s="22">
        <v>1.8</v>
      </c>
      <c r="FO148" s="22" t="s">
        <v>218</v>
      </c>
      <c r="FP148" s="22" t="s">
        <v>218</v>
      </c>
      <c r="FQ148" s="22" t="s">
        <v>218</v>
      </c>
      <c r="FR148" s="22" t="s">
        <v>218</v>
      </c>
      <c r="FS148" s="22" t="s">
        <v>218</v>
      </c>
      <c r="FT148" s="22" t="s">
        <v>218</v>
      </c>
      <c r="FU148" s="22" t="s">
        <v>218</v>
      </c>
      <c r="FV148" s="22" t="s">
        <v>218</v>
      </c>
      <c r="FW148" s="22" t="s">
        <v>218</v>
      </c>
      <c r="FX148" s="22" t="s">
        <v>218</v>
      </c>
      <c r="FY148" s="22" t="s">
        <v>218</v>
      </c>
      <c r="FZ148" s="22" t="s">
        <v>218</v>
      </c>
      <c r="GA148" s="22" t="s">
        <v>218</v>
      </c>
      <c r="GB148" s="22">
        <v>0.35</v>
      </c>
      <c r="GC148" s="22">
        <v>0.1</v>
      </c>
      <c r="GD148" s="22" t="s">
        <v>218</v>
      </c>
      <c r="GE148" s="22">
        <v>0.42</v>
      </c>
      <c r="GF148" s="22">
        <v>0.16</v>
      </c>
      <c r="GG148" s="22">
        <v>0.18</v>
      </c>
      <c r="GH148" s="22">
        <v>4.34</v>
      </c>
      <c r="GI148" s="22">
        <v>0.49</v>
      </c>
      <c r="GJ148" s="22">
        <v>0.57999999999999996</v>
      </c>
      <c r="GK148" s="22">
        <v>3.21</v>
      </c>
      <c r="GL148" s="22" t="s">
        <v>218</v>
      </c>
      <c r="GM148" s="22" t="s">
        <v>218</v>
      </c>
      <c r="GN148" s="22" t="s">
        <v>218</v>
      </c>
      <c r="GO148" s="22" t="s">
        <v>218</v>
      </c>
      <c r="GP148" s="22">
        <v>2005</v>
      </c>
      <c r="GQ148" s="22">
        <v>2005</v>
      </c>
      <c r="GR148" s="22" t="s">
        <v>218</v>
      </c>
      <c r="GS148" s="22">
        <v>2005</v>
      </c>
      <c r="GT148" s="22">
        <v>2005</v>
      </c>
      <c r="GU148" s="22" t="s">
        <v>218</v>
      </c>
      <c r="GV148" s="22">
        <v>2005</v>
      </c>
      <c r="GW148" s="22" t="s">
        <v>218</v>
      </c>
      <c r="GX148" s="22" t="s">
        <v>218</v>
      </c>
      <c r="GY148" s="22" t="s">
        <v>218</v>
      </c>
      <c r="GZ148" s="22" t="s">
        <v>218</v>
      </c>
      <c r="HA148" s="22" t="s">
        <v>218</v>
      </c>
      <c r="HB148" s="22" t="s">
        <v>218</v>
      </c>
      <c r="HC148" s="22" t="s">
        <v>218</v>
      </c>
      <c r="HD148" s="22" t="s">
        <v>218</v>
      </c>
      <c r="HE148" s="22" t="s">
        <v>218</v>
      </c>
      <c r="HF148" s="22" t="s">
        <v>218</v>
      </c>
      <c r="HG148" s="22" t="s">
        <v>218</v>
      </c>
      <c r="HH148" s="22" t="s">
        <v>218</v>
      </c>
      <c r="HI148" s="22">
        <v>2005</v>
      </c>
      <c r="HJ148" s="22">
        <v>2005</v>
      </c>
      <c r="HK148" s="22">
        <v>2005</v>
      </c>
      <c r="HL148" s="22" t="s">
        <v>218</v>
      </c>
      <c r="HM148" s="622">
        <f>'background data'!$G$15</f>
        <v>0.221</v>
      </c>
      <c r="HN148" s="622">
        <f>'background data'!$H$15</f>
        <v>6.7000000000000004E-2</v>
      </c>
      <c r="HO148" s="622">
        <f>'background data'!$J$15</f>
        <v>0.20100000000000001</v>
      </c>
      <c r="HP148" s="622">
        <f>'background data'!$L$15</f>
        <v>1.4999999999999999E-2</v>
      </c>
      <c r="HQ148" s="622">
        <f>'background data'!$M$15</f>
        <v>1.74</v>
      </c>
      <c r="HR148" s="622">
        <f>'background data'!$N$15</f>
        <v>2.3999999999999998E-3</v>
      </c>
      <c r="HS148" s="622">
        <f>'background data'!$O$15</f>
        <v>1.41</v>
      </c>
      <c r="HT148" s="145" t="s">
        <v>1798</v>
      </c>
      <c r="HU148" s="145" t="s">
        <v>1809</v>
      </c>
      <c r="HV148" s="22" t="s">
        <v>1959</v>
      </c>
      <c r="HW148" s="22" t="s">
        <v>487</v>
      </c>
      <c r="HX148" s="22" t="s">
        <v>488</v>
      </c>
      <c r="HY148" s="22" t="s">
        <v>489</v>
      </c>
      <c r="HZ148" s="19"/>
      <c r="IA148" s="19"/>
      <c r="IB148" s="622">
        <f>'background data'!$G$15</f>
        <v>0.221</v>
      </c>
      <c r="IC148" s="622">
        <f>'background data'!$H$15</f>
        <v>6.7000000000000004E-2</v>
      </c>
      <c r="ID148" s="622">
        <f>'background data'!$J$15</f>
        <v>0.20100000000000001</v>
      </c>
      <c r="IE148" s="622">
        <f>'background data'!$L$15</f>
        <v>1.4999999999999999E-2</v>
      </c>
      <c r="IF148" s="622">
        <f>'background data'!$M$15</f>
        <v>1.74</v>
      </c>
      <c r="IG148" s="622">
        <f>'background data'!$N$15</f>
        <v>2.3999999999999998E-3</v>
      </c>
      <c r="IH148" s="622">
        <f>'background data'!$O$15</f>
        <v>1.41</v>
      </c>
      <c r="II148" s="145" t="s">
        <v>1798</v>
      </c>
      <c r="IJ148" s="145"/>
      <c r="IK148" s="145"/>
      <c r="IL148" s="145"/>
      <c r="IM148" s="145"/>
      <c r="IN148" s="145"/>
      <c r="IO148" s="145"/>
      <c r="IP148" s="145"/>
      <c r="IQ148" s="145"/>
      <c r="IR148" s="145"/>
      <c r="IS148" s="145"/>
      <c r="IT148" s="145"/>
      <c r="IU148" s="145"/>
      <c r="IV148" s="145"/>
      <c r="IW148" s="145"/>
      <c r="IX148" s="145"/>
      <c r="IY148" s="145"/>
      <c r="IZ148" s="145"/>
      <c r="JA148" s="145"/>
      <c r="JB148" s="145"/>
      <c r="JC148" s="145"/>
      <c r="JD148" s="145"/>
      <c r="JE148" s="145"/>
      <c r="JF148" s="145"/>
      <c r="JG148" s="145"/>
      <c r="JH148" s="145"/>
      <c r="JI148" s="145"/>
      <c r="JJ148" s="145"/>
      <c r="JK148" s="145"/>
      <c r="JL148" s="145"/>
      <c r="JM148" s="145"/>
      <c r="JN148" s="145"/>
      <c r="JO148" s="145"/>
      <c r="JP148" s="145"/>
      <c r="JQ148" s="145"/>
      <c r="JR148" s="145"/>
      <c r="JS148" s="145"/>
      <c r="JT148" s="145"/>
      <c r="JU148" s="145"/>
      <c r="JV148" s="145"/>
      <c r="JW148" s="145"/>
      <c r="JX148" s="145"/>
      <c r="JY148" s="145"/>
      <c r="JZ148" s="145"/>
      <c r="KA148" s="145"/>
      <c r="KB148" s="145"/>
      <c r="KC148" s="145"/>
      <c r="KD148" s="145"/>
      <c r="KE148" s="145"/>
      <c r="KF148" s="145"/>
      <c r="KG148" s="145"/>
      <c r="KH148" s="145"/>
      <c r="KI148" s="145"/>
      <c r="KJ148" s="145"/>
      <c r="KK148" s="145"/>
      <c r="KL148" s="145"/>
      <c r="KM148" s="145"/>
      <c r="KN148" s="145"/>
      <c r="KO148" s="145"/>
      <c r="KP148" s="145"/>
      <c r="KQ148" s="145"/>
      <c r="KR148" s="145"/>
      <c r="KS148" s="145"/>
      <c r="KT148" s="145"/>
      <c r="KU148" s="145"/>
      <c r="KV148" s="145"/>
      <c r="KW148" s="145"/>
      <c r="KX148" s="145"/>
      <c r="KY148" s="145"/>
      <c r="KZ148" s="145"/>
      <c r="LA148" s="145"/>
      <c r="LB148" s="145"/>
      <c r="LC148" s="145"/>
      <c r="LD148" s="145"/>
      <c r="LE148" s="145"/>
      <c r="LF148" s="145"/>
      <c r="LG148" s="145"/>
      <c r="LH148" s="145"/>
      <c r="LI148" s="145"/>
      <c r="LJ148" s="145"/>
      <c r="LK148" s="145"/>
      <c r="LL148" s="145"/>
      <c r="LM148" s="145"/>
      <c r="LN148" s="145"/>
      <c r="LO148" s="145"/>
      <c r="LP148" s="145"/>
      <c r="LQ148" s="145"/>
      <c r="LR148" s="145"/>
      <c r="LS148" s="145"/>
      <c r="LT148" s="145"/>
      <c r="LU148" s="145"/>
      <c r="LV148" s="145"/>
      <c r="LW148" s="145"/>
      <c r="LX148" s="145"/>
      <c r="LY148" s="145"/>
      <c r="LZ148" s="145"/>
      <c r="MA148" s="145"/>
      <c r="MB148" s="145"/>
      <c r="MC148" s="145"/>
      <c r="MD148" s="145"/>
      <c r="ME148" s="145"/>
      <c r="MF148" s="145"/>
      <c r="MG148" s="145"/>
      <c r="MH148" s="145"/>
      <c r="MI148" s="145"/>
      <c r="MJ148" s="145"/>
      <c r="MK148" s="145"/>
      <c r="ML148" s="145"/>
      <c r="MM148" s="145"/>
      <c r="MN148" s="145"/>
      <c r="MO148" s="145"/>
      <c r="MP148" s="145"/>
      <c r="MQ148" s="145"/>
      <c r="MR148" s="145"/>
      <c r="MS148" s="145"/>
      <c r="MT148" s="145"/>
      <c r="MU148" s="145"/>
      <c r="MV148" s="145"/>
      <c r="MW148" s="145"/>
      <c r="MX148" s="145"/>
      <c r="MY148" s="145"/>
      <c r="MZ148" s="145"/>
      <c r="NA148" s="145"/>
      <c r="NB148" s="145"/>
      <c r="NC148" s="145"/>
      <c r="ND148" s="145"/>
      <c r="NE148" s="145"/>
      <c r="NF148" s="145"/>
      <c r="NG148" s="145"/>
      <c r="NH148" s="145"/>
      <c r="NI148" s="145"/>
      <c r="NJ148" s="145"/>
      <c r="NK148" s="145"/>
      <c r="NL148" s="145"/>
      <c r="NM148" s="145"/>
      <c r="NN148" s="145"/>
      <c r="NO148" s="145"/>
      <c r="NP148" s="145"/>
      <c r="NQ148" s="145"/>
      <c r="NR148" s="145"/>
      <c r="NS148" s="145"/>
    </row>
    <row r="149" spans="1:383" s="16" customFormat="1" ht="15" customHeight="1" x14ac:dyDescent="0.2">
      <c r="A149" s="15">
        <v>54020</v>
      </c>
      <c r="B149" s="25">
        <v>540</v>
      </c>
      <c r="C149" s="26">
        <v>20</v>
      </c>
      <c r="D149" s="20" t="s">
        <v>491</v>
      </c>
      <c r="E149" s="14">
        <v>40310</v>
      </c>
      <c r="F149" s="18">
        <v>0.82379456271776896</v>
      </c>
      <c r="G149" s="18">
        <v>0.805665240860854</v>
      </c>
      <c r="H149" s="21">
        <v>90.1</v>
      </c>
      <c r="I149" s="21">
        <v>88.1</v>
      </c>
      <c r="J149" s="21">
        <v>91</v>
      </c>
      <c r="K149" s="18">
        <v>1</v>
      </c>
      <c r="L149" s="18">
        <v>58</v>
      </c>
      <c r="M149" s="18">
        <v>5.22</v>
      </c>
      <c r="N149" s="18">
        <v>2.61</v>
      </c>
      <c r="O149" s="18">
        <v>0.98599999999999999</v>
      </c>
      <c r="P149" s="18">
        <v>1.3340000000000001</v>
      </c>
      <c r="Q149" s="19"/>
      <c r="R149" s="18">
        <v>86</v>
      </c>
      <c r="S149" s="18">
        <v>20</v>
      </c>
      <c r="T149" s="18">
        <v>33</v>
      </c>
      <c r="U149" s="18">
        <v>38</v>
      </c>
      <c r="V149" s="18">
        <v>42</v>
      </c>
      <c r="W149" s="18">
        <v>45</v>
      </c>
      <c r="X149" s="18"/>
      <c r="Y149" s="18">
        <v>0.1</v>
      </c>
      <c r="Z149" s="18">
        <v>3.2</v>
      </c>
      <c r="AA149" s="18">
        <v>0.1</v>
      </c>
      <c r="AB149" s="18">
        <v>0</v>
      </c>
      <c r="AC149" s="18">
        <v>3.9999999999999996</v>
      </c>
      <c r="AD149" s="18">
        <v>1.2</v>
      </c>
      <c r="AE149" s="18">
        <v>1.2</v>
      </c>
      <c r="AF149" s="18">
        <v>35</v>
      </c>
      <c r="AG149" s="18">
        <v>1.8</v>
      </c>
      <c r="AH149" s="18">
        <v>7.7</v>
      </c>
      <c r="AI149" s="18">
        <v>27.999999999999996</v>
      </c>
      <c r="AJ149" s="18">
        <v>0</v>
      </c>
      <c r="AK149" s="18">
        <v>0.06</v>
      </c>
      <c r="AL149" s="18"/>
      <c r="AM149" s="18">
        <v>2.9</v>
      </c>
      <c r="AN149" s="18">
        <v>2.0999999999999899</v>
      </c>
      <c r="AO149" s="18">
        <v>2.2000000000000099</v>
      </c>
      <c r="AP149" s="18">
        <v>3.51</v>
      </c>
      <c r="AQ149" s="18">
        <v>0.71</v>
      </c>
      <c r="AR149" s="18">
        <v>3.3699999999999899</v>
      </c>
      <c r="AS149" s="18">
        <v>12.11</v>
      </c>
      <c r="AT149" s="18">
        <v>2.94</v>
      </c>
      <c r="AU149" s="18">
        <v>4.67</v>
      </c>
      <c r="AV149" s="18">
        <v>3.7299999999999902</v>
      </c>
      <c r="AW149" s="18">
        <v>4.76</v>
      </c>
      <c r="AX149" s="18"/>
      <c r="AY149" s="18">
        <v>0.88</v>
      </c>
      <c r="AZ149" s="18">
        <v>1.02</v>
      </c>
      <c r="BA149" s="18">
        <v>0.99</v>
      </c>
      <c r="BB149" s="18">
        <v>0.93</v>
      </c>
      <c r="BC149" s="18">
        <v>0.86</v>
      </c>
      <c r="BD149" s="18">
        <v>0.99</v>
      </c>
      <c r="BE149" s="18">
        <v>1.03</v>
      </c>
      <c r="BF149" s="18">
        <v>0.98</v>
      </c>
      <c r="BG149" s="18">
        <v>1</v>
      </c>
      <c r="BH149" s="18">
        <v>1.02</v>
      </c>
      <c r="BI149" s="18">
        <v>0.97</v>
      </c>
      <c r="BJ149" s="19"/>
      <c r="BK149" s="18">
        <v>9</v>
      </c>
      <c r="BL149" s="18">
        <v>4.5</v>
      </c>
      <c r="BM149" s="18">
        <v>1.7</v>
      </c>
      <c r="BN149" s="18">
        <v>2.3000000000000003</v>
      </c>
      <c r="BO149" s="18"/>
      <c r="BP149" s="18">
        <v>120</v>
      </c>
      <c r="BQ149" s="18">
        <v>54</v>
      </c>
      <c r="BR149" s="18">
        <v>1.4203354529616705</v>
      </c>
      <c r="BS149" s="18">
        <v>1.389078001484231</v>
      </c>
      <c r="BT149" s="19"/>
      <c r="BU149" s="18">
        <v>983</v>
      </c>
      <c r="BV149" s="18">
        <v>732.0472857142862</v>
      </c>
      <c r="BW149" s="18">
        <v>28.08571428571431</v>
      </c>
      <c r="BX149" s="18">
        <v>690</v>
      </c>
      <c r="BY149" s="18">
        <v>20</v>
      </c>
      <c r="BZ149" s="18">
        <v>9</v>
      </c>
      <c r="CA149" s="18">
        <v>99</v>
      </c>
      <c r="CB149" s="19"/>
      <c r="CC149" s="19">
        <v>5.7999999999999996E-2</v>
      </c>
      <c r="CD149" s="19">
        <v>1.8559999999999999</v>
      </c>
      <c r="CE149" s="19">
        <v>5.7999999999999996E-2</v>
      </c>
      <c r="CF149" s="19">
        <v>0</v>
      </c>
      <c r="CG149" s="19">
        <v>2.3199999999999994</v>
      </c>
      <c r="CH149" s="19">
        <v>0.69599999999999995</v>
      </c>
      <c r="CI149" s="19">
        <v>0.69599999999999995</v>
      </c>
      <c r="CJ149" s="19"/>
      <c r="CK149" s="19">
        <v>20.299999999999997</v>
      </c>
      <c r="CL149" s="19">
        <v>1.044</v>
      </c>
      <c r="CM149" s="19">
        <v>4.4660000000000002</v>
      </c>
      <c r="CN149" s="19">
        <v>16.239999999999998</v>
      </c>
      <c r="CO149" s="19">
        <v>0</v>
      </c>
      <c r="CP149" s="19">
        <v>3.4799999999999998E-2</v>
      </c>
      <c r="CQ149" s="19">
        <v>44.892000000000003</v>
      </c>
      <c r="CR149" s="19">
        <v>54.494168851876665</v>
      </c>
      <c r="CS149" s="19">
        <v>1.3906911890998923</v>
      </c>
      <c r="CT149" s="19">
        <v>1.167265096807192</v>
      </c>
      <c r="CU149" s="19">
        <v>1.1868829975938797</v>
      </c>
      <c r="CV149" s="19">
        <v>2.3541480944010718</v>
      </c>
      <c r="CW149" s="19">
        <v>1.7788531538318098</v>
      </c>
      <c r="CX149" s="19">
        <v>0.3327413950095589</v>
      </c>
      <c r="CY149" s="19">
        <v>1.8180889554051489</v>
      </c>
      <c r="CZ149" s="19">
        <v>6.7972211634011312</v>
      </c>
      <c r="DA149" s="19">
        <v>1.5700859929602704</v>
      </c>
      <c r="DB149" s="19">
        <v>2.54487768538264</v>
      </c>
      <c r="DC149" s="19">
        <v>2.0732851481384875</v>
      </c>
      <c r="DD149" s="19">
        <v>4.6181628335211276</v>
      </c>
      <c r="DE149" s="19">
        <v>2.5161047642288494</v>
      </c>
      <c r="DF149" s="23">
        <v>0</v>
      </c>
      <c r="DG149" s="23">
        <v>0</v>
      </c>
      <c r="DH149" s="23">
        <v>0</v>
      </c>
      <c r="DI149" s="19">
        <v>0</v>
      </c>
      <c r="DJ149" s="19">
        <v>0</v>
      </c>
      <c r="DK149" s="19">
        <v>0</v>
      </c>
      <c r="DL149" s="19">
        <v>0</v>
      </c>
      <c r="DM149" s="19">
        <v>0</v>
      </c>
      <c r="DN149" s="19">
        <v>0</v>
      </c>
      <c r="DO149" s="19">
        <v>0</v>
      </c>
      <c r="DP149" s="19">
        <v>0</v>
      </c>
      <c r="DQ149" s="19">
        <v>0</v>
      </c>
      <c r="DR149" s="19">
        <v>0</v>
      </c>
      <c r="DS149" s="19">
        <v>0</v>
      </c>
      <c r="DT149" s="19">
        <v>0</v>
      </c>
      <c r="DU149" s="19">
        <v>0</v>
      </c>
      <c r="DV149" s="19">
        <v>0</v>
      </c>
      <c r="DW149" s="17" t="s">
        <v>486</v>
      </c>
      <c r="DX149" s="22" t="s">
        <v>218</v>
      </c>
      <c r="DY149" s="22" t="s">
        <v>218</v>
      </c>
      <c r="DZ149" s="22" t="s">
        <v>218</v>
      </c>
      <c r="EA149" s="22" t="s">
        <v>218</v>
      </c>
      <c r="EB149" s="22" t="s">
        <v>218</v>
      </c>
      <c r="EC149" s="22" t="s">
        <v>218</v>
      </c>
      <c r="ED149" s="22" t="s">
        <v>218</v>
      </c>
      <c r="EE149" s="22" t="s">
        <v>218</v>
      </c>
      <c r="EF149" s="22" t="s">
        <v>218</v>
      </c>
      <c r="EG149" s="22" t="s">
        <v>218</v>
      </c>
      <c r="EH149" s="22" t="s">
        <v>218</v>
      </c>
      <c r="EI149" s="22" t="s">
        <v>218</v>
      </c>
      <c r="EJ149" s="22" t="s">
        <v>218</v>
      </c>
      <c r="EK149" s="22" t="s">
        <v>218</v>
      </c>
      <c r="EL149" s="22" t="s">
        <v>218</v>
      </c>
      <c r="EM149" s="22" t="s">
        <v>218</v>
      </c>
      <c r="EN149" s="22" t="s">
        <v>218</v>
      </c>
      <c r="EO149" s="22" t="s">
        <v>218</v>
      </c>
      <c r="EP149" s="22" t="s">
        <v>218</v>
      </c>
      <c r="EQ149" s="22" t="s">
        <v>218</v>
      </c>
      <c r="ER149" s="22" t="s">
        <v>218</v>
      </c>
      <c r="ES149" s="22" t="s">
        <v>218</v>
      </c>
      <c r="ET149" s="22" t="s">
        <v>218</v>
      </c>
      <c r="EU149" s="22" t="s">
        <v>218</v>
      </c>
      <c r="EV149" s="22" t="s">
        <v>218</v>
      </c>
      <c r="EW149" s="22" t="s">
        <v>218</v>
      </c>
      <c r="EX149" s="22" t="s">
        <v>218</v>
      </c>
      <c r="EY149" s="22" t="s">
        <v>218</v>
      </c>
      <c r="EZ149" s="22" t="s">
        <v>218</v>
      </c>
      <c r="FA149" s="22" t="s">
        <v>218</v>
      </c>
      <c r="FB149" s="22" t="s">
        <v>218</v>
      </c>
      <c r="FC149" s="22" t="s">
        <v>218</v>
      </c>
      <c r="FD149" s="22" t="s">
        <v>218</v>
      </c>
      <c r="FE149" s="22" t="s">
        <v>218</v>
      </c>
      <c r="FF149" s="22" t="s">
        <v>218</v>
      </c>
      <c r="FG149" s="22" t="s">
        <v>218</v>
      </c>
      <c r="FH149" s="22" t="s">
        <v>218</v>
      </c>
      <c r="FI149" s="22" t="s">
        <v>218</v>
      </c>
      <c r="FJ149" s="22" t="s">
        <v>218</v>
      </c>
      <c r="FK149" s="22" t="s">
        <v>218</v>
      </c>
      <c r="FL149" s="22" t="s">
        <v>218</v>
      </c>
      <c r="FM149" s="22" t="s">
        <v>218</v>
      </c>
      <c r="FN149" s="22" t="s">
        <v>218</v>
      </c>
      <c r="FO149" s="22" t="s">
        <v>218</v>
      </c>
      <c r="FP149" s="22" t="s">
        <v>218</v>
      </c>
      <c r="FQ149" s="22" t="s">
        <v>218</v>
      </c>
      <c r="FR149" s="22" t="s">
        <v>218</v>
      </c>
      <c r="FS149" s="22" t="s">
        <v>218</v>
      </c>
      <c r="FT149" s="22" t="s">
        <v>218</v>
      </c>
      <c r="FU149" s="22" t="s">
        <v>218</v>
      </c>
      <c r="FV149" s="22" t="s">
        <v>218</v>
      </c>
      <c r="FW149" s="22" t="s">
        <v>218</v>
      </c>
      <c r="FX149" s="22" t="s">
        <v>218</v>
      </c>
      <c r="FY149" s="22" t="s">
        <v>218</v>
      </c>
      <c r="FZ149" s="22" t="s">
        <v>218</v>
      </c>
      <c r="GA149" s="22" t="s">
        <v>218</v>
      </c>
      <c r="GB149" s="22" t="s">
        <v>218</v>
      </c>
      <c r="GC149" s="22" t="s">
        <v>218</v>
      </c>
      <c r="GD149" s="22" t="s">
        <v>218</v>
      </c>
      <c r="GE149" s="22" t="s">
        <v>218</v>
      </c>
      <c r="GF149" s="22" t="s">
        <v>218</v>
      </c>
      <c r="GG149" s="22" t="s">
        <v>218</v>
      </c>
      <c r="GH149" s="22" t="s">
        <v>218</v>
      </c>
      <c r="GI149" s="22" t="s">
        <v>218</v>
      </c>
      <c r="GJ149" s="22" t="s">
        <v>218</v>
      </c>
      <c r="GK149" s="22" t="s">
        <v>218</v>
      </c>
      <c r="GL149" s="22" t="s">
        <v>218</v>
      </c>
      <c r="GM149" s="22" t="s">
        <v>218</v>
      </c>
      <c r="GN149" s="22" t="s">
        <v>218</v>
      </c>
      <c r="GO149" s="22" t="s">
        <v>218</v>
      </c>
      <c r="GP149" s="22" t="s">
        <v>218</v>
      </c>
      <c r="GQ149" s="22" t="s">
        <v>218</v>
      </c>
      <c r="GR149" s="22" t="s">
        <v>218</v>
      </c>
      <c r="GS149" s="22" t="s">
        <v>218</v>
      </c>
      <c r="GT149" s="22" t="s">
        <v>218</v>
      </c>
      <c r="GU149" s="22" t="s">
        <v>218</v>
      </c>
      <c r="GV149" s="22" t="s">
        <v>218</v>
      </c>
      <c r="GW149" s="22" t="s">
        <v>218</v>
      </c>
      <c r="GX149" s="22" t="s">
        <v>218</v>
      </c>
      <c r="GY149" s="22" t="s">
        <v>218</v>
      </c>
      <c r="GZ149" s="22" t="s">
        <v>218</v>
      </c>
      <c r="HA149" s="22" t="s">
        <v>218</v>
      </c>
      <c r="HB149" s="22" t="s">
        <v>218</v>
      </c>
      <c r="HC149" s="22" t="s">
        <v>218</v>
      </c>
      <c r="HD149" s="22" t="s">
        <v>218</v>
      </c>
      <c r="HE149" s="22" t="s">
        <v>218</v>
      </c>
      <c r="HF149" s="22" t="s">
        <v>218</v>
      </c>
      <c r="HG149" s="22" t="s">
        <v>218</v>
      </c>
      <c r="HH149" s="22" t="s">
        <v>218</v>
      </c>
      <c r="HI149" s="22" t="s">
        <v>218</v>
      </c>
      <c r="HJ149" s="22" t="s">
        <v>218</v>
      </c>
      <c r="HK149" s="22" t="s">
        <v>218</v>
      </c>
      <c r="HL149" s="22" t="s">
        <v>218</v>
      </c>
      <c r="HM149" s="622">
        <f>'background data'!$G$15</f>
        <v>0.221</v>
      </c>
      <c r="HN149" s="622">
        <f>'background data'!$H$15</f>
        <v>6.7000000000000004E-2</v>
      </c>
      <c r="HO149" s="622">
        <f>'background data'!$J$15</f>
        <v>0.20100000000000001</v>
      </c>
      <c r="HP149" s="622">
        <f>'background data'!$L$15</f>
        <v>1.4999999999999999E-2</v>
      </c>
      <c r="HQ149" s="622">
        <f>'background data'!$M$15</f>
        <v>1.74</v>
      </c>
      <c r="HR149" s="622">
        <f>'background data'!$N$15</f>
        <v>2.3999999999999998E-3</v>
      </c>
      <c r="HS149" s="622">
        <f>'background data'!$O$15</f>
        <v>1.41</v>
      </c>
      <c r="HT149" s="145" t="s">
        <v>1798</v>
      </c>
      <c r="HU149" s="145" t="s">
        <v>1809</v>
      </c>
      <c r="HV149" s="22" t="s">
        <v>1959</v>
      </c>
      <c r="HW149" s="22" t="s">
        <v>487</v>
      </c>
      <c r="HX149" s="22" t="s">
        <v>488</v>
      </c>
      <c r="HY149" s="22" t="s">
        <v>489</v>
      </c>
      <c r="HZ149" s="19"/>
      <c r="IA149" s="19"/>
      <c r="IB149" s="622">
        <f>'background data'!$G$15</f>
        <v>0.221</v>
      </c>
      <c r="IC149" s="622">
        <f>'background data'!$H$15</f>
        <v>6.7000000000000004E-2</v>
      </c>
      <c r="ID149" s="622">
        <f>'background data'!$J$15</f>
        <v>0.20100000000000001</v>
      </c>
      <c r="IE149" s="622">
        <f>'background data'!$L$15</f>
        <v>1.4999999999999999E-2</v>
      </c>
      <c r="IF149" s="622">
        <f>'background data'!$M$15</f>
        <v>1.74</v>
      </c>
      <c r="IG149" s="622">
        <f>'background data'!$N$15</f>
        <v>2.3999999999999998E-3</v>
      </c>
      <c r="IH149" s="622">
        <f>'background data'!$O$15</f>
        <v>1.41</v>
      </c>
      <c r="II149" s="145" t="s">
        <v>1798</v>
      </c>
      <c r="IJ149" s="145"/>
      <c r="IK149" s="145"/>
      <c r="IL149" s="145"/>
      <c r="IM149" s="145"/>
      <c r="IN149" s="145"/>
      <c r="IO149" s="145"/>
      <c r="IP149" s="145"/>
      <c r="IQ149" s="145"/>
      <c r="IR149" s="145"/>
      <c r="IS149" s="145"/>
      <c r="IT149" s="145"/>
      <c r="IU149" s="145"/>
      <c r="IV149" s="145"/>
      <c r="IW149" s="145"/>
      <c r="IX149" s="145"/>
      <c r="IY149" s="145"/>
      <c r="IZ149" s="145"/>
      <c r="JA149" s="145"/>
      <c r="JB149" s="145"/>
      <c r="JC149" s="145"/>
      <c r="JD149" s="145"/>
      <c r="JE149" s="145"/>
      <c r="JF149" s="145"/>
      <c r="JG149" s="145"/>
      <c r="JH149" s="145"/>
      <c r="JI149" s="145"/>
      <c r="JJ149" s="145"/>
      <c r="JK149" s="145"/>
      <c r="JL149" s="145"/>
      <c r="JM149" s="145"/>
      <c r="JN149" s="145"/>
      <c r="JO149" s="145"/>
      <c r="JP149" s="145"/>
      <c r="JQ149" s="145"/>
      <c r="JR149" s="145"/>
      <c r="JS149" s="145"/>
      <c r="JT149" s="145"/>
      <c r="JU149" s="145"/>
      <c r="JV149" s="145"/>
      <c r="JW149" s="145"/>
      <c r="JX149" s="145"/>
      <c r="JY149" s="145"/>
      <c r="JZ149" s="145"/>
      <c r="KA149" s="145"/>
      <c r="KB149" s="145"/>
      <c r="KC149" s="145"/>
      <c r="KD149" s="145"/>
      <c r="KE149" s="145"/>
      <c r="KF149" s="145"/>
      <c r="KG149" s="145"/>
      <c r="KH149" s="145"/>
      <c r="KI149" s="145"/>
      <c r="KJ149" s="145"/>
      <c r="KK149" s="145"/>
      <c r="KL149" s="145"/>
      <c r="KM149" s="145"/>
      <c r="KN149" s="145"/>
      <c r="KO149" s="145"/>
      <c r="KP149" s="145"/>
      <c r="KQ149" s="145"/>
      <c r="KR149" s="145"/>
      <c r="KS149" s="145"/>
      <c r="KT149" s="145"/>
      <c r="KU149" s="145"/>
      <c r="KV149" s="145"/>
      <c r="KW149" s="145"/>
      <c r="KX149" s="145"/>
      <c r="KY149" s="145"/>
      <c r="KZ149" s="145"/>
      <c r="LA149" s="145"/>
      <c r="LB149" s="145"/>
      <c r="LC149" s="145"/>
      <c r="LD149" s="145"/>
      <c r="LE149" s="145"/>
      <c r="LF149" s="145"/>
      <c r="LG149" s="145"/>
      <c r="LH149" s="145"/>
      <c r="LI149" s="145"/>
      <c r="LJ149" s="145"/>
      <c r="LK149" s="145"/>
      <c r="LL149" s="145"/>
      <c r="LM149" s="145"/>
      <c r="LN149" s="145"/>
      <c r="LO149" s="145"/>
      <c r="LP149" s="145"/>
      <c r="LQ149" s="145"/>
      <c r="LR149" s="145"/>
      <c r="LS149" s="145"/>
      <c r="LT149" s="145"/>
      <c r="LU149" s="145"/>
      <c r="LV149" s="145"/>
      <c r="LW149" s="145"/>
      <c r="LX149" s="145"/>
      <c r="LY149" s="145"/>
      <c r="LZ149" s="145"/>
      <c r="MA149" s="145"/>
      <c r="MB149" s="145"/>
      <c r="MC149" s="145"/>
      <c r="MD149" s="145"/>
      <c r="ME149" s="145"/>
      <c r="MF149" s="145"/>
      <c r="MG149" s="145"/>
      <c r="MH149" s="145"/>
      <c r="MI149" s="145"/>
      <c r="MJ149" s="145"/>
      <c r="MK149" s="145"/>
      <c r="ML149" s="145"/>
      <c r="MM149" s="145"/>
      <c r="MN149" s="145"/>
      <c r="MO149" s="145"/>
      <c r="MP149" s="145"/>
      <c r="MQ149" s="145"/>
      <c r="MR149" s="145"/>
      <c r="MS149" s="145"/>
      <c r="MT149" s="145"/>
      <c r="MU149" s="145"/>
      <c r="MV149" s="145"/>
      <c r="MW149" s="145"/>
      <c r="MX149" s="145"/>
      <c r="MY149" s="145"/>
      <c r="MZ149" s="145"/>
      <c r="NA149" s="145"/>
      <c r="NB149" s="145"/>
      <c r="NC149" s="145"/>
      <c r="ND149" s="145"/>
      <c r="NE149" s="145"/>
      <c r="NF149" s="145"/>
      <c r="NG149" s="145"/>
      <c r="NH149" s="145"/>
      <c r="NI149" s="145"/>
      <c r="NJ149" s="145"/>
      <c r="NK149" s="145"/>
      <c r="NL149" s="145"/>
      <c r="NM149" s="145"/>
      <c r="NN149" s="145"/>
      <c r="NO149" s="145"/>
      <c r="NP149" s="145"/>
      <c r="NQ149" s="145"/>
      <c r="NR149" s="145"/>
      <c r="NS149" s="145"/>
    </row>
    <row r="150" spans="1:383" s="16" customFormat="1" ht="15" customHeight="1" x14ac:dyDescent="0.2">
      <c r="A150" s="15">
        <v>73500</v>
      </c>
      <c r="B150" s="25">
        <v>735</v>
      </c>
      <c r="C150" s="26">
        <v>0</v>
      </c>
      <c r="D150" s="20" t="s">
        <v>492</v>
      </c>
      <c r="E150" s="14">
        <v>40310</v>
      </c>
      <c r="F150" s="18">
        <v>0.219611571815718</v>
      </c>
      <c r="G150" s="18">
        <v>0.24359062337662299</v>
      </c>
      <c r="H150" s="21">
        <v>56</v>
      </c>
      <c r="I150" s="21">
        <v>52.5</v>
      </c>
      <c r="J150" s="21">
        <v>75</v>
      </c>
      <c r="K150" s="18">
        <v>1</v>
      </c>
      <c r="L150" s="18">
        <v>32.5</v>
      </c>
      <c r="M150" s="18">
        <v>2.5674999999999999</v>
      </c>
      <c r="N150" s="18">
        <v>0.71499999999999997</v>
      </c>
      <c r="O150" s="18">
        <v>1.1375</v>
      </c>
      <c r="P150" s="18">
        <v>6.37</v>
      </c>
      <c r="Q150" s="19"/>
      <c r="R150" s="18">
        <v>34.4902025316456</v>
      </c>
      <c r="S150" s="18">
        <v>37</v>
      </c>
      <c r="T150" s="18">
        <v>37</v>
      </c>
      <c r="U150" s="18">
        <v>37</v>
      </c>
      <c r="V150" s="18">
        <v>37</v>
      </c>
      <c r="W150" s="18">
        <v>37</v>
      </c>
      <c r="X150" s="18"/>
      <c r="Y150" s="18">
        <v>1.9000000000000001</v>
      </c>
      <c r="Z150" s="18">
        <v>2.4</v>
      </c>
      <c r="AA150" s="18">
        <v>0.3</v>
      </c>
      <c r="AB150" s="18">
        <v>2.3000000000000003</v>
      </c>
      <c r="AC150" s="18">
        <v>11</v>
      </c>
      <c r="AD150" s="18">
        <v>1.6</v>
      </c>
      <c r="AE150" s="18">
        <v>0.89999999999999991</v>
      </c>
      <c r="AF150" s="18">
        <v>60</v>
      </c>
      <c r="AG150" s="18">
        <v>5</v>
      </c>
      <c r="AH150" s="18">
        <v>17</v>
      </c>
      <c r="AI150" s="18">
        <v>44</v>
      </c>
      <c r="AJ150" s="18">
        <v>0</v>
      </c>
      <c r="AK150" s="18">
        <v>0.03</v>
      </c>
      <c r="AL150" s="18"/>
      <c r="AM150" s="18">
        <v>2.44</v>
      </c>
      <c r="AN150" s="18">
        <v>1.57</v>
      </c>
      <c r="AO150" s="18">
        <v>1.3</v>
      </c>
      <c r="AP150" s="18">
        <v>3.35</v>
      </c>
      <c r="AQ150" s="18">
        <v>0.57999999999999996</v>
      </c>
      <c r="AR150" s="18">
        <v>3.26</v>
      </c>
      <c r="AS150" s="18">
        <v>8.34</v>
      </c>
      <c r="AT150" s="18">
        <v>1.62</v>
      </c>
      <c r="AU150" s="18">
        <v>3.72</v>
      </c>
      <c r="AV150" s="18">
        <v>2.15</v>
      </c>
      <c r="AW150" s="18">
        <v>4.63</v>
      </c>
      <c r="AX150" s="18"/>
      <c r="AY150" s="18">
        <v>1</v>
      </c>
      <c r="AZ150" s="18">
        <v>1</v>
      </c>
      <c r="BA150" s="18">
        <v>1</v>
      </c>
      <c r="BB150" s="18">
        <v>1</v>
      </c>
      <c r="BC150" s="18">
        <v>1</v>
      </c>
      <c r="BD150" s="18">
        <v>1</v>
      </c>
      <c r="BE150" s="18">
        <v>1</v>
      </c>
      <c r="BF150" s="18">
        <v>1</v>
      </c>
      <c r="BG150" s="18">
        <v>1</v>
      </c>
      <c r="BH150" s="18">
        <v>1</v>
      </c>
      <c r="BI150" s="18">
        <v>1</v>
      </c>
      <c r="BJ150" s="19"/>
      <c r="BK150" s="18">
        <v>7.8999999999999995</v>
      </c>
      <c r="BL150" s="18">
        <v>2.1999999999999997</v>
      </c>
      <c r="BM150" s="18">
        <v>3.5</v>
      </c>
      <c r="BN150" s="18">
        <v>19.600000000000001</v>
      </c>
      <c r="BO150" s="18"/>
      <c r="BP150" s="18">
        <v>105</v>
      </c>
      <c r="BQ150" s="18">
        <v>23.1</v>
      </c>
      <c r="BR150" s="18">
        <v>0.67572791327913229</v>
      </c>
      <c r="BS150" s="18">
        <v>0.74950961038960917</v>
      </c>
      <c r="BT150" s="19"/>
      <c r="BU150" s="18">
        <v>965</v>
      </c>
      <c r="BV150" s="18">
        <v>398.92</v>
      </c>
      <c r="BW150" s="18">
        <v>48.25</v>
      </c>
      <c r="BX150" s="18">
        <v>215</v>
      </c>
      <c r="BY150" s="18">
        <v>20</v>
      </c>
      <c r="BZ150" s="18" t="s">
        <v>217</v>
      </c>
      <c r="CA150" s="18" t="s">
        <v>217</v>
      </c>
      <c r="CB150" s="19"/>
      <c r="CC150" s="19">
        <v>0.61750000000000005</v>
      </c>
      <c r="CD150" s="19">
        <v>0.78</v>
      </c>
      <c r="CE150" s="19">
        <v>9.7500000000000003E-2</v>
      </c>
      <c r="CF150" s="19">
        <v>0.74750000000000016</v>
      </c>
      <c r="CG150" s="19">
        <v>3.5750000000000002</v>
      </c>
      <c r="CH150" s="19">
        <v>0.52</v>
      </c>
      <c r="CI150" s="19">
        <v>0.29249999999999998</v>
      </c>
      <c r="CJ150" s="19"/>
      <c r="CK150" s="19">
        <v>19.5</v>
      </c>
      <c r="CL150" s="19">
        <v>1.625</v>
      </c>
      <c r="CM150" s="19">
        <v>5.5250000000000004</v>
      </c>
      <c r="CN150" s="19">
        <v>14.3</v>
      </c>
      <c r="CO150" s="19">
        <v>0</v>
      </c>
      <c r="CP150" s="19">
        <v>9.75E-3</v>
      </c>
      <c r="CQ150" s="19">
        <v>8.8553595000000005</v>
      </c>
      <c r="CR150" s="19">
        <v>40.322827375557296</v>
      </c>
      <c r="CS150" s="19">
        <v>0.9838769879635979</v>
      </c>
      <c r="CT150" s="19">
        <v>0.63306838979624946</v>
      </c>
      <c r="CU150" s="19">
        <v>0.52419675588224479</v>
      </c>
      <c r="CV150" s="19">
        <v>1.1572651456784944</v>
      </c>
      <c r="CW150" s="19">
        <v>1.350814717081174</v>
      </c>
      <c r="CX150" s="19">
        <v>0.23387239877823182</v>
      </c>
      <c r="CY150" s="19">
        <v>1.3145241724431722</v>
      </c>
      <c r="CZ150" s="19">
        <v>3.3629238031214781</v>
      </c>
      <c r="DA150" s="19">
        <v>0.65322980348402815</v>
      </c>
      <c r="DB150" s="19">
        <v>1.5000091783707359</v>
      </c>
      <c r="DC150" s="19">
        <v>0.86694078857448176</v>
      </c>
      <c r="DD150" s="19">
        <v>2.3669499669452083</v>
      </c>
      <c r="DE150" s="19">
        <v>1.8669469074883027</v>
      </c>
      <c r="DF150" s="23">
        <v>0</v>
      </c>
      <c r="DG150" s="23">
        <v>0</v>
      </c>
      <c r="DH150" s="23">
        <v>0</v>
      </c>
      <c r="DI150" s="19">
        <v>0</v>
      </c>
      <c r="DJ150" s="19">
        <v>0</v>
      </c>
      <c r="DK150" s="19">
        <v>0</v>
      </c>
      <c r="DL150" s="19">
        <v>0</v>
      </c>
      <c r="DM150" s="19">
        <v>0</v>
      </c>
      <c r="DN150" s="19">
        <v>0</v>
      </c>
      <c r="DO150" s="19">
        <v>0</v>
      </c>
      <c r="DP150" s="19">
        <v>0</v>
      </c>
      <c r="DQ150" s="19">
        <v>0</v>
      </c>
      <c r="DR150" s="19">
        <v>0</v>
      </c>
      <c r="DS150" s="19">
        <v>0</v>
      </c>
      <c r="DT150" s="19">
        <v>0</v>
      </c>
      <c r="DU150" s="19">
        <v>0</v>
      </c>
      <c r="DV150" s="19">
        <v>0</v>
      </c>
      <c r="DW150" s="17" t="s">
        <v>493</v>
      </c>
      <c r="DX150" s="22" t="s">
        <v>218</v>
      </c>
      <c r="DY150" s="22" t="s">
        <v>218</v>
      </c>
      <c r="DZ150" s="22" t="s">
        <v>218</v>
      </c>
      <c r="EA150" s="22" t="s">
        <v>218</v>
      </c>
      <c r="EB150" s="22" t="s">
        <v>218</v>
      </c>
      <c r="EC150" s="22" t="s">
        <v>218</v>
      </c>
      <c r="ED150" s="22" t="s">
        <v>218</v>
      </c>
      <c r="EE150" s="22" t="s">
        <v>218</v>
      </c>
      <c r="EF150" s="22" t="s">
        <v>218</v>
      </c>
      <c r="EG150" s="22" t="s">
        <v>218</v>
      </c>
      <c r="EH150" s="22" t="s">
        <v>218</v>
      </c>
      <c r="EI150" s="22" t="s">
        <v>218</v>
      </c>
      <c r="EJ150" s="22" t="s">
        <v>218</v>
      </c>
      <c r="EK150" s="22" t="s">
        <v>218</v>
      </c>
      <c r="EL150" s="22" t="s">
        <v>218</v>
      </c>
      <c r="EM150" s="22" t="s">
        <v>218</v>
      </c>
      <c r="EN150" s="22" t="s">
        <v>218</v>
      </c>
      <c r="EO150" s="22" t="s">
        <v>218</v>
      </c>
      <c r="EP150" s="22" t="s">
        <v>218</v>
      </c>
      <c r="EQ150" s="22" t="s">
        <v>218</v>
      </c>
      <c r="ER150" s="22" t="s">
        <v>218</v>
      </c>
      <c r="ES150" s="22" t="s">
        <v>218</v>
      </c>
      <c r="ET150" s="22" t="s">
        <v>218</v>
      </c>
      <c r="EU150" s="22" t="s">
        <v>218</v>
      </c>
      <c r="EV150" s="22" t="s">
        <v>218</v>
      </c>
      <c r="EW150" s="22" t="s">
        <v>218</v>
      </c>
      <c r="EX150" s="22" t="s">
        <v>218</v>
      </c>
      <c r="EY150" s="22" t="s">
        <v>218</v>
      </c>
      <c r="EZ150" s="22" t="s">
        <v>218</v>
      </c>
      <c r="FA150" s="22" t="s">
        <v>218</v>
      </c>
      <c r="FB150" s="22" t="s">
        <v>218</v>
      </c>
      <c r="FC150" s="22" t="s">
        <v>218</v>
      </c>
      <c r="FD150" s="22" t="s">
        <v>218</v>
      </c>
      <c r="FE150" s="22" t="s">
        <v>218</v>
      </c>
      <c r="FF150" s="22" t="s">
        <v>218</v>
      </c>
      <c r="FG150" s="22" t="s">
        <v>218</v>
      </c>
      <c r="FH150" s="22" t="s">
        <v>218</v>
      </c>
      <c r="FI150" s="22" t="s">
        <v>218</v>
      </c>
      <c r="FJ150" s="22" t="s">
        <v>218</v>
      </c>
      <c r="FK150" s="22" t="s">
        <v>218</v>
      </c>
      <c r="FL150" s="22" t="s">
        <v>218</v>
      </c>
      <c r="FM150" s="22" t="s">
        <v>218</v>
      </c>
      <c r="FN150" s="22" t="s">
        <v>218</v>
      </c>
      <c r="FO150" s="22" t="s">
        <v>218</v>
      </c>
      <c r="FP150" s="22" t="s">
        <v>218</v>
      </c>
      <c r="FQ150" s="22" t="s">
        <v>218</v>
      </c>
      <c r="FR150" s="22" t="s">
        <v>218</v>
      </c>
      <c r="FS150" s="22" t="s">
        <v>218</v>
      </c>
      <c r="FT150" s="22" t="s">
        <v>218</v>
      </c>
      <c r="FU150" s="22" t="s">
        <v>218</v>
      </c>
      <c r="FV150" s="22" t="s">
        <v>218</v>
      </c>
      <c r="FW150" s="22" t="s">
        <v>218</v>
      </c>
      <c r="FX150" s="22" t="s">
        <v>218</v>
      </c>
      <c r="FY150" s="22" t="s">
        <v>218</v>
      </c>
      <c r="FZ150" s="22" t="s">
        <v>218</v>
      </c>
      <c r="GA150" s="22" t="s">
        <v>218</v>
      </c>
      <c r="GB150" s="22" t="s">
        <v>218</v>
      </c>
      <c r="GC150" s="22" t="s">
        <v>218</v>
      </c>
      <c r="GD150" s="22" t="s">
        <v>218</v>
      </c>
      <c r="GE150" s="22" t="s">
        <v>218</v>
      </c>
      <c r="GF150" s="22" t="s">
        <v>218</v>
      </c>
      <c r="GG150" s="22" t="s">
        <v>218</v>
      </c>
      <c r="GH150" s="22" t="s">
        <v>218</v>
      </c>
      <c r="GI150" s="22" t="s">
        <v>218</v>
      </c>
      <c r="GJ150" s="22" t="s">
        <v>218</v>
      </c>
      <c r="GK150" s="22" t="s">
        <v>218</v>
      </c>
      <c r="GL150" s="22" t="s">
        <v>218</v>
      </c>
      <c r="GM150" s="22" t="s">
        <v>218</v>
      </c>
      <c r="GN150" s="22" t="s">
        <v>218</v>
      </c>
      <c r="GO150" s="22" t="s">
        <v>218</v>
      </c>
      <c r="GP150" s="22" t="s">
        <v>218</v>
      </c>
      <c r="GQ150" s="22" t="s">
        <v>218</v>
      </c>
      <c r="GR150" s="22" t="s">
        <v>218</v>
      </c>
      <c r="GS150" s="22" t="s">
        <v>218</v>
      </c>
      <c r="GT150" s="22" t="s">
        <v>218</v>
      </c>
      <c r="GU150" s="22" t="s">
        <v>218</v>
      </c>
      <c r="GV150" s="22" t="s">
        <v>218</v>
      </c>
      <c r="GW150" s="22" t="s">
        <v>218</v>
      </c>
      <c r="GX150" s="22" t="s">
        <v>218</v>
      </c>
      <c r="GY150" s="22" t="s">
        <v>218</v>
      </c>
      <c r="GZ150" s="22" t="s">
        <v>218</v>
      </c>
      <c r="HA150" s="22" t="s">
        <v>218</v>
      </c>
      <c r="HB150" s="22" t="s">
        <v>218</v>
      </c>
      <c r="HC150" s="22" t="s">
        <v>218</v>
      </c>
      <c r="HD150" s="22" t="s">
        <v>218</v>
      </c>
      <c r="HE150" s="22" t="s">
        <v>218</v>
      </c>
      <c r="HF150" s="22" t="s">
        <v>218</v>
      </c>
      <c r="HG150" s="22" t="s">
        <v>218</v>
      </c>
      <c r="HH150" s="22" t="s">
        <v>218</v>
      </c>
      <c r="HI150" s="22" t="s">
        <v>218</v>
      </c>
      <c r="HJ150" s="22" t="s">
        <v>218</v>
      </c>
      <c r="HK150" s="22" t="s">
        <v>218</v>
      </c>
      <c r="HL150" s="22" t="s">
        <v>218</v>
      </c>
      <c r="HM150" s="620">
        <f>'background data'!$G$15</f>
        <v>0.221</v>
      </c>
      <c r="HN150" s="620">
        <f>'background data'!$H$15</f>
        <v>6.7000000000000004E-2</v>
      </c>
      <c r="HO150" s="620">
        <f>'background data'!$J$15</f>
        <v>0.20100000000000001</v>
      </c>
      <c r="HP150" s="620">
        <f>'background data'!$L$15</f>
        <v>1.4999999999999999E-2</v>
      </c>
      <c r="HQ150" s="620">
        <f>'background data'!$M$15</f>
        <v>1.74</v>
      </c>
      <c r="HR150" s="620">
        <f>'background data'!$N$15</f>
        <v>2.3999999999999998E-3</v>
      </c>
      <c r="HS150" s="620">
        <f>'background data'!$O$15</f>
        <v>1.41</v>
      </c>
      <c r="HT150" s="145"/>
      <c r="HU150" s="145" t="s">
        <v>1809</v>
      </c>
      <c r="HV150" s="22" t="s">
        <v>1960</v>
      </c>
      <c r="HW150" s="22" t="s">
        <v>494</v>
      </c>
      <c r="HX150" s="22" t="s">
        <v>324</v>
      </c>
      <c r="HY150" s="22" t="s">
        <v>325</v>
      </c>
      <c r="HZ150" s="19"/>
      <c r="IA150" s="19"/>
      <c r="IB150" s="620">
        <f>'background data'!$G$15</f>
        <v>0.221</v>
      </c>
      <c r="IC150" s="620">
        <f>'background data'!$H$15</f>
        <v>6.7000000000000004E-2</v>
      </c>
      <c r="ID150" s="620">
        <f>'background data'!$J$15</f>
        <v>0.20100000000000001</v>
      </c>
      <c r="IE150" s="620">
        <f>'background data'!$L$15</f>
        <v>1.4999999999999999E-2</v>
      </c>
      <c r="IF150" s="620">
        <f>'background data'!$M$15</f>
        <v>1.74</v>
      </c>
      <c r="IG150" s="620">
        <f>'background data'!$N$15</f>
        <v>2.3999999999999998E-3</v>
      </c>
      <c r="IH150" s="620">
        <f>'background data'!$O$15</f>
        <v>1.41</v>
      </c>
      <c r="II150" s="145"/>
      <c r="IJ150" s="145"/>
      <c r="IK150" s="145"/>
      <c r="IL150" s="145"/>
      <c r="IM150" s="145"/>
      <c r="IN150" s="145"/>
      <c r="IO150" s="145"/>
      <c r="IP150" s="145"/>
      <c r="IQ150" s="145"/>
      <c r="IR150" s="145"/>
      <c r="IS150" s="145"/>
      <c r="IT150" s="145"/>
      <c r="IU150" s="145"/>
      <c r="IV150" s="145"/>
      <c r="IW150" s="145"/>
      <c r="IX150" s="145"/>
      <c r="IY150" s="145"/>
      <c r="IZ150" s="145"/>
      <c r="JA150" s="145"/>
      <c r="JB150" s="145"/>
      <c r="JC150" s="145"/>
      <c r="JD150" s="145"/>
      <c r="JE150" s="145"/>
      <c r="JF150" s="145"/>
      <c r="JG150" s="145"/>
      <c r="JH150" s="145"/>
      <c r="JI150" s="145"/>
      <c r="JJ150" s="145"/>
      <c r="JK150" s="145"/>
      <c r="JL150" s="145"/>
      <c r="JM150" s="145"/>
      <c r="JN150" s="145"/>
      <c r="JO150" s="145"/>
      <c r="JP150" s="145"/>
      <c r="JQ150" s="145"/>
      <c r="JR150" s="145"/>
      <c r="JS150" s="145"/>
      <c r="JT150" s="145"/>
      <c r="JU150" s="145"/>
      <c r="JV150" s="145"/>
      <c r="JW150" s="145"/>
      <c r="JX150" s="145"/>
      <c r="JY150" s="145"/>
      <c r="JZ150" s="145"/>
      <c r="KA150" s="145"/>
      <c r="KB150" s="145"/>
      <c r="KC150" s="145"/>
      <c r="KD150" s="145"/>
      <c r="KE150" s="145"/>
      <c r="KF150" s="145"/>
      <c r="KG150" s="145"/>
      <c r="KH150" s="145"/>
      <c r="KI150" s="145"/>
      <c r="KJ150" s="145"/>
      <c r="KK150" s="145"/>
      <c r="KL150" s="145"/>
      <c r="KM150" s="145"/>
      <c r="KN150" s="145"/>
      <c r="KO150" s="145"/>
      <c r="KP150" s="145"/>
      <c r="KQ150" s="145"/>
      <c r="KR150" s="145"/>
      <c r="KS150" s="145"/>
      <c r="KT150" s="145"/>
      <c r="KU150" s="145"/>
      <c r="KV150" s="145"/>
      <c r="KW150" s="145"/>
      <c r="KX150" s="145"/>
      <c r="KY150" s="145"/>
      <c r="KZ150" s="145"/>
      <c r="LA150" s="145"/>
      <c r="LB150" s="145"/>
      <c r="LC150" s="145"/>
      <c r="LD150" s="145"/>
      <c r="LE150" s="145"/>
      <c r="LF150" s="145"/>
      <c r="LG150" s="145"/>
      <c r="LH150" s="145"/>
      <c r="LI150" s="145"/>
      <c r="LJ150" s="145"/>
      <c r="LK150" s="145"/>
      <c r="LL150" s="145"/>
      <c r="LM150" s="145"/>
      <c r="LN150" s="145"/>
      <c r="LO150" s="145"/>
      <c r="LP150" s="145"/>
      <c r="LQ150" s="145"/>
      <c r="LR150" s="145"/>
      <c r="LS150" s="145"/>
      <c r="LT150" s="145"/>
      <c r="LU150" s="145"/>
      <c r="LV150" s="145"/>
      <c r="LW150" s="145"/>
      <c r="LX150" s="145"/>
      <c r="LY150" s="145"/>
      <c r="LZ150" s="145"/>
      <c r="MA150" s="145"/>
      <c r="MB150" s="145"/>
      <c r="MC150" s="145"/>
      <c r="MD150" s="145"/>
      <c r="ME150" s="145"/>
      <c r="MF150" s="145"/>
      <c r="MG150" s="145"/>
      <c r="MH150" s="145"/>
      <c r="MI150" s="145"/>
      <c r="MJ150" s="145"/>
      <c r="MK150" s="145"/>
      <c r="ML150" s="145"/>
      <c r="MM150" s="145"/>
      <c r="MN150" s="145"/>
      <c r="MO150" s="145"/>
      <c r="MP150" s="145"/>
      <c r="MQ150" s="145"/>
      <c r="MR150" s="145"/>
      <c r="MS150" s="145"/>
      <c r="MT150" s="145"/>
      <c r="MU150" s="145"/>
      <c r="MV150" s="145"/>
      <c r="MW150" s="145"/>
      <c r="MX150" s="145"/>
      <c r="MY150" s="145"/>
      <c r="MZ150" s="145"/>
      <c r="NA150" s="145"/>
      <c r="NB150" s="145"/>
      <c r="NC150" s="145"/>
      <c r="ND150" s="145"/>
      <c r="NE150" s="145"/>
      <c r="NF150" s="145"/>
      <c r="NG150" s="145"/>
      <c r="NH150" s="145"/>
      <c r="NI150" s="145"/>
      <c r="NJ150" s="145"/>
      <c r="NK150" s="145"/>
      <c r="NL150" s="145"/>
      <c r="NM150" s="145"/>
      <c r="NN150" s="145"/>
      <c r="NO150" s="145"/>
      <c r="NP150" s="145"/>
      <c r="NQ150" s="145"/>
      <c r="NR150" s="145"/>
      <c r="NS150" s="145"/>
    </row>
    <row r="151" spans="1:383" s="16" customFormat="1" ht="15" customHeight="1" x14ac:dyDescent="0.2">
      <c r="A151" s="15">
        <v>73510</v>
      </c>
      <c r="B151" s="25">
        <v>735</v>
      </c>
      <c r="C151" s="26">
        <v>10</v>
      </c>
      <c r="D151" s="20" t="s">
        <v>495</v>
      </c>
      <c r="E151" s="14">
        <v>40310</v>
      </c>
      <c r="F151" s="18">
        <v>0.24108431426635701</v>
      </c>
      <c r="G151" s="18">
        <v>0.26285927040816298</v>
      </c>
      <c r="H151" s="21">
        <v>60</v>
      </c>
      <c r="I151" s="21">
        <v>55.5</v>
      </c>
      <c r="J151" s="21">
        <v>75</v>
      </c>
      <c r="K151" s="18">
        <v>1</v>
      </c>
      <c r="L151" s="18">
        <v>32.5</v>
      </c>
      <c r="M151" s="18">
        <v>2.5674999999999999</v>
      </c>
      <c r="N151" s="18">
        <v>0.71499999999999997</v>
      </c>
      <c r="O151" s="18">
        <v>0.97499999999999998</v>
      </c>
      <c r="P151" s="18">
        <v>5.3949999999999996</v>
      </c>
      <c r="Q151" s="19"/>
      <c r="R151" s="18">
        <v>36.494669077757699</v>
      </c>
      <c r="S151" s="18">
        <v>37</v>
      </c>
      <c r="T151" s="18">
        <v>37</v>
      </c>
      <c r="U151" s="18">
        <v>37</v>
      </c>
      <c r="V151" s="18">
        <v>37</v>
      </c>
      <c r="W151" s="18">
        <v>37</v>
      </c>
      <c r="X151" s="18"/>
      <c r="Y151" s="18">
        <v>1.9000000000000001</v>
      </c>
      <c r="Z151" s="18">
        <v>2.3000000000000003</v>
      </c>
      <c r="AA151" s="18">
        <v>0.4</v>
      </c>
      <c r="AB151" s="18">
        <v>2.3000000000000003</v>
      </c>
      <c r="AC151" s="18">
        <v>10</v>
      </c>
      <c r="AD151" s="18">
        <v>1.2</v>
      </c>
      <c r="AE151" s="18">
        <v>0.89999999999999991</v>
      </c>
      <c r="AF151" s="18">
        <v>60</v>
      </c>
      <c r="AG151" s="18">
        <v>5</v>
      </c>
      <c r="AH151" s="18">
        <v>17</v>
      </c>
      <c r="AI151" s="18">
        <v>28</v>
      </c>
      <c r="AJ151" s="18">
        <v>0</v>
      </c>
      <c r="AK151" s="18">
        <v>0.03</v>
      </c>
      <c r="AL151" s="18"/>
      <c r="AM151" s="18">
        <v>2.44</v>
      </c>
      <c r="AN151" s="18">
        <v>1.57</v>
      </c>
      <c r="AO151" s="18">
        <v>1.3</v>
      </c>
      <c r="AP151" s="18">
        <v>3.35</v>
      </c>
      <c r="AQ151" s="18">
        <v>0.57999999999999996</v>
      </c>
      <c r="AR151" s="18">
        <v>3.26</v>
      </c>
      <c r="AS151" s="18">
        <v>8.34</v>
      </c>
      <c r="AT151" s="18">
        <v>1.62</v>
      </c>
      <c r="AU151" s="18">
        <v>3.72</v>
      </c>
      <c r="AV151" s="18">
        <v>2.15</v>
      </c>
      <c r="AW151" s="18">
        <v>4.63</v>
      </c>
      <c r="AX151" s="18"/>
      <c r="AY151" s="18">
        <v>1</v>
      </c>
      <c r="AZ151" s="18">
        <v>1</v>
      </c>
      <c r="BA151" s="18">
        <v>1</v>
      </c>
      <c r="BB151" s="18">
        <v>1</v>
      </c>
      <c r="BC151" s="18">
        <v>1</v>
      </c>
      <c r="BD151" s="18">
        <v>1</v>
      </c>
      <c r="BE151" s="18">
        <v>1</v>
      </c>
      <c r="BF151" s="18">
        <v>1</v>
      </c>
      <c r="BG151" s="18">
        <v>1</v>
      </c>
      <c r="BH151" s="18">
        <v>1</v>
      </c>
      <c r="BI151" s="18">
        <v>1</v>
      </c>
      <c r="BJ151" s="19"/>
      <c r="BK151" s="18">
        <v>7.8999999999999995</v>
      </c>
      <c r="BL151" s="18">
        <v>2.1999999999999997</v>
      </c>
      <c r="BM151" s="18">
        <v>3</v>
      </c>
      <c r="BN151" s="18">
        <v>16.599999999999998</v>
      </c>
      <c r="BO151" s="18"/>
      <c r="BP151" s="18">
        <v>105</v>
      </c>
      <c r="BQ151" s="18">
        <v>23.1</v>
      </c>
      <c r="BR151" s="18">
        <v>0.74179789005032926</v>
      </c>
      <c r="BS151" s="18">
        <v>0.80879775510203999</v>
      </c>
      <c r="BT151" s="19"/>
      <c r="BU151" s="18">
        <v>970</v>
      </c>
      <c r="BV151" s="18">
        <v>426.41285714285846</v>
      </c>
      <c r="BW151" s="18">
        <v>62.357142857142769</v>
      </c>
      <c r="BX151" s="18">
        <v>215</v>
      </c>
      <c r="BY151" s="18">
        <v>20</v>
      </c>
      <c r="BZ151" s="18" t="s">
        <v>217</v>
      </c>
      <c r="CA151" s="18" t="s">
        <v>217</v>
      </c>
      <c r="CB151" s="19"/>
      <c r="CC151" s="19">
        <v>0.61750000000000005</v>
      </c>
      <c r="CD151" s="19">
        <v>0.74750000000000016</v>
      </c>
      <c r="CE151" s="19">
        <v>0.13</v>
      </c>
      <c r="CF151" s="19">
        <v>0.74750000000000016</v>
      </c>
      <c r="CG151" s="19">
        <v>3.25</v>
      </c>
      <c r="CH151" s="19">
        <v>0.39</v>
      </c>
      <c r="CI151" s="19">
        <v>0.29249999999999998</v>
      </c>
      <c r="CJ151" s="19"/>
      <c r="CK151" s="19">
        <v>19.5</v>
      </c>
      <c r="CL151" s="19">
        <v>1.625</v>
      </c>
      <c r="CM151" s="19">
        <v>5.5250000000000004</v>
      </c>
      <c r="CN151" s="19">
        <v>9.1</v>
      </c>
      <c r="CO151" s="19">
        <v>0</v>
      </c>
      <c r="CP151" s="19">
        <v>9.75E-3</v>
      </c>
      <c r="CQ151" s="19">
        <v>9.3700062857142896</v>
      </c>
      <c r="CR151" s="19">
        <v>38.866096760496958</v>
      </c>
      <c r="CS151" s="19">
        <v>0.94833276095612307</v>
      </c>
      <c r="CT151" s="19">
        <v>0.61019771913980092</v>
      </c>
      <c r="CU151" s="19">
        <v>0.50525925788646153</v>
      </c>
      <c r="CV151" s="19">
        <v>1.1154569770262666</v>
      </c>
      <c r="CW151" s="19">
        <v>1.3020142414766454</v>
      </c>
      <c r="CX151" s="19">
        <v>0.22542336121088163</v>
      </c>
      <c r="CY151" s="19">
        <v>1.2670347543922016</v>
      </c>
      <c r="CZ151" s="19">
        <v>3.2414324698254435</v>
      </c>
      <c r="DA151" s="19">
        <v>0.62963076752004876</v>
      </c>
      <c r="DB151" s="19">
        <v>1.4458187994904887</v>
      </c>
      <c r="DC151" s="19">
        <v>0.83562108035068372</v>
      </c>
      <c r="DD151" s="19">
        <v>2.2814398798411766</v>
      </c>
      <c r="DE151" s="19">
        <v>1.7995002800110067</v>
      </c>
      <c r="DF151" s="23">
        <v>0</v>
      </c>
      <c r="DG151" s="23">
        <v>0</v>
      </c>
      <c r="DH151" s="23">
        <v>0</v>
      </c>
      <c r="DI151" s="19">
        <v>0</v>
      </c>
      <c r="DJ151" s="19">
        <v>0</v>
      </c>
      <c r="DK151" s="19">
        <v>0</v>
      </c>
      <c r="DL151" s="19">
        <v>0</v>
      </c>
      <c r="DM151" s="19">
        <v>0</v>
      </c>
      <c r="DN151" s="19">
        <v>0</v>
      </c>
      <c r="DO151" s="19">
        <v>0</v>
      </c>
      <c r="DP151" s="19">
        <v>0</v>
      </c>
      <c r="DQ151" s="19">
        <v>0</v>
      </c>
      <c r="DR151" s="19">
        <v>0</v>
      </c>
      <c r="DS151" s="19">
        <v>0</v>
      </c>
      <c r="DT151" s="19">
        <v>0</v>
      </c>
      <c r="DU151" s="19">
        <v>0</v>
      </c>
      <c r="DV151" s="19">
        <v>0</v>
      </c>
      <c r="DW151" s="17" t="s">
        <v>493</v>
      </c>
      <c r="DX151" s="22" t="s">
        <v>218</v>
      </c>
      <c r="DY151" s="22" t="s">
        <v>218</v>
      </c>
      <c r="DZ151" s="22" t="s">
        <v>218</v>
      </c>
      <c r="EA151" s="22" t="s">
        <v>218</v>
      </c>
      <c r="EB151" s="22" t="s">
        <v>218</v>
      </c>
      <c r="EC151" s="22" t="s">
        <v>218</v>
      </c>
      <c r="ED151" s="22" t="s">
        <v>218</v>
      </c>
      <c r="EE151" s="22" t="s">
        <v>218</v>
      </c>
      <c r="EF151" s="22" t="s">
        <v>218</v>
      </c>
      <c r="EG151" s="22" t="s">
        <v>218</v>
      </c>
      <c r="EH151" s="22" t="s">
        <v>218</v>
      </c>
      <c r="EI151" s="22" t="s">
        <v>218</v>
      </c>
      <c r="EJ151" s="22" t="s">
        <v>218</v>
      </c>
      <c r="EK151" s="22" t="s">
        <v>218</v>
      </c>
      <c r="EL151" s="22" t="s">
        <v>218</v>
      </c>
      <c r="EM151" s="22" t="s">
        <v>218</v>
      </c>
      <c r="EN151" s="22" t="s">
        <v>218</v>
      </c>
      <c r="EO151" s="22" t="s">
        <v>218</v>
      </c>
      <c r="EP151" s="22" t="s">
        <v>218</v>
      </c>
      <c r="EQ151" s="22" t="s">
        <v>218</v>
      </c>
      <c r="ER151" s="22" t="s">
        <v>218</v>
      </c>
      <c r="ES151" s="22" t="s">
        <v>218</v>
      </c>
      <c r="ET151" s="22" t="s">
        <v>218</v>
      </c>
      <c r="EU151" s="22" t="s">
        <v>218</v>
      </c>
      <c r="EV151" s="22" t="s">
        <v>218</v>
      </c>
      <c r="EW151" s="22" t="s">
        <v>218</v>
      </c>
      <c r="EX151" s="22" t="s">
        <v>218</v>
      </c>
      <c r="EY151" s="22" t="s">
        <v>218</v>
      </c>
      <c r="EZ151" s="22" t="s">
        <v>218</v>
      </c>
      <c r="FA151" s="22" t="s">
        <v>218</v>
      </c>
      <c r="FB151" s="22" t="s">
        <v>218</v>
      </c>
      <c r="FC151" s="22" t="s">
        <v>218</v>
      </c>
      <c r="FD151" s="22" t="s">
        <v>218</v>
      </c>
      <c r="FE151" s="22" t="s">
        <v>218</v>
      </c>
      <c r="FF151" s="22" t="s">
        <v>218</v>
      </c>
      <c r="FG151" s="22" t="s">
        <v>218</v>
      </c>
      <c r="FH151" s="22" t="s">
        <v>218</v>
      </c>
      <c r="FI151" s="22" t="s">
        <v>218</v>
      </c>
      <c r="FJ151" s="22" t="s">
        <v>218</v>
      </c>
      <c r="FK151" s="22" t="s">
        <v>218</v>
      </c>
      <c r="FL151" s="22" t="s">
        <v>218</v>
      </c>
      <c r="FM151" s="22" t="s">
        <v>218</v>
      </c>
      <c r="FN151" s="22" t="s">
        <v>218</v>
      </c>
      <c r="FO151" s="22" t="s">
        <v>218</v>
      </c>
      <c r="FP151" s="22" t="s">
        <v>218</v>
      </c>
      <c r="FQ151" s="22" t="s">
        <v>218</v>
      </c>
      <c r="FR151" s="22" t="s">
        <v>218</v>
      </c>
      <c r="FS151" s="22" t="s">
        <v>218</v>
      </c>
      <c r="FT151" s="22" t="s">
        <v>218</v>
      </c>
      <c r="FU151" s="22" t="s">
        <v>218</v>
      </c>
      <c r="FV151" s="22" t="s">
        <v>218</v>
      </c>
      <c r="FW151" s="22" t="s">
        <v>218</v>
      </c>
      <c r="FX151" s="22" t="s">
        <v>218</v>
      </c>
      <c r="FY151" s="22" t="s">
        <v>218</v>
      </c>
      <c r="FZ151" s="22" t="s">
        <v>218</v>
      </c>
      <c r="GA151" s="22" t="s">
        <v>218</v>
      </c>
      <c r="GB151" s="22" t="s">
        <v>218</v>
      </c>
      <c r="GC151" s="22" t="s">
        <v>218</v>
      </c>
      <c r="GD151" s="22" t="s">
        <v>218</v>
      </c>
      <c r="GE151" s="22" t="s">
        <v>218</v>
      </c>
      <c r="GF151" s="22" t="s">
        <v>218</v>
      </c>
      <c r="GG151" s="22" t="s">
        <v>218</v>
      </c>
      <c r="GH151" s="22" t="s">
        <v>218</v>
      </c>
      <c r="GI151" s="22" t="s">
        <v>218</v>
      </c>
      <c r="GJ151" s="22" t="s">
        <v>218</v>
      </c>
      <c r="GK151" s="22" t="s">
        <v>218</v>
      </c>
      <c r="GL151" s="22" t="s">
        <v>218</v>
      </c>
      <c r="GM151" s="22" t="s">
        <v>218</v>
      </c>
      <c r="GN151" s="22" t="s">
        <v>218</v>
      </c>
      <c r="GO151" s="22" t="s">
        <v>218</v>
      </c>
      <c r="GP151" s="22" t="s">
        <v>218</v>
      </c>
      <c r="GQ151" s="22" t="s">
        <v>218</v>
      </c>
      <c r="GR151" s="22" t="s">
        <v>218</v>
      </c>
      <c r="GS151" s="22" t="s">
        <v>218</v>
      </c>
      <c r="GT151" s="22" t="s">
        <v>218</v>
      </c>
      <c r="GU151" s="22" t="s">
        <v>218</v>
      </c>
      <c r="GV151" s="22" t="s">
        <v>218</v>
      </c>
      <c r="GW151" s="22" t="s">
        <v>218</v>
      </c>
      <c r="GX151" s="22" t="s">
        <v>218</v>
      </c>
      <c r="GY151" s="22" t="s">
        <v>218</v>
      </c>
      <c r="GZ151" s="22" t="s">
        <v>218</v>
      </c>
      <c r="HA151" s="22" t="s">
        <v>218</v>
      </c>
      <c r="HB151" s="22" t="s">
        <v>218</v>
      </c>
      <c r="HC151" s="22" t="s">
        <v>218</v>
      </c>
      <c r="HD151" s="22" t="s">
        <v>218</v>
      </c>
      <c r="HE151" s="22" t="s">
        <v>218</v>
      </c>
      <c r="HF151" s="22" t="s">
        <v>218</v>
      </c>
      <c r="HG151" s="22" t="s">
        <v>218</v>
      </c>
      <c r="HH151" s="22" t="s">
        <v>218</v>
      </c>
      <c r="HI151" s="22" t="s">
        <v>218</v>
      </c>
      <c r="HJ151" s="22" t="s">
        <v>218</v>
      </c>
      <c r="HK151" s="22" t="s">
        <v>218</v>
      </c>
      <c r="HL151" s="22" t="s">
        <v>218</v>
      </c>
      <c r="HM151" s="620">
        <f>'background data'!$G$15</f>
        <v>0.221</v>
      </c>
      <c r="HN151" s="620">
        <f>'background data'!$H$15</f>
        <v>6.7000000000000004E-2</v>
      </c>
      <c r="HO151" s="620">
        <f>'background data'!$J$15</f>
        <v>0.20100000000000001</v>
      </c>
      <c r="HP151" s="620">
        <f>'background data'!$L$15</f>
        <v>1.4999999999999999E-2</v>
      </c>
      <c r="HQ151" s="620">
        <f>'background data'!$M$15</f>
        <v>1.74</v>
      </c>
      <c r="HR151" s="620">
        <f>'background data'!$N$15</f>
        <v>2.3999999999999998E-3</v>
      </c>
      <c r="HS151" s="620">
        <f>'background data'!$O$15</f>
        <v>1.41</v>
      </c>
      <c r="HT151" s="145"/>
      <c r="HU151" s="145" t="s">
        <v>1809</v>
      </c>
      <c r="HV151" s="22" t="s">
        <v>1960</v>
      </c>
      <c r="HW151" s="22" t="s">
        <v>494</v>
      </c>
      <c r="HX151" s="22" t="s">
        <v>324</v>
      </c>
      <c r="HY151" s="22" t="s">
        <v>325</v>
      </c>
      <c r="HZ151" s="19"/>
      <c r="IA151" s="19"/>
      <c r="IB151" s="620">
        <f>'background data'!$G$15</f>
        <v>0.221</v>
      </c>
      <c r="IC151" s="620">
        <f>'background data'!$H$15</f>
        <v>6.7000000000000004E-2</v>
      </c>
      <c r="ID151" s="620">
        <f>'background data'!$J$15</f>
        <v>0.20100000000000001</v>
      </c>
      <c r="IE151" s="620">
        <f>'background data'!$L$15</f>
        <v>1.4999999999999999E-2</v>
      </c>
      <c r="IF151" s="620">
        <f>'background data'!$M$15</f>
        <v>1.74</v>
      </c>
      <c r="IG151" s="620">
        <f>'background data'!$N$15</f>
        <v>2.3999999999999998E-3</v>
      </c>
      <c r="IH151" s="620">
        <f>'background data'!$O$15</f>
        <v>1.41</v>
      </c>
      <c r="II151" s="145"/>
      <c r="IJ151" s="145"/>
      <c r="IK151" s="145"/>
      <c r="IL151" s="145"/>
      <c r="IM151" s="145"/>
      <c r="IN151" s="145"/>
      <c r="IO151" s="145"/>
      <c r="IP151" s="145"/>
      <c r="IQ151" s="145"/>
      <c r="IR151" s="145"/>
      <c r="IS151" s="145"/>
      <c r="IT151" s="145"/>
      <c r="IU151" s="145"/>
      <c r="IV151" s="145"/>
      <c r="IW151" s="145"/>
      <c r="IX151" s="145"/>
      <c r="IY151" s="145"/>
      <c r="IZ151" s="145"/>
      <c r="JA151" s="145"/>
      <c r="JB151" s="145"/>
      <c r="JC151" s="145"/>
      <c r="JD151" s="145"/>
      <c r="JE151" s="145"/>
      <c r="JF151" s="145"/>
      <c r="JG151" s="145"/>
      <c r="JH151" s="145"/>
      <c r="JI151" s="145"/>
      <c r="JJ151" s="145"/>
      <c r="JK151" s="145"/>
      <c r="JL151" s="145"/>
      <c r="JM151" s="145"/>
      <c r="JN151" s="145"/>
      <c r="JO151" s="145"/>
      <c r="JP151" s="145"/>
      <c r="JQ151" s="145"/>
      <c r="JR151" s="145"/>
      <c r="JS151" s="145"/>
      <c r="JT151" s="145"/>
      <c r="JU151" s="145"/>
      <c r="JV151" s="145"/>
      <c r="JW151" s="145"/>
      <c r="JX151" s="145"/>
      <c r="JY151" s="145"/>
      <c r="JZ151" s="145"/>
      <c r="KA151" s="145"/>
      <c r="KB151" s="145"/>
      <c r="KC151" s="145"/>
      <c r="KD151" s="145"/>
      <c r="KE151" s="145"/>
      <c r="KF151" s="145"/>
      <c r="KG151" s="145"/>
      <c r="KH151" s="145"/>
      <c r="KI151" s="145"/>
      <c r="KJ151" s="145"/>
      <c r="KK151" s="145"/>
      <c r="KL151" s="145"/>
      <c r="KM151" s="145"/>
      <c r="KN151" s="145"/>
      <c r="KO151" s="145"/>
      <c r="KP151" s="145"/>
      <c r="KQ151" s="145"/>
      <c r="KR151" s="145"/>
      <c r="KS151" s="145"/>
      <c r="KT151" s="145"/>
      <c r="KU151" s="145"/>
      <c r="KV151" s="145"/>
      <c r="KW151" s="145"/>
      <c r="KX151" s="145"/>
      <c r="KY151" s="145"/>
      <c r="KZ151" s="145"/>
      <c r="LA151" s="145"/>
      <c r="LB151" s="145"/>
      <c r="LC151" s="145"/>
      <c r="LD151" s="145"/>
      <c r="LE151" s="145"/>
      <c r="LF151" s="145"/>
      <c r="LG151" s="145"/>
      <c r="LH151" s="145"/>
      <c r="LI151" s="145"/>
      <c r="LJ151" s="145"/>
      <c r="LK151" s="145"/>
      <c r="LL151" s="145"/>
      <c r="LM151" s="145"/>
      <c r="LN151" s="145"/>
      <c r="LO151" s="145"/>
      <c r="LP151" s="145"/>
      <c r="LQ151" s="145"/>
      <c r="LR151" s="145"/>
      <c r="LS151" s="145"/>
      <c r="LT151" s="145"/>
      <c r="LU151" s="145"/>
      <c r="LV151" s="145"/>
      <c r="LW151" s="145"/>
      <c r="LX151" s="145"/>
      <c r="LY151" s="145"/>
      <c r="LZ151" s="145"/>
      <c r="MA151" s="145"/>
      <c r="MB151" s="145"/>
      <c r="MC151" s="145"/>
      <c r="MD151" s="145"/>
      <c r="ME151" s="145"/>
      <c r="MF151" s="145"/>
      <c r="MG151" s="145"/>
      <c r="MH151" s="145"/>
      <c r="MI151" s="145"/>
      <c r="MJ151" s="145"/>
      <c r="MK151" s="145"/>
      <c r="ML151" s="145"/>
      <c r="MM151" s="145"/>
      <c r="MN151" s="145"/>
      <c r="MO151" s="145"/>
      <c r="MP151" s="145"/>
      <c r="MQ151" s="145"/>
      <c r="MR151" s="145"/>
      <c r="MS151" s="145"/>
      <c r="MT151" s="145"/>
      <c r="MU151" s="145"/>
      <c r="MV151" s="145"/>
      <c r="MW151" s="145"/>
      <c r="MX151" s="145"/>
      <c r="MY151" s="145"/>
      <c r="MZ151" s="145"/>
      <c r="NA151" s="145"/>
      <c r="NB151" s="145"/>
      <c r="NC151" s="145"/>
      <c r="ND151" s="145"/>
      <c r="NE151" s="145"/>
      <c r="NF151" s="145"/>
      <c r="NG151" s="145"/>
      <c r="NH151" s="145"/>
      <c r="NI151" s="145"/>
      <c r="NJ151" s="145"/>
      <c r="NK151" s="145"/>
      <c r="NL151" s="145"/>
      <c r="NM151" s="145"/>
      <c r="NN151" s="145"/>
      <c r="NO151" s="145"/>
      <c r="NP151" s="145"/>
      <c r="NQ151" s="145"/>
      <c r="NR151" s="145"/>
      <c r="NS151" s="145"/>
    </row>
    <row r="152" spans="1:383" s="16" customFormat="1" ht="15" customHeight="1" x14ac:dyDescent="0.2">
      <c r="A152" s="15">
        <v>73520</v>
      </c>
      <c r="B152" s="25">
        <v>735</v>
      </c>
      <c r="C152" s="26">
        <v>20</v>
      </c>
      <c r="D152" s="20" t="s">
        <v>496</v>
      </c>
      <c r="E152" s="14">
        <v>40310</v>
      </c>
      <c r="F152" s="18">
        <v>0.209204840301974</v>
      </c>
      <c r="G152" s="18">
        <v>0.234573332560297</v>
      </c>
      <c r="H152" s="21">
        <v>55</v>
      </c>
      <c r="I152" s="21">
        <v>51</v>
      </c>
      <c r="J152" s="21">
        <v>75</v>
      </c>
      <c r="K152" s="18">
        <v>1</v>
      </c>
      <c r="L152" s="18">
        <v>32.5</v>
      </c>
      <c r="M152" s="18">
        <v>2.5674999999999999</v>
      </c>
      <c r="N152" s="18">
        <v>0.71499999999999997</v>
      </c>
      <c r="O152" s="18">
        <v>1.3975</v>
      </c>
      <c r="P152" s="18">
        <v>7.085</v>
      </c>
      <c r="Q152" s="19"/>
      <c r="R152" s="18">
        <v>33.5892368896926</v>
      </c>
      <c r="S152" s="18">
        <v>37</v>
      </c>
      <c r="T152" s="18">
        <v>37</v>
      </c>
      <c r="U152" s="18">
        <v>37</v>
      </c>
      <c r="V152" s="18">
        <v>37</v>
      </c>
      <c r="W152" s="18">
        <v>37</v>
      </c>
      <c r="X152" s="18"/>
      <c r="Y152" s="18">
        <v>2</v>
      </c>
      <c r="Z152" s="18">
        <v>2.4</v>
      </c>
      <c r="AA152" s="18">
        <v>0.2</v>
      </c>
      <c r="AB152" s="18">
        <v>2.3000000000000003</v>
      </c>
      <c r="AC152" s="18">
        <v>12</v>
      </c>
      <c r="AD152" s="18">
        <v>1.3</v>
      </c>
      <c r="AE152" s="18">
        <v>0.89999999999999991</v>
      </c>
      <c r="AF152" s="18">
        <v>60</v>
      </c>
      <c r="AG152" s="18">
        <v>5</v>
      </c>
      <c r="AH152" s="18">
        <v>17</v>
      </c>
      <c r="AI152" s="18">
        <v>54</v>
      </c>
      <c r="AJ152" s="18">
        <v>0</v>
      </c>
      <c r="AK152" s="18">
        <v>0.03</v>
      </c>
      <c r="AL152" s="18"/>
      <c r="AM152" s="18">
        <v>2.44</v>
      </c>
      <c r="AN152" s="18">
        <v>1.57</v>
      </c>
      <c r="AO152" s="18">
        <v>1.3</v>
      </c>
      <c r="AP152" s="18">
        <v>3.35</v>
      </c>
      <c r="AQ152" s="18">
        <v>0.57999999999999996</v>
      </c>
      <c r="AR152" s="18">
        <v>3.26</v>
      </c>
      <c r="AS152" s="18">
        <v>8.34</v>
      </c>
      <c r="AT152" s="18">
        <v>1.62</v>
      </c>
      <c r="AU152" s="18">
        <v>3.72</v>
      </c>
      <c r="AV152" s="18">
        <v>2.15</v>
      </c>
      <c r="AW152" s="18">
        <v>4.63</v>
      </c>
      <c r="AX152" s="18"/>
      <c r="AY152" s="18">
        <v>1</v>
      </c>
      <c r="AZ152" s="18">
        <v>1</v>
      </c>
      <c r="BA152" s="18">
        <v>1</v>
      </c>
      <c r="BB152" s="18">
        <v>1</v>
      </c>
      <c r="BC152" s="18">
        <v>1</v>
      </c>
      <c r="BD152" s="18">
        <v>1</v>
      </c>
      <c r="BE152" s="18">
        <v>1</v>
      </c>
      <c r="BF152" s="18">
        <v>1</v>
      </c>
      <c r="BG152" s="18">
        <v>1</v>
      </c>
      <c r="BH152" s="18">
        <v>1</v>
      </c>
      <c r="BI152" s="18">
        <v>1</v>
      </c>
      <c r="BJ152" s="19"/>
      <c r="BK152" s="18">
        <v>7.8999999999999995</v>
      </c>
      <c r="BL152" s="18">
        <v>2.1999999999999997</v>
      </c>
      <c r="BM152" s="18">
        <v>4.3</v>
      </c>
      <c r="BN152" s="18">
        <v>21.8</v>
      </c>
      <c r="BO152" s="18"/>
      <c r="BP152" s="18">
        <v>105</v>
      </c>
      <c r="BQ152" s="18">
        <v>23.1</v>
      </c>
      <c r="BR152" s="18">
        <v>0.64370720092915079</v>
      </c>
      <c r="BS152" s="18">
        <v>0.72176410018552928</v>
      </c>
      <c r="BT152" s="19"/>
      <c r="BU152" s="18">
        <v>956.99999999999989</v>
      </c>
      <c r="BV152" s="18">
        <v>378.43428571428615</v>
      </c>
      <c r="BW152" s="18">
        <v>54.685714285714148</v>
      </c>
      <c r="BX152" s="18">
        <v>215</v>
      </c>
      <c r="BY152" s="18">
        <v>20</v>
      </c>
      <c r="BZ152" s="18" t="s">
        <v>217</v>
      </c>
      <c r="CA152" s="18" t="s">
        <v>217</v>
      </c>
      <c r="CB152" s="19"/>
      <c r="CC152" s="19">
        <v>0.65</v>
      </c>
      <c r="CD152" s="19">
        <v>0.78</v>
      </c>
      <c r="CE152" s="19">
        <v>6.5000000000000002E-2</v>
      </c>
      <c r="CF152" s="19">
        <v>0.74750000000000016</v>
      </c>
      <c r="CG152" s="19">
        <v>3.9000000000000004</v>
      </c>
      <c r="CH152" s="19">
        <v>0.42250000000000004</v>
      </c>
      <c r="CI152" s="19">
        <v>0.29249999999999998</v>
      </c>
      <c r="CJ152" s="19"/>
      <c r="CK152" s="19">
        <v>19.5</v>
      </c>
      <c r="CL152" s="19">
        <v>1.625</v>
      </c>
      <c r="CM152" s="19">
        <v>5.5250000000000004</v>
      </c>
      <c r="CN152" s="19">
        <v>17.55</v>
      </c>
      <c r="CO152" s="19">
        <v>0</v>
      </c>
      <c r="CP152" s="19">
        <v>9.75E-3</v>
      </c>
      <c r="CQ152" s="19">
        <v>8.6240365714285598</v>
      </c>
      <c r="CR152" s="19">
        <v>41.222930401516074</v>
      </c>
      <c r="CS152" s="19">
        <v>1.005839501796993</v>
      </c>
      <c r="CT152" s="19">
        <v>0.64720000730380056</v>
      </c>
      <c r="CU152" s="19">
        <v>0.53589809521970766</v>
      </c>
      <c r="CV152" s="19">
        <v>1.183098102523513</v>
      </c>
      <c r="CW152" s="19">
        <v>1.3809681684507897</v>
      </c>
      <c r="CX152" s="19">
        <v>0.23909299632879349</v>
      </c>
      <c r="CY152" s="19">
        <v>1.3438675310894286</v>
      </c>
      <c r="CZ152" s="19">
        <v>3.4379923954864462</v>
      </c>
      <c r="DA152" s="19">
        <v>0.66781147250456208</v>
      </c>
      <c r="DB152" s="19">
        <v>1.533493010936396</v>
      </c>
      <c r="DC152" s="19">
        <v>0.88629300363259556</v>
      </c>
      <c r="DD152" s="19">
        <v>2.4197860145689911</v>
      </c>
      <c r="DE152" s="19">
        <v>1.9086216775902025</v>
      </c>
      <c r="DF152" s="23">
        <v>0</v>
      </c>
      <c r="DG152" s="23">
        <v>0</v>
      </c>
      <c r="DH152" s="23">
        <v>0</v>
      </c>
      <c r="DI152" s="19">
        <v>0</v>
      </c>
      <c r="DJ152" s="19">
        <v>0</v>
      </c>
      <c r="DK152" s="19">
        <v>0</v>
      </c>
      <c r="DL152" s="19">
        <v>0</v>
      </c>
      <c r="DM152" s="19">
        <v>0</v>
      </c>
      <c r="DN152" s="19">
        <v>0</v>
      </c>
      <c r="DO152" s="19">
        <v>0</v>
      </c>
      <c r="DP152" s="19">
        <v>0</v>
      </c>
      <c r="DQ152" s="19">
        <v>0</v>
      </c>
      <c r="DR152" s="19">
        <v>0</v>
      </c>
      <c r="DS152" s="19">
        <v>0</v>
      </c>
      <c r="DT152" s="19">
        <v>0</v>
      </c>
      <c r="DU152" s="19">
        <v>0</v>
      </c>
      <c r="DV152" s="19">
        <v>0</v>
      </c>
      <c r="DW152" s="17" t="s">
        <v>493</v>
      </c>
      <c r="DX152" s="22" t="s">
        <v>218</v>
      </c>
      <c r="DY152" s="22" t="s">
        <v>218</v>
      </c>
      <c r="DZ152" s="22" t="s">
        <v>218</v>
      </c>
      <c r="EA152" s="22" t="s">
        <v>218</v>
      </c>
      <c r="EB152" s="22" t="s">
        <v>218</v>
      </c>
      <c r="EC152" s="22" t="s">
        <v>218</v>
      </c>
      <c r="ED152" s="22" t="s">
        <v>218</v>
      </c>
      <c r="EE152" s="22" t="s">
        <v>218</v>
      </c>
      <c r="EF152" s="22" t="s">
        <v>218</v>
      </c>
      <c r="EG152" s="22" t="s">
        <v>218</v>
      </c>
      <c r="EH152" s="22" t="s">
        <v>218</v>
      </c>
      <c r="EI152" s="22" t="s">
        <v>218</v>
      </c>
      <c r="EJ152" s="22" t="s">
        <v>218</v>
      </c>
      <c r="EK152" s="22" t="s">
        <v>218</v>
      </c>
      <c r="EL152" s="22" t="s">
        <v>218</v>
      </c>
      <c r="EM152" s="22" t="s">
        <v>218</v>
      </c>
      <c r="EN152" s="22" t="s">
        <v>218</v>
      </c>
      <c r="EO152" s="22" t="s">
        <v>218</v>
      </c>
      <c r="EP152" s="22" t="s">
        <v>218</v>
      </c>
      <c r="EQ152" s="22" t="s">
        <v>218</v>
      </c>
      <c r="ER152" s="22" t="s">
        <v>218</v>
      </c>
      <c r="ES152" s="22" t="s">
        <v>218</v>
      </c>
      <c r="ET152" s="22" t="s">
        <v>218</v>
      </c>
      <c r="EU152" s="22" t="s">
        <v>218</v>
      </c>
      <c r="EV152" s="22" t="s">
        <v>218</v>
      </c>
      <c r="EW152" s="22" t="s">
        <v>218</v>
      </c>
      <c r="EX152" s="22" t="s">
        <v>218</v>
      </c>
      <c r="EY152" s="22" t="s">
        <v>218</v>
      </c>
      <c r="EZ152" s="22" t="s">
        <v>218</v>
      </c>
      <c r="FA152" s="22" t="s">
        <v>218</v>
      </c>
      <c r="FB152" s="22" t="s">
        <v>218</v>
      </c>
      <c r="FC152" s="22" t="s">
        <v>218</v>
      </c>
      <c r="FD152" s="22" t="s">
        <v>218</v>
      </c>
      <c r="FE152" s="22" t="s">
        <v>218</v>
      </c>
      <c r="FF152" s="22" t="s">
        <v>218</v>
      </c>
      <c r="FG152" s="22" t="s">
        <v>218</v>
      </c>
      <c r="FH152" s="22" t="s">
        <v>218</v>
      </c>
      <c r="FI152" s="22" t="s">
        <v>218</v>
      </c>
      <c r="FJ152" s="22" t="s">
        <v>218</v>
      </c>
      <c r="FK152" s="22" t="s">
        <v>218</v>
      </c>
      <c r="FL152" s="22" t="s">
        <v>218</v>
      </c>
      <c r="FM152" s="22" t="s">
        <v>218</v>
      </c>
      <c r="FN152" s="22" t="s">
        <v>218</v>
      </c>
      <c r="FO152" s="22" t="s">
        <v>218</v>
      </c>
      <c r="FP152" s="22" t="s">
        <v>218</v>
      </c>
      <c r="FQ152" s="22" t="s">
        <v>218</v>
      </c>
      <c r="FR152" s="22" t="s">
        <v>218</v>
      </c>
      <c r="FS152" s="22" t="s">
        <v>218</v>
      </c>
      <c r="FT152" s="22" t="s">
        <v>218</v>
      </c>
      <c r="FU152" s="22" t="s">
        <v>218</v>
      </c>
      <c r="FV152" s="22" t="s">
        <v>218</v>
      </c>
      <c r="FW152" s="22" t="s">
        <v>218</v>
      </c>
      <c r="FX152" s="22" t="s">
        <v>218</v>
      </c>
      <c r="FY152" s="22" t="s">
        <v>218</v>
      </c>
      <c r="FZ152" s="22" t="s">
        <v>218</v>
      </c>
      <c r="GA152" s="22" t="s">
        <v>218</v>
      </c>
      <c r="GB152" s="22" t="s">
        <v>218</v>
      </c>
      <c r="GC152" s="22" t="s">
        <v>218</v>
      </c>
      <c r="GD152" s="22" t="s">
        <v>218</v>
      </c>
      <c r="GE152" s="22" t="s">
        <v>218</v>
      </c>
      <c r="GF152" s="22" t="s">
        <v>218</v>
      </c>
      <c r="GG152" s="22" t="s">
        <v>218</v>
      </c>
      <c r="GH152" s="22" t="s">
        <v>218</v>
      </c>
      <c r="GI152" s="22" t="s">
        <v>218</v>
      </c>
      <c r="GJ152" s="22" t="s">
        <v>218</v>
      </c>
      <c r="GK152" s="22" t="s">
        <v>218</v>
      </c>
      <c r="GL152" s="22" t="s">
        <v>218</v>
      </c>
      <c r="GM152" s="22" t="s">
        <v>218</v>
      </c>
      <c r="GN152" s="22" t="s">
        <v>218</v>
      </c>
      <c r="GO152" s="22" t="s">
        <v>218</v>
      </c>
      <c r="GP152" s="22" t="s">
        <v>218</v>
      </c>
      <c r="GQ152" s="22" t="s">
        <v>218</v>
      </c>
      <c r="GR152" s="22" t="s">
        <v>218</v>
      </c>
      <c r="GS152" s="22" t="s">
        <v>218</v>
      </c>
      <c r="GT152" s="22" t="s">
        <v>218</v>
      </c>
      <c r="GU152" s="22" t="s">
        <v>218</v>
      </c>
      <c r="GV152" s="22" t="s">
        <v>218</v>
      </c>
      <c r="GW152" s="22" t="s">
        <v>218</v>
      </c>
      <c r="GX152" s="22" t="s">
        <v>218</v>
      </c>
      <c r="GY152" s="22" t="s">
        <v>218</v>
      </c>
      <c r="GZ152" s="22" t="s">
        <v>218</v>
      </c>
      <c r="HA152" s="22" t="s">
        <v>218</v>
      </c>
      <c r="HB152" s="22" t="s">
        <v>218</v>
      </c>
      <c r="HC152" s="22" t="s">
        <v>218</v>
      </c>
      <c r="HD152" s="22" t="s">
        <v>218</v>
      </c>
      <c r="HE152" s="22" t="s">
        <v>218</v>
      </c>
      <c r="HF152" s="22" t="s">
        <v>218</v>
      </c>
      <c r="HG152" s="22" t="s">
        <v>218</v>
      </c>
      <c r="HH152" s="22" t="s">
        <v>218</v>
      </c>
      <c r="HI152" s="22" t="s">
        <v>218</v>
      </c>
      <c r="HJ152" s="22" t="s">
        <v>218</v>
      </c>
      <c r="HK152" s="22" t="s">
        <v>218</v>
      </c>
      <c r="HL152" s="22" t="s">
        <v>218</v>
      </c>
      <c r="HM152" s="620">
        <f>'background data'!$G$15</f>
        <v>0.221</v>
      </c>
      <c r="HN152" s="620">
        <f>'background data'!$H$15</f>
        <v>6.7000000000000004E-2</v>
      </c>
      <c r="HO152" s="620">
        <f>'background data'!$J$15</f>
        <v>0.20100000000000001</v>
      </c>
      <c r="HP152" s="620">
        <f>'background data'!$L$15</f>
        <v>1.4999999999999999E-2</v>
      </c>
      <c r="HQ152" s="620">
        <f>'background data'!$M$15</f>
        <v>1.74</v>
      </c>
      <c r="HR152" s="620">
        <f>'background data'!$N$15</f>
        <v>2.3999999999999998E-3</v>
      </c>
      <c r="HS152" s="620">
        <f>'background data'!$O$15</f>
        <v>1.41</v>
      </c>
      <c r="HT152" s="145"/>
      <c r="HU152" s="145" t="s">
        <v>1809</v>
      </c>
      <c r="HV152" s="22" t="s">
        <v>1960</v>
      </c>
      <c r="HW152" s="22" t="s">
        <v>494</v>
      </c>
      <c r="HX152" s="22" t="s">
        <v>324</v>
      </c>
      <c r="HY152" s="22" t="s">
        <v>325</v>
      </c>
      <c r="HZ152" s="19"/>
      <c r="IA152" s="19"/>
      <c r="IB152" s="620">
        <f>'background data'!$G$15</f>
        <v>0.221</v>
      </c>
      <c r="IC152" s="620">
        <f>'background data'!$H$15</f>
        <v>6.7000000000000004E-2</v>
      </c>
      <c r="ID152" s="620">
        <f>'background data'!$J$15</f>
        <v>0.20100000000000001</v>
      </c>
      <c r="IE152" s="620">
        <f>'background data'!$L$15</f>
        <v>1.4999999999999999E-2</v>
      </c>
      <c r="IF152" s="620">
        <f>'background data'!$M$15</f>
        <v>1.74</v>
      </c>
      <c r="IG152" s="620">
        <f>'background data'!$N$15</f>
        <v>2.3999999999999998E-3</v>
      </c>
      <c r="IH152" s="620">
        <f>'background data'!$O$15</f>
        <v>1.41</v>
      </c>
      <c r="II152" s="145"/>
      <c r="IJ152" s="145"/>
      <c r="IK152" s="145"/>
      <c r="IL152" s="145"/>
      <c r="IM152" s="145"/>
      <c r="IN152" s="145"/>
      <c r="IO152" s="145"/>
      <c r="IP152" s="145"/>
      <c r="IQ152" s="145"/>
      <c r="IR152" s="145"/>
      <c r="IS152" s="145"/>
      <c r="IT152" s="145"/>
      <c r="IU152" s="145"/>
      <c r="IV152" s="145"/>
      <c r="IW152" s="145"/>
      <c r="IX152" s="145"/>
      <c r="IY152" s="145"/>
      <c r="IZ152" s="145"/>
      <c r="JA152" s="145"/>
      <c r="JB152" s="145"/>
      <c r="JC152" s="145"/>
      <c r="JD152" s="145"/>
      <c r="JE152" s="145"/>
      <c r="JF152" s="145"/>
      <c r="JG152" s="145"/>
      <c r="JH152" s="145"/>
      <c r="JI152" s="145"/>
      <c r="JJ152" s="145"/>
      <c r="JK152" s="145"/>
      <c r="JL152" s="145"/>
      <c r="JM152" s="145"/>
      <c r="JN152" s="145"/>
      <c r="JO152" s="145"/>
      <c r="JP152" s="145"/>
      <c r="JQ152" s="145"/>
      <c r="JR152" s="145"/>
      <c r="JS152" s="145"/>
      <c r="JT152" s="145"/>
      <c r="JU152" s="145"/>
      <c r="JV152" s="145"/>
      <c r="JW152" s="145"/>
      <c r="JX152" s="145"/>
      <c r="JY152" s="145"/>
      <c r="JZ152" s="145"/>
      <c r="KA152" s="145"/>
      <c r="KB152" s="145"/>
      <c r="KC152" s="145"/>
      <c r="KD152" s="145"/>
      <c r="KE152" s="145"/>
      <c r="KF152" s="145"/>
      <c r="KG152" s="145"/>
      <c r="KH152" s="145"/>
      <c r="KI152" s="145"/>
      <c r="KJ152" s="145"/>
      <c r="KK152" s="145"/>
      <c r="KL152" s="145"/>
      <c r="KM152" s="145"/>
      <c r="KN152" s="145"/>
      <c r="KO152" s="145"/>
      <c r="KP152" s="145"/>
      <c r="KQ152" s="145"/>
      <c r="KR152" s="145"/>
      <c r="KS152" s="145"/>
      <c r="KT152" s="145"/>
      <c r="KU152" s="145"/>
      <c r="KV152" s="145"/>
      <c r="KW152" s="145"/>
      <c r="KX152" s="145"/>
      <c r="KY152" s="145"/>
      <c r="KZ152" s="145"/>
      <c r="LA152" s="145"/>
      <c r="LB152" s="145"/>
      <c r="LC152" s="145"/>
      <c r="LD152" s="145"/>
      <c r="LE152" s="145"/>
      <c r="LF152" s="145"/>
      <c r="LG152" s="145"/>
      <c r="LH152" s="145"/>
      <c r="LI152" s="145"/>
      <c r="LJ152" s="145"/>
      <c r="LK152" s="145"/>
      <c r="LL152" s="145"/>
      <c r="LM152" s="145"/>
      <c r="LN152" s="145"/>
      <c r="LO152" s="145"/>
      <c r="LP152" s="145"/>
      <c r="LQ152" s="145"/>
      <c r="LR152" s="145"/>
      <c r="LS152" s="145"/>
      <c r="LT152" s="145"/>
      <c r="LU152" s="145"/>
      <c r="LV152" s="145"/>
      <c r="LW152" s="145"/>
      <c r="LX152" s="145"/>
      <c r="LY152" s="145"/>
      <c r="LZ152" s="145"/>
      <c r="MA152" s="145"/>
      <c r="MB152" s="145"/>
      <c r="MC152" s="145"/>
      <c r="MD152" s="145"/>
      <c r="ME152" s="145"/>
      <c r="MF152" s="145"/>
      <c r="MG152" s="145"/>
      <c r="MH152" s="145"/>
      <c r="MI152" s="145"/>
      <c r="MJ152" s="145"/>
      <c r="MK152" s="145"/>
      <c r="ML152" s="145"/>
      <c r="MM152" s="145"/>
      <c r="MN152" s="145"/>
      <c r="MO152" s="145"/>
      <c r="MP152" s="145"/>
      <c r="MQ152" s="145"/>
      <c r="MR152" s="145"/>
      <c r="MS152" s="145"/>
      <c r="MT152" s="145"/>
      <c r="MU152" s="145"/>
      <c r="MV152" s="145"/>
      <c r="MW152" s="145"/>
      <c r="MX152" s="145"/>
      <c r="MY152" s="145"/>
      <c r="MZ152" s="145"/>
      <c r="NA152" s="145"/>
      <c r="NB152" s="145"/>
      <c r="NC152" s="145"/>
      <c r="ND152" s="145"/>
      <c r="NE152" s="145"/>
      <c r="NF152" s="145"/>
      <c r="NG152" s="145"/>
      <c r="NH152" s="145"/>
      <c r="NI152" s="145"/>
      <c r="NJ152" s="145"/>
      <c r="NK152" s="145"/>
      <c r="NL152" s="145"/>
      <c r="NM152" s="145"/>
      <c r="NN152" s="145"/>
      <c r="NO152" s="145"/>
      <c r="NP152" s="145"/>
      <c r="NQ152" s="145"/>
      <c r="NR152" s="145"/>
      <c r="NS152" s="145"/>
    </row>
    <row r="153" spans="1:383" s="16" customFormat="1" ht="15" customHeight="1" x14ac:dyDescent="0.2">
      <c r="A153" s="15">
        <v>54100</v>
      </c>
      <c r="B153" s="25">
        <v>541</v>
      </c>
      <c r="C153" s="26">
        <v>0</v>
      </c>
      <c r="D153" s="20" t="s">
        <v>497</v>
      </c>
      <c r="E153" s="14">
        <v>40310</v>
      </c>
      <c r="F153" s="18">
        <v>1.1190978707317101</v>
      </c>
      <c r="G153" s="18">
        <v>1.1127555261818201</v>
      </c>
      <c r="H153" s="21">
        <v>82.8</v>
      </c>
      <c r="I153" s="21">
        <v>79.900000000000006</v>
      </c>
      <c r="J153" s="21">
        <v>88</v>
      </c>
      <c r="K153" s="18">
        <v>1</v>
      </c>
      <c r="L153" s="18">
        <v>88.2</v>
      </c>
      <c r="M153" s="18">
        <v>9.3491999999999997</v>
      </c>
      <c r="N153" s="18">
        <v>4.851</v>
      </c>
      <c r="O153" s="18">
        <v>2.6459999999999999</v>
      </c>
      <c r="P153" s="18">
        <v>4.24703286</v>
      </c>
      <c r="Q153" s="19"/>
      <c r="R153" s="18">
        <v>71.2</v>
      </c>
      <c r="S153" s="18">
        <v>20</v>
      </c>
      <c r="T153" s="18">
        <v>33</v>
      </c>
      <c r="U153" s="18">
        <v>38</v>
      </c>
      <c r="V153" s="18">
        <v>42</v>
      </c>
      <c r="W153" s="18">
        <v>45</v>
      </c>
      <c r="X153" s="18"/>
      <c r="Y153" s="18">
        <v>0.3</v>
      </c>
      <c r="Z153" s="18">
        <v>5.6</v>
      </c>
      <c r="AA153" s="18">
        <v>0.19999999999999998</v>
      </c>
      <c r="AB153" s="18">
        <v>0</v>
      </c>
      <c r="AC153" s="18">
        <v>7.1</v>
      </c>
      <c r="AD153" s="18">
        <v>1.9</v>
      </c>
      <c r="AE153" s="18">
        <v>1.2</v>
      </c>
      <c r="AF153" s="18">
        <v>68</v>
      </c>
      <c r="AG153" s="18">
        <v>3.1999999999999997</v>
      </c>
      <c r="AH153" s="18">
        <v>14</v>
      </c>
      <c r="AI153" s="18">
        <v>41.999999999999993</v>
      </c>
      <c r="AJ153" s="18">
        <v>0</v>
      </c>
      <c r="AK153" s="18">
        <v>0.12</v>
      </c>
      <c r="AL153" s="18"/>
      <c r="AM153" s="18">
        <v>3.37</v>
      </c>
      <c r="AN153" s="18">
        <v>2.37</v>
      </c>
      <c r="AO153" s="18">
        <v>2.19</v>
      </c>
      <c r="AP153" s="18">
        <v>3.73</v>
      </c>
      <c r="AQ153" s="18">
        <v>1.1100000000000001</v>
      </c>
      <c r="AR153" s="18">
        <v>3.84</v>
      </c>
      <c r="AS153" s="18">
        <v>12.07</v>
      </c>
      <c r="AT153" s="18">
        <v>3.06</v>
      </c>
      <c r="AU153" s="18">
        <v>5.05</v>
      </c>
      <c r="AV153" s="18">
        <v>4.1100000000000003</v>
      </c>
      <c r="AW153" s="18">
        <v>5.32</v>
      </c>
      <c r="AX153" s="18"/>
      <c r="AY153" s="18">
        <v>1</v>
      </c>
      <c r="AZ153" s="18">
        <v>1</v>
      </c>
      <c r="BA153" s="18">
        <v>1</v>
      </c>
      <c r="BB153" s="18">
        <v>1</v>
      </c>
      <c r="BC153" s="18">
        <v>1</v>
      </c>
      <c r="BD153" s="18">
        <v>1</v>
      </c>
      <c r="BE153" s="18">
        <v>1</v>
      </c>
      <c r="BF153" s="18">
        <v>1</v>
      </c>
      <c r="BG153" s="18">
        <v>1</v>
      </c>
      <c r="BH153" s="18">
        <v>1</v>
      </c>
      <c r="BI153" s="18">
        <v>1</v>
      </c>
      <c r="BJ153" s="19"/>
      <c r="BK153" s="18">
        <v>10.6</v>
      </c>
      <c r="BL153" s="18">
        <v>5.5</v>
      </c>
      <c r="BM153" s="18">
        <v>3</v>
      </c>
      <c r="BN153" s="18">
        <v>4.8152299999999997</v>
      </c>
      <c r="BO153" s="18"/>
      <c r="BP153" s="18">
        <v>120</v>
      </c>
      <c r="BQ153" s="18">
        <v>66</v>
      </c>
      <c r="BR153" s="18">
        <v>1.2688184475416213</v>
      </c>
      <c r="BS153" s="18">
        <v>1.2616275807050115</v>
      </c>
      <c r="BT153" s="19"/>
      <c r="BU153" s="18">
        <v>969.99999999999989</v>
      </c>
      <c r="BV153" s="18">
        <v>613.1642857142856</v>
      </c>
      <c r="BW153" s="18">
        <v>40.18571428571417</v>
      </c>
      <c r="BX153" s="18">
        <v>566</v>
      </c>
      <c r="BY153" s="18">
        <v>41</v>
      </c>
      <c r="BZ153" s="18">
        <v>12.999999999999998</v>
      </c>
      <c r="CA153" s="18">
        <v>184</v>
      </c>
      <c r="CB153" s="19"/>
      <c r="CC153" s="19">
        <v>0.2646</v>
      </c>
      <c r="CD153" s="19">
        <v>4.9391999999999996</v>
      </c>
      <c r="CE153" s="19">
        <v>0.17639999999999997</v>
      </c>
      <c r="CF153" s="19">
        <v>0</v>
      </c>
      <c r="CG153" s="19">
        <v>6.2622</v>
      </c>
      <c r="CH153" s="19">
        <v>1.6758</v>
      </c>
      <c r="CI153" s="19">
        <v>1.0584</v>
      </c>
      <c r="CJ153" s="19"/>
      <c r="CK153" s="19">
        <v>59.975999999999999</v>
      </c>
      <c r="CL153" s="19">
        <v>2.8223999999999996</v>
      </c>
      <c r="CM153" s="19">
        <v>12.348000000000001</v>
      </c>
      <c r="CN153" s="19">
        <v>37.043999999999997</v>
      </c>
      <c r="CO153" s="19">
        <v>0</v>
      </c>
      <c r="CP153" s="19">
        <v>0.10584</v>
      </c>
      <c r="CQ153" s="19">
        <v>66.566304000000002</v>
      </c>
      <c r="CR153" s="19">
        <v>59.482111208447158</v>
      </c>
      <c r="CS153" s="19">
        <v>2.004547147724669</v>
      </c>
      <c r="CT153" s="19">
        <v>1.4097260356401975</v>
      </c>
      <c r="CU153" s="19">
        <v>1.3026582354649927</v>
      </c>
      <c r="CV153" s="19">
        <v>2.7123842711051904</v>
      </c>
      <c r="CW153" s="19">
        <v>2.218682748075079</v>
      </c>
      <c r="CX153" s="19">
        <v>0.66025143441376344</v>
      </c>
      <c r="CY153" s="19">
        <v>2.2841130704043708</v>
      </c>
      <c r="CZ153" s="19">
        <v>7.1794908228595729</v>
      </c>
      <c r="DA153" s="19">
        <v>1.8201526029784831</v>
      </c>
      <c r="DB153" s="19">
        <v>3.0038466160265815</v>
      </c>
      <c r="DC153" s="19">
        <v>2.4447147706671779</v>
      </c>
      <c r="DD153" s="19">
        <v>5.4485613866937603</v>
      </c>
      <c r="DE153" s="19">
        <v>3.1644483162893891</v>
      </c>
      <c r="DF153" s="23">
        <v>0</v>
      </c>
      <c r="DG153" s="23">
        <v>0</v>
      </c>
      <c r="DH153" s="23">
        <v>0</v>
      </c>
      <c r="DI153" s="19">
        <v>0</v>
      </c>
      <c r="DJ153" s="19">
        <v>0</v>
      </c>
      <c r="DK153" s="19">
        <v>0</v>
      </c>
      <c r="DL153" s="19">
        <v>0</v>
      </c>
      <c r="DM153" s="19">
        <v>0</v>
      </c>
      <c r="DN153" s="19">
        <v>0</v>
      </c>
      <c r="DO153" s="19">
        <v>0</v>
      </c>
      <c r="DP153" s="19">
        <v>0</v>
      </c>
      <c r="DQ153" s="19">
        <v>0</v>
      </c>
      <c r="DR153" s="19">
        <v>0</v>
      </c>
      <c r="DS153" s="19">
        <v>0</v>
      </c>
      <c r="DT153" s="19">
        <v>0</v>
      </c>
      <c r="DU153" s="19">
        <v>0</v>
      </c>
      <c r="DV153" s="19">
        <v>0</v>
      </c>
      <c r="DW153" s="17" t="s">
        <v>498</v>
      </c>
      <c r="DX153" s="22" t="s">
        <v>218</v>
      </c>
      <c r="DY153" s="22" t="s">
        <v>218</v>
      </c>
      <c r="DZ153" s="22" t="s">
        <v>218</v>
      </c>
      <c r="EA153" s="22" t="s">
        <v>218</v>
      </c>
      <c r="EB153" s="22" t="s">
        <v>218</v>
      </c>
      <c r="EC153" s="22" t="s">
        <v>218</v>
      </c>
      <c r="ED153" s="22" t="s">
        <v>218</v>
      </c>
      <c r="EE153" s="22" t="s">
        <v>218</v>
      </c>
      <c r="EF153" s="22" t="s">
        <v>218</v>
      </c>
      <c r="EG153" s="22" t="s">
        <v>218</v>
      </c>
      <c r="EH153" s="22" t="s">
        <v>218</v>
      </c>
      <c r="EI153" s="22" t="s">
        <v>218</v>
      </c>
      <c r="EJ153" s="22" t="s">
        <v>218</v>
      </c>
      <c r="EK153" s="22" t="s">
        <v>218</v>
      </c>
      <c r="EL153" s="22" t="s">
        <v>218</v>
      </c>
      <c r="EM153" s="22" t="s">
        <v>218</v>
      </c>
      <c r="EN153" s="22" t="s">
        <v>218</v>
      </c>
      <c r="EO153" s="22" t="s">
        <v>218</v>
      </c>
      <c r="EP153" s="22" t="s">
        <v>218</v>
      </c>
      <c r="EQ153" s="22" t="s">
        <v>218</v>
      </c>
      <c r="ER153" s="22" t="s">
        <v>218</v>
      </c>
      <c r="ES153" s="22" t="s">
        <v>218</v>
      </c>
      <c r="ET153" s="22" t="s">
        <v>218</v>
      </c>
      <c r="EU153" s="22" t="s">
        <v>218</v>
      </c>
      <c r="EV153" s="22" t="s">
        <v>218</v>
      </c>
      <c r="EW153" s="22" t="s">
        <v>218</v>
      </c>
      <c r="EX153" s="22" t="s">
        <v>218</v>
      </c>
      <c r="EY153" s="22" t="s">
        <v>218</v>
      </c>
      <c r="EZ153" s="22" t="s">
        <v>218</v>
      </c>
      <c r="FA153" s="22" t="s">
        <v>218</v>
      </c>
      <c r="FB153" s="22" t="s">
        <v>218</v>
      </c>
      <c r="FC153" s="22" t="s">
        <v>218</v>
      </c>
      <c r="FD153" s="22" t="s">
        <v>218</v>
      </c>
      <c r="FE153" s="22" t="s">
        <v>218</v>
      </c>
      <c r="FF153" s="22" t="s">
        <v>218</v>
      </c>
      <c r="FG153" s="22" t="s">
        <v>218</v>
      </c>
      <c r="FH153" s="22" t="s">
        <v>218</v>
      </c>
      <c r="FI153" s="22" t="s">
        <v>218</v>
      </c>
      <c r="FJ153" s="22" t="s">
        <v>218</v>
      </c>
      <c r="FK153" s="22" t="s">
        <v>218</v>
      </c>
      <c r="FL153" s="22" t="s">
        <v>218</v>
      </c>
      <c r="FM153" s="22" t="s">
        <v>218</v>
      </c>
      <c r="FN153" s="22" t="s">
        <v>218</v>
      </c>
      <c r="FO153" s="22" t="s">
        <v>218</v>
      </c>
      <c r="FP153" s="22" t="s">
        <v>218</v>
      </c>
      <c r="FQ153" s="22" t="s">
        <v>218</v>
      </c>
      <c r="FR153" s="22" t="s">
        <v>218</v>
      </c>
      <c r="FS153" s="22" t="s">
        <v>218</v>
      </c>
      <c r="FT153" s="22" t="s">
        <v>218</v>
      </c>
      <c r="FU153" s="22" t="s">
        <v>218</v>
      </c>
      <c r="FV153" s="22" t="s">
        <v>218</v>
      </c>
      <c r="FW153" s="22" t="s">
        <v>218</v>
      </c>
      <c r="FX153" s="22" t="s">
        <v>218</v>
      </c>
      <c r="FY153" s="22" t="s">
        <v>218</v>
      </c>
      <c r="FZ153" s="22" t="s">
        <v>218</v>
      </c>
      <c r="GA153" s="22" t="s">
        <v>218</v>
      </c>
      <c r="GB153" s="22" t="s">
        <v>218</v>
      </c>
      <c r="GC153" s="22" t="s">
        <v>218</v>
      </c>
      <c r="GD153" s="22" t="s">
        <v>218</v>
      </c>
      <c r="GE153" s="22" t="s">
        <v>218</v>
      </c>
      <c r="GF153" s="22" t="s">
        <v>218</v>
      </c>
      <c r="GG153" s="22" t="s">
        <v>218</v>
      </c>
      <c r="GH153" s="22" t="s">
        <v>218</v>
      </c>
      <c r="GI153" s="22" t="s">
        <v>218</v>
      </c>
      <c r="GJ153" s="22" t="s">
        <v>218</v>
      </c>
      <c r="GK153" s="22" t="s">
        <v>218</v>
      </c>
      <c r="GL153" s="22" t="s">
        <v>218</v>
      </c>
      <c r="GM153" s="22" t="s">
        <v>218</v>
      </c>
      <c r="GN153" s="22" t="s">
        <v>218</v>
      </c>
      <c r="GO153" s="22" t="s">
        <v>218</v>
      </c>
      <c r="GP153" s="22" t="s">
        <v>218</v>
      </c>
      <c r="GQ153" s="22" t="s">
        <v>218</v>
      </c>
      <c r="GR153" s="22" t="s">
        <v>218</v>
      </c>
      <c r="GS153" s="22" t="s">
        <v>218</v>
      </c>
      <c r="GT153" s="22" t="s">
        <v>218</v>
      </c>
      <c r="GU153" s="22" t="s">
        <v>218</v>
      </c>
      <c r="GV153" s="22" t="s">
        <v>218</v>
      </c>
      <c r="GW153" s="22" t="s">
        <v>218</v>
      </c>
      <c r="GX153" s="22" t="s">
        <v>218</v>
      </c>
      <c r="GY153" s="22" t="s">
        <v>218</v>
      </c>
      <c r="GZ153" s="22" t="s">
        <v>218</v>
      </c>
      <c r="HA153" s="22" t="s">
        <v>218</v>
      </c>
      <c r="HB153" s="22" t="s">
        <v>218</v>
      </c>
      <c r="HC153" s="22" t="s">
        <v>218</v>
      </c>
      <c r="HD153" s="22" t="s">
        <v>218</v>
      </c>
      <c r="HE153" s="22" t="s">
        <v>218</v>
      </c>
      <c r="HF153" s="22" t="s">
        <v>218</v>
      </c>
      <c r="HG153" s="22" t="s">
        <v>218</v>
      </c>
      <c r="HH153" s="22" t="s">
        <v>218</v>
      </c>
      <c r="HI153" s="22" t="s">
        <v>218</v>
      </c>
      <c r="HJ153" s="22" t="s">
        <v>218</v>
      </c>
      <c r="HK153" s="22" t="s">
        <v>218</v>
      </c>
      <c r="HL153" s="22" t="s">
        <v>218</v>
      </c>
      <c r="HM153" s="622">
        <f>'background data'!$G$15</f>
        <v>0.221</v>
      </c>
      <c r="HN153" s="622">
        <f>'background data'!$H$15</f>
        <v>6.7000000000000004E-2</v>
      </c>
      <c r="HO153" s="622">
        <f>'background data'!$J$15</f>
        <v>0.20100000000000001</v>
      </c>
      <c r="HP153" s="622">
        <f>'background data'!$L$15</f>
        <v>1.4999999999999999E-2</v>
      </c>
      <c r="HQ153" s="622">
        <f>'background data'!$M$15</f>
        <v>1.74</v>
      </c>
      <c r="HR153" s="622">
        <f>'background data'!$N$15</f>
        <v>2.3999999999999998E-3</v>
      </c>
      <c r="HS153" s="622">
        <f>'background data'!$O$15</f>
        <v>1.41</v>
      </c>
      <c r="HT153" s="145" t="s">
        <v>1798</v>
      </c>
      <c r="HU153" s="145" t="s">
        <v>1809</v>
      </c>
      <c r="HV153" s="22" t="s">
        <v>1961</v>
      </c>
      <c r="HW153" s="22" t="s">
        <v>499</v>
      </c>
      <c r="HX153" s="22" t="s">
        <v>500</v>
      </c>
      <c r="HY153" s="22" t="s">
        <v>501</v>
      </c>
      <c r="HZ153" s="19"/>
      <c r="IA153" s="19"/>
      <c r="IB153" s="622">
        <f>'background data'!$G$15</f>
        <v>0.221</v>
      </c>
      <c r="IC153" s="622">
        <f>'background data'!$H$15</f>
        <v>6.7000000000000004E-2</v>
      </c>
      <c r="ID153" s="622">
        <f>'background data'!$J$15</f>
        <v>0.20100000000000001</v>
      </c>
      <c r="IE153" s="622">
        <f>'background data'!$L$15</f>
        <v>1.4999999999999999E-2</v>
      </c>
      <c r="IF153" s="622">
        <f>'background data'!$M$15</f>
        <v>1.74</v>
      </c>
      <c r="IG153" s="622">
        <f>'background data'!$N$15</f>
        <v>2.3999999999999998E-3</v>
      </c>
      <c r="IH153" s="622">
        <f>'background data'!$O$15</f>
        <v>1.41</v>
      </c>
      <c r="II153" s="145" t="s">
        <v>1798</v>
      </c>
      <c r="IJ153" s="145"/>
      <c r="IK153" s="145"/>
      <c r="IL153" s="145"/>
      <c r="IM153" s="145"/>
      <c r="IN153" s="145"/>
      <c r="IO153" s="145"/>
      <c r="IP153" s="145"/>
      <c r="IQ153" s="145"/>
      <c r="IR153" s="145"/>
      <c r="IS153" s="145"/>
      <c r="IT153" s="145"/>
      <c r="IU153" s="145"/>
      <c r="IV153" s="145"/>
      <c r="IW153" s="145"/>
      <c r="IX153" s="145"/>
      <c r="IY153" s="145"/>
      <c r="IZ153" s="145"/>
      <c r="JA153" s="145"/>
      <c r="JB153" s="145"/>
      <c r="JC153" s="145"/>
      <c r="JD153" s="145"/>
      <c r="JE153" s="145"/>
      <c r="JF153" s="145"/>
      <c r="JG153" s="145"/>
      <c r="JH153" s="145"/>
      <c r="JI153" s="145"/>
      <c r="JJ153" s="145"/>
      <c r="JK153" s="145"/>
      <c r="JL153" s="145"/>
      <c r="JM153" s="145"/>
      <c r="JN153" s="145"/>
      <c r="JO153" s="145"/>
      <c r="JP153" s="145"/>
      <c r="JQ153" s="145"/>
      <c r="JR153" s="145"/>
      <c r="JS153" s="145"/>
      <c r="JT153" s="145"/>
      <c r="JU153" s="145"/>
      <c r="JV153" s="145"/>
      <c r="JW153" s="145"/>
      <c r="JX153" s="145"/>
      <c r="JY153" s="145"/>
      <c r="JZ153" s="145"/>
      <c r="KA153" s="145"/>
      <c r="KB153" s="145"/>
      <c r="KC153" s="145"/>
      <c r="KD153" s="145"/>
      <c r="KE153" s="145"/>
      <c r="KF153" s="145"/>
      <c r="KG153" s="145"/>
      <c r="KH153" s="145"/>
      <c r="KI153" s="145"/>
      <c r="KJ153" s="145"/>
      <c r="KK153" s="145"/>
      <c r="KL153" s="145"/>
      <c r="KM153" s="145"/>
      <c r="KN153" s="145"/>
      <c r="KO153" s="145"/>
      <c r="KP153" s="145"/>
      <c r="KQ153" s="145"/>
      <c r="KR153" s="145"/>
      <c r="KS153" s="145"/>
      <c r="KT153" s="145"/>
      <c r="KU153" s="145"/>
      <c r="KV153" s="145"/>
      <c r="KW153" s="145"/>
      <c r="KX153" s="145"/>
      <c r="KY153" s="145"/>
      <c r="KZ153" s="145"/>
      <c r="LA153" s="145"/>
      <c r="LB153" s="145"/>
      <c r="LC153" s="145"/>
      <c r="LD153" s="145"/>
      <c r="LE153" s="145"/>
      <c r="LF153" s="145"/>
      <c r="LG153" s="145"/>
      <c r="LH153" s="145"/>
      <c r="LI153" s="145"/>
      <c r="LJ153" s="145"/>
      <c r="LK153" s="145"/>
      <c r="LL153" s="145"/>
      <c r="LM153" s="145"/>
      <c r="LN153" s="145"/>
      <c r="LO153" s="145"/>
      <c r="LP153" s="145"/>
      <c r="LQ153" s="145"/>
      <c r="LR153" s="145"/>
      <c r="LS153" s="145"/>
      <c r="LT153" s="145"/>
      <c r="LU153" s="145"/>
      <c r="LV153" s="145"/>
      <c r="LW153" s="145"/>
      <c r="LX153" s="145"/>
      <c r="LY153" s="145"/>
      <c r="LZ153" s="145"/>
      <c r="MA153" s="145"/>
      <c r="MB153" s="145"/>
      <c r="MC153" s="145"/>
      <c r="MD153" s="145"/>
      <c r="ME153" s="145"/>
      <c r="MF153" s="145"/>
      <c r="MG153" s="145"/>
      <c r="MH153" s="145"/>
      <c r="MI153" s="145"/>
      <c r="MJ153" s="145"/>
      <c r="MK153" s="145"/>
      <c r="ML153" s="145"/>
      <c r="MM153" s="145"/>
      <c r="MN153" s="145"/>
      <c r="MO153" s="145"/>
      <c r="MP153" s="145"/>
      <c r="MQ153" s="145"/>
      <c r="MR153" s="145"/>
      <c r="MS153" s="145"/>
      <c r="MT153" s="145"/>
      <c r="MU153" s="145"/>
      <c r="MV153" s="145"/>
      <c r="MW153" s="145"/>
      <c r="MX153" s="145"/>
      <c r="MY153" s="145"/>
      <c r="MZ153" s="145"/>
      <c r="NA153" s="145"/>
      <c r="NB153" s="145"/>
      <c r="NC153" s="145"/>
      <c r="ND153" s="145"/>
      <c r="NE153" s="145"/>
      <c r="NF153" s="145"/>
      <c r="NG153" s="145"/>
      <c r="NH153" s="145"/>
      <c r="NI153" s="145"/>
      <c r="NJ153" s="145"/>
      <c r="NK153" s="145"/>
      <c r="NL153" s="145"/>
      <c r="NM153" s="145"/>
      <c r="NN153" s="145"/>
      <c r="NO153" s="145"/>
      <c r="NP153" s="145"/>
      <c r="NQ153" s="145"/>
      <c r="NR153" s="145"/>
      <c r="NS153" s="145"/>
    </row>
    <row r="154" spans="1:383" s="16" customFormat="1" ht="15" customHeight="1" x14ac:dyDescent="0.2">
      <c r="A154" s="15">
        <v>54400</v>
      </c>
      <c r="B154" s="25">
        <v>544</v>
      </c>
      <c r="C154" s="26">
        <v>0</v>
      </c>
      <c r="D154" s="20" t="s">
        <v>502</v>
      </c>
      <c r="E154" s="14">
        <v>40310</v>
      </c>
      <c r="F154" s="18">
        <v>1.25178887001548</v>
      </c>
      <c r="G154" s="18">
        <v>1.2165111346567701</v>
      </c>
      <c r="H154" s="21">
        <v>91.5</v>
      </c>
      <c r="I154" s="21">
        <v>91.2</v>
      </c>
      <c r="J154" s="21">
        <v>96</v>
      </c>
      <c r="K154" s="18">
        <v>1</v>
      </c>
      <c r="L154" s="18">
        <v>90.5</v>
      </c>
      <c r="M154" s="18">
        <v>59.277500000000003</v>
      </c>
      <c r="N154" s="18">
        <v>6.0635000000000003</v>
      </c>
      <c r="O154" s="18">
        <v>2.3530000000000002</v>
      </c>
      <c r="P154" s="18">
        <v>0.82272727272727297</v>
      </c>
      <c r="Q154" s="19"/>
      <c r="R154" s="18">
        <v>92</v>
      </c>
      <c r="S154" s="18">
        <v>20</v>
      </c>
      <c r="T154" s="18">
        <v>33</v>
      </c>
      <c r="U154" s="18">
        <v>38</v>
      </c>
      <c r="V154" s="18">
        <v>42</v>
      </c>
      <c r="W154" s="18">
        <v>45</v>
      </c>
      <c r="X154" s="18"/>
      <c r="Y154" s="18">
        <v>0.30000000000000004</v>
      </c>
      <c r="Z154" s="18">
        <v>6.3999999999999995</v>
      </c>
      <c r="AA154" s="18">
        <v>0.79999999999999993</v>
      </c>
      <c r="AB154" s="18">
        <v>0</v>
      </c>
      <c r="AC154" s="18">
        <v>5.5</v>
      </c>
      <c r="AD154" s="18">
        <v>1.5999999999999999</v>
      </c>
      <c r="AE154" s="18">
        <v>7.2</v>
      </c>
      <c r="AF154" s="18">
        <v>130</v>
      </c>
      <c r="AG154" s="18">
        <v>11</v>
      </c>
      <c r="AH154" s="18">
        <v>11</v>
      </c>
      <c r="AI154" s="18">
        <v>39</v>
      </c>
      <c r="AJ154" s="18">
        <v>0</v>
      </c>
      <c r="AK154" s="18">
        <v>9.0909090909090939E-2</v>
      </c>
      <c r="AL154" s="18"/>
      <c r="AM154" s="18">
        <v>1.69</v>
      </c>
      <c r="AN154" s="18">
        <v>2.4700000000000002</v>
      </c>
      <c r="AO154" s="18">
        <v>1.78</v>
      </c>
      <c r="AP154" s="18">
        <v>3.39</v>
      </c>
      <c r="AQ154" s="18">
        <v>0.65</v>
      </c>
      <c r="AR154" s="18">
        <v>4.1399999999999997</v>
      </c>
      <c r="AS154" s="18">
        <v>16.43</v>
      </c>
      <c r="AT154" s="18">
        <v>2.09</v>
      </c>
      <c r="AU154" s="18">
        <v>6.15</v>
      </c>
      <c r="AV154" s="18">
        <v>5.21</v>
      </c>
      <c r="AW154" s="18">
        <v>4.7300000000000004</v>
      </c>
      <c r="AX154" s="18"/>
      <c r="AY154" s="18">
        <v>0.97</v>
      </c>
      <c r="AZ154" s="18">
        <v>1.03</v>
      </c>
      <c r="BA154" s="18">
        <v>1</v>
      </c>
      <c r="BB154" s="18">
        <v>1</v>
      </c>
      <c r="BC154" s="18">
        <v>0.96</v>
      </c>
      <c r="BD154" s="18">
        <v>0.98</v>
      </c>
      <c r="BE154" s="18">
        <v>1.01</v>
      </c>
      <c r="BF154" s="18">
        <v>0.99</v>
      </c>
      <c r="BG154" s="18">
        <v>1.02</v>
      </c>
      <c r="BH154" s="18">
        <v>0.99</v>
      </c>
      <c r="BI154" s="18">
        <v>0.98</v>
      </c>
      <c r="BJ154" s="19"/>
      <c r="BK154" s="18">
        <v>65.5</v>
      </c>
      <c r="BL154" s="18">
        <v>6.7</v>
      </c>
      <c r="BM154" s="18">
        <v>2.6</v>
      </c>
      <c r="BN154" s="18">
        <v>0.90909090909090939</v>
      </c>
      <c r="BO154" s="18"/>
      <c r="BP154" s="18">
        <v>120</v>
      </c>
      <c r="BQ154" s="18">
        <v>80.400000000000006</v>
      </c>
      <c r="BR154" s="18">
        <v>1.3831921215640663</v>
      </c>
      <c r="BS154" s="18">
        <v>1.3442111985157681</v>
      </c>
      <c r="BT154" s="19"/>
      <c r="BU154" s="18">
        <v>974</v>
      </c>
      <c r="BV154" s="18">
        <v>225.9957142857138</v>
      </c>
      <c r="BW154" s="18">
        <v>4.1742857142856682</v>
      </c>
      <c r="BX154" s="18" t="s">
        <v>217</v>
      </c>
      <c r="BY154" s="18" t="s">
        <v>217</v>
      </c>
      <c r="BZ154" s="18" t="s">
        <v>217</v>
      </c>
      <c r="CA154" s="18" t="s">
        <v>217</v>
      </c>
      <c r="CB154" s="19"/>
      <c r="CC154" s="19">
        <v>0.27150000000000007</v>
      </c>
      <c r="CD154" s="19">
        <v>5.7919999999999998</v>
      </c>
      <c r="CE154" s="19">
        <v>0.72399999999999998</v>
      </c>
      <c r="CF154" s="19">
        <v>0</v>
      </c>
      <c r="CG154" s="19">
        <v>4.9775</v>
      </c>
      <c r="CH154" s="19">
        <v>1.448</v>
      </c>
      <c r="CI154" s="19">
        <v>6.516</v>
      </c>
      <c r="CJ154" s="19"/>
      <c r="CK154" s="19">
        <v>117.65</v>
      </c>
      <c r="CL154" s="19">
        <v>9.9550000000000001</v>
      </c>
      <c r="CM154" s="19">
        <v>9.9550000000000001</v>
      </c>
      <c r="CN154" s="19">
        <v>35.295000000000002</v>
      </c>
      <c r="CO154" s="19">
        <v>0</v>
      </c>
      <c r="CP154" s="19">
        <v>8.2272727272727303E-2</v>
      </c>
      <c r="CQ154" s="19">
        <v>545.35299999999995</v>
      </c>
      <c r="CR154" s="19">
        <v>435.65893024217092</v>
      </c>
      <c r="CS154" s="19">
        <v>7.1417568434599081</v>
      </c>
      <c r="CT154" s="19">
        <v>11.083598844291071</v>
      </c>
      <c r="CU154" s="19">
        <v>7.7547289583106425</v>
      </c>
      <c r="CV154" s="19">
        <v>18.838327802601714</v>
      </c>
      <c r="CW154" s="19">
        <v>14.768837735209594</v>
      </c>
      <c r="CX154" s="19">
        <v>2.7185117247111465</v>
      </c>
      <c r="CY154" s="19">
        <v>17.67555411778536</v>
      </c>
      <c r="CZ154" s="19">
        <v>72.294549861176577</v>
      </c>
      <c r="DA154" s="19">
        <v>9.0142189256407601</v>
      </c>
      <c r="DB154" s="19">
        <v>27.328884694091382</v>
      </c>
      <c r="DC154" s="19">
        <v>22.470851962960936</v>
      </c>
      <c r="DD154" s="19">
        <v>49.799736657052321</v>
      </c>
      <c r="DE154" s="19">
        <v>20.19453405244559</v>
      </c>
      <c r="DF154" s="23">
        <v>0</v>
      </c>
      <c r="DG154" s="23">
        <v>0</v>
      </c>
      <c r="DH154" s="23">
        <v>0</v>
      </c>
      <c r="DI154" s="19">
        <v>0</v>
      </c>
      <c r="DJ154" s="19">
        <v>0</v>
      </c>
      <c r="DK154" s="19">
        <v>0</v>
      </c>
      <c r="DL154" s="19">
        <v>0</v>
      </c>
      <c r="DM154" s="19">
        <v>0</v>
      </c>
      <c r="DN154" s="19">
        <v>0</v>
      </c>
      <c r="DO154" s="19">
        <v>0</v>
      </c>
      <c r="DP154" s="19">
        <v>0</v>
      </c>
      <c r="DQ154" s="19">
        <v>0</v>
      </c>
      <c r="DR154" s="19">
        <v>0</v>
      </c>
      <c r="DS154" s="19">
        <v>0</v>
      </c>
      <c r="DT154" s="19">
        <v>0</v>
      </c>
      <c r="DU154" s="19">
        <v>0</v>
      </c>
      <c r="DV154" s="19">
        <v>0</v>
      </c>
      <c r="DW154" s="17" t="s">
        <v>503</v>
      </c>
      <c r="DX154" s="22" t="s">
        <v>218</v>
      </c>
      <c r="DY154" s="22" t="s">
        <v>218</v>
      </c>
      <c r="DZ154" s="22">
        <v>4</v>
      </c>
      <c r="EA154" s="22">
        <v>4</v>
      </c>
      <c r="EB154" s="22" t="s">
        <v>218</v>
      </c>
      <c r="EC154" s="22">
        <v>4</v>
      </c>
      <c r="ED154" s="22">
        <v>4</v>
      </c>
      <c r="EE154" s="22" t="s">
        <v>218</v>
      </c>
      <c r="EF154" s="22">
        <v>4</v>
      </c>
      <c r="EG154" s="22" t="s">
        <v>218</v>
      </c>
      <c r="EH154" s="22" t="s">
        <v>218</v>
      </c>
      <c r="EI154" s="22" t="s">
        <v>218</v>
      </c>
      <c r="EJ154" s="22" t="s">
        <v>218</v>
      </c>
      <c r="EK154" s="22" t="s">
        <v>218</v>
      </c>
      <c r="EL154" s="22" t="s">
        <v>218</v>
      </c>
      <c r="EM154" s="22" t="s">
        <v>218</v>
      </c>
      <c r="EN154" s="22" t="s">
        <v>218</v>
      </c>
      <c r="EO154" s="22" t="s">
        <v>218</v>
      </c>
      <c r="EP154" s="22" t="s">
        <v>218</v>
      </c>
      <c r="EQ154" s="22" t="s">
        <v>218</v>
      </c>
      <c r="ER154" s="22" t="s">
        <v>218</v>
      </c>
      <c r="ES154" s="22">
        <v>4</v>
      </c>
      <c r="ET154" s="22">
        <v>4</v>
      </c>
      <c r="EU154" s="22">
        <v>4</v>
      </c>
      <c r="EV154" s="22" t="s">
        <v>218</v>
      </c>
      <c r="EW154" s="22">
        <v>4</v>
      </c>
      <c r="EX154" s="22">
        <v>4</v>
      </c>
      <c r="EY154" s="22">
        <v>4</v>
      </c>
      <c r="EZ154" s="22">
        <v>4</v>
      </c>
      <c r="FA154" s="22">
        <v>4</v>
      </c>
      <c r="FB154" s="22">
        <v>4</v>
      </c>
      <c r="FC154" s="22">
        <v>4</v>
      </c>
      <c r="FD154" s="22" t="s">
        <v>218</v>
      </c>
      <c r="FE154" s="22" t="s">
        <v>218</v>
      </c>
      <c r="FF154" s="22" t="s">
        <v>218</v>
      </c>
      <c r="FG154" s="22" t="s">
        <v>218</v>
      </c>
      <c r="FH154" s="22">
        <v>1.5</v>
      </c>
      <c r="FI154" s="22">
        <v>1.1000000000000001</v>
      </c>
      <c r="FJ154" s="22" t="s">
        <v>218</v>
      </c>
      <c r="FK154" s="22">
        <v>2.5</v>
      </c>
      <c r="FL154" s="22">
        <v>2.4</v>
      </c>
      <c r="FM154" s="22" t="s">
        <v>218</v>
      </c>
      <c r="FN154" s="22">
        <v>3.4</v>
      </c>
      <c r="FO154" s="22" t="s">
        <v>218</v>
      </c>
      <c r="FP154" s="22" t="s">
        <v>218</v>
      </c>
      <c r="FQ154" s="22" t="s">
        <v>218</v>
      </c>
      <c r="FR154" s="22" t="s">
        <v>218</v>
      </c>
      <c r="FS154" s="22" t="s">
        <v>218</v>
      </c>
      <c r="FT154" s="22" t="s">
        <v>218</v>
      </c>
      <c r="FU154" s="22" t="s">
        <v>218</v>
      </c>
      <c r="FV154" s="22" t="s">
        <v>218</v>
      </c>
      <c r="FW154" s="22" t="s">
        <v>218</v>
      </c>
      <c r="FX154" s="22" t="s">
        <v>218</v>
      </c>
      <c r="FY154" s="22" t="s">
        <v>218</v>
      </c>
      <c r="FZ154" s="22" t="s">
        <v>218</v>
      </c>
      <c r="GA154" s="22">
        <v>0.1</v>
      </c>
      <c r="GB154" s="22">
        <v>1.52</v>
      </c>
      <c r="GC154" s="22">
        <v>0.5</v>
      </c>
      <c r="GD154" s="22" t="s">
        <v>218</v>
      </c>
      <c r="GE154" s="22">
        <v>3.78</v>
      </c>
      <c r="GF154" s="22">
        <v>1.1100000000000001</v>
      </c>
      <c r="GG154" s="22">
        <v>4.33</v>
      </c>
      <c r="GH154" s="22">
        <v>72.67</v>
      </c>
      <c r="GI154" s="22">
        <v>5.75</v>
      </c>
      <c r="GJ154" s="22">
        <v>4.32</v>
      </c>
      <c r="GK154" s="22">
        <v>21.51</v>
      </c>
      <c r="GL154" s="22" t="s">
        <v>218</v>
      </c>
      <c r="GM154" s="22" t="s">
        <v>218</v>
      </c>
      <c r="GN154" s="22" t="s">
        <v>218</v>
      </c>
      <c r="GO154" s="22" t="s">
        <v>218</v>
      </c>
      <c r="GP154" s="22">
        <v>2005</v>
      </c>
      <c r="GQ154" s="22">
        <v>2005</v>
      </c>
      <c r="GR154" s="22" t="s">
        <v>218</v>
      </c>
      <c r="GS154" s="22">
        <v>2005</v>
      </c>
      <c r="GT154" s="22">
        <v>2005</v>
      </c>
      <c r="GU154" s="22" t="s">
        <v>218</v>
      </c>
      <c r="GV154" s="22">
        <v>2005</v>
      </c>
      <c r="GW154" s="22" t="s">
        <v>218</v>
      </c>
      <c r="GX154" s="22" t="s">
        <v>218</v>
      </c>
      <c r="GY154" s="22" t="s">
        <v>218</v>
      </c>
      <c r="GZ154" s="22" t="s">
        <v>218</v>
      </c>
      <c r="HA154" s="22" t="s">
        <v>218</v>
      </c>
      <c r="HB154" s="22" t="s">
        <v>218</v>
      </c>
      <c r="HC154" s="22" t="s">
        <v>218</v>
      </c>
      <c r="HD154" s="22" t="s">
        <v>218</v>
      </c>
      <c r="HE154" s="22" t="s">
        <v>218</v>
      </c>
      <c r="HF154" s="22" t="s">
        <v>218</v>
      </c>
      <c r="HG154" s="22" t="s">
        <v>218</v>
      </c>
      <c r="HH154" s="22" t="s">
        <v>218</v>
      </c>
      <c r="HI154" s="22">
        <v>2005</v>
      </c>
      <c r="HJ154" s="22">
        <v>2005</v>
      </c>
      <c r="HK154" s="22">
        <v>2005</v>
      </c>
      <c r="HL154" s="22" t="s">
        <v>218</v>
      </c>
      <c r="HM154" s="622">
        <f>'background data'!$G$15</f>
        <v>0.221</v>
      </c>
      <c r="HN154" s="622">
        <f>'background data'!$H$15</f>
        <v>6.7000000000000004E-2</v>
      </c>
      <c r="HO154" s="622">
        <f>'background data'!$J$15</f>
        <v>0.20100000000000001</v>
      </c>
      <c r="HP154" s="622">
        <f>'background data'!$L$15</f>
        <v>1.4999999999999999E-2</v>
      </c>
      <c r="HQ154" s="622">
        <f>'background data'!$M$15</f>
        <v>1.74</v>
      </c>
      <c r="HR154" s="622">
        <f>'background data'!$N$15</f>
        <v>2.3999999999999998E-3</v>
      </c>
      <c r="HS154" s="622">
        <f>'background data'!$O$15</f>
        <v>1.41</v>
      </c>
      <c r="HT154" s="145" t="s">
        <v>1798</v>
      </c>
      <c r="HU154" s="145" t="s">
        <v>1809</v>
      </c>
      <c r="HV154" s="22" t="s">
        <v>1962</v>
      </c>
      <c r="HW154" s="22" t="s">
        <v>504</v>
      </c>
      <c r="HX154" s="22" t="s">
        <v>505</v>
      </c>
      <c r="HY154" s="22" t="s">
        <v>506</v>
      </c>
      <c r="HZ154" s="19"/>
      <c r="IA154" s="19"/>
      <c r="IB154" s="622">
        <f>'background data'!$G$15</f>
        <v>0.221</v>
      </c>
      <c r="IC154" s="622">
        <f>'background data'!$H$15</f>
        <v>6.7000000000000004E-2</v>
      </c>
      <c r="ID154" s="622">
        <f>'background data'!$J$15</f>
        <v>0.20100000000000001</v>
      </c>
      <c r="IE154" s="622">
        <f>'background data'!$L$15</f>
        <v>1.4999999999999999E-2</v>
      </c>
      <c r="IF154" s="622">
        <f>'background data'!$M$15</f>
        <v>1.74</v>
      </c>
      <c r="IG154" s="622">
        <f>'background data'!$N$15</f>
        <v>2.3999999999999998E-3</v>
      </c>
      <c r="IH154" s="622">
        <f>'background data'!$O$15</f>
        <v>1.41</v>
      </c>
      <c r="II154" s="145" t="s">
        <v>1798</v>
      </c>
      <c r="IJ154" s="145"/>
      <c r="IK154" s="145"/>
      <c r="IL154" s="145"/>
      <c r="IM154" s="145"/>
      <c r="IN154" s="145"/>
      <c r="IO154" s="145"/>
      <c r="IP154" s="145"/>
      <c r="IQ154" s="145"/>
      <c r="IR154" s="145"/>
      <c r="IS154" s="145"/>
      <c r="IT154" s="145"/>
      <c r="IU154" s="145"/>
      <c r="IV154" s="145"/>
      <c r="IW154" s="145"/>
      <c r="IX154" s="145"/>
      <c r="IY154" s="145"/>
      <c r="IZ154" s="145"/>
      <c r="JA154" s="145"/>
      <c r="JB154" s="145"/>
      <c r="JC154" s="145"/>
      <c r="JD154" s="145"/>
      <c r="JE154" s="145"/>
      <c r="JF154" s="145"/>
      <c r="JG154" s="145"/>
      <c r="JH154" s="145"/>
      <c r="JI154" s="145"/>
      <c r="JJ154" s="145"/>
      <c r="JK154" s="145"/>
      <c r="JL154" s="145"/>
      <c r="JM154" s="145"/>
      <c r="JN154" s="145"/>
      <c r="JO154" s="145"/>
      <c r="JP154" s="145"/>
      <c r="JQ154" s="145"/>
      <c r="JR154" s="145"/>
      <c r="JS154" s="145"/>
      <c r="JT154" s="145"/>
      <c r="JU154" s="145"/>
      <c r="JV154" s="145"/>
      <c r="JW154" s="145"/>
      <c r="JX154" s="145"/>
      <c r="JY154" s="145"/>
      <c r="JZ154" s="145"/>
      <c r="KA154" s="145"/>
      <c r="KB154" s="145"/>
      <c r="KC154" s="145"/>
      <c r="KD154" s="145"/>
      <c r="KE154" s="145"/>
      <c r="KF154" s="145"/>
      <c r="KG154" s="145"/>
      <c r="KH154" s="145"/>
      <c r="KI154" s="145"/>
      <c r="KJ154" s="145"/>
      <c r="KK154" s="145"/>
      <c r="KL154" s="145"/>
      <c r="KM154" s="145"/>
      <c r="KN154" s="145"/>
      <c r="KO154" s="145"/>
      <c r="KP154" s="145"/>
      <c r="KQ154" s="145"/>
      <c r="KR154" s="145"/>
      <c r="KS154" s="145"/>
      <c r="KT154" s="145"/>
      <c r="KU154" s="145"/>
      <c r="KV154" s="145"/>
      <c r="KW154" s="145"/>
      <c r="KX154" s="145"/>
      <c r="KY154" s="145"/>
      <c r="KZ154" s="145"/>
      <c r="LA154" s="145"/>
      <c r="LB154" s="145"/>
      <c r="LC154" s="145"/>
      <c r="LD154" s="145"/>
      <c r="LE154" s="145"/>
      <c r="LF154" s="145"/>
      <c r="LG154" s="145"/>
      <c r="LH154" s="145"/>
      <c r="LI154" s="145"/>
      <c r="LJ154" s="145"/>
      <c r="LK154" s="145"/>
      <c r="LL154" s="145"/>
      <c r="LM154" s="145"/>
      <c r="LN154" s="145"/>
      <c r="LO154" s="145"/>
      <c r="LP154" s="145"/>
      <c r="LQ154" s="145"/>
      <c r="LR154" s="145"/>
      <c r="LS154" s="145"/>
      <c r="LT154" s="145"/>
      <c r="LU154" s="145"/>
      <c r="LV154" s="145"/>
      <c r="LW154" s="145"/>
      <c r="LX154" s="145"/>
      <c r="LY154" s="145"/>
      <c r="LZ154" s="145"/>
      <c r="MA154" s="145"/>
      <c r="MB154" s="145"/>
      <c r="MC154" s="145"/>
      <c r="MD154" s="145"/>
      <c r="ME154" s="145"/>
      <c r="MF154" s="145"/>
      <c r="MG154" s="145"/>
      <c r="MH154" s="145"/>
      <c r="MI154" s="145"/>
      <c r="MJ154" s="145"/>
      <c r="MK154" s="145"/>
      <c r="ML154" s="145"/>
      <c r="MM154" s="145"/>
      <c r="MN154" s="145"/>
      <c r="MO154" s="145"/>
      <c r="MP154" s="145"/>
      <c r="MQ154" s="145"/>
      <c r="MR154" s="145"/>
      <c r="MS154" s="145"/>
      <c r="MT154" s="145"/>
      <c r="MU154" s="145"/>
      <c r="MV154" s="145"/>
      <c r="MW154" s="145"/>
      <c r="MX154" s="145"/>
      <c r="MY154" s="145"/>
      <c r="MZ154" s="145"/>
      <c r="NA154" s="145"/>
      <c r="NB154" s="145"/>
      <c r="NC154" s="145"/>
      <c r="ND154" s="145"/>
      <c r="NE154" s="145"/>
      <c r="NF154" s="145"/>
      <c r="NG154" s="145"/>
      <c r="NH154" s="145"/>
      <c r="NI154" s="145"/>
      <c r="NJ154" s="145"/>
      <c r="NK154" s="145"/>
      <c r="NL154" s="145"/>
      <c r="NM154" s="145"/>
      <c r="NN154" s="145"/>
      <c r="NO154" s="145"/>
      <c r="NP154" s="145"/>
      <c r="NQ154" s="145"/>
      <c r="NR154" s="145"/>
      <c r="NS154" s="145"/>
    </row>
    <row r="155" spans="1:383" s="16" customFormat="1" ht="15" customHeight="1" x14ac:dyDescent="0.2">
      <c r="A155" s="15">
        <v>54300</v>
      </c>
      <c r="B155" s="25">
        <v>543</v>
      </c>
      <c r="C155" s="26">
        <v>0</v>
      </c>
      <c r="D155" s="20" t="s">
        <v>507</v>
      </c>
      <c r="E155" s="14">
        <v>40310</v>
      </c>
      <c r="F155" s="18">
        <v>0.71427460675571097</v>
      </c>
      <c r="G155" s="18">
        <v>0.76696209252319103</v>
      </c>
      <c r="H155" s="21">
        <v>67</v>
      </c>
      <c r="I155" s="21">
        <v>58.8</v>
      </c>
      <c r="J155" s="21">
        <v>89</v>
      </c>
      <c r="K155" s="18">
        <v>1</v>
      </c>
      <c r="L155" s="18">
        <v>88.7</v>
      </c>
      <c r="M155" s="18">
        <v>20.401</v>
      </c>
      <c r="N155" s="18">
        <v>3.9914999999999998</v>
      </c>
      <c r="O155" s="18">
        <v>6.2089999999999996</v>
      </c>
      <c r="P155" s="18">
        <v>8.1801109140000001</v>
      </c>
      <c r="Q155" s="19"/>
      <c r="R155" s="18">
        <v>69</v>
      </c>
      <c r="S155" s="18">
        <v>20</v>
      </c>
      <c r="T155" s="18">
        <v>33</v>
      </c>
      <c r="U155" s="18">
        <v>38</v>
      </c>
      <c r="V155" s="18">
        <v>42</v>
      </c>
      <c r="W155" s="18">
        <v>45</v>
      </c>
      <c r="X155" s="18"/>
      <c r="Y155" s="18">
        <v>0.7</v>
      </c>
      <c r="Z155" s="18">
        <v>10.4</v>
      </c>
      <c r="AA155" s="18">
        <v>2.4</v>
      </c>
      <c r="AB155" s="18">
        <v>0</v>
      </c>
      <c r="AC155" s="18">
        <v>13.999999999999998</v>
      </c>
      <c r="AD155" s="18">
        <v>4.6999999999999993</v>
      </c>
      <c r="AE155" s="18">
        <v>5.2</v>
      </c>
      <c r="AF155" s="18">
        <v>169.99999999999997</v>
      </c>
      <c r="AG155" s="18">
        <v>5.3999999999999995</v>
      </c>
      <c r="AH155" s="18">
        <v>23</v>
      </c>
      <c r="AI155" s="18">
        <v>81.999999999999986</v>
      </c>
      <c r="AJ155" s="18">
        <v>0</v>
      </c>
      <c r="AK155" s="18">
        <v>0.15</v>
      </c>
      <c r="AL155" s="18"/>
      <c r="AM155" s="18">
        <v>2.94</v>
      </c>
      <c r="AN155" s="18">
        <v>1.68</v>
      </c>
      <c r="AO155" s="18">
        <v>2.1</v>
      </c>
      <c r="AP155" s="18">
        <v>3.48</v>
      </c>
      <c r="AQ155" s="18">
        <v>0.58000000000000096</v>
      </c>
      <c r="AR155" s="18">
        <v>3.1</v>
      </c>
      <c r="AS155" s="18">
        <v>8.99</v>
      </c>
      <c r="AT155" s="18">
        <v>2.9</v>
      </c>
      <c r="AU155" s="18">
        <v>3.6899999999999902</v>
      </c>
      <c r="AV155" s="18">
        <v>2.93</v>
      </c>
      <c r="AW155" s="18">
        <v>4.6100000000000003</v>
      </c>
      <c r="AX155" s="18"/>
      <c r="AY155" s="18">
        <v>0.96</v>
      </c>
      <c r="AZ155" s="18">
        <v>1.2</v>
      </c>
      <c r="BA155" s="18">
        <v>0.97</v>
      </c>
      <c r="BB155" s="18">
        <v>1.03</v>
      </c>
      <c r="BC155" s="18">
        <v>0.96</v>
      </c>
      <c r="BD155" s="18">
        <v>1.1599999999999999</v>
      </c>
      <c r="BE155" s="18">
        <v>1.23</v>
      </c>
      <c r="BF155" s="18">
        <v>1.0900000000000001</v>
      </c>
      <c r="BG155" s="18">
        <v>1.22</v>
      </c>
      <c r="BH155" s="18">
        <v>1.2</v>
      </c>
      <c r="BI155" s="18">
        <v>1.1200000000000001</v>
      </c>
      <c r="BJ155" s="19"/>
      <c r="BK155" s="18">
        <v>23</v>
      </c>
      <c r="BL155" s="18">
        <v>4.5</v>
      </c>
      <c r="BM155" s="18">
        <v>6.9999999999999991</v>
      </c>
      <c r="BN155" s="18">
        <v>9.2222220000000004</v>
      </c>
      <c r="BO155" s="18"/>
      <c r="BP155" s="18">
        <v>120</v>
      </c>
      <c r="BQ155" s="18">
        <v>54</v>
      </c>
      <c r="BR155" s="18">
        <v>0.80527013162988836</v>
      </c>
      <c r="BS155" s="18">
        <v>0.86466977736549155</v>
      </c>
      <c r="BT155" s="19"/>
      <c r="BU155" s="18">
        <v>929.99999999999989</v>
      </c>
      <c r="BV155" s="18">
        <v>261.2071428571432</v>
      </c>
      <c r="BW155" s="18">
        <v>108.94285714285705</v>
      </c>
      <c r="BX155" s="18" t="s">
        <v>217</v>
      </c>
      <c r="BY155" s="18" t="s">
        <v>217</v>
      </c>
      <c r="BZ155" s="18" t="s">
        <v>217</v>
      </c>
      <c r="CA155" s="18" t="s">
        <v>217</v>
      </c>
      <c r="CB155" s="19"/>
      <c r="CC155" s="19">
        <v>0.62090000000000001</v>
      </c>
      <c r="CD155" s="19">
        <v>9.2248000000000001</v>
      </c>
      <c r="CE155" s="19">
        <v>2.1288</v>
      </c>
      <c r="CF155" s="19">
        <v>0</v>
      </c>
      <c r="CG155" s="19">
        <v>12.417999999999999</v>
      </c>
      <c r="CH155" s="19">
        <v>4.1688999999999998</v>
      </c>
      <c r="CI155" s="19">
        <v>4.6124000000000001</v>
      </c>
      <c r="CJ155" s="19"/>
      <c r="CK155" s="19">
        <v>150.78999999999996</v>
      </c>
      <c r="CL155" s="19">
        <v>4.7897999999999996</v>
      </c>
      <c r="CM155" s="19">
        <v>20.401</v>
      </c>
      <c r="CN155" s="19">
        <v>72.733999999999995</v>
      </c>
      <c r="CO155" s="19">
        <v>0</v>
      </c>
      <c r="CP155" s="19">
        <v>0.13305</v>
      </c>
      <c r="CQ155" s="19">
        <v>140.76689999999999</v>
      </c>
      <c r="CR155" s="19">
        <v>197.0767246498848</v>
      </c>
      <c r="CS155" s="19">
        <v>5.5622934765183487</v>
      </c>
      <c r="CT155" s="19">
        <v>3.9730667689416777</v>
      </c>
      <c r="CU155" s="19">
        <v>4.014452881118153</v>
      </c>
      <c r="CV155" s="19">
        <v>7.9875196500598316</v>
      </c>
      <c r="CW155" s="19">
        <v>7.0640181183504707</v>
      </c>
      <c r="CX155" s="19">
        <v>1.0973232028505613</v>
      </c>
      <c r="CY155" s="19">
        <v>7.0868790184098573</v>
      </c>
      <c r="CZ155" s="19">
        <v>21.792152981610311</v>
      </c>
      <c r="DA155" s="19">
        <v>6.2295952661828586</v>
      </c>
      <c r="DB155" s="19">
        <v>8.8719999902884865</v>
      </c>
      <c r="DC155" s="19">
        <v>6.9292176386899502</v>
      </c>
      <c r="DD155" s="19">
        <v>15.801217628978463</v>
      </c>
      <c r="DE155" s="19">
        <v>10.175465447122852</v>
      </c>
      <c r="DF155" s="23">
        <v>0</v>
      </c>
      <c r="DG155" s="23">
        <v>0</v>
      </c>
      <c r="DH155" s="23">
        <v>0</v>
      </c>
      <c r="DI155" s="19">
        <v>0</v>
      </c>
      <c r="DJ155" s="19">
        <v>0</v>
      </c>
      <c r="DK155" s="19">
        <v>0</v>
      </c>
      <c r="DL155" s="19">
        <v>0</v>
      </c>
      <c r="DM155" s="19">
        <v>0</v>
      </c>
      <c r="DN155" s="19">
        <v>0</v>
      </c>
      <c r="DO155" s="19">
        <v>0</v>
      </c>
      <c r="DP155" s="19">
        <v>0</v>
      </c>
      <c r="DQ155" s="19">
        <v>0</v>
      </c>
      <c r="DR155" s="19">
        <v>0</v>
      </c>
      <c r="DS155" s="19">
        <v>0</v>
      </c>
      <c r="DT155" s="19">
        <v>0</v>
      </c>
      <c r="DU155" s="19">
        <v>0</v>
      </c>
      <c r="DV155" s="19">
        <v>0</v>
      </c>
      <c r="DW155" s="17" t="s">
        <v>508</v>
      </c>
      <c r="DX155" s="22" t="s">
        <v>218</v>
      </c>
      <c r="DY155" s="22" t="s">
        <v>218</v>
      </c>
      <c r="DZ155" s="22">
        <v>3</v>
      </c>
      <c r="EA155" s="22">
        <v>3</v>
      </c>
      <c r="EB155" s="22" t="s">
        <v>218</v>
      </c>
      <c r="EC155" s="22">
        <v>3</v>
      </c>
      <c r="ED155" s="22">
        <v>3</v>
      </c>
      <c r="EE155" s="22" t="s">
        <v>218</v>
      </c>
      <c r="EF155" s="22">
        <v>3</v>
      </c>
      <c r="EG155" s="22" t="s">
        <v>218</v>
      </c>
      <c r="EH155" s="22" t="s">
        <v>218</v>
      </c>
      <c r="EI155" s="22" t="s">
        <v>218</v>
      </c>
      <c r="EJ155" s="22" t="s">
        <v>218</v>
      </c>
      <c r="EK155" s="22" t="s">
        <v>218</v>
      </c>
      <c r="EL155" s="22" t="s">
        <v>218</v>
      </c>
      <c r="EM155" s="22" t="s">
        <v>218</v>
      </c>
      <c r="EN155" s="22" t="s">
        <v>218</v>
      </c>
      <c r="EO155" s="22" t="s">
        <v>218</v>
      </c>
      <c r="EP155" s="22" t="s">
        <v>218</v>
      </c>
      <c r="EQ155" s="22" t="s">
        <v>218</v>
      </c>
      <c r="ER155" s="22" t="s">
        <v>218</v>
      </c>
      <c r="ES155" s="22">
        <v>3</v>
      </c>
      <c r="ET155" s="22">
        <v>3</v>
      </c>
      <c r="EU155" s="22">
        <v>3</v>
      </c>
      <c r="EV155" s="22" t="s">
        <v>218</v>
      </c>
      <c r="EW155" s="22">
        <v>3</v>
      </c>
      <c r="EX155" s="22">
        <v>3</v>
      </c>
      <c r="EY155" s="22">
        <v>3</v>
      </c>
      <c r="EZ155" s="22">
        <v>3</v>
      </c>
      <c r="FA155" s="22">
        <v>3</v>
      </c>
      <c r="FB155" s="22">
        <v>3</v>
      </c>
      <c r="FC155" s="22">
        <v>3</v>
      </c>
      <c r="FD155" s="22" t="s">
        <v>218</v>
      </c>
      <c r="FE155" s="22" t="s">
        <v>218</v>
      </c>
      <c r="FF155" s="22" t="s">
        <v>218</v>
      </c>
      <c r="FG155" s="22" t="s">
        <v>218</v>
      </c>
      <c r="FH155" s="22">
        <v>0.8</v>
      </c>
      <c r="FI155" s="22">
        <v>0.7</v>
      </c>
      <c r="FJ155" s="22" t="s">
        <v>218</v>
      </c>
      <c r="FK155" s="22">
        <v>5.2</v>
      </c>
      <c r="FL155" s="22">
        <v>3.7</v>
      </c>
      <c r="FM155" s="22" t="s">
        <v>218</v>
      </c>
      <c r="FN155" s="22">
        <v>7.8</v>
      </c>
      <c r="FO155" s="22" t="s">
        <v>218</v>
      </c>
      <c r="FP155" s="22" t="s">
        <v>218</v>
      </c>
      <c r="FQ155" s="22" t="s">
        <v>218</v>
      </c>
      <c r="FR155" s="22" t="s">
        <v>218</v>
      </c>
      <c r="FS155" s="22" t="s">
        <v>218</v>
      </c>
      <c r="FT155" s="22" t="s">
        <v>218</v>
      </c>
      <c r="FU155" s="22" t="s">
        <v>218</v>
      </c>
      <c r="FV155" s="22" t="s">
        <v>218</v>
      </c>
      <c r="FW155" s="22" t="s">
        <v>218</v>
      </c>
      <c r="FX155" s="22" t="s">
        <v>218</v>
      </c>
      <c r="FY155" s="22" t="s">
        <v>218</v>
      </c>
      <c r="FZ155" s="22" t="s">
        <v>218</v>
      </c>
      <c r="GA155" s="22">
        <v>0.44</v>
      </c>
      <c r="GB155" s="22">
        <v>0.44</v>
      </c>
      <c r="GC155" s="22">
        <v>1.6</v>
      </c>
      <c r="GD155" s="22" t="s">
        <v>218</v>
      </c>
      <c r="GE155" s="22">
        <v>3.11</v>
      </c>
      <c r="GF155" s="22">
        <v>0.33</v>
      </c>
      <c r="GG155" s="22">
        <v>1.8</v>
      </c>
      <c r="GH155" s="22">
        <v>82.1</v>
      </c>
      <c r="GI155" s="22">
        <v>1.83</v>
      </c>
      <c r="GJ155" s="22">
        <v>3.27</v>
      </c>
      <c r="GK155" s="22">
        <v>11.84</v>
      </c>
      <c r="GL155" s="22" t="s">
        <v>218</v>
      </c>
      <c r="GM155" s="22" t="s">
        <v>218</v>
      </c>
      <c r="GN155" s="22" t="s">
        <v>218</v>
      </c>
      <c r="GO155" s="22" t="s">
        <v>218</v>
      </c>
      <c r="GP155" s="22">
        <v>2005</v>
      </c>
      <c r="GQ155" s="22">
        <v>2005</v>
      </c>
      <c r="GR155" s="22" t="s">
        <v>218</v>
      </c>
      <c r="GS155" s="22">
        <v>2005</v>
      </c>
      <c r="GT155" s="22">
        <v>2005</v>
      </c>
      <c r="GU155" s="22" t="s">
        <v>218</v>
      </c>
      <c r="GV155" s="22">
        <v>2005</v>
      </c>
      <c r="GW155" s="22" t="s">
        <v>218</v>
      </c>
      <c r="GX155" s="22" t="s">
        <v>218</v>
      </c>
      <c r="GY155" s="22" t="s">
        <v>218</v>
      </c>
      <c r="GZ155" s="22" t="s">
        <v>218</v>
      </c>
      <c r="HA155" s="22" t="s">
        <v>218</v>
      </c>
      <c r="HB155" s="22" t="s">
        <v>218</v>
      </c>
      <c r="HC155" s="22" t="s">
        <v>218</v>
      </c>
      <c r="HD155" s="22" t="s">
        <v>218</v>
      </c>
      <c r="HE155" s="22" t="s">
        <v>218</v>
      </c>
      <c r="HF155" s="22" t="s">
        <v>218</v>
      </c>
      <c r="HG155" s="22" t="s">
        <v>218</v>
      </c>
      <c r="HH155" s="22" t="s">
        <v>218</v>
      </c>
      <c r="HI155" s="22">
        <v>2005</v>
      </c>
      <c r="HJ155" s="22">
        <v>2005</v>
      </c>
      <c r="HK155" s="22">
        <v>2005</v>
      </c>
      <c r="HL155" s="22" t="s">
        <v>218</v>
      </c>
      <c r="HM155" s="622">
        <f>'background data'!$G$15</f>
        <v>0.221</v>
      </c>
      <c r="HN155" s="622">
        <f>'background data'!$H$15</f>
        <v>6.7000000000000004E-2</v>
      </c>
      <c r="HO155" s="622">
        <f>'background data'!$J$15</f>
        <v>0.20100000000000001</v>
      </c>
      <c r="HP155" s="622">
        <f>'background data'!$L$15</f>
        <v>1.4999999999999999E-2</v>
      </c>
      <c r="HQ155" s="622">
        <f>'background data'!$M$15</f>
        <v>1.74</v>
      </c>
      <c r="HR155" s="622">
        <f>'background data'!$N$15</f>
        <v>2.3999999999999998E-3</v>
      </c>
      <c r="HS155" s="622">
        <f>'background data'!$O$15</f>
        <v>1.41</v>
      </c>
      <c r="HT155" s="145" t="s">
        <v>1798</v>
      </c>
      <c r="HU155" s="145" t="s">
        <v>1809</v>
      </c>
      <c r="HV155" s="22" t="s">
        <v>1963</v>
      </c>
      <c r="HW155" s="22" t="s">
        <v>504</v>
      </c>
      <c r="HX155" s="22" t="s">
        <v>505</v>
      </c>
      <c r="HY155" s="22" t="s">
        <v>506</v>
      </c>
      <c r="HZ155" s="19"/>
      <c r="IA155" s="19"/>
      <c r="IB155" s="622">
        <f>'background data'!$G$15</f>
        <v>0.221</v>
      </c>
      <c r="IC155" s="622">
        <f>'background data'!$H$15</f>
        <v>6.7000000000000004E-2</v>
      </c>
      <c r="ID155" s="622">
        <f>'background data'!$J$15</f>
        <v>0.20100000000000001</v>
      </c>
      <c r="IE155" s="622">
        <f>'background data'!$L$15</f>
        <v>1.4999999999999999E-2</v>
      </c>
      <c r="IF155" s="622">
        <f>'background data'!$M$15</f>
        <v>1.74</v>
      </c>
      <c r="IG155" s="622">
        <f>'background data'!$N$15</f>
        <v>2.3999999999999998E-3</v>
      </c>
      <c r="IH155" s="622">
        <f>'background data'!$O$15</f>
        <v>1.41</v>
      </c>
      <c r="II155" s="145" t="s">
        <v>1798</v>
      </c>
      <c r="IJ155" s="145"/>
      <c r="IK155" s="145"/>
      <c r="IL155" s="145"/>
      <c r="IM155" s="145"/>
      <c r="IN155" s="145"/>
      <c r="IO155" s="145"/>
      <c r="IP155" s="145"/>
      <c r="IQ155" s="145"/>
      <c r="IR155" s="145"/>
      <c r="IS155" s="145"/>
      <c r="IT155" s="145"/>
      <c r="IU155" s="145"/>
      <c r="IV155" s="145"/>
      <c r="IW155" s="145"/>
      <c r="IX155" s="145"/>
      <c r="IY155" s="145"/>
      <c r="IZ155" s="145"/>
      <c r="JA155" s="145"/>
      <c r="JB155" s="145"/>
      <c r="JC155" s="145"/>
      <c r="JD155" s="145"/>
      <c r="JE155" s="145"/>
      <c r="JF155" s="145"/>
      <c r="JG155" s="145"/>
      <c r="JH155" s="145"/>
      <c r="JI155" s="145"/>
      <c r="JJ155" s="145"/>
      <c r="JK155" s="145"/>
      <c r="JL155" s="145"/>
      <c r="JM155" s="145"/>
      <c r="JN155" s="145"/>
      <c r="JO155" s="145"/>
      <c r="JP155" s="145"/>
      <c r="JQ155" s="145"/>
      <c r="JR155" s="145"/>
      <c r="JS155" s="145"/>
      <c r="JT155" s="145"/>
      <c r="JU155" s="145"/>
      <c r="JV155" s="145"/>
      <c r="JW155" s="145"/>
      <c r="JX155" s="145"/>
      <c r="JY155" s="145"/>
      <c r="JZ155" s="145"/>
      <c r="KA155" s="145"/>
      <c r="KB155" s="145"/>
      <c r="KC155" s="145"/>
      <c r="KD155" s="145"/>
      <c r="KE155" s="145"/>
      <c r="KF155" s="145"/>
      <c r="KG155" s="145"/>
      <c r="KH155" s="145"/>
      <c r="KI155" s="145"/>
      <c r="KJ155" s="145"/>
      <c r="KK155" s="145"/>
      <c r="KL155" s="145"/>
      <c r="KM155" s="145"/>
      <c r="KN155" s="145"/>
      <c r="KO155" s="145"/>
      <c r="KP155" s="145"/>
      <c r="KQ155" s="145"/>
      <c r="KR155" s="145"/>
      <c r="KS155" s="145"/>
      <c r="KT155" s="145"/>
      <c r="KU155" s="145"/>
      <c r="KV155" s="145"/>
      <c r="KW155" s="145"/>
      <c r="KX155" s="145"/>
      <c r="KY155" s="145"/>
      <c r="KZ155" s="145"/>
      <c r="LA155" s="145"/>
      <c r="LB155" s="145"/>
      <c r="LC155" s="145"/>
      <c r="LD155" s="145"/>
      <c r="LE155" s="145"/>
      <c r="LF155" s="145"/>
      <c r="LG155" s="145"/>
      <c r="LH155" s="145"/>
      <c r="LI155" s="145"/>
      <c r="LJ155" s="145"/>
      <c r="LK155" s="145"/>
      <c r="LL155" s="145"/>
      <c r="LM155" s="145"/>
      <c r="LN155" s="145"/>
      <c r="LO155" s="145"/>
      <c r="LP155" s="145"/>
      <c r="LQ155" s="145"/>
      <c r="LR155" s="145"/>
      <c r="LS155" s="145"/>
      <c r="LT155" s="145"/>
      <c r="LU155" s="145"/>
      <c r="LV155" s="145"/>
      <c r="LW155" s="145"/>
      <c r="LX155" s="145"/>
      <c r="LY155" s="145"/>
      <c r="LZ155" s="145"/>
      <c r="MA155" s="145"/>
      <c r="MB155" s="145"/>
      <c r="MC155" s="145"/>
      <c r="MD155" s="145"/>
      <c r="ME155" s="145"/>
      <c r="MF155" s="145"/>
      <c r="MG155" s="145"/>
      <c r="MH155" s="145"/>
      <c r="MI155" s="145"/>
      <c r="MJ155" s="145"/>
      <c r="MK155" s="145"/>
      <c r="ML155" s="145"/>
      <c r="MM155" s="145"/>
      <c r="MN155" s="145"/>
      <c r="MO155" s="145"/>
      <c r="MP155" s="145"/>
      <c r="MQ155" s="145"/>
      <c r="MR155" s="145"/>
      <c r="MS155" s="145"/>
      <c r="MT155" s="145"/>
      <c r="MU155" s="145"/>
      <c r="MV155" s="145"/>
      <c r="MW155" s="145"/>
      <c r="MX155" s="145"/>
      <c r="MY155" s="145"/>
      <c r="MZ155" s="145"/>
      <c r="NA155" s="145"/>
      <c r="NB155" s="145"/>
      <c r="NC155" s="145"/>
      <c r="ND155" s="145"/>
      <c r="NE155" s="145"/>
      <c r="NF155" s="145"/>
      <c r="NG155" s="145"/>
      <c r="NH155" s="145"/>
      <c r="NI155" s="145"/>
      <c r="NJ155" s="145"/>
      <c r="NK155" s="145"/>
      <c r="NL155" s="145"/>
      <c r="NM155" s="145"/>
      <c r="NN155" s="145"/>
      <c r="NO155" s="145"/>
      <c r="NP155" s="145"/>
      <c r="NQ155" s="145"/>
      <c r="NR155" s="145"/>
      <c r="NS155" s="145"/>
    </row>
    <row r="156" spans="1:383" s="16" customFormat="1" ht="15" customHeight="1" x14ac:dyDescent="0.2">
      <c r="A156" s="15">
        <v>54200</v>
      </c>
      <c r="B156" s="25">
        <v>542</v>
      </c>
      <c r="C156" s="26">
        <v>0</v>
      </c>
      <c r="D156" s="20" t="s">
        <v>509</v>
      </c>
      <c r="E156" s="14">
        <v>40310</v>
      </c>
      <c r="F156" s="18" t="s">
        <v>217</v>
      </c>
      <c r="G156" s="18" t="s">
        <v>217</v>
      </c>
      <c r="H156" s="21" t="s">
        <v>217</v>
      </c>
      <c r="I156" s="21" t="s">
        <v>217</v>
      </c>
      <c r="J156" s="21">
        <v>90</v>
      </c>
      <c r="K156" s="18">
        <v>1</v>
      </c>
      <c r="L156" s="18">
        <v>90</v>
      </c>
      <c r="M156" s="18">
        <v>14.49</v>
      </c>
      <c r="N156" s="18">
        <v>19.170000000000002</v>
      </c>
      <c r="O156" s="18">
        <v>5.22</v>
      </c>
      <c r="P156" s="18">
        <v>2.97</v>
      </c>
      <c r="Q156" s="19"/>
      <c r="R156" s="18" t="s">
        <v>217</v>
      </c>
      <c r="S156" s="18" t="s">
        <v>217</v>
      </c>
      <c r="T156" s="18" t="s">
        <v>217</v>
      </c>
      <c r="U156" s="18" t="s">
        <v>217</v>
      </c>
      <c r="V156" s="18" t="s">
        <v>217</v>
      </c>
      <c r="W156" s="18" t="s">
        <v>217</v>
      </c>
      <c r="X156" s="18"/>
      <c r="Y156" s="18">
        <v>0.19999999999999887</v>
      </c>
      <c r="Z156" s="18">
        <v>17.399999999999999</v>
      </c>
      <c r="AA156" s="18">
        <v>0</v>
      </c>
      <c r="AB156" s="18">
        <v>0</v>
      </c>
      <c r="AC156" s="18">
        <v>17</v>
      </c>
      <c r="AD156" s="18">
        <v>7.4</v>
      </c>
      <c r="AE156" s="18">
        <v>0</v>
      </c>
      <c r="AF156" s="18">
        <v>114</v>
      </c>
      <c r="AG156" s="18">
        <v>7.0000000000000107</v>
      </c>
      <c r="AH156" s="18">
        <v>44.999999999999886</v>
      </c>
      <c r="AI156" s="18">
        <v>136</v>
      </c>
      <c r="AJ156" s="18">
        <v>0</v>
      </c>
      <c r="AK156" s="18">
        <v>0.09</v>
      </c>
      <c r="AL156" s="18"/>
      <c r="AM156" s="18">
        <v>3.63</v>
      </c>
      <c r="AN156" s="18">
        <v>1.88</v>
      </c>
      <c r="AO156" s="18">
        <v>2.0499999999999998</v>
      </c>
      <c r="AP156" s="18">
        <v>3.92</v>
      </c>
      <c r="AQ156" s="18">
        <v>0.82</v>
      </c>
      <c r="AR156" s="18">
        <v>3.44</v>
      </c>
      <c r="AS156" s="18">
        <v>9.68</v>
      </c>
      <c r="AT156" s="18">
        <v>2.82</v>
      </c>
      <c r="AU156" s="18">
        <v>4.12</v>
      </c>
      <c r="AV156" s="18">
        <v>3.5</v>
      </c>
      <c r="AW156" s="18">
        <v>5.2</v>
      </c>
      <c r="AX156" s="18"/>
      <c r="AY156" s="18">
        <v>1</v>
      </c>
      <c r="AZ156" s="18">
        <v>1</v>
      </c>
      <c r="BA156" s="18">
        <v>1</v>
      </c>
      <c r="BB156" s="18">
        <v>1</v>
      </c>
      <c r="BC156" s="18">
        <v>1</v>
      </c>
      <c r="BD156" s="18">
        <v>1</v>
      </c>
      <c r="BE156" s="18">
        <v>1</v>
      </c>
      <c r="BF156" s="18">
        <v>1</v>
      </c>
      <c r="BG156" s="18">
        <v>1</v>
      </c>
      <c r="BH156" s="18">
        <v>1</v>
      </c>
      <c r="BI156" s="18">
        <v>1</v>
      </c>
      <c r="BJ156" s="19"/>
      <c r="BK156" s="18">
        <v>16.100000000000001</v>
      </c>
      <c r="BL156" s="18">
        <v>21.3</v>
      </c>
      <c r="BM156" s="18">
        <v>5.8</v>
      </c>
      <c r="BN156" s="18">
        <v>3.3000000000000003</v>
      </c>
      <c r="BO156" s="18"/>
      <c r="BP156" s="18">
        <v>0</v>
      </c>
      <c r="BQ156" s="18">
        <v>0</v>
      </c>
      <c r="BR156" s="18" t="s">
        <v>217</v>
      </c>
      <c r="BS156" s="18" t="s">
        <v>217</v>
      </c>
      <c r="BT156" s="19"/>
      <c r="BU156" s="18">
        <v>942</v>
      </c>
      <c r="BV156" s="18" t="s">
        <v>217</v>
      </c>
      <c r="BW156" s="18" t="s">
        <v>217</v>
      </c>
      <c r="BX156" s="18" t="s">
        <v>217</v>
      </c>
      <c r="BY156" s="18" t="s">
        <v>217</v>
      </c>
      <c r="BZ156" s="18" t="s">
        <v>217</v>
      </c>
      <c r="CA156" s="18" t="s">
        <v>217</v>
      </c>
      <c r="CB156" s="19"/>
      <c r="CC156" s="19">
        <v>0.17999999999999899</v>
      </c>
      <c r="CD156" s="19">
        <v>15.659999999999998</v>
      </c>
      <c r="CE156" s="19">
        <v>0</v>
      </c>
      <c r="CF156" s="19">
        <v>0</v>
      </c>
      <c r="CG156" s="19">
        <v>15.3</v>
      </c>
      <c r="CH156" s="19">
        <v>6.66</v>
      </c>
      <c r="CI156" s="19">
        <v>0</v>
      </c>
      <c r="CJ156" s="19"/>
      <c r="CK156" s="19">
        <v>102.60000000000001</v>
      </c>
      <c r="CL156" s="19">
        <v>6.3000000000000096</v>
      </c>
      <c r="CM156" s="19">
        <v>40.499999999999901</v>
      </c>
      <c r="CN156" s="19">
        <v>122.4</v>
      </c>
      <c r="CO156" s="19">
        <v>0</v>
      </c>
      <c r="CP156" s="19">
        <v>8.1000000000000003E-2</v>
      </c>
      <c r="CQ156" s="19">
        <v>0</v>
      </c>
      <c r="CR156" s="19" t="s">
        <v>217</v>
      </c>
      <c r="CS156" s="19" t="s">
        <v>217</v>
      </c>
      <c r="CT156" s="19" t="s">
        <v>217</v>
      </c>
      <c r="CU156" s="19" t="s">
        <v>217</v>
      </c>
      <c r="CV156" s="19" t="s">
        <v>217</v>
      </c>
      <c r="CW156" s="19" t="s">
        <v>217</v>
      </c>
      <c r="CX156" s="19" t="s">
        <v>217</v>
      </c>
      <c r="CY156" s="19" t="s">
        <v>217</v>
      </c>
      <c r="CZ156" s="19" t="s">
        <v>217</v>
      </c>
      <c r="DA156" s="19" t="s">
        <v>217</v>
      </c>
      <c r="DB156" s="19" t="s">
        <v>217</v>
      </c>
      <c r="DC156" s="19" t="s">
        <v>217</v>
      </c>
      <c r="DD156" s="19" t="s">
        <v>217</v>
      </c>
      <c r="DE156" s="19" t="s">
        <v>217</v>
      </c>
      <c r="DF156" s="23">
        <v>0</v>
      </c>
      <c r="DG156" s="23">
        <v>0</v>
      </c>
      <c r="DH156" s="23">
        <v>0</v>
      </c>
      <c r="DI156" s="19">
        <v>0</v>
      </c>
      <c r="DJ156" s="19">
        <v>0</v>
      </c>
      <c r="DK156" s="19">
        <v>0</v>
      </c>
      <c r="DL156" s="19">
        <v>0</v>
      </c>
      <c r="DM156" s="19">
        <v>0</v>
      </c>
      <c r="DN156" s="19">
        <v>0</v>
      </c>
      <c r="DO156" s="19">
        <v>0</v>
      </c>
      <c r="DP156" s="19">
        <v>0</v>
      </c>
      <c r="DQ156" s="19">
        <v>0</v>
      </c>
      <c r="DR156" s="19">
        <v>0</v>
      </c>
      <c r="DS156" s="19">
        <v>0</v>
      </c>
      <c r="DT156" s="19">
        <v>0</v>
      </c>
      <c r="DU156" s="19">
        <v>0</v>
      </c>
      <c r="DV156" s="19">
        <v>0</v>
      </c>
      <c r="DW156" s="17" t="s">
        <v>510</v>
      </c>
      <c r="DX156" s="22" t="s">
        <v>218</v>
      </c>
      <c r="DY156" s="22" t="s">
        <v>218</v>
      </c>
      <c r="DZ156" s="22" t="s">
        <v>218</v>
      </c>
      <c r="EA156" s="22" t="s">
        <v>218</v>
      </c>
      <c r="EB156" s="22" t="s">
        <v>218</v>
      </c>
      <c r="EC156" s="22" t="s">
        <v>218</v>
      </c>
      <c r="ED156" s="22" t="s">
        <v>218</v>
      </c>
      <c r="EE156" s="22" t="s">
        <v>218</v>
      </c>
      <c r="EF156" s="22" t="s">
        <v>218</v>
      </c>
      <c r="EG156" s="22" t="s">
        <v>218</v>
      </c>
      <c r="EH156" s="22" t="s">
        <v>218</v>
      </c>
      <c r="EI156" s="22" t="s">
        <v>218</v>
      </c>
      <c r="EJ156" s="22" t="s">
        <v>218</v>
      </c>
      <c r="EK156" s="22" t="s">
        <v>218</v>
      </c>
      <c r="EL156" s="22" t="s">
        <v>218</v>
      </c>
      <c r="EM156" s="22" t="s">
        <v>218</v>
      </c>
      <c r="EN156" s="22" t="s">
        <v>218</v>
      </c>
      <c r="EO156" s="22" t="s">
        <v>218</v>
      </c>
      <c r="EP156" s="22" t="s">
        <v>218</v>
      </c>
      <c r="EQ156" s="22" t="s">
        <v>218</v>
      </c>
      <c r="ER156" s="22" t="s">
        <v>218</v>
      </c>
      <c r="ES156" s="22" t="s">
        <v>218</v>
      </c>
      <c r="ET156" s="22" t="s">
        <v>218</v>
      </c>
      <c r="EU156" s="22" t="s">
        <v>218</v>
      </c>
      <c r="EV156" s="22" t="s">
        <v>218</v>
      </c>
      <c r="EW156" s="22" t="s">
        <v>218</v>
      </c>
      <c r="EX156" s="22" t="s">
        <v>218</v>
      </c>
      <c r="EY156" s="22" t="s">
        <v>218</v>
      </c>
      <c r="EZ156" s="22" t="s">
        <v>218</v>
      </c>
      <c r="FA156" s="22" t="s">
        <v>218</v>
      </c>
      <c r="FB156" s="22" t="s">
        <v>218</v>
      </c>
      <c r="FC156" s="22" t="s">
        <v>218</v>
      </c>
      <c r="FD156" s="22" t="s">
        <v>218</v>
      </c>
      <c r="FE156" s="22" t="s">
        <v>218</v>
      </c>
      <c r="FF156" s="22" t="s">
        <v>218</v>
      </c>
      <c r="FG156" s="22" t="s">
        <v>218</v>
      </c>
      <c r="FH156" s="22" t="s">
        <v>218</v>
      </c>
      <c r="FI156" s="22" t="s">
        <v>218</v>
      </c>
      <c r="FJ156" s="22" t="s">
        <v>218</v>
      </c>
      <c r="FK156" s="22" t="s">
        <v>218</v>
      </c>
      <c r="FL156" s="22" t="s">
        <v>218</v>
      </c>
      <c r="FM156" s="22" t="s">
        <v>218</v>
      </c>
      <c r="FN156" s="22" t="s">
        <v>218</v>
      </c>
      <c r="FO156" s="22" t="s">
        <v>218</v>
      </c>
      <c r="FP156" s="22" t="s">
        <v>218</v>
      </c>
      <c r="FQ156" s="22" t="s">
        <v>218</v>
      </c>
      <c r="FR156" s="22" t="s">
        <v>218</v>
      </c>
      <c r="FS156" s="22" t="s">
        <v>218</v>
      </c>
      <c r="FT156" s="22" t="s">
        <v>218</v>
      </c>
      <c r="FU156" s="22" t="s">
        <v>218</v>
      </c>
      <c r="FV156" s="22" t="s">
        <v>218</v>
      </c>
      <c r="FW156" s="22" t="s">
        <v>218</v>
      </c>
      <c r="FX156" s="22" t="s">
        <v>218</v>
      </c>
      <c r="FY156" s="22" t="s">
        <v>218</v>
      </c>
      <c r="FZ156" s="22" t="s">
        <v>218</v>
      </c>
      <c r="GA156" s="22" t="s">
        <v>218</v>
      </c>
      <c r="GB156" s="22" t="s">
        <v>218</v>
      </c>
      <c r="GC156" s="22" t="s">
        <v>218</v>
      </c>
      <c r="GD156" s="22" t="s">
        <v>218</v>
      </c>
      <c r="GE156" s="22" t="s">
        <v>218</v>
      </c>
      <c r="GF156" s="22" t="s">
        <v>218</v>
      </c>
      <c r="GG156" s="22" t="s">
        <v>218</v>
      </c>
      <c r="GH156" s="22" t="s">
        <v>218</v>
      </c>
      <c r="GI156" s="22" t="s">
        <v>218</v>
      </c>
      <c r="GJ156" s="22" t="s">
        <v>218</v>
      </c>
      <c r="GK156" s="22" t="s">
        <v>218</v>
      </c>
      <c r="GL156" s="22" t="s">
        <v>218</v>
      </c>
      <c r="GM156" s="22" t="s">
        <v>218</v>
      </c>
      <c r="GN156" s="22" t="s">
        <v>218</v>
      </c>
      <c r="GO156" s="22" t="s">
        <v>218</v>
      </c>
      <c r="GP156" s="22" t="s">
        <v>218</v>
      </c>
      <c r="GQ156" s="22" t="s">
        <v>218</v>
      </c>
      <c r="GR156" s="22" t="s">
        <v>218</v>
      </c>
      <c r="GS156" s="22" t="s">
        <v>218</v>
      </c>
      <c r="GT156" s="22" t="s">
        <v>218</v>
      </c>
      <c r="GU156" s="22" t="s">
        <v>218</v>
      </c>
      <c r="GV156" s="22" t="s">
        <v>218</v>
      </c>
      <c r="GW156" s="22" t="s">
        <v>218</v>
      </c>
      <c r="GX156" s="22" t="s">
        <v>218</v>
      </c>
      <c r="GY156" s="22" t="s">
        <v>218</v>
      </c>
      <c r="GZ156" s="22" t="s">
        <v>218</v>
      </c>
      <c r="HA156" s="22" t="s">
        <v>218</v>
      </c>
      <c r="HB156" s="22" t="s">
        <v>218</v>
      </c>
      <c r="HC156" s="22" t="s">
        <v>218</v>
      </c>
      <c r="HD156" s="22" t="s">
        <v>218</v>
      </c>
      <c r="HE156" s="22" t="s">
        <v>218</v>
      </c>
      <c r="HF156" s="22" t="s">
        <v>218</v>
      </c>
      <c r="HG156" s="22" t="s">
        <v>218</v>
      </c>
      <c r="HH156" s="22" t="s">
        <v>218</v>
      </c>
      <c r="HI156" s="22" t="s">
        <v>218</v>
      </c>
      <c r="HJ156" s="22" t="s">
        <v>218</v>
      </c>
      <c r="HK156" s="22" t="s">
        <v>218</v>
      </c>
      <c r="HL156" s="22" t="s">
        <v>218</v>
      </c>
      <c r="HM156" s="860"/>
      <c r="HN156" s="860"/>
      <c r="HO156" s="860"/>
      <c r="HP156" s="860"/>
      <c r="HQ156" s="860"/>
      <c r="HR156" s="860"/>
      <c r="HS156" s="860"/>
      <c r="HT156" s="145"/>
      <c r="HU156" s="145" t="s">
        <v>1809</v>
      </c>
      <c r="HV156" s="22" t="s">
        <v>1964</v>
      </c>
      <c r="HW156" s="22" t="s">
        <v>511</v>
      </c>
      <c r="HX156" s="22">
        <v>0</v>
      </c>
      <c r="HY156" s="22">
        <v>0</v>
      </c>
      <c r="HZ156" s="19"/>
      <c r="IA156" s="19"/>
      <c r="IB156" s="621">
        <f>'background data'!$G$10</f>
        <v>0.47300000000000003</v>
      </c>
      <c r="IC156" s="621">
        <f>'background data'!$H$10</f>
        <v>0.13</v>
      </c>
      <c r="ID156" s="621">
        <f>'background data'!$J$10</f>
        <v>0.39100000000000001</v>
      </c>
      <c r="IE156" s="621">
        <f>'background data'!$L$10</f>
        <v>5.5E-2</v>
      </c>
      <c r="IF156" s="621">
        <f>'background data'!$M$10</f>
        <v>3.97</v>
      </c>
      <c r="IG156" s="621">
        <f>'background data'!$N$10</f>
        <v>4.5999999999999999E-3</v>
      </c>
      <c r="IH156" s="621">
        <f>'background data'!$O$10</f>
        <v>2.73</v>
      </c>
      <c r="II156" s="145"/>
      <c r="IJ156" s="145"/>
      <c r="IK156" s="145"/>
      <c r="IL156" s="145"/>
      <c r="IM156" s="145"/>
      <c r="IN156" s="145"/>
      <c r="IO156" s="145"/>
      <c r="IP156" s="145"/>
      <c r="IQ156" s="145"/>
      <c r="IR156" s="145"/>
      <c r="IS156" s="145"/>
      <c r="IT156" s="145"/>
      <c r="IU156" s="145"/>
      <c r="IV156" s="145"/>
      <c r="IW156" s="145"/>
      <c r="IX156" s="145"/>
      <c r="IY156" s="145"/>
      <c r="IZ156" s="145"/>
      <c r="JA156" s="145"/>
      <c r="JB156" s="145"/>
      <c r="JC156" s="145"/>
      <c r="JD156" s="145"/>
      <c r="JE156" s="145"/>
      <c r="JF156" s="145"/>
      <c r="JG156" s="145"/>
      <c r="JH156" s="145"/>
      <c r="JI156" s="145"/>
      <c r="JJ156" s="145"/>
      <c r="JK156" s="145"/>
      <c r="JL156" s="145"/>
      <c r="JM156" s="145"/>
      <c r="JN156" s="145"/>
      <c r="JO156" s="145"/>
      <c r="JP156" s="145"/>
      <c r="JQ156" s="145"/>
      <c r="JR156" s="145"/>
      <c r="JS156" s="145"/>
      <c r="JT156" s="145"/>
      <c r="JU156" s="145"/>
      <c r="JV156" s="145"/>
      <c r="JW156" s="145"/>
      <c r="JX156" s="145"/>
      <c r="JY156" s="145"/>
      <c r="JZ156" s="145"/>
      <c r="KA156" s="145"/>
      <c r="KB156" s="145"/>
      <c r="KC156" s="145"/>
      <c r="KD156" s="145"/>
      <c r="KE156" s="145"/>
      <c r="KF156" s="145"/>
      <c r="KG156" s="145"/>
      <c r="KH156" s="145"/>
      <c r="KI156" s="145"/>
      <c r="KJ156" s="145"/>
      <c r="KK156" s="145"/>
      <c r="KL156" s="145"/>
      <c r="KM156" s="145"/>
      <c r="KN156" s="145"/>
      <c r="KO156" s="145"/>
      <c r="KP156" s="145"/>
      <c r="KQ156" s="145"/>
      <c r="KR156" s="145"/>
      <c r="KS156" s="145"/>
      <c r="KT156" s="145"/>
      <c r="KU156" s="145"/>
      <c r="KV156" s="145"/>
      <c r="KW156" s="145"/>
      <c r="KX156" s="145"/>
      <c r="KY156" s="145"/>
      <c r="KZ156" s="145"/>
      <c r="LA156" s="145"/>
      <c r="LB156" s="145"/>
      <c r="LC156" s="145"/>
      <c r="LD156" s="145"/>
      <c r="LE156" s="145"/>
      <c r="LF156" s="145"/>
      <c r="LG156" s="145"/>
      <c r="LH156" s="145"/>
      <c r="LI156" s="145"/>
      <c r="LJ156" s="145"/>
      <c r="LK156" s="145"/>
      <c r="LL156" s="145"/>
      <c r="LM156" s="145"/>
      <c r="LN156" s="145"/>
      <c r="LO156" s="145"/>
      <c r="LP156" s="145"/>
      <c r="LQ156" s="145"/>
      <c r="LR156" s="145"/>
      <c r="LS156" s="145"/>
      <c r="LT156" s="145"/>
      <c r="LU156" s="145"/>
      <c r="LV156" s="145"/>
      <c r="LW156" s="145"/>
      <c r="LX156" s="145"/>
      <c r="LY156" s="145"/>
      <c r="LZ156" s="145"/>
      <c r="MA156" s="145"/>
      <c r="MB156" s="145"/>
      <c r="MC156" s="145"/>
      <c r="MD156" s="145"/>
      <c r="ME156" s="145"/>
      <c r="MF156" s="145"/>
      <c r="MG156" s="145"/>
      <c r="MH156" s="145"/>
      <c r="MI156" s="145"/>
      <c r="MJ156" s="145"/>
      <c r="MK156" s="145"/>
      <c r="ML156" s="145"/>
      <c r="MM156" s="145"/>
      <c r="MN156" s="145"/>
      <c r="MO156" s="145"/>
      <c r="MP156" s="145"/>
      <c r="MQ156" s="145"/>
      <c r="MR156" s="145"/>
      <c r="MS156" s="145"/>
      <c r="MT156" s="145"/>
      <c r="MU156" s="145"/>
      <c r="MV156" s="145"/>
      <c r="MW156" s="145"/>
      <c r="MX156" s="145"/>
      <c r="MY156" s="145"/>
      <c r="MZ156" s="145"/>
      <c r="NA156" s="145"/>
      <c r="NB156" s="145"/>
      <c r="NC156" s="145"/>
      <c r="ND156" s="145"/>
      <c r="NE156" s="145"/>
      <c r="NF156" s="145"/>
      <c r="NG156" s="145"/>
      <c r="NH156" s="145"/>
      <c r="NI156" s="145"/>
      <c r="NJ156" s="145"/>
      <c r="NK156" s="145"/>
      <c r="NL156" s="145"/>
      <c r="NM156" s="145"/>
      <c r="NN156" s="145"/>
      <c r="NO156" s="145"/>
      <c r="NP156" s="145"/>
      <c r="NQ156" s="145"/>
      <c r="NR156" s="145"/>
      <c r="NS156" s="145"/>
    </row>
    <row r="157" spans="1:383" s="16" customFormat="1" ht="15" customHeight="1" x14ac:dyDescent="0.2">
      <c r="A157" s="15">
        <v>48100</v>
      </c>
      <c r="B157" s="25">
        <v>481</v>
      </c>
      <c r="C157" s="26">
        <v>0</v>
      </c>
      <c r="D157" s="20" t="s">
        <v>512</v>
      </c>
      <c r="E157" s="14">
        <v>40310</v>
      </c>
      <c r="F157" s="18">
        <v>-0.112682926829268</v>
      </c>
      <c r="G157" s="18">
        <v>-0.108</v>
      </c>
      <c r="H157" s="21">
        <v>70</v>
      </c>
      <c r="I157" s="21">
        <v>70</v>
      </c>
      <c r="J157" s="21">
        <v>0</v>
      </c>
      <c r="K157" s="18">
        <v>1</v>
      </c>
      <c r="L157" s="18">
        <v>99</v>
      </c>
      <c r="M157" s="18">
        <v>0</v>
      </c>
      <c r="N157" s="18">
        <v>0</v>
      </c>
      <c r="O157" s="18">
        <v>99</v>
      </c>
      <c r="P157" s="18">
        <v>0</v>
      </c>
      <c r="Q157" s="19"/>
      <c r="R157" s="18">
        <v>0</v>
      </c>
      <c r="S157" s="18">
        <v>0</v>
      </c>
      <c r="T157" s="18">
        <v>0</v>
      </c>
      <c r="U157" s="18">
        <v>0</v>
      </c>
      <c r="V157" s="18">
        <v>0</v>
      </c>
      <c r="W157" s="18">
        <v>0</v>
      </c>
      <c r="X157" s="18"/>
      <c r="Y157" s="18">
        <v>0</v>
      </c>
      <c r="Z157" s="18">
        <v>0</v>
      </c>
      <c r="AA157" s="18">
        <v>0</v>
      </c>
      <c r="AB157" s="18">
        <v>0</v>
      </c>
      <c r="AC157" s="18">
        <v>0</v>
      </c>
      <c r="AD157" s="18">
        <v>0</v>
      </c>
      <c r="AE157" s="18">
        <v>0</v>
      </c>
      <c r="AF157" s="18">
        <v>0</v>
      </c>
      <c r="AG157" s="18">
        <v>0</v>
      </c>
      <c r="AH157" s="18">
        <v>6363.636363636364</v>
      </c>
      <c r="AI157" s="18">
        <v>0</v>
      </c>
      <c r="AJ157" s="18">
        <v>0</v>
      </c>
      <c r="AK157" s="18">
        <v>0</v>
      </c>
      <c r="AL157" s="18"/>
      <c r="AM157" s="18">
        <v>0</v>
      </c>
      <c r="AN157" s="18">
        <v>0</v>
      </c>
      <c r="AO157" s="18">
        <v>0</v>
      </c>
      <c r="AP157" s="18">
        <v>0</v>
      </c>
      <c r="AQ157" s="18">
        <v>0</v>
      </c>
      <c r="AR157" s="18">
        <v>0</v>
      </c>
      <c r="AS157" s="18">
        <v>0</v>
      </c>
      <c r="AT157" s="18">
        <v>0</v>
      </c>
      <c r="AU157" s="18">
        <v>0</v>
      </c>
      <c r="AV157" s="18">
        <v>0</v>
      </c>
      <c r="AW157" s="18">
        <v>0</v>
      </c>
      <c r="AX157" s="18"/>
      <c r="AY157" s="18">
        <v>1</v>
      </c>
      <c r="AZ157" s="18">
        <v>1</v>
      </c>
      <c r="BA157" s="18">
        <v>1</v>
      </c>
      <c r="BB157" s="18">
        <v>1</v>
      </c>
      <c r="BC157" s="18">
        <v>1</v>
      </c>
      <c r="BD157" s="18">
        <v>1</v>
      </c>
      <c r="BE157" s="18">
        <v>1</v>
      </c>
      <c r="BF157" s="18">
        <v>1</v>
      </c>
      <c r="BG157" s="18">
        <v>1</v>
      </c>
      <c r="BH157" s="18">
        <v>1</v>
      </c>
      <c r="BI157" s="18">
        <v>1</v>
      </c>
      <c r="BJ157" s="19"/>
      <c r="BK157" s="18">
        <v>0</v>
      </c>
      <c r="BL157" s="18">
        <v>0</v>
      </c>
      <c r="BM157" s="18">
        <v>100</v>
      </c>
      <c r="BN157" s="18">
        <v>0</v>
      </c>
      <c r="BO157" s="18"/>
      <c r="BP157" s="18">
        <v>0</v>
      </c>
      <c r="BQ157" s="18">
        <v>0</v>
      </c>
      <c r="BR157" s="18">
        <v>-0.11382113821138182</v>
      </c>
      <c r="BS157" s="18">
        <v>-0.10909090909090909</v>
      </c>
      <c r="BT157" s="19"/>
      <c r="BU157" s="18">
        <v>0</v>
      </c>
      <c r="BV157" s="18">
        <v>0</v>
      </c>
      <c r="BW157" s="18">
        <v>0</v>
      </c>
      <c r="BX157" s="18" t="s">
        <v>217</v>
      </c>
      <c r="BY157" s="18" t="s">
        <v>217</v>
      </c>
      <c r="BZ157" s="18" t="s">
        <v>217</v>
      </c>
      <c r="CA157" s="18" t="s">
        <v>217</v>
      </c>
      <c r="CB157" s="19"/>
      <c r="CC157" s="19">
        <v>0</v>
      </c>
      <c r="CD157" s="19">
        <v>0</v>
      </c>
      <c r="CE157" s="19">
        <v>0</v>
      </c>
      <c r="CF157" s="19">
        <v>0</v>
      </c>
      <c r="CG157" s="19">
        <v>0</v>
      </c>
      <c r="CH157" s="19">
        <v>0</v>
      </c>
      <c r="CI157" s="19">
        <v>0</v>
      </c>
      <c r="CJ157" s="19"/>
      <c r="CK157" s="19">
        <v>0</v>
      </c>
      <c r="CL157" s="19">
        <v>0</v>
      </c>
      <c r="CM157" s="19">
        <v>6300</v>
      </c>
      <c r="CN157" s="19">
        <v>0</v>
      </c>
      <c r="CO157" s="19">
        <v>0</v>
      </c>
      <c r="CP157" s="19">
        <v>0</v>
      </c>
      <c r="CQ157" s="19">
        <v>0</v>
      </c>
      <c r="CR157" s="19">
        <v>0</v>
      </c>
      <c r="CS157" s="19">
        <v>0</v>
      </c>
      <c r="CT157" s="19">
        <v>0</v>
      </c>
      <c r="CU157" s="19">
        <v>0</v>
      </c>
      <c r="CV157" s="19">
        <v>0</v>
      </c>
      <c r="CW157" s="19">
        <v>0</v>
      </c>
      <c r="CX157" s="19">
        <v>0</v>
      </c>
      <c r="CY157" s="19">
        <v>0</v>
      </c>
      <c r="CZ157" s="19">
        <v>0</v>
      </c>
      <c r="DA157" s="19">
        <v>0</v>
      </c>
      <c r="DB157" s="19">
        <v>0</v>
      </c>
      <c r="DC157" s="19">
        <v>0</v>
      </c>
      <c r="DD157" s="19">
        <v>0</v>
      </c>
      <c r="DE157" s="19">
        <v>0</v>
      </c>
      <c r="DF157" s="23">
        <v>0</v>
      </c>
      <c r="DG157" s="23">
        <v>0</v>
      </c>
      <c r="DH157" s="23">
        <v>0</v>
      </c>
      <c r="DI157" s="19">
        <v>0</v>
      </c>
      <c r="DJ157" s="19">
        <v>0</v>
      </c>
      <c r="DK157" s="19">
        <v>0</v>
      </c>
      <c r="DL157" s="19">
        <v>0</v>
      </c>
      <c r="DM157" s="19">
        <v>0</v>
      </c>
      <c r="DN157" s="19">
        <v>0</v>
      </c>
      <c r="DO157" s="19">
        <v>0</v>
      </c>
      <c r="DP157" s="19">
        <v>0</v>
      </c>
      <c r="DQ157" s="19">
        <v>0</v>
      </c>
      <c r="DR157" s="19">
        <v>0</v>
      </c>
      <c r="DS157" s="19">
        <v>0</v>
      </c>
      <c r="DT157" s="19">
        <v>0</v>
      </c>
      <c r="DU157" s="19">
        <v>0</v>
      </c>
      <c r="DV157" s="19">
        <v>0</v>
      </c>
      <c r="DW157" s="17" t="s">
        <v>218</v>
      </c>
      <c r="DX157" s="22" t="s">
        <v>218</v>
      </c>
      <c r="DY157" s="22" t="s">
        <v>218</v>
      </c>
      <c r="DZ157" s="22" t="s">
        <v>218</v>
      </c>
      <c r="EA157" s="22" t="s">
        <v>218</v>
      </c>
      <c r="EB157" s="22" t="s">
        <v>218</v>
      </c>
      <c r="EC157" s="22" t="s">
        <v>218</v>
      </c>
      <c r="ED157" s="22" t="s">
        <v>218</v>
      </c>
      <c r="EE157" s="22" t="s">
        <v>218</v>
      </c>
      <c r="EF157" s="22" t="s">
        <v>218</v>
      </c>
      <c r="EG157" s="22" t="s">
        <v>218</v>
      </c>
      <c r="EH157" s="22" t="s">
        <v>218</v>
      </c>
      <c r="EI157" s="22" t="s">
        <v>218</v>
      </c>
      <c r="EJ157" s="22" t="s">
        <v>218</v>
      </c>
      <c r="EK157" s="22" t="s">
        <v>218</v>
      </c>
      <c r="EL157" s="22" t="s">
        <v>218</v>
      </c>
      <c r="EM157" s="22" t="s">
        <v>218</v>
      </c>
      <c r="EN157" s="22" t="s">
        <v>218</v>
      </c>
      <c r="EO157" s="22" t="s">
        <v>218</v>
      </c>
      <c r="EP157" s="22" t="s">
        <v>218</v>
      </c>
      <c r="EQ157" s="22" t="s">
        <v>218</v>
      </c>
      <c r="ER157" s="22" t="s">
        <v>218</v>
      </c>
      <c r="ES157" s="22" t="s">
        <v>218</v>
      </c>
      <c r="ET157" s="22" t="s">
        <v>218</v>
      </c>
      <c r="EU157" s="22" t="s">
        <v>218</v>
      </c>
      <c r="EV157" s="22" t="s">
        <v>218</v>
      </c>
      <c r="EW157" s="22" t="s">
        <v>218</v>
      </c>
      <c r="EX157" s="22" t="s">
        <v>218</v>
      </c>
      <c r="EY157" s="22" t="s">
        <v>218</v>
      </c>
      <c r="EZ157" s="22" t="s">
        <v>218</v>
      </c>
      <c r="FA157" s="22" t="s">
        <v>218</v>
      </c>
      <c r="FB157" s="22" t="s">
        <v>218</v>
      </c>
      <c r="FC157" s="22" t="s">
        <v>218</v>
      </c>
      <c r="FD157" s="22" t="s">
        <v>218</v>
      </c>
      <c r="FE157" s="22" t="s">
        <v>218</v>
      </c>
      <c r="FF157" s="22" t="s">
        <v>218</v>
      </c>
      <c r="FG157" s="22" t="s">
        <v>218</v>
      </c>
      <c r="FH157" s="22" t="s">
        <v>218</v>
      </c>
      <c r="FI157" s="22" t="s">
        <v>218</v>
      </c>
      <c r="FJ157" s="22" t="s">
        <v>218</v>
      </c>
      <c r="FK157" s="22" t="s">
        <v>218</v>
      </c>
      <c r="FL157" s="22" t="s">
        <v>218</v>
      </c>
      <c r="FM157" s="22" t="s">
        <v>218</v>
      </c>
      <c r="FN157" s="22" t="s">
        <v>218</v>
      </c>
      <c r="FO157" s="22" t="s">
        <v>218</v>
      </c>
      <c r="FP157" s="22" t="s">
        <v>218</v>
      </c>
      <c r="FQ157" s="22" t="s">
        <v>218</v>
      </c>
      <c r="FR157" s="22" t="s">
        <v>218</v>
      </c>
      <c r="FS157" s="22" t="s">
        <v>218</v>
      </c>
      <c r="FT157" s="22" t="s">
        <v>218</v>
      </c>
      <c r="FU157" s="22" t="s">
        <v>218</v>
      </c>
      <c r="FV157" s="22" t="s">
        <v>218</v>
      </c>
      <c r="FW157" s="22" t="s">
        <v>218</v>
      </c>
      <c r="FX157" s="22" t="s">
        <v>218</v>
      </c>
      <c r="FY157" s="22" t="s">
        <v>218</v>
      </c>
      <c r="FZ157" s="22" t="s">
        <v>218</v>
      </c>
      <c r="GA157" s="22" t="s">
        <v>218</v>
      </c>
      <c r="GB157" s="22" t="s">
        <v>218</v>
      </c>
      <c r="GC157" s="22" t="s">
        <v>218</v>
      </c>
      <c r="GD157" s="22" t="s">
        <v>218</v>
      </c>
      <c r="GE157" s="22" t="s">
        <v>218</v>
      </c>
      <c r="GF157" s="22" t="s">
        <v>218</v>
      </c>
      <c r="GG157" s="22" t="s">
        <v>218</v>
      </c>
      <c r="GH157" s="22" t="s">
        <v>218</v>
      </c>
      <c r="GI157" s="22" t="s">
        <v>218</v>
      </c>
      <c r="GJ157" s="22" t="s">
        <v>218</v>
      </c>
      <c r="GK157" s="22" t="s">
        <v>218</v>
      </c>
      <c r="GL157" s="22" t="s">
        <v>218</v>
      </c>
      <c r="GM157" s="22" t="s">
        <v>218</v>
      </c>
      <c r="GN157" s="22" t="s">
        <v>218</v>
      </c>
      <c r="GO157" s="22" t="s">
        <v>218</v>
      </c>
      <c r="GP157" s="22" t="s">
        <v>218</v>
      </c>
      <c r="GQ157" s="22" t="s">
        <v>218</v>
      </c>
      <c r="GR157" s="22" t="s">
        <v>218</v>
      </c>
      <c r="GS157" s="22" t="s">
        <v>218</v>
      </c>
      <c r="GT157" s="22" t="s">
        <v>218</v>
      </c>
      <c r="GU157" s="22" t="s">
        <v>218</v>
      </c>
      <c r="GV157" s="22" t="s">
        <v>218</v>
      </c>
      <c r="GW157" s="22" t="s">
        <v>218</v>
      </c>
      <c r="GX157" s="22" t="s">
        <v>218</v>
      </c>
      <c r="GY157" s="22" t="s">
        <v>218</v>
      </c>
      <c r="GZ157" s="22" t="s">
        <v>218</v>
      </c>
      <c r="HA157" s="22" t="s">
        <v>218</v>
      </c>
      <c r="HB157" s="22" t="s">
        <v>218</v>
      </c>
      <c r="HC157" s="22" t="s">
        <v>218</v>
      </c>
      <c r="HD157" s="22" t="s">
        <v>218</v>
      </c>
      <c r="HE157" s="22" t="s">
        <v>218</v>
      </c>
      <c r="HF157" s="22" t="s">
        <v>218</v>
      </c>
      <c r="HG157" s="22" t="s">
        <v>218</v>
      </c>
      <c r="HH157" s="22" t="s">
        <v>218</v>
      </c>
      <c r="HI157" s="22" t="s">
        <v>218</v>
      </c>
      <c r="HJ157" s="22" t="s">
        <v>218</v>
      </c>
      <c r="HK157" s="22" t="s">
        <v>218</v>
      </c>
      <c r="HL157" s="22" t="s">
        <v>218</v>
      </c>
      <c r="HM157" s="860"/>
      <c r="HN157" s="860"/>
      <c r="HO157" s="860"/>
      <c r="HP157" s="860"/>
      <c r="HQ157" s="860"/>
      <c r="HR157" s="860"/>
      <c r="HS157" s="860"/>
      <c r="HT157" s="145"/>
      <c r="HU157" s="145" t="s">
        <v>1809</v>
      </c>
      <c r="HV157" s="22" t="s">
        <v>1926</v>
      </c>
      <c r="HW157" s="22">
        <v>0</v>
      </c>
      <c r="HX157" s="22">
        <v>0</v>
      </c>
      <c r="HY157" s="22">
        <v>0</v>
      </c>
      <c r="HZ157" s="19"/>
      <c r="IA157" s="19"/>
      <c r="IB157" s="621">
        <f>'background data'!$G$10</f>
        <v>0.47300000000000003</v>
      </c>
      <c r="IC157" s="621">
        <f>'background data'!$H$10</f>
        <v>0.13</v>
      </c>
      <c r="ID157" s="621">
        <f>'background data'!$J$10</f>
        <v>0.39100000000000001</v>
      </c>
      <c r="IE157" s="621">
        <f>'background data'!$L$10</f>
        <v>5.5E-2</v>
      </c>
      <c r="IF157" s="621">
        <f>'background data'!$M$10</f>
        <v>3.97</v>
      </c>
      <c r="IG157" s="621">
        <f>'background data'!$N$10</f>
        <v>4.5999999999999999E-3</v>
      </c>
      <c r="IH157" s="621">
        <f>'background data'!$O$10</f>
        <v>2.73</v>
      </c>
      <c r="II157" s="145"/>
      <c r="IJ157" s="145"/>
      <c r="IK157" s="145"/>
      <c r="IL157" s="145"/>
      <c r="IM157" s="145"/>
      <c r="IN157" s="145"/>
      <c r="IO157" s="145"/>
      <c r="IP157" s="145"/>
      <c r="IQ157" s="145"/>
      <c r="IR157" s="145"/>
      <c r="IS157" s="145"/>
      <c r="IT157" s="145"/>
      <c r="IU157" s="145"/>
      <c r="IV157" s="145"/>
      <c r="IW157" s="145"/>
      <c r="IX157" s="145"/>
      <c r="IY157" s="145"/>
      <c r="IZ157" s="145"/>
      <c r="JA157" s="145"/>
      <c r="JB157" s="145"/>
      <c r="JC157" s="145"/>
      <c r="JD157" s="145"/>
      <c r="JE157" s="145"/>
      <c r="JF157" s="145"/>
      <c r="JG157" s="145"/>
      <c r="JH157" s="145"/>
      <c r="JI157" s="145"/>
      <c r="JJ157" s="145"/>
      <c r="JK157" s="145"/>
      <c r="JL157" s="145"/>
      <c r="JM157" s="145"/>
      <c r="JN157" s="145"/>
      <c r="JO157" s="145"/>
      <c r="JP157" s="145"/>
      <c r="JQ157" s="145"/>
      <c r="JR157" s="145"/>
      <c r="JS157" s="145"/>
      <c r="JT157" s="145"/>
      <c r="JU157" s="145"/>
      <c r="JV157" s="145"/>
      <c r="JW157" s="145"/>
      <c r="JX157" s="145"/>
      <c r="JY157" s="145"/>
      <c r="JZ157" s="145"/>
      <c r="KA157" s="145"/>
      <c r="KB157" s="145"/>
      <c r="KC157" s="145"/>
      <c r="KD157" s="145"/>
      <c r="KE157" s="145"/>
      <c r="KF157" s="145"/>
      <c r="KG157" s="145"/>
      <c r="KH157" s="145"/>
      <c r="KI157" s="145"/>
      <c r="KJ157" s="145"/>
      <c r="KK157" s="145"/>
      <c r="KL157" s="145"/>
      <c r="KM157" s="145"/>
      <c r="KN157" s="145"/>
      <c r="KO157" s="145"/>
      <c r="KP157" s="145"/>
      <c r="KQ157" s="145"/>
      <c r="KR157" s="145"/>
      <c r="KS157" s="145"/>
      <c r="KT157" s="145"/>
      <c r="KU157" s="145"/>
      <c r="KV157" s="145"/>
      <c r="KW157" s="145"/>
      <c r="KX157" s="145"/>
      <c r="KY157" s="145"/>
      <c r="KZ157" s="145"/>
      <c r="LA157" s="145"/>
      <c r="LB157" s="145"/>
      <c r="LC157" s="145"/>
      <c r="LD157" s="145"/>
      <c r="LE157" s="145"/>
      <c r="LF157" s="145"/>
      <c r="LG157" s="145"/>
      <c r="LH157" s="145"/>
      <c r="LI157" s="145"/>
      <c r="LJ157" s="145"/>
      <c r="LK157" s="145"/>
      <c r="LL157" s="145"/>
      <c r="LM157" s="145"/>
      <c r="LN157" s="145"/>
      <c r="LO157" s="145"/>
      <c r="LP157" s="145"/>
      <c r="LQ157" s="145"/>
      <c r="LR157" s="145"/>
      <c r="LS157" s="145"/>
      <c r="LT157" s="145"/>
      <c r="LU157" s="145"/>
      <c r="LV157" s="145"/>
      <c r="LW157" s="145"/>
      <c r="LX157" s="145"/>
      <c r="LY157" s="145"/>
      <c r="LZ157" s="145"/>
      <c r="MA157" s="145"/>
      <c r="MB157" s="145"/>
      <c r="MC157" s="145"/>
      <c r="MD157" s="145"/>
      <c r="ME157" s="145"/>
      <c r="MF157" s="145"/>
      <c r="MG157" s="145"/>
      <c r="MH157" s="145"/>
      <c r="MI157" s="145"/>
      <c r="MJ157" s="145"/>
      <c r="MK157" s="145"/>
      <c r="ML157" s="145"/>
      <c r="MM157" s="145"/>
      <c r="MN157" s="145"/>
      <c r="MO157" s="145"/>
      <c r="MP157" s="145"/>
      <c r="MQ157" s="145"/>
      <c r="MR157" s="145"/>
      <c r="MS157" s="145"/>
      <c r="MT157" s="145"/>
      <c r="MU157" s="145"/>
      <c r="MV157" s="145"/>
      <c r="MW157" s="145"/>
      <c r="MX157" s="145"/>
      <c r="MY157" s="145"/>
      <c r="MZ157" s="145"/>
      <c r="NA157" s="145"/>
      <c r="NB157" s="145"/>
      <c r="NC157" s="145"/>
      <c r="ND157" s="145"/>
      <c r="NE157" s="145"/>
      <c r="NF157" s="145"/>
      <c r="NG157" s="145"/>
      <c r="NH157" s="145"/>
      <c r="NI157" s="145"/>
      <c r="NJ157" s="145"/>
      <c r="NK157" s="145"/>
      <c r="NL157" s="145"/>
      <c r="NM157" s="145"/>
      <c r="NN157" s="145"/>
      <c r="NO157" s="145"/>
      <c r="NP157" s="145"/>
      <c r="NQ157" s="145"/>
      <c r="NR157" s="145"/>
      <c r="NS157" s="145"/>
    </row>
    <row r="158" spans="1:383" s="16" customFormat="1" ht="15" customHeight="1" x14ac:dyDescent="0.2">
      <c r="A158" s="15">
        <v>48200</v>
      </c>
      <c r="B158" s="25">
        <v>482</v>
      </c>
      <c r="C158" s="26">
        <v>0</v>
      </c>
      <c r="D158" s="20" t="s">
        <v>513</v>
      </c>
      <c r="E158" s="14">
        <v>40310</v>
      </c>
      <c r="F158" s="18">
        <v>-0.112682926829268</v>
      </c>
      <c r="G158" s="18">
        <v>-0.108</v>
      </c>
      <c r="H158" s="21">
        <v>70</v>
      </c>
      <c r="I158" s="21">
        <v>70</v>
      </c>
      <c r="J158" s="21">
        <v>0</v>
      </c>
      <c r="K158" s="18">
        <v>1</v>
      </c>
      <c r="L158" s="18">
        <v>99</v>
      </c>
      <c r="M158" s="18">
        <v>0</v>
      </c>
      <c r="N158" s="18">
        <v>0</v>
      </c>
      <c r="O158" s="18">
        <v>99</v>
      </c>
      <c r="P158" s="18">
        <v>0</v>
      </c>
      <c r="Q158" s="19"/>
      <c r="R158" s="18">
        <v>0</v>
      </c>
      <c r="S158" s="18">
        <v>0</v>
      </c>
      <c r="T158" s="18">
        <v>0</v>
      </c>
      <c r="U158" s="18">
        <v>0</v>
      </c>
      <c r="V158" s="18">
        <v>0</v>
      </c>
      <c r="W158" s="18">
        <v>0</v>
      </c>
      <c r="X158" s="18"/>
      <c r="Y158" s="18">
        <v>0</v>
      </c>
      <c r="Z158" s="18">
        <v>0</v>
      </c>
      <c r="AA158" s="18">
        <v>0</v>
      </c>
      <c r="AB158" s="18">
        <v>0</v>
      </c>
      <c r="AC158" s="18">
        <v>0</v>
      </c>
      <c r="AD158" s="18">
        <v>0</v>
      </c>
      <c r="AE158" s="18">
        <v>0</v>
      </c>
      <c r="AF158" s="18">
        <v>0</v>
      </c>
      <c r="AG158" s="18">
        <v>0</v>
      </c>
      <c r="AH158" s="18">
        <v>7777.7777777777774</v>
      </c>
      <c r="AI158" s="18">
        <v>0</v>
      </c>
      <c r="AJ158" s="18">
        <v>0</v>
      </c>
      <c r="AK158" s="18">
        <v>0</v>
      </c>
      <c r="AL158" s="18"/>
      <c r="AM158" s="18">
        <v>0</v>
      </c>
      <c r="AN158" s="18">
        <v>0</v>
      </c>
      <c r="AO158" s="18">
        <v>0</v>
      </c>
      <c r="AP158" s="18">
        <v>0</v>
      </c>
      <c r="AQ158" s="18">
        <v>0</v>
      </c>
      <c r="AR158" s="18">
        <v>0</v>
      </c>
      <c r="AS158" s="18">
        <v>0</v>
      </c>
      <c r="AT158" s="18">
        <v>0</v>
      </c>
      <c r="AU158" s="18">
        <v>0</v>
      </c>
      <c r="AV158" s="18">
        <v>0</v>
      </c>
      <c r="AW158" s="18">
        <v>0</v>
      </c>
      <c r="AX158" s="18"/>
      <c r="AY158" s="18">
        <v>1</v>
      </c>
      <c r="AZ158" s="18">
        <v>1</v>
      </c>
      <c r="BA158" s="18">
        <v>1</v>
      </c>
      <c r="BB158" s="18">
        <v>1</v>
      </c>
      <c r="BC158" s="18">
        <v>1</v>
      </c>
      <c r="BD158" s="18">
        <v>1</v>
      </c>
      <c r="BE158" s="18">
        <v>1</v>
      </c>
      <c r="BF158" s="18">
        <v>1</v>
      </c>
      <c r="BG158" s="18">
        <v>1</v>
      </c>
      <c r="BH158" s="18">
        <v>1</v>
      </c>
      <c r="BI158" s="18">
        <v>1</v>
      </c>
      <c r="BJ158" s="19"/>
      <c r="BK158" s="18">
        <v>0</v>
      </c>
      <c r="BL158" s="18">
        <v>0</v>
      </c>
      <c r="BM158" s="18">
        <v>100</v>
      </c>
      <c r="BN158" s="18">
        <v>0</v>
      </c>
      <c r="BO158" s="18"/>
      <c r="BP158" s="18">
        <v>0</v>
      </c>
      <c r="BQ158" s="18">
        <v>0</v>
      </c>
      <c r="BR158" s="18">
        <v>-0.11382113821138182</v>
      </c>
      <c r="BS158" s="18">
        <v>-0.10909090909090909</v>
      </c>
      <c r="BT158" s="19"/>
      <c r="BU158" s="18">
        <v>0</v>
      </c>
      <c r="BV158" s="18">
        <v>0</v>
      </c>
      <c r="BW158" s="18">
        <v>0</v>
      </c>
      <c r="BX158" s="18" t="s">
        <v>217</v>
      </c>
      <c r="BY158" s="18" t="s">
        <v>217</v>
      </c>
      <c r="BZ158" s="18" t="s">
        <v>217</v>
      </c>
      <c r="CA158" s="18" t="s">
        <v>217</v>
      </c>
      <c r="CB158" s="19"/>
      <c r="CC158" s="19">
        <v>0</v>
      </c>
      <c r="CD158" s="19">
        <v>0</v>
      </c>
      <c r="CE158" s="19">
        <v>0</v>
      </c>
      <c r="CF158" s="19">
        <v>0</v>
      </c>
      <c r="CG158" s="19">
        <v>0</v>
      </c>
      <c r="CH158" s="19">
        <v>0</v>
      </c>
      <c r="CI158" s="19">
        <v>0</v>
      </c>
      <c r="CJ158" s="19"/>
      <c r="CK158" s="19">
        <v>0</v>
      </c>
      <c r="CL158" s="19">
        <v>0</v>
      </c>
      <c r="CM158" s="19">
        <v>7699.9999999999991</v>
      </c>
      <c r="CN158" s="19">
        <v>0</v>
      </c>
      <c r="CO158" s="19">
        <v>0</v>
      </c>
      <c r="CP158" s="19">
        <v>0</v>
      </c>
      <c r="CQ158" s="19">
        <v>0</v>
      </c>
      <c r="CR158" s="19">
        <v>0</v>
      </c>
      <c r="CS158" s="19">
        <v>0</v>
      </c>
      <c r="CT158" s="19">
        <v>0</v>
      </c>
      <c r="CU158" s="19">
        <v>0</v>
      </c>
      <c r="CV158" s="19">
        <v>0</v>
      </c>
      <c r="CW158" s="19">
        <v>0</v>
      </c>
      <c r="CX158" s="19">
        <v>0</v>
      </c>
      <c r="CY158" s="19">
        <v>0</v>
      </c>
      <c r="CZ158" s="19">
        <v>0</v>
      </c>
      <c r="DA158" s="19">
        <v>0</v>
      </c>
      <c r="DB158" s="19">
        <v>0</v>
      </c>
      <c r="DC158" s="19">
        <v>0</v>
      </c>
      <c r="DD158" s="19">
        <v>0</v>
      </c>
      <c r="DE158" s="19">
        <v>0</v>
      </c>
      <c r="DF158" s="23">
        <v>0</v>
      </c>
      <c r="DG158" s="23">
        <v>0</v>
      </c>
      <c r="DH158" s="23">
        <v>0</v>
      </c>
      <c r="DI158" s="19">
        <v>0</v>
      </c>
      <c r="DJ158" s="19">
        <v>0</v>
      </c>
      <c r="DK158" s="19">
        <v>0</v>
      </c>
      <c r="DL158" s="19">
        <v>0</v>
      </c>
      <c r="DM158" s="19">
        <v>0</v>
      </c>
      <c r="DN158" s="19">
        <v>0</v>
      </c>
      <c r="DO158" s="19">
        <v>0</v>
      </c>
      <c r="DP158" s="19">
        <v>0</v>
      </c>
      <c r="DQ158" s="19">
        <v>0</v>
      </c>
      <c r="DR158" s="19">
        <v>0</v>
      </c>
      <c r="DS158" s="19">
        <v>0</v>
      </c>
      <c r="DT158" s="19">
        <v>0</v>
      </c>
      <c r="DU158" s="19">
        <v>0</v>
      </c>
      <c r="DV158" s="19">
        <v>0</v>
      </c>
      <c r="DW158" s="17" t="s">
        <v>218</v>
      </c>
      <c r="DX158" s="22" t="s">
        <v>218</v>
      </c>
      <c r="DY158" s="22" t="s">
        <v>218</v>
      </c>
      <c r="DZ158" s="22" t="s">
        <v>218</v>
      </c>
      <c r="EA158" s="22" t="s">
        <v>218</v>
      </c>
      <c r="EB158" s="22" t="s">
        <v>218</v>
      </c>
      <c r="EC158" s="22" t="s">
        <v>218</v>
      </c>
      <c r="ED158" s="22" t="s">
        <v>218</v>
      </c>
      <c r="EE158" s="22" t="s">
        <v>218</v>
      </c>
      <c r="EF158" s="22" t="s">
        <v>218</v>
      </c>
      <c r="EG158" s="22" t="s">
        <v>218</v>
      </c>
      <c r="EH158" s="22" t="s">
        <v>218</v>
      </c>
      <c r="EI158" s="22" t="s">
        <v>218</v>
      </c>
      <c r="EJ158" s="22" t="s">
        <v>218</v>
      </c>
      <c r="EK158" s="22" t="s">
        <v>218</v>
      </c>
      <c r="EL158" s="22" t="s">
        <v>218</v>
      </c>
      <c r="EM158" s="22" t="s">
        <v>218</v>
      </c>
      <c r="EN158" s="22" t="s">
        <v>218</v>
      </c>
      <c r="EO158" s="22" t="s">
        <v>218</v>
      </c>
      <c r="EP158" s="22" t="s">
        <v>218</v>
      </c>
      <c r="EQ158" s="22" t="s">
        <v>218</v>
      </c>
      <c r="ER158" s="22" t="s">
        <v>218</v>
      </c>
      <c r="ES158" s="22" t="s">
        <v>218</v>
      </c>
      <c r="ET158" s="22" t="s">
        <v>218</v>
      </c>
      <c r="EU158" s="22" t="s">
        <v>218</v>
      </c>
      <c r="EV158" s="22" t="s">
        <v>218</v>
      </c>
      <c r="EW158" s="22" t="s">
        <v>218</v>
      </c>
      <c r="EX158" s="22" t="s">
        <v>218</v>
      </c>
      <c r="EY158" s="22" t="s">
        <v>218</v>
      </c>
      <c r="EZ158" s="22" t="s">
        <v>218</v>
      </c>
      <c r="FA158" s="22" t="s">
        <v>218</v>
      </c>
      <c r="FB158" s="22" t="s">
        <v>218</v>
      </c>
      <c r="FC158" s="22" t="s">
        <v>218</v>
      </c>
      <c r="FD158" s="22" t="s">
        <v>218</v>
      </c>
      <c r="FE158" s="22" t="s">
        <v>218</v>
      </c>
      <c r="FF158" s="22" t="s">
        <v>218</v>
      </c>
      <c r="FG158" s="22" t="s">
        <v>218</v>
      </c>
      <c r="FH158" s="22" t="s">
        <v>218</v>
      </c>
      <c r="FI158" s="22" t="s">
        <v>218</v>
      </c>
      <c r="FJ158" s="22" t="s">
        <v>218</v>
      </c>
      <c r="FK158" s="22" t="s">
        <v>218</v>
      </c>
      <c r="FL158" s="22" t="s">
        <v>218</v>
      </c>
      <c r="FM158" s="22" t="s">
        <v>218</v>
      </c>
      <c r="FN158" s="22" t="s">
        <v>218</v>
      </c>
      <c r="FO158" s="22" t="s">
        <v>218</v>
      </c>
      <c r="FP158" s="22" t="s">
        <v>218</v>
      </c>
      <c r="FQ158" s="22" t="s">
        <v>218</v>
      </c>
      <c r="FR158" s="22" t="s">
        <v>218</v>
      </c>
      <c r="FS158" s="22" t="s">
        <v>218</v>
      </c>
      <c r="FT158" s="22" t="s">
        <v>218</v>
      </c>
      <c r="FU158" s="22" t="s">
        <v>218</v>
      </c>
      <c r="FV158" s="22" t="s">
        <v>218</v>
      </c>
      <c r="FW158" s="22" t="s">
        <v>218</v>
      </c>
      <c r="FX158" s="22" t="s">
        <v>218</v>
      </c>
      <c r="FY158" s="22" t="s">
        <v>218</v>
      </c>
      <c r="FZ158" s="22" t="s">
        <v>218</v>
      </c>
      <c r="GA158" s="22" t="s">
        <v>218</v>
      </c>
      <c r="GB158" s="22" t="s">
        <v>218</v>
      </c>
      <c r="GC158" s="22" t="s">
        <v>218</v>
      </c>
      <c r="GD158" s="22" t="s">
        <v>218</v>
      </c>
      <c r="GE158" s="22" t="s">
        <v>218</v>
      </c>
      <c r="GF158" s="22" t="s">
        <v>218</v>
      </c>
      <c r="GG158" s="22" t="s">
        <v>218</v>
      </c>
      <c r="GH158" s="22" t="s">
        <v>218</v>
      </c>
      <c r="GI158" s="22" t="s">
        <v>218</v>
      </c>
      <c r="GJ158" s="22" t="s">
        <v>218</v>
      </c>
      <c r="GK158" s="22" t="s">
        <v>218</v>
      </c>
      <c r="GL158" s="22" t="s">
        <v>218</v>
      </c>
      <c r="GM158" s="22" t="s">
        <v>218</v>
      </c>
      <c r="GN158" s="22" t="s">
        <v>218</v>
      </c>
      <c r="GO158" s="22" t="s">
        <v>218</v>
      </c>
      <c r="GP158" s="22" t="s">
        <v>218</v>
      </c>
      <c r="GQ158" s="22" t="s">
        <v>218</v>
      </c>
      <c r="GR158" s="22" t="s">
        <v>218</v>
      </c>
      <c r="GS158" s="22" t="s">
        <v>218</v>
      </c>
      <c r="GT158" s="22" t="s">
        <v>218</v>
      </c>
      <c r="GU158" s="22" t="s">
        <v>218</v>
      </c>
      <c r="GV158" s="22" t="s">
        <v>218</v>
      </c>
      <c r="GW158" s="22" t="s">
        <v>218</v>
      </c>
      <c r="GX158" s="22" t="s">
        <v>218</v>
      </c>
      <c r="GY158" s="22" t="s">
        <v>218</v>
      </c>
      <c r="GZ158" s="22" t="s">
        <v>218</v>
      </c>
      <c r="HA158" s="22" t="s">
        <v>218</v>
      </c>
      <c r="HB158" s="22" t="s">
        <v>218</v>
      </c>
      <c r="HC158" s="22" t="s">
        <v>218</v>
      </c>
      <c r="HD158" s="22" t="s">
        <v>218</v>
      </c>
      <c r="HE158" s="22" t="s">
        <v>218</v>
      </c>
      <c r="HF158" s="22" t="s">
        <v>218</v>
      </c>
      <c r="HG158" s="22" t="s">
        <v>218</v>
      </c>
      <c r="HH158" s="22" t="s">
        <v>218</v>
      </c>
      <c r="HI158" s="22" t="s">
        <v>218</v>
      </c>
      <c r="HJ158" s="22" t="s">
        <v>218</v>
      </c>
      <c r="HK158" s="22" t="s">
        <v>218</v>
      </c>
      <c r="HL158" s="22" t="s">
        <v>218</v>
      </c>
      <c r="HM158" s="860"/>
      <c r="HN158" s="860"/>
      <c r="HO158" s="860"/>
      <c r="HP158" s="860"/>
      <c r="HQ158" s="860"/>
      <c r="HR158" s="860"/>
      <c r="HS158" s="860"/>
      <c r="HT158" s="145"/>
      <c r="HU158" s="145" t="s">
        <v>1809</v>
      </c>
      <c r="HV158" s="22" t="s">
        <v>1926</v>
      </c>
      <c r="HW158" s="22">
        <v>0</v>
      </c>
      <c r="HX158" s="22">
        <v>0</v>
      </c>
      <c r="HY158" s="22">
        <v>0</v>
      </c>
      <c r="HZ158" s="19"/>
      <c r="IA158" s="19"/>
      <c r="IB158" s="621">
        <f>'background data'!$G$10</f>
        <v>0.47300000000000003</v>
      </c>
      <c r="IC158" s="621">
        <f>'background data'!$H$10</f>
        <v>0.13</v>
      </c>
      <c r="ID158" s="621">
        <f>'background data'!$J$10</f>
        <v>0.39100000000000001</v>
      </c>
      <c r="IE158" s="621">
        <f>'background data'!$L$10</f>
        <v>5.5E-2</v>
      </c>
      <c r="IF158" s="621">
        <f>'background data'!$M$10</f>
        <v>3.97</v>
      </c>
      <c r="IG158" s="621">
        <f>'background data'!$N$10</f>
        <v>4.5999999999999999E-3</v>
      </c>
      <c r="IH158" s="621">
        <f>'background data'!$O$10</f>
        <v>2.73</v>
      </c>
      <c r="II158" s="145"/>
      <c r="IJ158" s="145"/>
      <c r="IK158" s="145"/>
      <c r="IL158" s="145"/>
      <c r="IM158" s="145"/>
      <c r="IN158" s="145"/>
      <c r="IO158" s="145"/>
      <c r="IP158" s="145"/>
      <c r="IQ158" s="145"/>
      <c r="IR158" s="145"/>
      <c r="IS158" s="145"/>
      <c r="IT158" s="145"/>
      <c r="IU158" s="145"/>
      <c r="IV158" s="145"/>
      <c r="IW158" s="145"/>
      <c r="IX158" s="145"/>
      <c r="IY158" s="145"/>
      <c r="IZ158" s="145"/>
      <c r="JA158" s="145"/>
      <c r="JB158" s="145"/>
      <c r="JC158" s="145"/>
      <c r="JD158" s="145"/>
      <c r="JE158" s="145"/>
      <c r="JF158" s="145"/>
      <c r="JG158" s="145"/>
      <c r="JH158" s="145"/>
      <c r="JI158" s="145"/>
      <c r="JJ158" s="145"/>
      <c r="JK158" s="145"/>
      <c r="JL158" s="145"/>
      <c r="JM158" s="145"/>
      <c r="JN158" s="145"/>
      <c r="JO158" s="145"/>
      <c r="JP158" s="145"/>
      <c r="JQ158" s="145"/>
      <c r="JR158" s="145"/>
      <c r="JS158" s="145"/>
      <c r="JT158" s="145"/>
      <c r="JU158" s="145"/>
      <c r="JV158" s="145"/>
      <c r="JW158" s="145"/>
      <c r="JX158" s="145"/>
      <c r="JY158" s="145"/>
      <c r="JZ158" s="145"/>
      <c r="KA158" s="145"/>
      <c r="KB158" s="145"/>
      <c r="KC158" s="145"/>
      <c r="KD158" s="145"/>
      <c r="KE158" s="145"/>
      <c r="KF158" s="145"/>
      <c r="KG158" s="145"/>
      <c r="KH158" s="145"/>
      <c r="KI158" s="145"/>
      <c r="KJ158" s="145"/>
      <c r="KK158" s="145"/>
      <c r="KL158" s="145"/>
      <c r="KM158" s="145"/>
      <c r="KN158" s="145"/>
      <c r="KO158" s="145"/>
      <c r="KP158" s="145"/>
      <c r="KQ158" s="145"/>
      <c r="KR158" s="145"/>
      <c r="KS158" s="145"/>
      <c r="KT158" s="145"/>
      <c r="KU158" s="145"/>
      <c r="KV158" s="145"/>
      <c r="KW158" s="145"/>
      <c r="KX158" s="145"/>
      <c r="KY158" s="145"/>
      <c r="KZ158" s="145"/>
      <c r="LA158" s="145"/>
      <c r="LB158" s="145"/>
      <c r="LC158" s="145"/>
      <c r="LD158" s="145"/>
      <c r="LE158" s="145"/>
      <c r="LF158" s="145"/>
      <c r="LG158" s="145"/>
      <c r="LH158" s="145"/>
      <c r="LI158" s="145"/>
      <c r="LJ158" s="145"/>
      <c r="LK158" s="145"/>
      <c r="LL158" s="145"/>
      <c r="LM158" s="145"/>
      <c r="LN158" s="145"/>
      <c r="LO158" s="145"/>
      <c r="LP158" s="145"/>
      <c r="LQ158" s="145"/>
      <c r="LR158" s="145"/>
      <c r="LS158" s="145"/>
      <c r="LT158" s="145"/>
      <c r="LU158" s="145"/>
      <c r="LV158" s="145"/>
      <c r="LW158" s="145"/>
      <c r="LX158" s="145"/>
      <c r="LY158" s="145"/>
      <c r="LZ158" s="145"/>
      <c r="MA158" s="145"/>
      <c r="MB158" s="145"/>
      <c r="MC158" s="145"/>
      <c r="MD158" s="145"/>
      <c r="ME158" s="145"/>
      <c r="MF158" s="145"/>
      <c r="MG158" s="145"/>
      <c r="MH158" s="145"/>
      <c r="MI158" s="145"/>
      <c r="MJ158" s="145"/>
      <c r="MK158" s="145"/>
      <c r="ML158" s="145"/>
      <c r="MM158" s="145"/>
      <c r="MN158" s="145"/>
      <c r="MO158" s="145"/>
      <c r="MP158" s="145"/>
      <c r="MQ158" s="145"/>
      <c r="MR158" s="145"/>
      <c r="MS158" s="145"/>
      <c r="MT158" s="145"/>
      <c r="MU158" s="145"/>
      <c r="MV158" s="145"/>
      <c r="MW158" s="145"/>
      <c r="MX158" s="145"/>
      <c r="MY158" s="145"/>
      <c r="MZ158" s="145"/>
      <c r="NA158" s="145"/>
      <c r="NB158" s="145"/>
      <c r="NC158" s="145"/>
      <c r="ND158" s="145"/>
      <c r="NE158" s="145"/>
      <c r="NF158" s="145"/>
      <c r="NG158" s="145"/>
      <c r="NH158" s="145"/>
      <c r="NI158" s="145"/>
      <c r="NJ158" s="145"/>
      <c r="NK158" s="145"/>
      <c r="NL158" s="145"/>
      <c r="NM158" s="145"/>
      <c r="NN158" s="145"/>
      <c r="NO158" s="145"/>
      <c r="NP158" s="145"/>
      <c r="NQ158" s="145"/>
      <c r="NR158" s="145"/>
      <c r="NS158" s="145"/>
    </row>
    <row r="159" spans="1:383" s="16" customFormat="1" ht="15" customHeight="1" x14ac:dyDescent="0.2">
      <c r="A159" s="15">
        <v>48800</v>
      </c>
      <c r="B159" s="25">
        <v>488</v>
      </c>
      <c r="C159" s="26">
        <v>0</v>
      </c>
      <c r="D159" s="20" t="s">
        <v>514</v>
      </c>
      <c r="E159" s="14">
        <v>40310</v>
      </c>
      <c r="F159" s="18">
        <v>-0.112682926829268</v>
      </c>
      <c r="G159" s="18">
        <v>-0.108</v>
      </c>
      <c r="H159" s="21">
        <v>70</v>
      </c>
      <c r="I159" s="21">
        <v>70</v>
      </c>
      <c r="J159" s="21">
        <v>0</v>
      </c>
      <c r="K159" s="18">
        <v>1</v>
      </c>
      <c r="L159" s="18">
        <v>99</v>
      </c>
      <c r="M159" s="18">
        <v>0</v>
      </c>
      <c r="N159" s="18">
        <v>0</v>
      </c>
      <c r="O159" s="18">
        <v>99</v>
      </c>
      <c r="P159" s="18">
        <v>0</v>
      </c>
      <c r="Q159" s="19"/>
      <c r="R159" s="18">
        <v>0</v>
      </c>
      <c r="S159" s="18">
        <v>0</v>
      </c>
      <c r="T159" s="18">
        <v>0</v>
      </c>
      <c r="U159" s="18">
        <v>0</v>
      </c>
      <c r="V159" s="18">
        <v>0</v>
      </c>
      <c r="W159" s="18">
        <v>0</v>
      </c>
      <c r="X159" s="18"/>
      <c r="Y159" s="18">
        <v>0</v>
      </c>
      <c r="Z159" s="18">
        <v>0</v>
      </c>
      <c r="AA159" s="18">
        <v>0</v>
      </c>
      <c r="AB159" s="18">
        <v>0</v>
      </c>
      <c r="AC159" s="18">
        <v>0</v>
      </c>
      <c r="AD159" s="18">
        <v>0</v>
      </c>
      <c r="AE159" s="18">
        <v>0</v>
      </c>
      <c r="AF159" s="18">
        <v>0</v>
      </c>
      <c r="AG159" s="18">
        <v>0</v>
      </c>
      <c r="AH159" s="18">
        <v>3333.3333333333335</v>
      </c>
      <c r="AI159" s="18">
        <v>0</v>
      </c>
      <c r="AJ159" s="18">
        <v>0</v>
      </c>
      <c r="AK159" s="18">
        <v>0</v>
      </c>
      <c r="AL159" s="18"/>
      <c r="AM159" s="18">
        <v>0</v>
      </c>
      <c r="AN159" s="18">
        <v>0</v>
      </c>
      <c r="AO159" s="18">
        <v>0</v>
      </c>
      <c r="AP159" s="18">
        <v>0</v>
      </c>
      <c r="AQ159" s="18">
        <v>0</v>
      </c>
      <c r="AR159" s="18">
        <v>0</v>
      </c>
      <c r="AS159" s="18">
        <v>0</v>
      </c>
      <c r="AT159" s="18">
        <v>0</v>
      </c>
      <c r="AU159" s="18">
        <v>0</v>
      </c>
      <c r="AV159" s="18">
        <v>0</v>
      </c>
      <c r="AW159" s="18">
        <v>0</v>
      </c>
      <c r="AX159" s="18"/>
      <c r="AY159" s="18">
        <v>1</v>
      </c>
      <c r="AZ159" s="18">
        <v>1</v>
      </c>
      <c r="BA159" s="18">
        <v>1</v>
      </c>
      <c r="BB159" s="18">
        <v>1</v>
      </c>
      <c r="BC159" s="18">
        <v>1</v>
      </c>
      <c r="BD159" s="18">
        <v>1</v>
      </c>
      <c r="BE159" s="18">
        <v>1</v>
      </c>
      <c r="BF159" s="18">
        <v>1</v>
      </c>
      <c r="BG159" s="18">
        <v>1</v>
      </c>
      <c r="BH159" s="18">
        <v>1</v>
      </c>
      <c r="BI159" s="18">
        <v>1</v>
      </c>
      <c r="BJ159" s="19"/>
      <c r="BK159" s="18">
        <v>0</v>
      </c>
      <c r="BL159" s="18">
        <v>0</v>
      </c>
      <c r="BM159" s="18">
        <v>100</v>
      </c>
      <c r="BN159" s="18">
        <v>0</v>
      </c>
      <c r="BO159" s="18"/>
      <c r="BP159" s="18">
        <v>0</v>
      </c>
      <c r="BQ159" s="18">
        <v>0</v>
      </c>
      <c r="BR159" s="18">
        <v>-0.11382113821138182</v>
      </c>
      <c r="BS159" s="18">
        <v>-0.10909090909090909</v>
      </c>
      <c r="BT159" s="19"/>
      <c r="BU159" s="18">
        <v>0</v>
      </c>
      <c r="BV159" s="18">
        <v>0</v>
      </c>
      <c r="BW159" s="18">
        <v>0</v>
      </c>
      <c r="BX159" s="18" t="s">
        <v>217</v>
      </c>
      <c r="BY159" s="18" t="s">
        <v>217</v>
      </c>
      <c r="BZ159" s="18" t="s">
        <v>217</v>
      </c>
      <c r="CA159" s="18" t="s">
        <v>217</v>
      </c>
      <c r="CB159" s="19"/>
      <c r="CC159" s="19">
        <v>0</v>
      </c>
      <c r="CD159" s="19">
        <v>0</v>
      </c>
      <c r="CE159" s="19">
        <v>0</v>
      </c>
      <c r="CF159" s="19">
        <v>0</v>
      </c>
      <c r="CG159" s="19">
        <v>0</v>
      </c>
      <c r="CH159" s="19">
        <v>0</v>
      </c>
      <c r="CI159" s="19">
        <v>0</v>
      </c>
      <c r="CJ159" s="19"/>
      <c r="CK159" s="19">
        <v>0</v>
      </c>
      <c r="CL159" s="19">
        <v>0</v>
      </c>
      <c r="CM159" s="19">
        <v>3300</v>
      </c>
      <c r="CN159" s="19">
        <v>0</v>
      </c>
      <c r="CO159" s="19">
        <v>0</v>
      </c>
      <c r="CP159" s="19">
        <v>0</v>
      </c>
      <c r="CQ159" s="19">
        <v>0</v>
      </c>
      <c r="CR159" s="19">
        <v>0</v>
      </c>
      <c r="CS159" s="19">
        <v>0</v>
      </c>
      <c r="CT159" s="19">
        <v>0</v>
      </c>
      <c r="CU159" s="19">
        <v>0</v>
      </c>
      <c r="CV159" s="19">
        <v>0</v>
      </c>
      <c r="CW159" s="19">
        <v>0</v>
      </c>
      <c r="CX159" s="19">
        <v>0</v>
      </c>
      <c r="CY159" s="19">
        <v>0</v>
      </c>
      <c r="CZ159" s="19">
        <v>0</v>
      </c>
      <c r="DA159" s="19">
        <v>0</v>
      </c>
      <c r="DB159" s="19">
        <v>0</v>
      </c>
      <c r="DC159" s="19">
        <v>0</v>
      </c>
      <c r="DD159" s="19">
        <v>0</v>
      </c>
      <c r="DE159" s="19">
        <v>0</v>
      </c>
      <c r="DF159" s="23">
        <v>0</v>
      </c>
      <c r="DG159" s="23">
        <v>0</v>
      </c>
      <c r="DH159" s="23">
        <v>0</v>
      </c>
      <c r="DI159" s="19">
        <v>0</v>
      </c>
      <c r="DJ159" s="19">
        <v>0</v>
      </c>
      <c r="DK159" s="19">
        <v>0</v>
      </c>
      <c r="DL159" s="19">
        <v>0</v>
      </c>
      <c r="DM159" s="19">
        <v>0</v>
      </c>
      <c r="DN159" s="19">
        <v>0</v>
      </c>
      <c r="DO159" s="19">
        <v>0</v>
      </c>
      <c r="DP159" s="19">
        <v>0</v>
      </c>
      <c r="DQ159" s="19">
        <v>0</v>
      </c>
      <c r="DR159" s="19">
        <v>0</v>
      </c>
      <c r="DS159" s="19">
        <v>0</v>
      </c>
      <c r="DT159" s="19">
        <v>0</v>
      </c>
      <c r="DU159" s="19">
        <v>0</v>
      </c>
      <c r="DV159" s="19">
        <v>0</v>
      </c>
      <c r="DW159" s="17" t="s">
        <v>218</v>
      </c>
      <c r="DX159" s="22" t="s">
        <v>218</v>
      </c>
      <c r="DY159" s="22" t="s">
        <v>218</v>
      </c>
      <c r="DZ159" s="22" t="s">
        <v>218</v>
      </c>
      <c r="EA159" s="22" t="s">
        <v>218</v>
      </c>
      <c r="EB159" s="22" t="s">
        <v>218</v>
      </c>
      <c r="EC159" s="22" t="s">
        <v>218</v>
      </c>
      <c r="ED159" s="22" t="s">
        <v>218</v>
      </c>
      <c r="EE159" s="22" t="s">
        <v>218</v>
      </c>
      <c r="EF159" s="22" t="s">
        <v>218</v>
      </c>
      <c r="EG159" s="22" t="s">
        <v>218</v>
      </c>
      <c r="EH159" s="22" t="s">
        <v>218</v>
      </c>
      <c r="EI159" s="22" t="s">
        <v>218</v>
      </c>
      <c r="EJ159" s="22" t="s">
        <v>218</v>
      </c>
      <c r="EK159" s="22" t="s">
        <v>218</v>
      </c>
      <c r="EL159" s="22" t="s">
        <v>218</v>
      </c>
      <c r="EM159" s="22" t="s">
        <v>218</v>
      </c>
      <c r="EN159" s="22" t="s">
        <v>218</v>
      </c>
      <c r="EO159" s="22" t="s">
        <v>218</v>
      </c>
      <c r="EP159" s="22" t="s">
        <v>218</v>
      </c>
      <c r="EQ159" s="22" t="s">
        <v>218</v>
      </c>
      <c r="ER159" s="22" t="s">
        <v>218</v>
      </c>
      <c r="ES159" s="22" t="s">
        <v>218</v>
      </c>
      <c r="ET159" s="22" t="s">
        <v>218</v>
      </c>
      <c r="EU159" s="22" t="s">
        <v>218</v>
      </c>
      <c r="EV159" s="22" t="s">
        <v>218</v>
      </c>
      <c r="EW159" s="22" t="s">
        <v>218</v>
      </c>
      <c r="EX159" s="22" t="s">
        <v>218</v>
      </c>
      <c r="EY159" s="22" t="s">
        <v>218</v>
      </c>
      <c r="EZ159" s="22" t="s">
        <v>218</v>
      </c>
      <c r="FA159" s="22" t="s">
        <v>218</v>
      </c>
      <c r="FB159" s="22" t="s">
        <v>218</v>
      </c>
      <c r="FC159" s="22" t="s">
        <v>218</v>
      </c>
      <c r="FD159" s="22" t="s">
        <v>218</v>
      </c>
      <c r="FE159" s="22" t="s">
        <v>218</v>
      </c>
      <c r="FF159" s="22" t="s">
        <v>218</v>
      </c>
      <c r="FG159" s="22" t="s">
        <v>218</v>
      </c>
      <c r="FH159" s="22" t="s">
        <v>218</v>
      </c>
      <c r="FI159" s="22" t="s">
        <v>218</v>
      </c>
      <c r="FJ159" s="22" t="s">
        <v>218</v>
      </c>
      <c r="FK159" s="22" t="s">
        <v>218</v>
      </c>
      <c r="FL159" s="22" t="s">
        <v>218</v>
      </c>
      <c r="FM159" s="22" t="s">
        <v>218</v>
      </c>
      <c r="FN159" s="22" t="s">
        <v>218</v>
      </c>
      <c r="FO159" s="22" t="s">
        <v>218</v>
      </c>
      <c r="FP159" s="22" t="s">
        <v>218</v>
      </c>
      <c r="FQ159" s="22" t="s">
        <v>218</v>
      </c>
      <c r="FR159" s="22" t="s">
        <v>218</v>
      </c>
      <c r="FS159" s="22" t="s">
        <v>218</v>
      </c>
      <c r="FT159" s="22" t="s">
        <v>218</v>
      </c>
      <c r="FU159" s="22" t="s">
        <v>218</v>
      </c>
      <c r="FV159" s="22" t="s">
        <v>218</v>
      </c>
      <c r="FW159" s="22" t="s">
        <v>218</v>
      </c>
      <c r="FX159" s="22" t="s">
        <v>218</v>
      </c>
      <c r="FY159" s="22" t="s">
        <v>218</v>
      </c>
      <c r="FZ159" s="22" t="s">
        <v>218</v>
      </c>
      <c r="GA159" s="22" t="s">
        <v>218</v>
      </c>
      <c r="GB159" s="22" t="s">
        <v>218</v>
      </c>
      <c r="GC159" s="22" t="s">
        <v>218</v>
      </c>
      <c r="GD159" s="22" t="s">
        <v>218</v>
      </c>
      <c r="GE159" s="22" t="s">
        <v>218</v>
      </c>
      <c r="GF159" s="22" t="s">
        <v>218</v>
      </c>
      <c r="GG159" s="22" t="s">
        <v>218</v>
      </c>
      <c r="GH159" s="22" t="s">
        <v>218</v>
      </c>
      <c r="GI159" s="22" t="s">
        <v>218</v>
      </c>
      <c r="GJ159" s="22" t="s">
        <v>218</v>
      </c>
      <c r="GK159" s="22" t="s">
        <v>218</v>
      </c>
      <c r="GL159" s="22" t="s">
        <v>218</v>
      </c>
      <c r="GM159" s="22" t="s">
        <v>218</v>
      </c>
      <c r="GN159" s="22" t="s">
        <v>218</v>
      </c>
      <c r="GO159" s="22" t="s">
        <v>218</v>
      </c>
      <c r="GP159" s="22" t="s">
        <v>218</v>
      </c>
      <c r="GQ159" s="22" t="s">
        <v>218</v>
      </c>
      <c r="GR159" s="22" t="s">
        <v>218</v>
      </c>
      <c r="GS159" s="22" t="s">
        <v>218</v>
      </c>
      <c r="GT159" s="22" t="s">
        <v>218</v>
      </c>
      <c r="GU159" s="22" t="s">
        <v>218</v>
      </c>
      <c r="GV159" s="22" t="s">
        <v>218</v>
      </c>
      <c r="GW159" s="22" t="s">
        <v>218</v>
      </c>
      <c r="GX159" s="22" t="s">
        <v>218</v>
      </c>
      <c r="GY159" s="22" t="s">
        <v>218</v>
      </c>
      <c r="GZ159" s="22" t="s">
        <v>218</v>
      </c>
      <c r="HA159" s="22" t="s">
        <v>218</v>
      </c>
      <c r="HB159" s="22" t="s">
        <v>218</v>
      </c>
      <c r="HC159" s="22" t="s">
        <v>218</v>
      </c>
      <c r="HD159" s="22" t="s">
        <v>218</v>
      </c>
      <c r="HE159" s="22" t="s">
        <v>218</v>
      </c>
      <c r="HF159" s="22" t="s">
        <v>218</v>
      </c>
      <c r="HG159" s="22" t="s">
        <v>218</v>
      </c>
      <c r="HH159" s="22" t="s">
        <v>218</v>
      </c>
      <c r="HI159" s="22" t="s">
        <v>218</v>
      </c>
      <c r="HJ159" s="22" t="s">
        <v>218</v>
      </c>
      <c r="HK159" s="22" t="s">
        <v>218</v>
      </c>
      <c r="HL159" s="22" t="s">
        <v>218</v>
      </c>
      <c r="HM159" s="860"/>
      <c r="HN159" s="860"/>
      <c r="HO159" s="860"/>
      <c r="HP159" s="860"/>
      <c r="HQ159" s="860"/>
      <c r="HR159" s="860"/>
      <c r="HS159" s="860"/>
      <c r="HT159" s="145"/>
      <c r="HU159" s="145" t="s">
        <v>1809</v>
      </c>
      <c r="HV159" s="22" t="s">
        <v>1926</v>
      </c>
      <c r="HW159" s="22">
        <v>0</v>
      </c>
      <c r="HX159" s="22">
        <v>0</v>
      </c>
      <c r="HY159" s="22">
        <v>0</v>
      </c>
      <c r="HZ159" s="19"/>
      <c r="IA159" s="19"/>
      <c r="IB159" s="621">
        <f>'background data'!$G$10</f>
        <v>0.47300000000000003</v>
      </c>
      <c r="IC159" s="621">
        <f>'background data'!$H$10</f>
        <v>0.13</v>
      </c>
      <c r="ID159" s="621">
        <f>'background data'!$J$10</f>
        <v>0.39100000000000001</v>
      </c>
      <c r="IE159" s="621">
        <f>'background data'!$L$10</f>
        <v>5.5E-2</v>
      </c>
      <c r="IF159" s="621">
        <f>'background data'!$M$10</f>
        <v>3.97</v>
      </c>
      <c r="IG159" s="621">
        <f>'background data'!$N$10</f>
        <v>4.5999999999999999E-3</v>
      </c>
      <c r="IH159" s="621">
        <f>'background data'!$O$10</f>
        <v>2.73</v>
      </c>
      <c r="II159" s="145"/>
      <c r="IJ159" s="145"/>
      <c r="IK159" s="145"/>
      <c r="IL159" s="145"/>
      <c r="IM159" s="145"/>
      <c r="IN159" s="145"/>
      <c r="IO159" s="145"/>
      <c r="IP159" s="145"/>
      <c r="IQ159" s="145"/>
      <c r="IR159" s="145"/>
      <c r="IS159" s="145"/>
      <c r="IT159" s="145"/>
      <c r="IU159" s="145"/>
      <c r="IV159" s="145"/>
      <c r="IW159" s="145"/>
      <c r="IX159" s="145"/>
      <c r="IY159" s="145"/>
      <c r="IZ159" s="145"/>
      <c r="JA159" s="145"/>
      <c r="JB159" s="145"/>
      <c r="JC159" s="145"/>
      <c r="JD159" s="145"/>
      <c r="JE159" s="145"/>
      <c r="JF159" s="145"/>
      <c r="JG159" s="145"/>
      <c r="JH159" s="145"/>
      <c r="JI159" s="145"/>
      <c r="JJ159" s="145"/>
      <c r="JK159" s="145"/>
      <c r="JL159" s="145"/>
      <c r="JM159" s="145"/>
      <c r="JN159" s="145"/>
      <c r="JO159" s="145"/>
      <c r="JP159" s="145"/>
      <c r="JQ159" s="145"/>
      <c r="JR159" s="145"/>
      <c r="JS159" s="145"/>
      <c r="JT159" s="145"/>
      <c r="JU159" s="145"/>
      <c r="JV159" s="145"/>
      <c r="JW159" s="145"/>
      <c r="JX159" s="145"/>
      <c r="JY159" s="145"/>
      <c r="JZ159" s="145"/>
      <c r="KA159" s="145"/>
      <c r="KB159" s="145"/>
      <c r="KC159" s="145"/>
      <c r="KD159" s="145"/>
      <c r="KE159" s="145"/>
      <c r="KF159" s="145"/>
      <c r="KG159" s="145"/>
      <c r="KH159" s="145"/>
      <c r="KI159" s="145"/>
      <c r="KJ159" s="145"/>
      <c r="KK159" s="145"/>
      <c r="KL159" s="145"/>
      <c r="KM159" s="145"/>
      <c r="KN159" s="145"/>
      <c r="KO159" s="145"/>
      <c r="KP159" s="145"/>
      <c r="KQ159" s="145"/>
      <c r="KR159" s="145"/>
      <c r="KS159" s="145"/>
      <c r="KT159" s="145"/>
      <c r="KU159" s="145"/>
      <c r="KV159" s="145"/>
      <c r="KW159" s="145"/>
      <c r="KX159" s="145"/>
      <c r="KY159" s="145"/>
      <c r="KZ159" s="145"/>
      <c r="LA159" s="145"/>
      <c r="LB159" s="145"/>
      <c r="LC159" s="145"/>
      <c r="LD159" s="145"/>
      <c r="LE159" s="145"/>
      <c r="LF159" s="145"/>
      <c r="LG159" s="145"/>
      <c r="LH159" s="145"/>
      <c r="LI159" s="145"/>
      <c r="LJ159" s="145"/>
      <c r="LK159" s="145"/>
      <c r="LL159" s="145"/>
      <c r="LM159" s="145"/>
      <c r="LN159" s="145"/>
      <c r="LO159" s="145"/>
      <c r="LP159" s="145"/>
      <c r="LQ159" s="145"/>
      <c r="LR159" s="145"/>
      <c r="LS159" s="145"/>
      <c r="LT159" s="145"/>
      <c r="LU159" s="145"/>
      <c r="LV159" s="145"/>
      <c r="LW159" s="145"/>
      <c r="LX159" s="145"/>
      <c r="LY159" s="145"/>
      <c r="LZ159" s="145"/>
      <c r="MA159" s="145"/>
      <c r="MB159" s="145"/>
      <c r="MC159" s="145"/>
      <c r="MD159" s="145"/>
      <c r="ME159" s="145"/>
      <c r="MF159" s="145"/>
      <c r="MG159" s="145"/>
      <c r="MH159" s="145"/>
      <c r="MI159" s="145"/>
      <c r="MJ159" s="145"/>
      <c r="MK159" s="145"/>
      <c r="ML159" s="145"/>
      <c r="MM159" s="145"/>
      <c r="MN159" s="145"/>
      <c r="MO159" s="145"/>
      <c r="MP159" s="145"/>
      <c r="MQ159" s="145"/>
      <c r="MR159" s="145"/>
      <c r="MS159" s="145"/>
      <c r="MT159" s="145"/>
      <c r="MU159" s="145"/>
      <c r="MV159" s="145"/>
      <c r="MW159" s="145"/>
      <c r="MX159" s="145"/>
      <c r="MY159" s="145"/>
      <c r="MZ159" s="145"/>
      <c r="NA159" s="145"/>
      <c r="NB159" s="145"/>
      <c r="NC159" s="145"/>
      <c r="ND159" s="145"/>
      <c r="NE159" s="145"/>
      <c r="NF159" s="145"/>
      <c r="NG159" s="145"/>
      <c r="NH159" s="145"/>
      <c r="NI159" s="145"/>
      <c r="NJ159" s="145"/>
      <c r="NK159" s="145"/>
      <c r="NL159" s="145"/>
      <c r="NM159" s="145"/>
      <c r="NN159" s="145"/>
      <c r="NO159" s="145"/>
      <c r="NP159" s="145"/>
      <c r="NQ159" s="145"/>
      <c r="NR159" s="145"/>
      <c r="NS159" s="145"/>
    </row>
    <row r="160" spans="1:383" s="16" customFormat="1" ht="15" customHeight="1" x14ac:dyDescent="0.2">
      <c r="A160" s="15">
        <v>48300</v>
      </c>
      <c r="B160" s="25">
        <v>483</v>
      </c>
      <c r="C160" s="26">
        <v>0</v>
      </c>
      <c r="D160" s="20" t="s">
        <v>515</v>
      </c>
      <c r="E160" s="14">
        <v>40310</v>
      </c>
      <c r="F160" s="18">
        <v>-0.112682926829268</v>
      </c>
      <c r="G160" s="18">
        <v>-0.108</v>
      </c>
      <c r="H160" s="21">
        <v>70</v>
      </c>
      <c r="I160" s="21">
        <v>70</v>
      </c>
      <c r="J160" s="21">
        <v>0</v>
      </c>
      <c r="K160" s="18">
        <v>1</v>
      </c>
      <c r="L160" s="18">
        <v>99</v>
      </c>
      <c r="M160" s="18">
        <v>0</v>
      </c>
      <c r="N160" s="18">
        <v>0</v>
      </c>
      <c r="O160" s="18">
        <v>99</v>
      </c>
      <c r="P160" s="18">
        <v>0</v>
      </c>
      <c r="Q160" s="19"/>
      <c r="R160" s="18">
        <v>0</v>
      </c>
      <c r="S160" s="18">
        <v>0</v>
      </c>
      <c r="T160" s="18">
        <v>0</v>
      </c>
      <c r="U160" s="18">
        <v>0</v>
      </c>
      <c r="V160" s="18">
        <v>0</v>
      </c>
      <c r="W160" s="18">
        <v>0</v>
      </c>
      <c r="X160" s="18"/>
      <c r="Y160" s="18">
        <v>0</v>
      </c>
      <c r="Z160" s="18">
        <v>0</v>
      </c>
      <c r="AA160" s="18">
        <v>0</v>
      </c>
      <c r="AB160" s="18">
        <v>0</v>
      </c>
      <c r="AC160" s="18">
        <v>0</v>
      </c>
      <c r="AD160" s="18">
        <v>0</v>
      </c>
      <c r="AE160" s="18">
        <v>0</v>
      </c>
      <c r="AF160" s="18">
        <v>0</v>
      </c>
      <c r="AG160" s="18">
        <v>0</v>
      </c>
      <c r="AH160" s="18">
        <v>2525.2525252525352</v>
      </c>
      <c r="AI160" s="18">
        <v>0</v>
      </c>
      <c r="AJ160" s="18">
        <v>0</v>
      </c>
      <c r="AK160" s="18">
        <v>0</v>
      </c>
      <c r="AL160" s="18"/>
      <c r="AM160" s="18">
        <v>0</v>
      </c>
      <c r="AN160" s="18">
        <v>0</v>
      </c>
      <c r="AO160" s="18">
        <v>0</v>
      </c>
      <c r="AP160" s="18">
        <v>0</v>
      </c>
      <c r="AQ160" s="18">
        <v>0</v>
      </c>
      <c r="AR160" s="18">
        <v>0</v>
      </c>
      <c r="AS160" s="18">
        <v>0</v>
      </c>
      <c r="AT160" s="18">
        <v>0</v>
      </c>
      <c r="AU160" s="18">
        <v>0</v>
      </c>
      <c r="AV160" s="18">
        <v>0</v>
      </c>
      <c r="AW160" s="18">
        <v>0</v>
      </c>
      <c r="AX160" s="18"/>
      <c r="AY160" s="18">
        <v>1</v>
      </c>
      <c r="AZ160" s="18">
        <v>1</v>
      </c>
      <c r="BA160" s="18">
        <v>1</v>
      </c>
      <c r="BB160" s="18">
        <v>1</v>
      </c>
      <c r="BC160" s="18">
        <v>1</v>
      </c>
      <c r="BD160" s="18">
        <v>1</v>
      </c>
      <c r="BE160" s="18">
        <v>1</v>
      </c>
      <c r="BF160" s="18">
        <v>1</v>
      </c>
      <c r="BG160" s="18">
        <v>1</v>
      </c>
      <c r="BH160" s="18">
        <v>1</v>
      </c>
      <c r="BI160" s="18">
        <v>1</v>
      </c>
      <c r="BJ160" s="19"/>
      <c r="BK160" s="18">
        <v>0</v>
      </c>
      <c r="BL160" s="18">
        <v>0</v>
      </c>
      <c r="BM160" s="18">
        <v>100</v>
      </c>
      <c r="BN160" s="18">
        <v>0</v>
      </c>
      <c r="BO160" s="18"/>
      <c r="BP160" s="18">
        <v>0</v>
      </c>
      <c r="BQ160" s="18">
        <v>0</v>
      </c>
      <c r="BR160" s="18">
        <v>-0.11382113821138182</v>
      </c>
      <c r="BS160" s="18">
        <v>-0.10909090909090909</v>
      </c>
      <c r="BT160" s="19"/>
      <c r="BU160" s="18">
        <v>0</v>
      </c>
      <c r="BV160" s="18">
        <v>0</v>
      </c>
      <c r="BW160" s="18">
        <v>0</v>
      </c>
      <c r="BX160" s="18" t="s">
        <v>217</v>
      </c>
      <c r="BY160" s="18" t="s">
        <v>217</v>
      </c>
      <c r="BZ160" s="18" t="s">
        <v>217</v>
      </c>
      <c r="CA160" s="18" t="s">
        <v>217</v>
      </c>
      <c r="CB160" s="19"/>
      <c r="CC160" s="19">
        <v>0</v>
      </c>
      <c r="CD160" s="19">
        <v>0</v>
      </c>
      <c r="CE160" s="19">
        <v>0</v>
      </c>
      <c r="CF160" s="19">
        <v>0</v>
      </c>
      <c r="CG160" s="19">
        <v>0</v>
      </c>
      <c r="CH160" s="19">
        <v>0</v>
      </c>
      <c r="CI160" s="19">
        <v>0</v>
      </c>
      <c r="CJ160" s="19"/>
      <c r="CK160" s="19">
        <v>0</v>
      </c>
      <c r="CL160" s="19">
        <v>0</v>
      </c>
      <c r="CM160" s="19">
        <v>2500.00000000001</v>
      </c>
      <c r="CN160" s="19">
        <v>0</v>
      </c>
      <c r="CO160" s="19">
        <v>0</v>
      </c>
      <c r="CP160" s="19">
        <v>0</v>
      </c>
      <c r="CQ160" s="19">
        <v>0</v>
      </c>
      <c r="CR160" s="19">
        <v>0</v>
      </c>
      <c r="CS160" s="19">
        <v>0</v>
      </c>
      <c r="CT160" s="19">
        <v>0</v>
      </c>
      <c r="CU160" s="19">
        <v>0</v>
      </c>
      <c r="CV160" s="19">
        <v>0</v>
      </c>
      <c r="CW160" s="19">
        <v>0</v>
      </c>
      <c r="CX160" s="19">
        <v>0</v>
      </c>
      <c r="CY160" s="19">
        <v>0</v>
      </c>
      <c r="CZ160" s="19">
        <v>0</v>
      </c>
      <c r="DA160" s="19">
        <v>0</v>
      </c>
      <c r="DB160" s="19">
        <v>0</v>
      </c>
      <c r="DC160" s="19">
        <v>0</v>
      </c>
      <c r="DD160" s="19">
        <v>0</v>
      </c>
      <c r="DE160" s="19">
        <v>0</v>
      </c>
      <c r="DF160" s="23">
        <v>0</v>
      </c>
      <c r="DG160" s="23">
        <v>0</v>
      </c>
      <c r="DH160" s="23">
        <v>0</v>
      </c>
      <c r="DI160" s="19">
        <v>0</v>
      </c>
      <c r="DJ160" s="19">
        <v>0</v>
      </c>
      <c r="DK160" s="19">
        <v>0</v>
      </c>
      <c r="DL160" s="19">
        <v>0</v>
      </c>
      <c r="DM160" s="19">
        <v>0</v>
      </c>
      <c r="DN160" s="19">
        <v>0</v>
      </c>
      <c r="DO160" s="19">
        <v>0</v>
      </c>
      <c r="DP160" s="19">
        <v>0</v>
      </c>
      <c r="DQ160" s="19">
        <v>0</v>
      </c>
      <c r="DR160" s="19">
        <v>0</v>
      </c>
      <c r="DS160" s="19">
        <v>0</v>
      </c>
      <c r="DT160" s="19">
        <v>0</v>
      </c>
      <c r="DU160" s="19">
        <v>0</v>
      </c>
      <c r="DV160" s="19">
        <v>0</v>
      </c>
      <c r="DW160" s="17" t="s">
        <v>516</v>
      </c>
      <c r="DX160" s="22" t="s">
        <v>218</v>
      </c>
      <c r="DY160" s="22" t="s">
        <v>218</v>
      </c>
      <c r="DZ160" s="22" t="s">
        <v>218</v>
      </c>
      <c r="EA160" s="22" t="s">
        <v>218</v>
      </c>
      <c r="EB160" s="22" t="s">
        <v>218</v>
      </c>
      <c r="EC160" s="22" t="s">
        <v>218</v>
      </c>
      <c r="ED160" s="22" t="s">
        <v>218</v>
      </c>
      <c r="EE160" s="22" t="s">
        <v>218</v>
      </c>
      <c r="EF160" s="22" t="s">
        <v>218</v>
      </c>
      <c r="EG160" s="22" t="s">
        <v>218</v>
      </c>
      <c r="EH160" s="22" t="s">
        <v>218</v>
      </c>
      <c r="EI160" s="22" t="s">
        <v>218</v>
      </c>
      <c r="EJ160" s="22" t="s">
        <v>218</v>
      </c>
      <c r="EK160" s="22" t="s">
        <v>218</v>
      </c>
      <c r="EL160" s="22" t="s">
        <v>218</v>
      </c>
      <c r="EM160" s="22" t="s">
        <v>218</v>
      </c>
      <c r="EN160" s="22" t="s">
        <v>218</v>
      </c>
      <c r="EO160" s="22" t="s">
        <v>218</v>
      </c>
      <c r="EP160" s="22" t="s">
        <v>218</v>
      </c>
      <c r="EQ160" s="22" t="s">
        <v>218</v>
      </c>
      <c r="ER160" s="22" t="s">
        <v>218</v>
      </c>
      <c r="ES160" s="22" t="s">
        <v>218</v>
      </c>
      <c r="ET160" s="22" t="s">
        <v>218</v>
      </c>
      <c r="EU160" s="22" t="s">
        <v>218</v>
      </c>
      <c r="EV160" s="22" t="s">
        <v>218</v>
      </c>
      <c r="EW160" s="22" t="s">
        <v>218</v>
      </c>
      <c r="EX160" s="22" t="s">
        <v>218</v>
      </c>
      <c r="EY160" s="22" t="s">
        <v>218</v>
      </c>
      <c r="EZ160" s="22" t="s">
        <v>218</v>
      </c>
      <c r="FA160" s="22" t="s">
        <v>218</v>
      </c>
      <c r="FB160" s="22" t="s">
        <v>218</v>
      </c>
      <c r="FC160" s="22" t="s">
        <v>218</v>
      </c>
      <c r="FD160" s="22" t="s">
        <v>218</v>
      </c>
      <c r="FE160" s="22" t="s">
        <v>218</v>
      </c>
      <c r="FF160" s="22" t="s">
        <v>218</v>
      </c>
      <c r="FG160" s="22" t="s">
        <v>218</v>
      </c>
      <c r="FH160" s="22" t="s">
        <v>218</v>
      </c>
      <c r="FI160" s="22" t="s">
        <v>218</v>
      </c>
      <c r="FJ160" s="22" t="s">
        <v>218</v>
      </c>
      <c r="FK160" s="22" t="s">
        <v>218</v>
      </c>
      <c r="FL160" s="22" t="s">
        <v>218</v>
      </c>
      <c r="FM160" s="22" t="s">
        <v>218</v>
      </c>
      <c r="FN160" s="22" t="s">
        <v>218</v>
      </c>
      <c r="FO160" s="22" t="s">
        <v>218</v>
      </c>
      <c r="FP160" s="22" t="s">
        <v>218</v>
      </c>
      <c r="FQ160" s="22" t="s">
        <v>218</v>
      </c>
      <c r="FR160" s="22" t="s">
        <v>218</v>
      </c>
      <c r="FS160" s="22" t="s">
        <v>218</v>
      </c>
      <c r="FT160" s="22" t="s">
        <v>218</v>
      </c>
      <c r="FU160" s="22" t="s">
        <v>218</v>
      </c>
      <c r="FV160" s="22" t="s">
        <v>218</v>
      </c>
      <c r="FW160" s="22" t="s">
        <v>218</v>
      </c>
      <c r="FX160" s="22" t="s">
        <v>218</v>
      </c>
      <c r="FY160" s="22" t="s">
        <v>218</v>
      </c>
      <c r="FZ160" s="22" t="s">
        <v>218</v>
      </c>
      <c r="GA160" s="22" t="s">
        <v>218</v>
      </c>
      <c r="GB160" s="22" t="s">
        <v>218</v>
      </c>
      <c r="GC160" s="22" t="s">
        <v>218</v>
      </c>
      <c r="GD160" s="22" t="s">
        <v>218</v>
      </c>
      <c r="GE160" s="22" t="s">
        <v>218</v>
      </c>
      <c r="GF160" s="22" t="s">
        <v>218</v>
      </c>
      <c r="GG160" s="22" t="s">
        <v>218</v>
      </c>
      <c r="GH160" s="22" t="s">
        <v>218</v>
      </c>
      <c r="GI160" s="22" t="s">
        <v>218</v>
      </c>
      <c r="GJ160" s="22" t="s">
        <v>218</v>
      </c>
      <c r="GK160" s="22" t="s">
        <v>218</v>
      </c>
      <c r="GL160" s="22" t="s">
        <v>218</v>
      </c>
      <c r="GM160" s="22" t="s">
        <v>218</v>
      </c>
      <c r="GN160" s="22" t="s">
        <v>218</v>
      </c>
      <c r="GO160" s="22" t="s">
        <v>218</v>
      </c>
      <c r="GP160" s="22" t="s">
        <v>218</v>
      </c>
      <c r="GQ160" s="22" t="s">
        <v>218</v>
      </c>
      <c r="GR160" s="22" t="s">
        <v>218</v>
      </c>
      <c r="GS160" s="22" t="s">
        <v>218</v>
      </c>
      <c r="GT160" s="22" t="s">
        <v>218</v>
      </c>
      <c r="GU160" s="22" t="s">
        <v>218</v>
      </c>
      <c r="GV160" s="22" t="s">
        <v>218</v>
      </c>
      <c r="GW160" s="22" t="s">
        <v>218</v>
      </c>
      <c r="GX160" s="22" t="s">
        <v>218</v>
      </c>
      <c r="GY160" s="22" t="s">
        <v>218</v>
      </c>
      <c r="GZ160" s="22" t="s">
        <v>218</v>
      </c>
      <c r="HA160" s="22" t="s">
        <v>218</v>
      </c>
      <c r="HB160" s="22" t="s">
        <v>218</v>
      </c>
      <c r="HC160" s="22" t="s">
        <v>218</v>
      </c>
      <c r="HD160" s="22" t="s">
        <v>218</v>
      </c>
      <c r="HE160" s="22" t="s">
        <v>218</v>
      </c>
      <c r="HF160" s="22" t="s">
        <v>218</v>
      </c>
      <c r="HG160" s="22" t="s">
        <v>218</v>
      </c>
      <c r="HH160" s="22" t="s">
        <v>218</v>
      </c>
      <c r="HI160" s="22" t="s">
        <v>218</v>
      </c>
      <c r="HJ160" s="22" t="s">
        <v>218</v>
      </c>
      <c r="HK160" s="22" t="s">
        <v>218</v>
      </c>
      <c r="HL160" s="22" t="s">
        <v>218</v>
      </c>
      <c r="HM160" s="860"/>
      <c r="HN160" s="860"/>
      <c r="HO160" s="860"/>
      <c r="HP160" s="860"/>
      <c r="HQ160" s="860"/>
      <c r="HR160" s="860"/>
      <c r="HS160" s="860"/>
      <c r="HT160" s="145"/>
      <c r="HU160" s="145" t="s">
        <v>1809</v>
      </c>
      <c r="HV160" s="22" t="s">
        <v>1926</v>
      </c>
      <c r="HW160" s="22">
        <v>0</v>
      </c>
      <c r="HX160" s="22">
        <v>0</v>
      </c>
      <c r="HY160" s="22">
        <v>0</v>
      </c>
      <c r="HZ160" s="19"/>
      <c r="IA160" s="19"/>
      <c r="IB160" s="621">
        <f>'background data'!$G$10</f>
        <v>0.47300000000000003</v>
      </c>
      <c r="IC160" s="621">
        <f>'background data'!$H$10</f>
        <v>0.13</v>
      </c>
      <c r="ID160" s="621">
        <f>'background data'!$J$10</f>
        <v>0.39100000000000001</v>
      </c>
      <c r="IE160" s="621">
        <f>'background data'!$L$10</f>
        <v>5.5E-2</v>
      </c>
      <c r="IF160" s="621">
        <f>'background data'!$M$10</f>
        <v>3.97</v>
      </c>
      <c r="IG160" s="621">
        <f>'background data'!$N$10</f>
        <v>4.5999999999999999E-3</v>
      </c>
      <c r="IH160" s="621">
        <f>'background data'!$O$10</f>
        <v>2.73</v>
      </c>
      <c r="II160" s="145"/>
      <c r="IJ160" s="145"/>
      <c r="IK160" s="145"/>
      <c r="IL160" s="145"/>
      <c r="IM160" s="145"/>
      <c r="IN160" s="145"/>
      <c r="IO160" s="145"/>
      <c r="IP160" s="145"/>
      <c r="IQ160" s="145"/>
      <c r="IR160" s="145"/>
      <c r="IS160" s="145"/>
      <c r="IT160" s="145"/>
      <c r="IU160" s="145"/>
      <c r="IV160" s="145"/>
      <c r="IW160" s="145"/>
      <c r="IX160" s="145"/>
      <c r="IY160" s="145"/>
      <c r="IZ160" s="145"/>
      <c r="JA160" s="145"/>
      <c r="JB160" s="145"/>
      <c r="JC160" s="145"/>
      <c r="JD160" s="145"/>
      <c r="JE160" s="145"/>
      <c r="JF160" s="145"/>
      <c r="JG160" s="145"/>
      <c r="JH160" s="145"/>
      <c r="JI160" s="145"/>
      <c r="JJ160" s="145"/>
      <c r="JK160" s="145"/>
      <c r="JL160" s="145"/>
      <c r="JM160" s="145"/>
      <c r="JN160" s="145"/>
      <c r="JO160" s="145"/>
      <c r="JP160" s="145"/>
      <c r="JQ160" s="145"/>
      <c r="JR160" s="145"/>
      <c r="JS160" s="145"/>
      <c r="JT160" s="145"/>
      <c r="JU160" s="145"/>
      <c r="JV160" s="145"/>
      <c r="JW160" s="145"/>
      <c r="JX160" s="145"/>
      <c r="JY160" s="145"/>
      <c r="JZ160" s="145"/>
      <c r="KA160" s="145"/>
      <c r="KB160" s="145"/>
      <c r="KC160" s="145"/>
      <c r="KD160" s="145"/>
      <c r="KE160" s="145"/>
      <c r="KF160" s="145"/>
      <c r="KG160" s="145"/>
      <c r="KH160" s="145"/>
      <c r="KI160" s="145"/>
      <c r="KJ160" s="145"/>
      <c r="KK160" s="145"/>
      <c r="KL160" s="145"/>
      <c r="KM160" s="145"/>
      <c r="KN160" s="145"/>
      <c r="KO160" s="145"/>
      <c r="KP160" s="145"/>
      <c r="KQ160" s="145"/>
      <c r="KR160" s="145"/>
      <c r="KS160" s="145"/>
      <c r="KT160" s="145"/>
      <c r="KU160" s="145"/>
      <c r="KV160" s="145"/>
      <c r="KW160" s="145"/>
      <c r="KX160" s="145"/>
      <c r="KY160" s="145"/>
      <c r="KZ160" s="145"/>
      <c r="LA160" s="145"/>
      <c r="LB160" s="145"/>
      <c r="LC160" s="145"/>
      <c r="LD160" s="145"/>
      <c r="LE160" s="145"/>
      <c r="LF160" s="145"/>
      <c r="LG160" s="145"/>
      <c r="LH160" s="145"/>
      <c r="LI160" s="145"/>
      <c r="LJ160" s="145"/>
      <c r="LK160" s="145"/>
      <c r="LL160" s="145"/>
      <c r="LM160" s="145"/>
      <c r="LN160" s="145"/>
      <c r="LO160" s="145"/>
      <c r="LP160" s="145"/>
      <c r="LQ160" s="145"/>
      <c r="LR160" s="145"/>
      <c r="LS160" s="145"/>
      <c r="LT160" s="145"/>
      <c r="LU160" s="145"/>
      <c r="LV160" s="145"/>
      <c r="LW160" s="145"/>
      <c r="LX160" s="145"/>
      <c r="LY160" s="145"/>
      <c r="LZ160" s="145"/>
      <c r="MA160" s="145"/>
      <c r="MB160" s="145"/>
      <c r="MC160" s="145"/>
      <c r="MD160" s="145"/>
      <c r="ME160" s="145"/>
      <c r="MF160" s="145"/>
      <c r="MG160" s="145"/>
      <c r="MH160" s="145"/>
      <c r="MI160" s="145"/>
      <c r="MJ160" s="145"/>
      <c r="MK160" s="145"/>
      <c r="ML160" s="145"/>
      <c r="MM160" s="145"/>
      <c r="MN160" s="145"/>
      <c r="MO160" s="145"/>
      <c r="MP160" s="145"/>
      <c r="MQ160" s="145"/>
      <c r="MR160" s="145"/>
      <c r="MS160" s="145"/>
      <c r="MT160" s="145"/>
      <c r="MU160" s="145"/>
      <c r="MV160" s="145"/>
      <c r="MW160" s="145"/>
      <c r="MX160" s="145"/>
      <c r="MY160" s="145"/>
      <c r="MZ160" s="145"/>
      <c r="NA160" s="145"/>
      <c r="NB160" s="145"/>
      <c r="NC160" s="145"/>
      <c r="ND160" s="145"/>
      <c r="NE160" s="145"/>
      <c r="NF160" s="145"/>
      <c r="NG160" s="145"/>
      <c r="NH160" s="145"/>
      <c r="NI160" s="145"/>
      <c r="NJ160" s="145"/>
      <c r="NK160" s="145"/>
      <c r="NL160" s="145"/>
      <c r="NM160" s="145"/>
      <c r="NN160" s="145"/>
      <c r="NO160" s="145"/>
      <c r="NP160" s="145"/>
      <c r="NQ160" s="145"/>
      <c r="NR160" s="145"/>
      <c r="NS160" s="145"/>
    </row>
    <row r="161" spans="1:383" s="16" customFormat="1" ht="15" customHeight="1" x14ac:dyDescent="0.2">
      <c r="A161" s="15">
        <v>72900</v>
      </c>
      <c r="B161" s="25">
        <v>729</v>
      </c>
      <c r="C161" s="26">
        <v>0</v>
      </c>
      <c r="D161" s="20" t="s">
        <v>517</v>
      </c>
      <c r="E161" s="14">
        <v>41814</v>
      </c>
      <c r="F161" s="18">
        <v>0.15808302981029801</v>
      </c>
      <c r="G161" s="18">
        <v>0.18512736103896099</v>
      </c>
      <c r="H161" s="21">
        <v>48</v>
      </c>
      <c r="I161" s="21">
        <v>41</v>
      </c>
      <c r="J161" s="21">
        <v>71</v>
      </c>
      <c r="K161" s="18">
        <v>1</v>
      </c>
      <c r="L161" s="18">
        <v>26</v>
      </c>
      <c r="M161" s="18">
        <v>6.2919999999999998</v>
      </c>
      <c r="N161" s="18">
        <v>2.548</v>
      </c>
      <c r="O161" s="18">
        <v>1.17</v>
      </c>
      <c r="P161" s="18">
        <v>4.16</v>
      </c>
      <c r="Q161" s="19"/>
      <c r="R161" s="18">
        <v>64</v>
      </c>
      <c r="S161" s="18">
        <v>30</v>
      </c>
      <c r="T161" s="18">
        <v>42</v>
      </c>
      <c r="U161" s="18">
        <v>46</v>
      </c>
      <c r="V161" s="18">
        <v>50</v>
      </c>
      <c r="W161" s="18">
        <v>53</v>
      </c>
      <c r="X161" s="18"/>
      <c r="Y161" s="18">
        <v>3.3</v>
      </c>
      <c r="Z161" s="18">
        <v>5.9</v>
      </c>
      <c r="AA161" s="18">
        <v>0.19999999999999998</v>
      </c>
      <c r="AB161" s="18">
        <v>1.0999999999999999</v>
      </c>
      <c r="AC161" s="18">
        <v>0.6</v>
      </c>
      <c r="AD161" s="18">
        <v>1.8</v>
      </c>
      <c r="AE161" s="18">
        <v>3</v>
      </c>
      <c r="AF161" s="18">
        <v>240</v>
      </c>
      <c r="AG161" s="18">
        <v>14.5</v>
      </c>
      <c r="AH161" s="18">
        <v>38.699999999999996</v>
      </c>
      <c r="AI161" s="18">
        <v>96.7</v>
      </c>
      <c r="AJ161" s="18">
        <v>0</v>
      </c>
      <c r="AK161" s="18">
        <v>0</v>
      </c>
      <c r="AL161" s="18"/>
      <c r="AM161" s="18">
        <v>3.7</v>
      </c>
      <c r="AN161" s="18">
        <v>2</v>
      </c>
      <c r="AO161" s="18">
        <v>2.1</v>
      </c>
      <c r="AP161" s="18">
        <v>3.6</v>
      </c>
      <c r="AQ161" s="18">
        <v>0.9</v>
      </c>
      <c r="AR161" s="18">
        <v>4.2</v>
      </c>
      <c r="AS161" s="18">
        <v>8.1</v>
      </c>
      <c r="AT161" s="18">
        <v>2.2000000000000002</v>
      </c>
      <c r="AU161" s="18">
        <v>5.2</v>
      </c>
      <c r="AV161" s="18">
        <v>3.9</v>
      </c>
      <c r="AW161" s="18">
        <v>5.2</v>
      </c>
      <c r="AX161" s="18"/>
      <c r="AY161" s="18">
        <v>0.94</v>
      </c>
      <c r="AZ161" s="18">
        <v>1.08</v>
      </c>
      <c r="BA161" s="18">
        <v>1.03</v>
      </c>
      <c r="BB161" s="18">
        <v>0.95</v>
      </c>
      <c r="BC161" s="18">
        <v>0.96</v>
      </c>
      <c r="BD161" s="18">
        <v>1</v>
      </c>
      <c r="BE161" s="18">
        <v>1.01</v>
      </c>
      <c r="BF161" s="18">
        <v>1</v>
      </c>
      <c r="BG161" s="18">
        <v>1.04</v>
      </c>
      <c r="BH161" s="18">
        <v>0.97</v>
      </c>
      <c r="BI161" s="18">
        <v>0.96</v>
      </c>
      <c r="BJ161" s="19"/>
      <c r="BK161" s="18">
        <v>24.2</v>
      </c>
      <c r="BL161" s="18">
        <v>9.8000000000000007</v>
      </c>
      <c r="BM161" s="18">
        <v>4.5</v>
      </c>
      <c r="BN161" s="18">
        <v>16</v>
      </c>
      <c r="BO161" s="18"/>
      <c r="BP161" s="18">
        <v>120</v>
      </c>
      <c r="BQ161" s="18">
        <v>117.60000000000001</v>
      </c>
      <c r="BR161" s="18">
        <v>0.60801165311653083</v>
      </c>
      <c r="BS161" s="18">
        <v>0.71202831168831149</v>
      </c>
      <c r="BT161" s="19"/>
      <c r="BU161" s="18">
        <v>955</v>
      </c>
      <c r="BV161" s="18">
        <v>47.62</v>
      </c>
      <c r="BW161" s="18">
        <v>95.5</v>
      </c>
      <c r="BX161" s="18" t="s">
        <v>217</v>
      </c>
      <c r="BY161" s="18" t="s">
        <v>217</v>
      </c>
      <c r="BZ161" s="18">
        <v>36</v>
      </c>
      <c r="CA161" s="18">
        <v>553</v>
      </c>
      <c r="CB161" s="19"/>
      <c r="CC161" s="19">
        <v>0.85799999999999998</v>
      </c>
      <c r="CD161" s="19">
        <v>1.5340000000000003</v>
      </c>
      <c r="CE161" s="19">
        <v>5.1999999999999998E-2</v>
      </c>
      <c r="CF161" s="19">
        <v>0.28599999999999998</v>
      </c>
      <c r="CG161" s="19">
        <v>0.156</v>
      </c>
      <c r="CH161" s="19">
        <v>0.46800000000000003</v>
      </c>
      <c r="CI161" s="19">
        <v>0.78</v>
      </c>
      <c r="CJ161" s="19"/>
      <c r="CK161" s="19">
        <v>62.400000000000006</v>
      </c>
      <c r="CL161" s="19">
        <v>3.77</v>
      </c>
      <c r="CM161" s="19">
        <v>10.061999999999999</v>
      </c>
      <c r="CN161" s="19">
        <v>25.142000000000003</v>
      </c>
      <c r="CO161" s="19">
        <v>0</v>
      </c>
      <c r="CP161" s="19">
        <v>0</v>
      </c>
      <c r="CQ161" s="19">
        <v>40.268799999999999</v>
      </c>
      <c r="CR161" s="19">
        <v>254.73195983353278</v>
      </c>
      <c r="CS161" s="19">
        <v>8.8595775630102693</v>
      </c>
      <c r="CT161" s="19">
        <v>5.5022103324043083</v>
      </c>
      <c r="CU161" s="19">
        <v>5.509852291199314</v>
      </c>
      <c r="CV161" s="19">
        <v>11.012062623603622</v>
      </c>
      <c r="CW161" s="19">
        <v>8.7118330263068202</v>
      </c>
      <c r="CX161" s="19">
        <v>2.2008841329617232</v>
      </c>
      <c r="CY161" s="19">
        <v>10.698742313008378</v>
      </c>
      <c r="CZ161" s="19">
        <v>20.83962163398132</v>
      </c>
      <c r="DA161" s="19">
        <v>5.6041031163377211</v>
      </c>
      <c r="DB161" s="19">
        <v>13.775904387797453</v>
      </c>
      <c r="DC161" s="19">
        <v>9.6365100405025448</v>
      </c>
      <c r="DD161" s="19">
        <v>23.4124144283</v>
      </c>
      <c r="DE161" s="19">
        <v>12.716219434889956</v>
      </c>
      <c r="DF161" s="23">
        <v>0</v>
      </c>
      <c r="DG161" s="23">
        <v>0</v>
      </c>
      <c r="DH161" s="23">
        <v>0</v>
      </c>
      <c r="DI161" s="19">
        <v>0</v>
      </c>
      <c r="DJ161" s="19">
        <v>0</v>
      </c>
      <c r="DK161" s="19">
        <v>0</v>
      </c>
      <c r="DL161" s="19">
        <v>0</v>
      </c>
      <c r="DM161" s="19">
        <v>0</v>
      </c>
      <c r="DN161" s="19">
        <v>0</v>
      </c>
      <c r="DO161" s="19">
        <v>0</v>
      </c>
      <c r="DP161" s="19">
        <v>0</v>
      </c>
      <c r="DQ161" s="19">
        <v>0</v>
      </c>
      <c r="DR161" s="19">
        <v>0</v>
      </c>
      <c r="DS161" s="19">
        <v>0</v>
      </c>
      <c r="DT161" s="19">
        <v>0</v>
      </c>
      <c r="DU161" s="19">
        <v>0</v>
      </c>
      <c r="DV161" s="19">
        <v>0</v>
      </c>
      <c r="DW161" s="17" t="s">
        <v>518</v>
      </c>
      <c r="DX161" s="22" t="s">
        <v>218</v>
      </c>
      <c r="DY161" s="22" t="s">
        <v>218</v>
      </c>
      <c r="DZ161" s="22" t="s">
        <v>218</v>
      </c>
      <c r="EA161" s="22" t="s">
        <v>218</v>
      </c>
      <c r="EB161" s="22" t="s">
        <v>218</v>
      </c>
      <c r="EC161" s="22" t="s">
        <v>218</v>
      </c>
      <c r="ED161" s="22" t="s">
        <v>218</v>
      </c>
      <c r="EE161" s="22" t="s">
        <v>218</v>
      </c>
      <c r="EF161" s="22" t="s">
        <v>218</v>
      </c>
      <c r="EG161" s="22" t="s">
        <v>218</v>
      </c>
      <c r="EH161" s="22" t="s">
        <v>218</v>
      </c>
      <c r="EI161" s="22" t="s">
        <v>218</v>
      </c>
      <c r="EJ161" s="22" t="s">
        <v>218</v>
      </c>
      <c r="EK161" s="22" t="s">
        <v>218</v>
      </c>
      <c r="EL161" s="22" t="s">
        <v>218</v>
      </c>
      <c r="EM161" s="22" t="s">
        <v>218</v>
      </c>
      <c r="EN161" s="22" t="s">
        <v>218</v>
      </c>
      <c r="EO161" s="22" t="s">
        <v>218</v>
      </c>
      <c r="EP161" s="22" t="s">
        <v>218</v>
      </c>
      <c r="EQ161" s="22" t="s">
        <v>218</v>
      </c>
      <c r="ER161" s="22" t="s">
        <v>218</v>
      </c>
      <c r="ES161" s="22" t="s">
        <v>218</v>
      </c>
      <c r="ET161" s="22" t="s">
        <v>218</v>
      </c>
      <c r="EU161" s="22" t="s">
        <v>218</v>
      </c>
      <c r="EV161" s="22" t="s">
        <v>218</v>
      </c>
      <c r="EW161" s="22" t="s">
        <v>218</v>
      </c>
      <c r="EX161" s="22" t="s">
        <v>218</v>
      </c>
      <c r="EY161" s="22" t="s">
        <v>218</v>
      </c>
      <c r="EZ161" s="22" t="s">
        <v>218</v>
      </c>
      <c r="FA161" s="22" t="s">
        <v>218</v>
      </c>
      <c r="FB161" s="22" t="s">
        <v>218</v>
      </c>
      <c r="FC161" s="22" t="s">
        <v>218</v>
      </c>
      <c r="FD161" s="22" t="s">
        <v>218</v>
      </c>
      <c r="FE161" s="22" t="s">
        <v>218</v>
      </c>
      <c r="FF161" s="22" t="s">
        <v>218</v>
      </c>
      <c r="FG161" s="22" t="s">
        <v>218</v>
      </c>
      <c r="FH161" s="22" t="s">
        <v>218</v>
      </c>
      <c r="FI161" s="22" t="s">
        <v>218</v>
      </c>
      <c r="FJ161" s="22" t="s">
        <v>218</v>
      </c>
      <c r="FK161" s="22" t="s">
        <v>218</v>
      </c>
      <c r="FL161" s="22" t="s">
        <v>218</v>
      </c>
      <c r="FM161" s="22" t="s">
        <v>218</v>
      </c>
      <c r="FN161" s="22" t="s">
        <v>218</v>
      </c>
      <c r="FO161" s="22" t="s">
        <v>218</v>
      </c>
      <c r="FP161" s="22" t="s">
        <v>218</v>
      </c>
      <c r="FQ161" s="22" t="s">
        <v>218</v>
      </c>
      <c r="FR161" s="22" t="s">
        <v>218</v>
      </c>
      <c r="FS161" s="22" t="s">
        <v>218</v>
      </c>
      <c r="FT161" s="22" t="s">
        <v>218</v>
      </c>
      <c r="FU161" s="22" t="s">
        <v>218</v>
      </c>
      <c r="FV161" s="22" t="s">
        <v>218</v>
      </c>
      <c r="FW161" s="22" t="s">
        <v>218</v>
      </c>
      <c r="FX161" s="22" t="s">
        <v>218</v>
      </c>
      <c r="FY161" s="22" t="s">
        <v>218</v>
      </c>
      <c r="FZ161" s="22" t="s">
        <v>218</v>
      </c>
      <c r="GA161" s="22" t="s">
        <v>218</v>
      </c>
      <c r="GB161" s="22" t="s">
        <v>218</v>
      </c>
      <c r="GC161" s="22" t="s">
        <v>218</v>
      </c>
      <c r="GD161" s="22" t="s">
        <v>218</v>
      </c>
      <c r="GE161" s="22" t="s">
        <v>218</v>
      </c>
      <c r="GF161" s="22" t="s">
        <v>218</v>
      </c>
      <c r="GG161" s="22" t="s">
        <v>218</v>
      </c>
      <c r="GH161" s="22" t="s">
        <v>218</v>
      </c>
      <c r="GI161" s="22" t="s">
        <v>218</v>
      </c>
      <c r="GJ161" s="22" t="s">
        <v>218</v>
      </c>
      <c r="GK161" s="22" t="s">
        <v>218</v>
      </c>
      <c r="GL161" s="22" t="s">
        <v>218</v>
      </c>
      <c r="GM161" s="22" t="s">
        <v>218</v>
      </c>
      <c r="GN161" s="22" t="s">
        <v>218</v>
      </c>
      <c r="GO161" s="22" t="s">
        <v>218</v>
      </c>
      <c r="GP161" s="22" t="s">
        <v>218</v>
      </c>
      <c r="GQ161" s="22" t="s">
        <v>218</v>
      </c>
      <c r="GR161" s="22" t="s">
        <v>218</v>
      </c>
      <c r="GS161" s="22" t="s">
        <v>218</v>
      </c>
      <c r="GT161" s="22" t="s">
        <v>218</v>
      </c>
      <c r="GU161" s="22" t="s">
        <v>218</v>
      </c>
      <c r="GV161" s="22" t="s">
        <v>218</v>
      </c>
      <c r="GW161" s="22" t="s">
        <v>218</v>
      </c>
      <c r="GX161" s="22" t="s">
        <v>218</v>
      </c>
      <c r="GY161" s="22" t="s">
        <v>218</v>
      </c>
      <c r="GZ161" s="22" t="s">
        <v>218</v>
      </c>
      <c r="HA161" s="22" t="s">
        <v>218</v>
      </c>
      <c r="HB161" s="22" t="s">
        <v>218</v>
      </c>
      <c r="HC161" s="22" t="s">
        <v>218</v>
      </c>
      <c r="HD161" s="22" t="s">
        <v>218</v>
      </c>
      <c r="HE161" s="22" t="s">
        <v>218</v>
      </c>
      <c r="HF161" s="22" t="s">
        <v>218</v>
      </c>
      <c r="HG161" s="22" t="s">
        <v>218</v>
      </c>
      <c r="HH161" s="22" t="s">
        <v>218</v>
      </c>
      <c r="HI161" s="22" t="s">
        <v>218</v>
      </c>
      <c r="HJ161" s="22" t="s">
        <v>218</v>
      </c>
      <c r="HK161" s="22" t="s">
        <v>218</v>
      </c>
      <c r="HL161" s="22" t="s">
        <v>218</v>
      </c>
      <c r="HM161" s="622">
        <f>'background data'!$G$10</f>
        <v>0.47300000000000003</v>
      </c>
      <c r="HN161" s="622">
        <f>'background data'!$H$10</f>
        <v>0.13</v>
      </c>
      <c r="HO161" s="622">
        <f>'background data'!$J$10</f>
        <v>0.39100000000000001</v>
      </c>
      <c r="HP161" s="622">
        <f>'background data'!$L$10</f>
        <v>5.5E-2</v>
      </c>
      <c r="HQ161" s="622">
        <f>'background data'!$M$10</f>
        <v>3.97</v>
      </c>
      <c r="HR161" s="622">
        <f>'background data'!$N$10</f>
        <v>4.5999999999999999E-3</v>
      </c>
      <c r="HS161" s="622">
        <f>'background data'!$O$10</f>
        <v>2.73</v>
      </c>
      <c r="HT161" s="145" t="s">
        <v>1797</v>
      </c>
      <c r="HU161" s="145" t="s">
        <v>1809</v>
      </c>
      <c r="HV161" s="22" t="s">
        <v>1965</v>
      </c>
      <c r="HW161" s="22">
        <v>0</v>
      </c>
      <c r="HX161" s="22">
        <v>0</v>
      </c>
      <c r="HY161" s="22">
        <v>0</v>
      </c>
      <c r="HZ161" s="19"/>
      <c r="IA161" s="19"/>
      <c r="IB161" s="622">
        <f>'background data'!$G$10</f>
        <v>0.47300000000000003</v>
      </c>
      <c r="IC161" s="622">
        <f>'background data'!$H$10</f>
        <v>0.13</v>
      </c>
      <c r="ID161" s="622">
        <f>'background data'!$J$10</f>
        <v>0.39100000000000001</v>
      </c>
      <c r="IE161" s="622">
        <f>'background data'!$L$10</f>
        <v>5.5E-2</v>
      </c>
      <c r="IF161" s="622">
        <f>'background data'!$M$10</f>
        <v>3.97</v>
      </c>
      <c r="IG161" s="622">
        <f>'background data'!$N$10</f>
        <v>4.5999999999999999E-3</v>
      </c>
      <c r="IH161" s="622">
        <f>'background data'!$O$10</f>
        <v>2.73</v>
      </c>
      <c r="II161" s="145" t="s">
        <v>1797</v>
      </c>
      <c r="IJ161" s="145"/>
      <c r="IK161" s="145"/>
      <c r="IL161" s="145"/>
      <c r="IM161" s="145"/>
      <c r="IN161" s="145"/>
      <c r="IO161" s="145"/>
      <c r="IP161" s="145"/>
      <c r="IQ161" s="145"/>
      <c r="IR161" s="145"/>
      <c r="IS161" s="145"/>
      <c r="IT161" s="145"/>
      <c r="IU161" s="145"/>
      <c r="IV161" s="145"/>
      <c r="IW161" s="145"/>
      <c r="IX161" s="145"/>
      <c r="IY161" s="145"/>
      <c r="IZ161" s="145"/>
      <c r="JA161" s="145"/>
      <c r="JB161" s="145"/>
      <c r="JC161" s="145"/>
      <c r="JD161" s="145"/>
      <c r="JE161" s="145"/>
      <c r="JF161" s="145"/>
      <c r="JG161" s="145"/>
      <c r="JH161" s="145"/>
      <c r="JI161" s="145"/>
      <c r="JJ161" s="145"/>
      <c r="JK161" s="145"/>
      <c r="JL161" s="145"/>
      <c r="JM161" s="145"/>
      <c r="JN161" s="145"/>
      <c r="JO161" s="145"/>
      <c r="JP161" s="145"/>
      <c r="JQ161" s="145"/>
      <c r="JR161" s="145"/>
      <c r="JS161" s="145"/>
      <c r="JT161" s="145"/>
      <c r="JU161" s="145"/>
      <c r="JV161" s="145"/>
      <c r="JW161" s="145"/>
      <c r="JX161" s="145"/>
      <c r="JY161" s="145"/>
      <c r="JZ161" s="145"/>
      <c r="KA161" s="145"/>
      <c r="KB161" s="145"/>
      <c r="KC161" s="145"/>
      <c r="KD161" s="145"/>
      <c r="KE161" s="145"/>
      <c r="KF161" s="145"/>
      <c r="KG161" s="145"/>
      <c r="KH161" s="145"/>
      <c r="KI161" s="145"/>
      <c r="KJ161" s="145"/>
      <c r="KK161" s="145"/>
      <c r="KL161" s="145"/>
      <c r="KM161" s="145"/>
      <c r="KN161" s="145"/>
      <c r="KO161" s="145"/>
      <c r="KP161" s="145"/>
      <c r="KQ161" s="145"/>
      <c r="KR161" s="145"/>
      <c r="KS161" s="145"/>
      <c r="KT161" s="145"/>
      <c r="KU161" s="145"/>
      <c r="KV161" s="145"/>
      <c r="KW161" s="145"/>
      <c r="KX161" s="145"/>
      <c r="KY161" s="145"/>
      <c r="KZ161" s="145"/>
      <c r="LA161" s="145"/>
      <c r="LB161" s="145"/>
      <c r="LC161" s="145"/>
      <c r="LD161" s="145"/>
      <c r="LE161" s="145"/>
      <c r="LF161" s="145"/>
      <c r="LG161" s="145"/>
      <c r="LH161" s="145"/>
      <c r="LI161" s="145"/>
      <c r="LJ161" s="145"/>
      <c r="LK161" s="145"/>
      <c r="LL161" s="145"/>
      <c r="LM161" s="145"/>
      <c r="LN161" s="145"/>
      <c r="LO161" s="145"/>
      <c r="LP161" s="145"/>
      <c r="LQ161" s="145"/>
      <c r="LR161" s="145"/>
      <c r="LS161" s="145"/>
      <c r="LT161" s="145"/>
      <c r="LU161" s="145"/>
      <c r="LV161" s="145"/>
      <c r="LW161" s="145"/>
      <c r="LX161" s="145"/>
      <c r="LY161" s="145"/>
      <c r="LZ161" s="145"/>
      <c r="MA161" s="145"/>
      <c r="MB161" s="145"/>
      <c r="MC161" s="145"/>
      <c r="MD161" s="145"/>
      <c r="ME161" s="145"/>
      <c r="MF161" s="145"/>
      <c r="MG161" s="145"/>
      <c r="MH161" s="145"/>
      <c r="MI161" s="145"/>
      <c r="MJ161" s="145"/>
      <c r="MK161" s="145"/>
      <c r="ML161" s="145"/>
      <c r="MM161" s="145"/>
      <c r="MN161" s="145"/>
      <c r="MO161" s="145"/>
      <c r="MP161" s="145"/>
      <c r="MQ161" s="145"/>
      <c r="MR161" s="145"/>
      <c r="MS161" s="145"/>
      <c r="MT161" s="145"/>
      <c r="MU161" s="145"/>
      <c r="MV161" s="145"/>
      <c r="MW161" s="145"/>
      <c r="MX161" s="145"/>
      <c r="MY161" s="145"/>
      <c r="MZ161" s="145"/>
      <c r="NA161" s="145"/>
      <c r="NB161" s="145"/>
      <c r="NC161" s="145"/>
      <c r="ND161" s="145"/>
      <c r="NE161" s="145"/>
      <c r="NF161" s="145"/>
      <c r="NG161" s="145"/>
      <c r="NH161" s="145"/>
      <c r="NI161" s="145"/>
      <c r="NJ161" s="145"/>
      <c r="NK161" s="145"/>
      <c r="NL161" s="145"/>
      <c r="NM161" s="145"/>
      <c r="NN161" s="145"/>
      <c r="NO161" s="145"/>
      <c r="NP161" s="145"/>
      <c r="NQ161" s="145"/>
      <c r="NR161" s="145"/>
      <c r="NS161" s="145"/>
    </row>
    <row r="162" spans="1:383" s="16" customFormat="1" ht="15" customHeight="1" x14ac:dyDescent="0.2">
      <c r="A162" s="15">
        <v>72800</v>
      </c>
      <c r="B162" s="25">
        <v>728</v>
      </c>
      <c r="C162" s="26">
        <v>0</v>
      </c>
      <c r="D162" s="20" t="s">
        <v>519</v>
      </c>
      <c r="E162" s="14">
        <v>41814</v>
      </c>
      <c r="F162" s="18">
        <v>0.53505025474254697</v>
      </c>
      <c r="G162" s="18">
        <v>0.62658491428571494</v>
      </c>
      <c r="H162" s="21">
        <v>48</v>
      </c>
      <c r="I162" s="21">
        <v>41</v>
      </c>
      <c r="J162" s="21">
        <v>91</v>
      </c>
      <c r="K162" s="18">
        <v>1</v>
      </c>
      <c r="L162" s="18">
        <v>88</v>
      </c>
      <c r="M162" s="18">
        <v>21.295999999999999</v>
      </c>
      <c r="N162" s="18">
        <v>8.6240000000000006</v>
      </c>
      <c r="O162" s="18">
        <v>3.96</v>
      </c>
      <c r="P162" s="18">
        <v>14.08</v>
      </c>
      <c r="Q162" s="19"/>
      <c r="R162" s="18">
        <v>64</v>
      </c>
      <c r="S162" s="18">
        <v>30</v>
      </c>
      <c r="T162" s="18">
        <v>42</v>
      </c>
      <c r="U162" s="18">
        <v>46</v>
      </c>
      <c r="V162" s="18">
        <v>50</v>
      </c>
      <c r="W162" s="18">
        <v>53</v>
      </c>
      <c r="X162" s="18"/>
      <c r="Y162" s="18">
        <v>3.3</v>
      </c>
      <c r="Z162" s="18">
        <v>5.9</v>
      </c>
      <c r="AA162" s="18">
        <v>0.19999999999999998</v>
      </c>
      <c r="AB162" s="18">
        <v>1.0999999999999999</v>
      </c>
      <c r="AC162" s="18">
        <v>0.6</v>
      </c>
      <c r="AD162" s="18">
        <v>1.8</v>
      </c>
      <c r="AE162" s="18">
        <v>3</v>
      </c>
      <c r="AF162" s="18">
        <v>240</v>
      </c>
      <c r="AG162" s="18">
        <v>14.5</v>
      </c>
      <c r="AH162" s="18">
        <v>38.699999999999996</v>
      </c>
      <c r="AI162" s="18">
        <v>96.7</v>
      </c>
      <c r="AJ162" s="18">
        <v>0</v>
      </c>
      <c r="AK162" s="18">
        <v>0</v>
      </c>
      <c r="AL162" s="18"/>
      <c r="AM162" s="18">
        <v>3.5</v>
      </c>
      <c r="AN162" s="18">
        <v>2</v>
      </c>
      <c r="AO162" s="18">
        <v>2</v>
      </c>
      <c r="AP162" s="18">
        <v>3.6</v>
      </c>
      <c r="AQ162" s="18">
        <v>1.2</v>
      </c>
      <c r="AR162" s="18">
        <v>4</v>
      </c>
      <c r="AS162" s="18">
        <v>8.4</v>
      </c>
      <c r="AT162" s="18">
        <v>2.2000000000000002</v>
      </c>
      <c r="AU162" s="18">
        <v>5.3</v>
      </c>
      <c r="AV162" s="18">
        <v>3.4</v>
      </c>
      <c r="AW162" s="18">
        <v>5.4</v>
      </c>
      <c r="AX162" s="18"/>
      <c r="AY162" s="18">
        <v>0.94</v>
      </c>
      <c r="AZ162" s="18">
        <v>1.08</v>
      </c>
      <c r="BA162" s="18">
        <v>1.03</v>
      </c>
      <c r="BB162" s="18">
        <v>0.95</v>
      </c>
      <c r="BC162" s="18">
        <v>0.96</v>
      </c>
      <c r="BD162" s="18">
        <v>1</v>
      </c>
      <c r="BE162" s="18">
        <v>1.01</v>
      </c>
      <c r="BF162" s="18">
        <v>1</v>
      </c>
      <c r="BG162" s="18">
        <v>1.04</v>
      </c>
      <c r="BH162" s="18">
        <v>0.97</v>
      </c>
      <c r="BI162" s="18">
        <v>0.96</v>
      </c>
      <c r="BJ162" s="19"/>
      <c r="BK162" s="18">
        <v>24.2</v>
      </c>
      <c r="BL162" s="18">
        <v>9.8000000000000007</v>
      </c>
      <c r="BM162" s="18">
        <v>4.5</v>
      </c>
      <c r="BN162" s="18">
        <v>16</v>
      </c>
      <c r="BO162" s="18"/>
      <c r="BP162" s="18">
        <v>120</v>
      </c>
      <c r="BQ162" s="18">
        <v>117.6</v>
      </c>
      <c r="BR162" s="18">
        <v>0.6080116531165306</v>
      </c>
      <c r="BS162" s="18">
        <v>0.71202831168831249</v>
      </c>
      <c r="BT162" s="19"/>
      <c r="BU162" s="18">
        <v>955</v>
      </c>
      <c r="BV162" s="18">
        <v>47.62</v>
      </c>
      <c r="BW162" s="18">
        <v>95.5</v>
      </c>
      <c r="BX162" s="18" t="s">
        <v>217</v>
      </c>
      <c r="BY162" s="18" t="s">
        <v>217</v>
      </c>
      <c r="BZ162" s="18">
        <v>36</v>
      </c>
      <c r="CA162" s="18">
        <v>553</v>
      </c>
      <c r="CB162" s="19"/>
      <c r="CC162" s="19">
        <v>2.9039999999999999</v>
      </c>
      <c r="CD162" s="19">
        <v>5.1920000000000002</v>
      </c>
      <c r="CE162" s="19">
        <v>0.17599999999999999</v>
      </c>
      <c r="CF162" s="19">
        <v>0.96799999999999986</v>
      </c>
      <c r="CG162" s="19">
        <v>0.52800000000000002</v>
      </c>
      <c r="CH162" s="19">
        <v>1.5840000000000001</v>
      </c>
      <c r="CI162" s="19">
        <v>2.64</v>
      </c>
      <c r="CJ162" s="19"/>
      <c r="CK162" s="19">
        <v>211.2</v>
      </c>
      <c r="CL162" s="19">
        <v>12.76</v>
      </c>
      <c r="CM162" s="19">
        <v>34.055999999999997</v>
      </c>
      <c r="CN162" s="19">
        <v>85.096000000000004</v>
      </c>
      <c r="CO162" s="19">
        <v>0</v>
      </c>
      <c r="CP162" s="19">
        <v>0</v>
      </c>
      <c r="CQ162" s="19">
        <v>136.2944</v>
      </c>
      <c r="CR162" s="19">
        <v>254.73195983353284</v>
      </c>
      <c r="CS162" s="19">
        <v>8.3806814785232309</v>
      </c>
      <c r="CT162" s="19">
        <v>5.5022103324043101</v>
      </c>
      <c r="CU162" s="19">
        <v>5.247478372570777</v>
      </c>
      <c r="CV162" s="19">
        <v>10.749688704975087</v>
      </c>
      <c r="CW162" s="19">
        <v>8.7118330263068238</v>
      </c>
      <c r="CX162" s="19">
        <v>2.9345121772822984</v>
      </c>
      <c r="CY162" s="19">
        <v>10.189278393341313</v>
      </c>
      <c r="CZ162" s="19">
        <v>21.611459472276927</v>
      </c>
      <c r="DA162" s="19">
        <v>5.6041031163377228</v>
      </c>
      <c r="DB162" s="19">
        <v>14.040825626024331</v>
      </c>
      <c r="DC162" s="19">
        <v>8.4010600353099143</v>
      </c>
      <c r="DD162" s="19">
        <v>22.441885661334243</v>
      </c>
      <c r="DE162" s="19">
        <v>13.205304797770344</v>
      </c>
      <c r="DF162" s="23">
        <v>0</v>
      </c>
      <c r="DG162" s="23">
        <v>0</v>
      </c>
      <c r="DH162" s="23">
        <v>0</v>
      </c>
      <c r="DI162" s="19">
        <v>0</v>
      </c>
      <c r="DJ162" s="19">
        <v>0</v>
      </c>
      <c r="DK162" s="19">
        <v>0</v>
      </c>
      <c r="DL162" s="19">
        <v>0</v>
      </c>
      <c r="DM162" s="19">
        <v>0</v>
      </c>
      <c r="DN162" s="19">
        <v>0</v>
      </c>
      <c r="DO162" s="19">
        <v>0</v>
      </c>
      <c r="DP162" s="19">
        <v>0</v>
      </c>
      <c r="DQ162" s="19">
        <v>0</v>
      </c>
      <c r="DR162" s="19">
        <v>0</v>
      </c>
      <c r="DS162" s="19">
        <v>0</v>
      </c>
      <c r="DT162" s="19">
        <v>0</v>
      </c>
      <c r="DU162" s="19">
        <v>0</v>
      </c>
      <c r="DV162" s="19">
        <v>0</v>
      </c>
      <c r="DW162" s="17" t="s">
        <v>518</v>
      </c>
      <c r="DX162" s="22" t="s">
        <v>218</v>
      </c>
      <c r="DY162" s="22" t="s">
        <v>218</v>
      </c>
      <c r="DZ162" s="22" t="s">
        <v>218</v>
      </c>
      <c r="EA162" s="22" t="s">
        <v>218</v>
      </c>
      <c r="EB162" s="22" t="s">
        <v>218</v>
      </c>
      <c r="EC162" s="22" t="s">
        <v>218</v>
      </c>
      <c r="ED162" s="22" t="s">
        <v>218</v>
      </c>
      <c r="EE162" s="22" t="s">
        <v>218</v>
      </c>
      <c r="EF162" s="22" t="s">
        <v>218</v>
      </c>
      <c r="EG162" s="22" t="s">
        <v>218</v>
      </c>
      <c r="EH162" s="22" t="s">
        <v>218</v>
      </c>
      <c r="EI162" s="22" t="s">
        <v>218</v>
      </c>
      <c r="EJ162" s="22" t="s">
        <v>218</v>
      </c>
      <c r="EK162" s="22" t="s">
        <v>218</v>
      </c>
      <c r="EL162" s="22" t="s">
        <v>218</v>
      </c>
      <c r="EM162" s="22" t="s">
        <v>218</v>
      </c>
      <c r="EN162" s="22" t="s">
        <v>218</v>
      </c>
      <c r="EO162" s="22" t="s">
        <v>218</v>
      </c>
      <c r="EP162" s="22" t="s">
        <v>218</v>
      </c>
      <c r="EQ162" s="22" t="s">
        <v>218</v>
      </c>
      <c r="ER162" s="22" t="s">
        <v>218</v>
      </c>
      <c r="ES162" s="22" t="s">
        <v>218</v>
      </c>
      <c r="ET162" s="22" t="s">
        <v>218</v>
      </c>
      <c r="EU162" s="22" t="s">
        <v>218</v>
      </c>
      <c r="EV162" s="22" t="s">
        <v>218</v>
      </c>
      <c r="EW162" s="22" t="s">
        <v>218</v>
      </c>
      <c r="EX162" s="22" t="s">
        <v>218</v>
      </c>
      <c r="EY162" s="22" t="s">
        <v>218</v>
      </c>
      <c r="EZ162" s="22" t="s">
        <v>218</v>
      </c>
      <c r="FA162" s="22" t="s">
        <v>218</v>
      </c>
      <c r="FB162" s="22" t="s">
        <v>218</v>
      </c>
      <c r="FC162" s="22" t="s">
        <v>218</v>
      </c>
      <c r="FD162" s="22" t="s">
        <v>218</v>
      </c>
      <c r="FE162" s="22" t="s">
        <v>218</v>
      </c>
      <c r="FF162" s="22" t="s">
        <v>218</v>
      </c>
      <c r="FG162" s="22" t="s">
        <v>218</v>
      </c>
      <c r="FH162" s="22" t="s">
        <v>218</v>
      </c>
      <c r="FI162" s="22" t="s">
        <v>218</v>
      </c>
      <c r="FJ162" s="22" t="s">
        <v>218</v>
      </c>
      <c r="FK162" s="22" t="s">
        <v>218</v>
      </c>
      <c r="FL162" s="22" t="s">
        <v>218</v>
      </c>
      <c r="FM162" s="22" t="s">
        <v>218</v>
      </c>
      <c r="FN162" s="22" t="s">
        <v>218</v>
      </c>
      <c r="FO162" s="22" t="s">
        <v>218</v>
      </c>
      <c r="FP162" s="22" t="s">
        <v>218</v>
      </c>
      <c r="FQ162" s="22" t="s">
        <v>218</v>
      </c>
      <c r="FR162" s="22" t="s">
        <v>218</v>
      </c>
      <c r="FS162" s="22" t="s">
        <v>218</v>
      </c>
      <c r="FT162" s="22" t="s">
        <v>218</v>
      </c>
      <c r="FU162" s="22" t="s">
        <v>218</v>
      </c>
      <c r="FV162" s="22" t="s">
        <v>218</v>
      </c>
      <c r="FW162" s="22" t="s">
        <v>218</v>
      </c>
      <c r="FX162" s="22" t="s">
        <v>218</v>
      </c>
      <c r="FY162" s="22" t="s">
        <v>218</v>
      </c>
      <c r="FZ162" s="22" t="s">
        <v>218</v>
      </c>
      <c r="GA162" s="22" t="s">
        <v>218</v>
      </c>
      <c r="GB162" s="22" t="s">
        <v>218</v>
      </c>
      <c r="GC162" s="22" t="s">
        <v>218</v>
      </c>
      <c r="GD162" s="22" t="s">
        <v>218</v>
      </c>
      <c r="GE162" s="22" t="s">
        <v>218</v>
      </c>
      <c r="GF162" s="22" t="s">
        <v>218</v>
      </c>
      <c r="GG162" s="22" t="s">
        <v>218</v>
      </c>
      <c r="GH162" s="22" t="s">
        <v>218</v>
      </c>
      <c r="GI162" s="22" t="s">
        <v>218</v>
      </c>
      <c r="GJ162" s="22" t="s">
        <v>218</v>
      </c>
      <c r="GK162" s="22" t="s">
        <v>218</v>
      </c>
      <c r="GL162" s="22" t="s">
        <v>218</v>
      </c>
      <c r="GM162" s="22" t="s">
        <v>218</v>
      </c>
      <c r="GN162" s="22" t="s">
        <v>218</v>
      </c>
      <c r="GO162" s="22" t="s">
        <v>218</v>
      </c>
      <c r="GP162" s="22" t="s">
        <v>218</v>
      </c>
      <c r="GQ162" s="22" t="s">
        <v>218</v>
      </c>
      <c r="GR162" s="22" t="s">
        <v>218</v>
      </c>
      <c r="GS162" s="22" t="s">
        <v>218</v>
      </c>
      <c r="GT162" s="22" t="s">
        <v>218</v>
      </c>
      <c r="GU162" s="22" t="s">
        <v>218</v>
      </c>
      <c r="GV162" s="22" t="s">
        <v>218</v>
      </c>
      <c r="GW162" s="22" t="s">
        <v>218</v>
      </c>
      <c r="GX162" s="22" t="s">
        <v>218</v>
      </c>
      <c r="GY162" s="22" t="s">
        <v>218</v>
      </c>
      <c r="GZ162" s="22" t="s">
        <v>218</v>
      </c>
      <c r="HA162" s="22" t="s">
        <v>218</v>
      </c>
      <c r="HB162" s="22" t="s">
        <v>218</v>
      </c>
      <c r="HC162" s="22" t="s">
        <v>218</v>
      </c>
      <c r="HD162" s="22" t="s">
        <v>218</v>
      </c>
      <c r="HE162" s="22" t="s">
        <v>218</v>
      </c>
      <c r="HF162" s="22" t="s">
        <v>218</v>
      </c>
      <c r="HG162" s="22" t="s">
        <v>218</v>
      </c>
      <c r="HH162" s="22" t="s">
        <v>218</v>
      </c>
      <c r="HI162" s="22" t="s">
        <v>218</v>
      </c>
      <c r="HJ162" s="22" t="s">
        <v>218</v>
      </c>
      <c r="HK162" s="22" t="s">
        <v>218</v>
      </c>
      <c r="HL162" s="22" t="s">
        <v>218</v>
      </c>
      <c r="HM162" s="622">
        <f>'background data'!$G$10</f>
        <v>0.47300000000000003</v>
      </c>
      <c r="HN162" s="622">
        <f>'background data'!$H$10</f>
        <v>0.13</v>
      </c>
      <c r="HO162" s="622">
        <f>'background data'!$J$10</f>
        <v>0.39100000000000001</v>
      </c>
      <c r="HP162" s="622">
        <f>'background data'!$L$10</f>
        <v>5.5E-2</v>
      </c>
      <c r="HQ162" s="622">
        <f>'background data'!$M$10</f>
        <v>3.97</v>
      </c>
      <c r="HR162" s="622">
        <f>'background data'!$N$10</f>
        <v>4.5999999999999999E-3</v>
      </c>
      <c r="HS162" s="622">
        <f>'background data'!$O$10</f>
        <v>2.73</v>
      </c>
      <c r="HT162" s="145" t="s">
        <v>1797</v>
      </c>
      <c r="HU162" s="145" t="s">
        <v>1809</v>
      </c>
      <c r="HV162" s="22" t="s">
        <v>1965</v>
      </c>
      <c r="HW162" s="22">
        <v>0</v>
      </c>
      <c r="HX162" s="22">
        <v>0</v>
      </c>
      <c r="HY162" s="22">
        <v>0</v>
      </c>
      <c r="HZ162" s="19"/>
      <c r="IA162" s="19"/>
      <c r="IB162" s="622">
        <f>'background data'!$G$10</f>
        <v>0.47300000000000003</v>
      </c>
      <c r="IC162" s="622">
        <f>'background data'!$H$10</f>
        <v>0.13</v>
      </c>
      <c r="ID162" s="622">
        <f>'background data'!$J$10</f>
        <v>0.39100000000000001</v>
      </c>
      <c r="IE162" s="622">
        <f>'background data'!$L$10</f>
        <v>5.5E-2</v>
      </c>
      <c r="IF162" s="622">
        <f>'background data'!$M$10</f>
        <v>3.97</v>
      </c>
      <c r="IG162" s="622">
        <f>'background data'!$N$10</f>
        <v>4.5999999999999999E-3</v>
      </c>
      <c r="IH162" s="622">
        <f>'background data'!$O$10</f>
        <v>2.73</v>
      </c>
      <c r="II162" s="145" t="s">
        <v>1797</v>
      </c>
      <c r="IJ162" s="145"/>
      <c r="IK162" s="145"/>
      <c r="IL162" s="145"/>
      <c r="IM162" s="145"/>
      <c r="IN162" s="145"/>
      <c r="IO162" s="145"/>
      <c r="IP162" s="145"/>
      <c r="IQ162" s="145"/>
      <c r="IR162" s="145"/>
      <c r="IS162" s="145"/>
      <c r="IT162" s="145"/>
      <c r="IU162" s="145"/>
      <c r="IV162" s="145"/>
      <c r="IW162" s="145"/>
      <c r="IX162" s="145"/>
      <c r="IY162" s="145"/>
      <c r="IZ162" s="145"/>
      <c r="JA162" s="145"/>
      <c r="JB162" s="145"/>
      <c r="JC162" s="145"/>
      <c r="JD162" s="145"/>
      <c r="JE162" s="145"/>
      <c r="JF162" s="145"/>
      <c r="JG162" s="145"/>
      <c r="JH162" s="145"/>
      <c r="JI162" s="145"/>
      <c r="JJ162" s="145"/>
      <c r="JK162" s="145"/>
      <c r="JL162" s="145"/>
      <c r="JM162" s="145"/>
      <c r="JN162" s="145"/>
      <c r="JO162" s="145"/>
      <c r="JP162" s="145"/>
      <c r="JQ162" s="145"/>
      <c r="JR162" s="145"/>
      <c r="JS162" s="145"/>
      <c r="JT162" s="145"/>
      <c r="JU162" s="145"/>
      <c r="JV162" s="145"/>
      <c r="JW162" s="145"/>
      <c r="JX162" s="145"/>
      <c r="JY162" s="145"/>
      <c r="JZ162" s="145"/>
      <c r="KA162" s="145"/>
      <c r="KB162" s="145"/>
      <c r="KC162" s="145"/>
      <c r="KD162" s="145"/>
      <c r="KE162" s="145"/>
      <c r="KF162" s="145"/>
      <c r="KG162" s="145"/>
      <c r="KH162" s="145"/>
      <c r="KI162" s="145"/>
      <c r="KJ162" s="145"/>
      <c r="KK162" s="145"/>
      <c r="KL162" s="145"/>
      <c r="KM162" s="145"/>
      <c r="KN162" s="145"/>
      <c r="KO162" s="145"/>
      <c r="KP162" s="145"/>
      <c r="KQ162" s="145"/>
      <c r="KR162" s="145"/>
      <c r="KS162" s="145"/>
      <c r="KT162" s="145"/>
      <c r="KU162" s="145"/>
      <c r="KV162" s="145"/>
      <c r="KW162" s="145"/>
      <c r="KX162" s="145"/>
      <c r="KY162" s="145"/>
      <c r="KZ162" s="145"/>
      <c r="LA162" s="145"/>
      <c r="LB162" s="145"/>
      <c r="LC162" s="145"/>
      <c r="LD162" s="145"/>
      <c r="LE162" s="145"/>
      <c r="LF162" s="145"/>
      <c r="LG162" s="145"/>
      <c r="LH162" s="145"/>
      <c r="LI162" s="145"/>
      <c r="LJ162" s="145"/>
      <c r="LK162" s="145"/>
      <c r="LL162" s="145"/>
      <c r="LM162" s="145"/>
      <c r="LN162" s="145"/>
      <c r="LO162" s="145"/>
      <c r="LP162" s="145"/>
      <c r="LQ162" s="145"/>
      <c r="LR162" s="145"/>
      <c r="LS162" s="145"/>
      <c r="LT162" s="145"/>
      <c r="LU162" s="145"/>
      <c r="LV162" s="145"/>
      <c r="LW162" s="145"/>
      <c r="LX162" s="145"/>
      <c r="LY162" s="145"/>
      <c r="LZ162" s="145"/>
      <c r="MA162" s="145"/>
      <c r="MB162" s="145"/>
      <c r="MC162" s="145"/>
      <c r="MD162" s="145"/>
      <c r="ME162" s="145"/>
      <c r="MF162" s="145"/>
      <c r="MG162" s="145"/>
      <c r="MH162" s="145"/>
      <c r="MI162" s="145"/>
      <c r="MJ162" s="145"/>
      <c r="MK162" s="145"/>
      <c r="ML162" s="145"/>
      <c r="MM162" s="145"/>
      <c r="MN162" s="145"/>
      <c r="MO162" s="145"/>
      <c r="MP162" s="145"/>
      <c r="MQ162" s="145"/>
      <c r="MR162" s="145"/>
      <c r="MS162" s="145"/>
      <c r="MT162" s="145"/>
      <c r="MU162" s="145"/>
      <c r="MV162" s="145"/>
      <c r="MW162" s="145"/>
      <c r="MX162" s="145"/>
      <c r="MY162" s="145"/>
      <c r="MZ162" s="145"/>
      <c r="NA162" s="145"/>
      <c r="NB162" s="145"/>
      <c r="NC162" s="145"/>
      <c r="ND162" s="145"/>
      <c r="NE162" s="145"/>
      <c r="NF162" s="145"/>
      <c r="NG162" s="145"/>
      <c r="NH162" s="145"/>
      <c r="NI162" s="145"/>
      <c r="NJ162" s="145"/>
      <c r="NK162" s="145"/>
      <c r="NL162" s="145"/>
      <c r="NM162" s="145"/>
      <c r="NN162" s="145"/>
      <c r="NO162" s="145"/>
      <c r="NP162" s="145"/>
      <c r="NQ162" s="145"/>
      <c r="NR162" s="145"/>
      <c r="NS162" s="145"/>
    </row>
    <row r="163" spans="1:383" s="16" customFormat="1" ht="15" customHeight="1" x14ac:dyDescent="0.2">
      <c r="A163" s="15">
        <v>39002</v>
      </c>
      <c r="B163" s="25">
        <v>390</v>
      </c>
      <c r="C163" s="26">
        <v>2</v>
      </c>
      <c r="D163" s="20" t="s">
        <v>520</v>
      </c>
      <c r="E163" s="14">
        <v>40310</v>
      </c>
      <c r="F163" s="18">
        <v>1.04116304803339</v>
      </c>
      <c r="G163" s="18">
        <v>1.04538365274809</v>
      </c>
      <c r="H163" s="21">
        <v>82.210912650568304</v>
      </c>
      <c r="I163" s="21">
        <v>77.835766824020197</v>
      </c>
      <c r="J163" s="21">
        <v>94.2891275570273</v>
      </c>
      <c r="K163" s="18">
        <v>1</v>
      </c>
      <c r="L163" s="18">
        <v>91.09</v>
      </c>
      <c r="M163" s="18">
        <v>28.256989787199998</v>
      </c>
      <c r="N163" s="18">
        <v>3.0099997144000001</v>
      </c>
      <c r="O163" s="18">
        <v>2.590000238</v>
      </c>
      <c r="P163" s="18">
        <v>4.4799997172000001</v>
      </c>
      <c r="Q163" s="19"/>
      <c r="R163" s="18">
        <v>90.012735286168507</v>
      </c>
      <c r="S163" s="18">
        <v>20</v>
      </c>
      <c r="T163" s="18">
        <v>27</v>
      </c>
      <c r="U163" s="18">
        <v>30</v>
      </c>
      <c r="V163" s="18">
        <v>32</v>
      </c>
      <c r="W163" s="18">
        <v>33</v>
      </c>
      <c r="X163" s="18"/>
      <c r="Y163" s="18">
        <v>0.69162482160500593</v>
      </c>
      <c r="Z163" s="18">
        <v>4.9950592007904273</v>
      </c>
      <c r="AA163" s="18">
        <v>7.6849441211988237E-2</v>
      </c>
      <c r="AB163" s="18">
        <v>0</v>
      </c>
      <c r="AC163" s="18">
        <v>5.6098345811834553</v>
      </c>
      <c r="AD163" s="18">
        <v>1.6791085739378637</v>
      </c>
      <c r="AE163" s="18">
        <v>0</v>
      </c>
      <c r="AF163" s="18">
        <v>67.83598638708969</v>
      </c>
      <c r="AG163" s="18">
        <v>8.0597211549017338</v>
      </c>
      <c r="AH163" s="18">
        <v>49.029970358985615</v>
      </c>
      <c r="AI163" s="18">
        <v>53.059830936436491</v>
      </c>
      <c r="AJ163" s="18">
        <v>0</v>
      </c>
      <c r="AK163" s="18">
        <v>4.7015040070260181E-2</v>
      </c>
      <c r="AL163" s="18"/>
      <c r="AM163" s="18">
        <v>1.4685215758147501</v>
      </c>
      <c r="AN163" s="18">
        <v>105.717153035625</v>
      </c>
      <c r="AO163" s="18">
        <v>0.753087987597307</v>
      </c>
      <c r="AP163" s="18">
        <v>1.2425951795355501</v>
      </c>
      <c r="AQ163" s="18">
        <v>0.53092703125609897</v>
      </c>
      <c r="AR163" s="18">
        <v>1.2425951795355501</v>
      </c>
      <c r="AS163" s="18">
        <v>2.3383382014896301</v>
      </c>
      <c r="AT163" s="18">
        <v>0.97901438387649398</v>
      </c>
      <c r="AU163" s="18">
        <v>1.4722870157527299</v>
      </c>
      <c r="AV163" s="18">
        <v>1.05432318263622</v>
      </c>
      <c r="AW163" s="18">
        <v>1.8111766101715201</v>
      </c>
      <c r="AX163" s="18"/>
      <c r="AY163" s="18">
        <v>0.82445294558700899</v>
      </c>
      <c r="AZ163" s="18">
        <v>1.1096933259830699</v>
      </c>
      <c r="BA163" s="18">
        <v>0.85710454739243502</v>
      </c>
      <c r="BB163" s="18">
        <v>0.76731264242751296</v>
      </c>
      <c r="BC163" s="18">
        <v>0.93057065145464302</v>
      </c>
      <c r="BD163" s="18">
        <v>0.85710454739243502</v>
      </c>
      <c r="BE163" s="18">
        <v>0.84077874648972195</v>
      </c>
      <c r="BF163" s="18">
        <v>0.88975614919786095</v>
      </c>
      <c r="BG163" s="18">
        <v>0.89791904964921698</v>
      </c>
      <c r="BH163" s="18">
        <v>0.84894164694107799</v>
      </c>
      <c r="BI163" s="18">
        <v>0.84077874648972195</v>
      </c>
      <c r="BJ163" s="19"/>
      <c r="BK163" s="18">
        <v>31.020957061367874</v>
      </c>
      <c r="BL163" s="18">
        <v>3.3044238823141949</v>
      </c>
      <c r="BM163" s="18">
        <v>2.8433420111977163</v>
      </c>
      <c r="BN163" s="18">
        <v>4.9182124461521575</v>
      </c>
      <c r="BO163" s="18"/>
      <c r="BP163" s="18">
        <v>46</v>
      </c>
      <c r="BQ163" s="18">
        <v>15.200349858645295</v>
      </c>
      <c r="BR163" s="18">
        <v>1.1430047733377868</v>
      </c>
      <c r="BS163" s="18">
        <v>1.1476382179691405</v>
      </c>
      <c r="BT163" s="19"/>
      <c r="BU163" s="18">
        <v>971.56657988802283</v>
      </c>
      <c r="BV163" s="18">
        <v>423.66519617109452</v>
      </c>
      <c r="BW163" s="18">
        <v>60.724935245867051</v>
      </c>
      <c r="BX163" s="18">
        <v>386.86661543528373</v>
      </c>
      <c r="BY163" s="18">
        <v>24.179163464705233</v>
      </c>
      <c r="BZ163" s="18">
        <v>47.686683499835326</v>
      </c>
      <c r="CA163" s="18">
        <v>87.313645844768914</v>
      </c>
      <c r="CB163" s="19"/>
      <c r="CC163" s="19">
        <v>0.63000104999999995</v>
      </c>
      <c r="CD163" s="19">
        <v>4.5499994260000003</v>
      </c>
      <c r="CE163" s="19">
        <v>7.0002156000000093E-2</v>
      </c>
      <c r="CF163" s="19">
        <v>0</v>
      </c>
      <c r="CG163" s="19">
        <v>5.1099983200000096</v>
      </c>
      <c r="CH163" s="19">
        <v>1.5295000000000001</v>
      </c>
      <c r="CI163" s="19">
        <v>0</v>
      </c>
      <c r="CJ163" s="19"/>
      <c r="CK163" s="19">
        <v>61.791800000000002</v>
      </c>
      <c r="CL163" s="19">
        <v>7.3415999999999899</v>
      </c>
      <c r="CM163" s="19">
        <v>44.6614</v>
      </c>
      <c r="CN163" s="19">
        <v>48.3322</v>
      </c>
      <c r="CO163" s="19">
        <v>0</v>
      </c>
      <c r="CP163" s="19">
        <v>4.2826000000000003E-2</v>
      </c>
      <c r="CQ163" s="19">
        <v>254.34889416991999</v>
      </c>
      <c r="CR163" s="19">
        <v>244.29304771269892</v>
      </c>
      <c r="CS163" s="19">
        <v>2.9577217383673431</v>
      </c>
      <c r="CT163" s="19">
        <v>286.58901564162579</v>
      </c>
      <c r="CU163" s="19">
        <v>1.5768508886954649</v>
      </c>
      <c r="CV163" s="19">
        <v>288.16586653032192</v>
      </c>
      <c r="CW163" s="19">
        <v>2.3292340270158594</v>
      </c>
      <c r="CX163" s="19">
        <v>1.2069667230900414</v>
      </c>
      <c r="CY163" s="19">
        <v>2.6018039663475032</v>
      </c>
      <c r="CZ163" s="19">
        <v>4.8028625425536928</v>
      </c>
      <c r="DA163" s="19">
        <v>2.1279978183632928</v>
      </c>
      <c r="DB163" s="19">
        <v>3.2295407963234166</v>
      </c>
      <c r="DC163" s="19">
        <v>2.1865665656576878</v>
      </c>
      <c r="DD163" s="19">
        <v>5.4161073619811146</v>
      </c>
      <c r="DE163" s="19">
        <v>3.7200915989828194</v>
      </c>
      <c r="DF163" s="23">
        <v>0</v>
      </c>
      <c r="DG163" s="23">
        <v>0</v>
      </c>
      <c r="DH163" s="23">
        <v>0</v>
      </c>
      <c r="DI163" s="19">
        <v>0</v>
      </c>
      <c r="DJ163" s="19">
        <v>0</v>
      </c>
      <c r="DK163" s="19">
        <v>0</v>
      </c>
      <c r="DL163" s="19">
        <v>0</v>
      </c>
      <c r="DM163" s="19">
        <v>0</v>
      </c>
      <c r="DN163" s="19">
        <v>0</v>
      </c>
      <c r="DO163" s="19">
        <v>0</v>
      </c>
      <c r="DP163" s="19">
        <v>0</v>
      </c>
      <c r="DQ163" s="19">
        <v>0</v>
      </c>
      <c r="DR163" s="19">
        <v>0</v>
      </c>
      <c r="DS163" s="19">
        <v>0</v>
      </c>
      <c r="DT163" s="19">
        <v>0</v>
      </c>
      <c r="DU163" s="19">
        <v>0</v>
      </c>
      <c r="DV163" s="19">
        <v>0</v>
      </c>
      <c r="DW163" s="17" t="s">
        <v>218</v>
      </c>
      <c r="DX163" s="22" t="s">
        <v>218</v>
      </c>
      <c r="DY163" s="22" t="s">
        <v>218</v>
      </c>
      <c r="DZ163" s="22" t="s">
        <v>218</v>
      </c>
      <c r="EA163" s="22" t="s">
        <v>218</v>
      </c>
      <c r="EB163" s="22" t="s">
        <v>218</v>
      </c>
      <c r="EC163" s="22" t="s">
        <v>218</v>
      </c>
      <c r="ED163" s="22" t="s">
        <v>218</v>
      </c>
      <c r="EE163" s="22" t="s">
        <v>218</v>
      </c>
      <c r="EF163" s="22" t="s">
        <v>218</v>
      </c>
      <c r="EG163" s="22" t="s">
        <v>218</v>
      </c>
      <c r="EH163" s="22" t="s">
        <v>218</v>
      </c>
      <c r="EI163" s="22" t="s">
        <v>218</v>
      </c>
      <c r="EJ163" s="22" t="s">
        <v>218</v>
      </c>
      <c r="EK163" s="22" t="s">
        <v>218</v>
      </c>
      <c r="EL163" s="22" t="s">
        <v>218</v>
      </c>
      <c r="EM163" s="22" t="s">
        <v>218</v>
      </c>
      <c r="EN163" s="22" t="s">
        <v>218</v>
      </c>
      <c r="EO163" s="22" t="s">
        <v>218</v>
      </c>
      <c r="EP163" s="22" t="s">
        <v>218</v>
      </c>
      <c r="EQ163" s="22" t="s">
        <v>218</v>
      </c>
      <c r="ER163" s="22" t="s">
        <v>218</v>
      </c>
      <c r="ES163" s="22" t="s">
        <v>218</v>
      </c>
      <c r="ET163" s="22" t="s">
        <v>218</v>
      </c>
      <c r="EU163" s="22" t="s">
        <v>218</v>
      </c>
      <c r="EV163" s="22" t="s">
        <v>218</v>
      </c>
      <c r="EW163" s="22" t="s">
        <v>218</v>
      </c>
      <c r="EX163" s="22" t="s">
        <v>218</v>
      </c>
      <c r="EY163" s="22" t="s">
        <v>218</v>
      </c>
      <c r="EZ163" s="22" t="s">
        <v>218</v>
      </c>
      <c r="FA163" s="22" t="s">
        <v>218</v>
      </c>
      <c r="FB163" s="22" t="s">
        <v>218</v>
      </c>
      <c r="FC163" s="22" t="s">
        <v>218</v>
      </c>
      <c r="FD163" s="22" t="s">
        <v>218</v>
      </c>
      <c r="FE163" s="22" t="s">
        <v>218</v>
      </c>
      <c r="FF163" s="22" t="s">
        <v>218</v>
      </c>
      <c r="FG163" s="22" t="s">
        <v>218</v>
      </c>
      <c r="FH163" s="22" t="s">
        <v>218</v>
      </c>
      <c r="FI163" s="22" t="s">
        <v>218</v>
      </c>
      <c r="FJ163" s="22" t="s">
        <v>218</v>
      </c>
      <c r="FK163" s="22" t="s">
        <v>218</v>
      </c>
      <c r="FL163" s="22" t="s">
        <v>218</v>
      </c>
      <c r="FM163" s="22" t="s">
        <v>218</v>
      </c>
      <c r="FN163" s="22" t="s">
        <v>218</v>
      </c>
      <c r="FO163" s="22" t="s">
        <v>218</v>
      </c>
      <c r="FP163" s="22" t="s">
        <v>218</v>
      </c>
      <c r="FQ163" s="22" t="s">
        <v>218</v>
      </c>
      <c r="FR163" s="22" t="s">
        <v>218</v>
      </c>
      <c r="FS163" s="22" t="s">
        <v>218</v>
      </c>
      <c r="FT163" s="22" t="s">
        <v>218</v>
      </c>
      <c r="FU163" s="22" t="s">
        <v>218</v>
      </c>
      <c r="FV163" s="22" t="s">
        <v>218</v>
      </c>
      <c r="FW163" s="22" t="s">
        <v>218</v>
      </c>
      <c r="FX163" s="22" t="s">
        <v>218</v>
      </c>
      <c r="FY163" s="22" t="s">
        <v>218</v>
      </c>
      <c r="FZ163" s="22" t="s">
        <v>218</v>
      </c>
      <c r="GA163" s="22" t="s">
        <v>218</v>
      </c>
      <c r="GB163" s="22" t="s">
        <v>218</v>
      </c>
      <c r="GC163" s="22" t="s">
        <v>218</v>
      </c>
      <c r="GD163" s="22" t="s">
        <v>218</v>
      </c>
      <c r="GE163" s="22" t="s">
        <v>218</v>
      </c>
      <c r="GF163" s="22" t="s">
        <v>218</v>
      </c>
      <c r="GG163" s="22" t="s">
        <v>218</v>
      </c>
      <c r="GH163" s="22" t="s">
        <v>218</v>
      </c>
      <c r="GI163" s="22" t="s">
        <v>218</v>
      </c>
      <c r="GJ163" s="22" t="s">
        <v>218</v>
      </c>
      <c r="GK163" s="22" t="s">
        <v>218</v>
      </c>
      <c r="GL163" s="22" t="s">
        <v>218</v>
      </c>
      <c r="GM163" s="22" t="s">
        <v>218</v>
      </c>
      <c r="GN163" s="22" t="s">
        <v>218</v>
      </c>
      <c r="GO163" s="22" t="s">
        <v>218</v>
      </c>
      <c r="GP163" s="22" t="s">
        <v>218</v>
      </c>
      <c r="GQ163" s="22" t="s">
        <v>218</v>
      </c>
      <c r="GR163" s="22" t="s">
        <v>218</v>
      </c>
      <c r="GS163" s="22" t="s">
        <v>218</v>
      </c>
      <c r="GT163" s="22" t="s">
        <v>218</v>
      </c>
      <c r="GU163" s="22" t="s">
        <v>218</v>
      </c>
      <c r="GV163" s="22" t="s">
        <v>218</v>
      </c>
      <c r="GW163" s="22" t="s">
        <v>218</v>
      </c>
      <c r="GX163" s="22" t="s">
        <v>218</v>
      </c>
      <c r="GY163" s="22" t="s">
        <v>218</v>
      </c>
      <c r="GZ163" s="22" t="s">
        <v>218</v>
      </c>
      <c r="HA163" s="22" t="s">
        <v>218</v>
      </c>
      <c r="HB163" s="22" t="s">
        <v>218</v>
      </c>
      <c r="HC163" s="22" t="s">
        <v>218</v>
      </c>
      <c r="HD163" s="22" t="s">
        <v>218</v>
      </c>
      <c r="HE163" s="22" t="s">
        <v>218</v>
      </c>
      <c r="HF163" s="22" t="s">
        <v>218</v>
      </c>
      <c r="HG163" s="22" t="s">
        <v>218</v>
      </c>
      <c r="HH163" s="22" t="s">
        <v>218</v>
      </c>
      <c r="HI163" s="22" t="s">
        <v>218</v>
      </c>
      <c r="HJ163" s="22" t="s">
        <v>218</v>
      </c>
      <c r="HK163" s="22" t="s">
        <v>218</v>
      </c>
      <c r="HL163" s="22" t="s">
        <v>218</v>
      </c>
      <c r="HM163" s="860"/>
      <c r="HN163" s="860"/>
      <c r="HO163" s="860"/>
      <c r="HP163" s="860"/>
      <c r="HQ163" s="860"/>
      <c r="HR163" s="860"/>
      <c r="HS163" s="860"/>
      <c r="HT163" s="145"/>
      <c r="HU163" s="145" t="s">
        <v>1809</v>
      </c>
      <c r="HV163" s="22" t="s">
        <v>1926</v>
      </c>
      <c r="HW163" s="22">
        <v>0</v>
      </c>
      <c r="HX163" s="22">
        <v>0</v>
      </c>
      <c r="HY163" s="22">
        <v>0</v>
      </c>
      <c r="HZ163" s="19"/>
      <c r="IA163" s="19"/>
      <c r="IB163" s="621">
        <f>'background data'!$G$10</f>
        <v>0.47300000000000003</v>
      </c>
      <c r="IC163" s="621">
        <f>'background data'!$H$10</f>
        <v>0.13</v>
      </c>
      <c r="ID163" s="621">
        <f>'background data'!$J$10</f>
        <v>0.39100000000000001</v>
      </c>
      <c r="IE163" s="621">
        <f>'background data'!$L$10</f>
        <v>5.5E-2</v>
      </c>
      <c r="IF163" s="621">
        <f>'background data'!$M$10</f>
        <v>3.97</v>
      </c>
      <c r="IG163" s="621">
        <f>'background data'!$N$10</f>
        <v>4.5999999999999999E-3</v>
      </c>
      <c r="IH163" s="621">
        <f>'background data'!$O$10</f>
        <v>2.73</v>
      </c>
      <c r="II163" s="145"/>
      <c r="IJ163" s="145"/>
      <c r="IK163" s="145"/>
      <c r="IL163" s="145"/>
      <c r="IM163" s="145"/>
      <c r="IN163" s="145"/>
      <c r="IO163" s="145"/>
      <c r="IP163" s="145"/>
      <c r="IQ163" s="145"/>
      <c r="IR163" s="145"/>
      <c r="IS163" s="145"/>
      <c r="IT163" s="145"/>
      <c r="IU163" s="145"/>
      <c r="IV163" s="145"/>
      <c r="IW163" s="145"/>
      <c r="IX163" s="145"/>
      <c r="IY163" s="145"/>
      <c r="IZ163" s="145"/>
      <c r="JA163" s="145"/>
      <c r="JB163" s="145"/>
      <c r="JC163" s="145"/>
      <c r="JD163" s="145"/>
      <c r="JE163" s="145"/>
      <c r="JF163" s="145"/>
      <c r="JG163" s="145"/>
      <c r="JH163" s="145"/>
      <c r="JI163" s="145"/>
      <c r="JJ163" s="145"/>
      <c r="JK163" s="145"/>
      <c r="JL163" s="145"/>
      <c r="JM163" s="145"/>
      <c r="JN163" s="145"/>
      <c r="JO163" s="145"/>
      <c r="JP163" s="145"/>
      <c r="JQ163" s="145"/>
      <c r="JR163" s="145"/>
      <c r="JS163" s="145"/>
      <c r="JT163" s="145"/>
      <c r="JU163" s="145"/>
      <c r="JV163" s="145"/>
      <c r="JW163" s="145"/>
      <c r="JX163" s="145"/>
      <c r="JY163" s="145"/>
      <c r="JZ163" s="145"/>
      <c r="KA163" s="145"/>
      <c r="KB163" s="145"/>
      <c r="KC163" s="145"/>
      <c r="KD163" s="145"/>
      <c r="KE163" s="145"/>
      <c r="KF163" s="145"/>
      <c r="KG163" s="145"/>
      <c r="KH163" s="145"/>
      <c r="KI163" s="145"/>
      <c r="KJ163" s="145"/>
      <c r="KK163" s="145"/>
      <c r="KL163" s="145"/>
      <c r="KM163" s="145"/>
      <c r="KN163" s="145"/>
      <c r="KO163" s="145"/>
      <c r="KP163" s="145"/>
      <c r="KQ163" s="145"/>
      <c r="KR163" s="145"/>
      <c r="KS163" s="145"/>
      <c r="KT163" s="145"/>
      <c r="KU163" s="145"/>
      <c r="KV163" s="145"/>
      <c r="KW163" s="145"/>
      <c r="KX163" s="145"/>
      <c r="KY163" s="145"/>
      <c r="KZ163" s="145"/>
      <c r="LA163" s="145"/>
      <c r="LB163" s="145"/>
      <c r="LC163" s="145"/>
      <c r="LD163" s="145"/>
      <c r="LE163" s="145"/>
      <c r="LF163" s="145"/>
      <c r="LG163" s="145"/>
      <c r="LH163" s="145"/>
      <c r="LI163" s="145"/>
      <c r="LJ163" s="145"/>
      <c r="LK163" s="145"/>
      <c r="LL163" s="145"/>
      <c r="LM163" s="145"/>
      <c r="LN163" s="145"/>
      <c r="LO163" s="145"/>
      <c r="LP163" s="145"/>
      <c r="LQ163" s="145"/>
      <c r="LR163" s="145"/>
      <c r="LS163" s="145"/>
      <c r="LT163" s="145"/>
      <c r="LU163" s="145"/>
      <c r="LV163" s="145"/>
      <c r="LW163" s="145"/>
      <c r="LX163" s="145"/>
      <c r="LY163" s="145"/>
      <c r="LZ163" s="145"/>
      <c r="MA163" s="145"/>
      <c r="MB163" s="145"/>
      <c r="MC163" s="145"/>
      <c r="MD163" s="145"/>
      <c r="ME163" s="145"/>
      <c r="MF163" s="145"/>
      <c r="MG163" s="145"/>
      <c r="MH163" s="145"/>
      <c r="MI163" s="145"/>
      <c r="MJ163" s="145"/>
      <c r="MK163" s="145"/>
      <c r="ML163" s="145"/>
      <c r="MM163" s="145"/>
      <c r="MN163" s="145"/>
      <c r="MO163" s="145"/>
      <c r="MP163" s="145"/>
      <c r="MQ163" s="145"/>
      <c r="MR163" s="145"/>
      <c r="MS163" s="145"/>
      <c r="MT163" s="145"/>
      <c r="MU163" s="145"/>
      <c r="MV163" s="145"/>
      <c r="MW163" s="145"/>
      <c r="MX163" s="145"/>
      <c r="MY163" s="145"/>
      <c r="MZ163" s="145"/>
      <c r="NA163" s="145"/>
      <c r="NB163" s="145"/>
      <c r="NC163" s="145"/>
      <c r="ND163" s="145"/>
      <c r="NE163" s="145"/>
      <c r="NF163" s="145"/>
      <c r="NG163" s="145"/>
      <c r="NH163" s="145"/>
      <c r="NI163" s="145"/>
      <c r="NJ163" s="145"/>
      <c r="NK163" s="145"/>
      <c r="NL163" s="145"/>
      <c r="NM163" s="145"/>
      <c r="NN163" s="145"/>
      <c r="NO163" s="145"/>
      <c r="NP163" s="145"/>
      <c r="NQ163" s="145"/>
      <c r="NR163" s="145"/>
      <c r="NS163" s="145"/>
    </row>
    <row r="164" spans="1:383" s="16" customFormat="1" ht="15" customHeight="1" x14ac:dyDescent="0.2">
      <c r="A164" s="15">
        <v>39101</v>
      </c>
      <c r="B164" s="25">
        <v>391</v>
      </c>
      <c r="C164" s="26">
        <v>1</v>
      </c>
      <c r="D164" s="20" t="s">
        <v>521</v>
      </c>
      <c r="E164" s="14">
        <v>40310</v>
      </c>
      <c r="F164" s="18">
        <v>1.09757121874076</v>
      </c>
      <c r="G164" s="18">
        <v>1.09264892374399</v>
      </c>
      <c r="H164" s="21">
        <v>84.818443321859206</v>
      </c>
      <c r="I164" s="21">
        <v>81.255199306759096</v>
      </c>
      <c r="J164" s="21">
        <v>95.702665430210203</v>
      </c>
      <c r="K164" s="18">
        <v>1</v>
      </c>
      <c r="L164" s="18">
        <v>92.32</v>
      </c>
      <c r="M164" s="18">
        <v>32.609319817600003</v>
      </c>
      <c r="N164" s="18">
        <v>2.5799997551999998</v>
      </c>
      <c r="O164" s="18">
        <v>2.2200002040000002</v>
      </c>
      <c r="P164" s="18">
        <v>3.8399997575999998</v>
      </c>
      <c r="Q164" s="19"/>
      <c r="R164" s="18">
        <v>92.582049585841304</v>
      </c>
      <c r="S164" s="18">
        <v>20</v>
      </c>
      <c r="T164" s="18">
        <v>27</v>
      </c>
      <c r="U164" s="18">
        <v>30</v>
      </c>
      <c r="V164" s="18">
        <v>32</v>
      </c>
      <c r="W164" s="18">
        <v>33</v>
      </c>
      <c r="X164" s="18"/>
      <c r="Y164" s="18">
        <v>0.58492298526863085</v>
      </c>
      <c r="Z164" s="18">
        <v>4.2244362088388216</v>
      </c>
      <c r="AA164" s="18">
        <v>6.4993336221837103E-2</v>
      </c>
      <c r="AB164" s="18">
        <v>0</v>
      </c>
      <c r="AC164" s="18">
        <v>4.7443658578856152</v>
      </c>
      <c r="AD164" s="18">
        <v>1.4200606585788562</v>
      </c>
      <c r="AE164" s="18">
        <v>0</v>
      </c>
      <c r="AF164" s="18">
        <v>57.370450606585791</v>
      </c>
      <c r="AG164" s="18">
        <v>6.8162911611785093</v>
      </c>
      <c r="AH164" s="18">
        <v>41.465771230502604</v>
      </c>
      <c r="AI164" s="18">
        <v>44.873916811091853</v>
      </c>
      <c r="AJ164" s="18">
        <v>0</v>
      </c>
      <c r="AK164" s="18">
        <v>3.9761698440207972E-2</v>
      </c>
      <c r="AL164" s="18"/>
      <c r="AM164" s="18">
        <v>1.0907311004212701</v>
      </c>
      <c r="AN164" s="18">
        <v>121.89433493067899</v>
      </c>
      <c r="AO164" s="18">
        <v>0.55934928226732095</v>
      </c>
      <c r="AP164" s="18">
        <v>0.92292631574107498</v>
      </c>
      <c r="AQ164" s="18">
        <v>0.39434124399845899</v>
      </c>
      <c r="AR164" s="18">
        <v>0.92292631574107498</v>
      </c>
      <c r="AS164" s="18">
        <v>1.7367795214400299</v>
      </c>
      <c r="AT164" s="18">
        <v>0.72715406694751406</v>
      </c>
      <c r="AU164" s="18">
        <v>1.09352784683261</v>
      </c>
      <c r="AV164" s="18">
        <v>0.78308899517424602</v>
      </c>
      <c r="AW164" s="18">
        <v>1.3452350238529001</v>
      </c>
      <c r="AX164" s="18"/>
      <c r="AY164" s="18">
        <v>0.80157292994704399</v>
      </c>
      <c r="AZ164" s="18">
        <v>1.07933349616896</v>
      </c>
      <c r="BA164" s="18">
        <v>0.83331839251920403</v>
      </c>
      <c r="BB164" s="18">
        <v>0.74601837044576302</v>
      </c>
      <c r="BC164" s="18">
        <v>0.90474568330656402</v>
      </c>
      <c r="BD164" s="18">
        <v>0.83331839251920403</v>
      </c>
      <c r="BE164" s="18">
        <v>0.81744566123312401</v>
      </c>
      <c r="BF164" s="18">
        <v>0.86506385509136396</v>
      </c>
      <c r="BG164" s="18">
        <v>0.87300022073440398</v>
      </c>
      <c r="BH164" s="18">
        <v>0.82538202687616402</v>
      </c>
      <c r="BI164" s="18">
        <v>0.81744566123312401</v>
      </c>
      <c r="BJ164" s="19"/>
      <c r="BK164" s="18">
        <v>35.322053528596193</v>
      </c>
      <c r="BL164" s="18">
        <v>2.7946271178509532</v>
      </c>
      <c r="BM164" s="18">
        <v>2.4046795970537267</v>
      </c>
      <c r="BN164" s="18">
        <v>4.1594451447140379</v>
      </c>
      <c r="BO164" s="18"/>
      <c r="BP164" s="18">
        <v>0</v>
      </c>
      <c r="BQ164" s="18">
        <v>0</v>
      </c>
      <c r="BR164" s="18">
        <v>1.1888769700398181</v>
      </c>
      <c r="BS164" s="18">
        <v>1.1835451946966964</v>
      </c>
      <c r="BT164" s="19"/>
      <c r="BU164" s="18">
        <v>975.95320402946277</v>
      </c>
      <c r="BV164" s="18">
        <v>429.57032486456455</v>
      </c>
      <c r="BW164" s="18">
        <v>49.679420189653712</v>
      </c>
      <c r="BX164" s="18">
        <v>327.18197573656846</v>
      </c>
      <c r="BY164" s="18">
        <v>20.448873483535529</v>
      </c>
      <c r="BZ164" s="18">
        <v>40.329722703639518</v>
      </c>
      <c r="CA164" s="18">
        <v>73.843154246100525</v>
      </c>
      <c r="CB164" s="19"/>
      <c r="CC164" s="19">
        <v>0.54000089999999989</v>
      </c>
      <c r="CD164" s="19">
        <v>3.8999995079999996</v>
      </c>
      <c r="CE164" s="19">
        <v>6.000184800000001E-2</v>
      </c>
      <c r="CF164" s="19">
        <v>0</v>
      </c>
      <c r="CG164" s="19">
        <v>4.3799985599999998</v>
      </c>
      <c r="CH164" s="19">
        <v>1.3109999999999999</v>
      </c>
      <c r="CI164" s="19">
        <v>0</v>
      </c>
      <c r="CJ164" s="19"/>
      <c r="CK164" s="19">
        <v>52.964399999999998</v>
      </c>
      <c r="CL164" s="19">
        <v>6.2927999999999988</v>
      </c>
      <c r="CM164" s="19">
        <v>38.281199999999998</v>
      </c>
      <c r="CN164" s="19">
        <v>41.427599999999991</v>
      </c>
      <c r="CO164" s="19">
        <v>0</v>
      </c>
      <c r="CP164" s="19">
        <v>3.6707999999999998E-2</v>
      </c>
      <c r="CQ164" s="19">
        <v>301.90376643136</v>
      </c>
      <c r="CR164" s="19">
        <v>275.06530899902168</v>
      </c>
      <c r="CS164" s="19">
        <v>2.4048974377804959</v>
      </c>
      <c r="CT164" s="19">
        <v>361.88867992936866</v>
      </c>
      <c r="CU164" s="19">
        <v>1.2821235388014922</v>
      </c>
      <c r="CV164" s="19">
        <v>363.17080346817238</v>
      </c>
      <c r="CW164" s="19">
        <v>1.8938796273153364</v>
      </c>
      <c r="CX164" s="19">
        <v>0.98137398869976322</v>
      </c>
      <c r="CY164" s="19">
        <v>2.1155038390224439</v>
      </c>
      <c r="CZ164" s="19">
        <v>3.905165138683802</v>
      </c>
      <c r="DA164" s="19">
        <v>1.7302562423635233</v>
      </c>
      <c r="DB164" s="19">
        <v>2.6259111144691389</v>
      </c>
      <c r="DC164" s="19">
        <v>1.7778779738047203</v>
      </c>
      <c r="DD164" s="19">
        <v>4.4037890882738688</v>
      </c>
      <c r="DE164" s="19">
        <v>3.0247736420400821</v>
      </c>
      <c r="DF164" s="23">
        <v>0</v>
      </c>
      <c r="DG164" s="23">
        <v>0</v>
      </c>
      <c r="DH164" s="23">
        <v>0</v>
      </c>
      <c r="DI164" s="19">
        <v>0</v>
      </c>
      <c r="DJ164" s="19">
        <v>0</v>
      </c>
      <c r="DK164" s="19">
        <v>0</v>
      </c>
      <c r="DL164" s="19">
        <v>0</v>
      </c>
      <c r="DM164" s="19">
        <v>0</v>
      </c>
      <c r="DN164" s="19">
        <v>0</v>
      </c>
      <c r="DO164" s="19">
        <v>0</v>
      </c>
      <c r="DP164" s="19">
        <v>0</v>
      </c>
      <c r="DQ164" s="19">
        <v>0</v>
      </c>
      <c r="DR164" s="19">
        <v>0</v>
      </c>
      <c r="DS164" s="19">
        <v>0</v>
      </c>
      <c r="DT164" s="19">
        <v>0</v>
      </c>
      <c r="DU164" s="19">
        <v>0</v>
      </c>
      <c r="DV164" s="19">
        <v>0</v>
      </c>
      <c r="DW164" s="17" t="s">
        <v>218</v>
      </c>
      <c r="DX164" s="22" t="s">
        <v>218</v>
      </c>
      <c r="DY164" s="22" t="s">
        <v>218</v>
      </c>
      <c r="DZ164" s="22" t="s">
        <v>218</v>
      </c>
      <c r="EA164" s="22" t="s">
        <v>218</v>
      </c>
      <c r="EB164" s="22" t="s">
        <v>218</v>
      </c>
      <c r="EC164" s="22" t="s">
        <v>218</v>
      </c>
      <c r="ED164" s="22" t="s">
        <v>218</v>
      </c>
      <c r="EE164" s="22" t="s">
        <v>218</v>
      </c>
      <c r="EF164" s="22" t="s">
        <v>218</v>
      </c>
      <c r="EG164" s="22" t="s">
        <v>218</v>
      </c>
      <c r="EH164" s="22" t="s">
        <v>218</v>
      </c>
      <c r="EI164" s="22" t="s">
        <v>218</v>
      </c>
      <c r="EJ164" s="22" t="s">
        <v>218</v>
      </c>
      <c r="EK164" s="22" t="s">
        <v>218</v>
      </c>
      <c r="EL164" s="22" t="s">
        <v>218</v>
      </c>
      <c r="EM164" s="22" t="s">
        <v>218</v>
      </c>
      <c r="EN164" s="22" t="s">
        <v>218</v>
      </c>
      <c r="EO164" s="22" t="s">
        <v>218</v>
      </c>
      <c r="EP164" s="22" t="s">
        <v>218</v>
      </c>
      <c r="EQ164" s="22" t="s">
        <v>218</v>
      </c>
      <c r="ER164" s="22" t="s">
        <v>218</v>
      </c>
      <c r="ES164" s="22" t="s">
        <v>218</v>
      </c>
      <c r="ET164" s="22" t="s">
        <v>218</v>
      </c>
      <c r="EU164" s="22" t="s">
        <v>218</v>
      </c>
      <c r="EV164" s="22" t="s">
        <v>218</v>
      </c>
      <c r="EW164" s="22" t="s">
        <v>218</v>
      </c>
      <c r="EX164" s="22" t="s">
        <v>218</v>
      </c>
      <c r="EY164" s="22" t="s">
        <v>218</v>
      </c>
      <c r="EZ164" s="22" t="s">
        <v>218</v>
      </c>
      <c r="FA164" s="22" t="s">
        <v>218</v>
      </c>
      <c r="FB164" s="22" t="s">
        <v>218</v>
      </c>
      <c r="FC164" s="22" t="s">
        <v>218</v>
      </c>
      <c r="FD164" s="22" t="s">
        <v>218</v>
      </c>
      <c r="FE164" s="22" t="s">
        <v>218</v>
      </c>
      <c r="FF164" s="22" t="s">
        <v>218</v>
      </c>
      <c r="FG164" s="22" t="s">
        <v>218</v>
      </c>
      <c r="FH164" s="22" t="s">
        <v>218</v>
      </c>
      <c r="FI164" s="22" t="s">
        <v>218</v>
      </c>
      <c r="FJ164" s="22" t="s">
        <v>218</v>
      </c>
      <c r="FK164" s="22" t="s">
        <v>218</v>
      </c>
      <c r="FL164" s="22" t="s">
        <v>218</v>
      </c>
      <c r="FM164" s="22" t="s">
        <v>218</v>
      </c>
      <c r="FN164" s="22" t="s">
        <v>218</v>
      </c>
      <c r="FO164" s="22" t="s">
        <v>218</v>
      </c>
      <c r="FP164" s="22" t="s">
        <v>218</v>
      </c>
      <c r="FQ164" s="22" t="s">
        <v>218</v>
      </c>
      <c r="FR164" s="22" t="s">
        <v>218</v>
      </c>
      <c r="FS164" s="22" t="s">
        <v>218</v>
      </c>
      <c r="FT164" s="22" t="s">
        <v>218</v>
      </c>
      <c r="FU164" s="22" t="s">
        <v>218</v>
      </c>
      <c r="FV164" s="22" t="s">
        <v>218</v>
      </c>
      <c r="FW164" s="22" t="s">
        <v>218</v>
      </c>
      <c r="FX164" s="22" t="s">
        <v>218</v>
      </c>
      <c r="FY164" s="22" t="s">
        <v>218</v>
      </c>
      <c r="FZ164" s="22" t="s">
        <v>218</v>
      </c>
      <c r="GA164" s="22" t="s">
        <v>218</v>
      </c>
      <c r="GB164" s="22" t="s">
        <v>218</v>
      </c>
      <c r="GC164" s="22" t="s">
        <v>218</v>
      </c>
      <c r="GD164" s="22" t="s">
        <v>218</v>
      </c>
      <c r="GE164" s="22" t="s">
        <v>218</v>
      </c>
      <c r="GF164" s="22" t="s">
        <v>218</v>
      </c>
      <c r="GG164" s="22" t="s">
        <v>218</v>
      </c>
      <c r="GH164" s="22" t="s">
        <v>218</v>
      </c>
      <c r="GI164" s="22" t="s">
        <v>218</v>
      </c>
      <c r="GJ164" s="22" t="s">
        <v>218</v>
      </c>
      <c r="GK164" s="22" t="s">
        <v>218</v>
      </c>
      <c r="GL164" s="22" t="s">
        <v>218</v>
      </c>
      <c r="GM164" s="22" t="s">
        <v>218</v>
      </c>
      <c r="GN164" s="22" t="s">
        <v>218</v>
      </c>
      <c r="GO164" s="22" t="s">
        <v>218</v>
      </c>
      <c r="GP164" s="22" t="s">
        <v>218</v>
      </c>
      <c r="GQ164" s="22" t="s">
        <v>218</v>
      </c>
      <c r="GR164" s="22" t="s">
        <v>218</v>
      </c>
      <c r="GS164" s="22" t="s">
        <v>218</v>
      </c>
      <c r="GT164" s="22" t="s">
        <v>218</v>
      </c>
      <c r="GU164" s="22" t="s">
        <v>218</v>
      </c>
      <c r="GV164" s="22" t="s">
        <v>218</v>
      </c>
      <c r="GW164" s="22" t="s">
        <v>218</v>
      </c>
      <c r="GX164" s="22" t="s">
        <v>218</v>
      </c>
      <c r="GY164" s="22" t="s">
        <v>218</v>
      </c>
      <c r="GZ164" s="22" t="s">
        <v>218</v>
      </c>
      <c r="HA164" s="22" t="s">
        <v>218</v>
      </c>
      <c r="HB164" s="22" t="s">
        <v>218</v>
      </c>
      <c r="HC164" s="22" t="s">
        <v>218</v>
      </c>
      <c r="HD164" s="22" t="s">
        <v>218</v>
      </c>
      <c r="HE164" s="22" t="s">
        <v>218</v>
      </c>
      <c r="HF164" s="22" t="s">
        <v>218</v>
      </c>
      <c r="HG164" s="22" t="s">
        <v>218</v>
      </c>
      <c r="HH164" s="22" t="s">
        <v>218</v>
      </c>
      <c r="HI164" s="22" t="s">
        <v>218</v>
      </c>
      <c r="HJ164" s="22" t="s">
        <v>218</v>
      </c>
      <c r="HK164" s="22" t="s">
        <v>218</v>
      </c>
      <c r="HL164" s="22" t="s">
        <v>218</v>
      </c>
      <c r="HM164" s="860"/>
      <c r="HN164" s="860"/>
      <c r="HO164" s="860"/>
      <c r="HP164" s="860"/>
      <c r="HQ164" s="860"/>
      <c r="HR164" s="860"/>
      <c r="HS164" s="860"/>
      <c r="HT164" s="145"/>
      <c r="HU164" s="145" t="s">
        <v>1809</v>
      </c>
      <c r="HV164" s="22" t="s">
        <v>1926</v>
      </c>
      <c r="HW164" s="22">
        <v>0</v>
      </c>
      <c r="HX164" s="22">
        <v>0</v>
      </c>
      <c r="HY164" s="22">
        <v>0</v>
      </c>
      <c r="HZ164" s="19"/>
      <c r="IA164" s="19"/>
      <c r="IB164" s="621">
        <f>'background data'!$G$10</f>
        <v>0.47300000000000003</v>
      </c>
      <c r="IC164" s="621">
        <f>'background data'!$H$10</f>
        <v>0.13</v>
      </c>
      <c r="ID164" s="621">
        <f>'background data'!$J$10</f>
        <v>0.39100000000000001</v>
      </c>
      <c r="IE164" s="621">
        <f>'background data'!$L$10</f>
        <v>5.5E-2</v>
      </c>
      <c r="IF164" s="621">
        <f>'background data'!$M$10</f>
        <v>3.97</v>
      </c>
      <c r="IG164" s="621">
        <f>'background data'!$N$10</f>
        <v>4.5999999999999999E-3</v>
      </c>
      <c r="IH164" s="621">
        <f>'background data'!$O$10</f>
        <v>2.73</v>
      </c>
      <c r="II164" s="145"/>
      <c r="IJ164" s="145"/>
      <c r="IK164" s="145"/>
      <c r="IL164" s="145"/>
      <c r="IM164" s="145"/>
      <c r="IN164" s="145"/>
      <c r="IO164" s="145"/>
      <c r="IP164" s="145"/>
      <c r="IQ164" s="145"/>
      <c r="IR164" s="145"/>
      <c r="IS164" s="145"/>
      <c r="IT164" s="145"/>
      <c r="IU164" s="145"/>
      <c r="IV164" s="145"/>
      <c r="IW164" s="145"/>
      <c r="IX164" s="145"/>
      <c r="IY164" s="145"/>
      <c r="IZ164" s="145"/>
      <c r="JA164" s="145"/>
      <c r="JB164" s="145"/>
      <c r="JC164" s="145"/>
      <c r="JD164" s="145"/>
      <c r="JE164" s="145"/>
      <c r="JF164" s="145"/>
      <c r="JG164" s="145"/>
      <c r="JH164" s="145"/>
      <c r="JI164" s="145"/>
      <c r="JJ164" s="145"/>
      <c r="JK164" s="145"/>
      <c r="JL164" s="145"/>
      <c r="JM164" s="145"/>
      <c r="JN164" s="145"/>
      <c r="JO164" s="145"/>
      <c r="JP164" s="145"/>
      <c r="JQ164" s="145"/>
      <c r="JR164" s="145"/>
      <c r="JS164" s="145"/>
      <c r="JT164" s="145"/>
      <c r="JU164" s="145"/>
      <c r="JV164" s="145"/>
      <c r="JW164" s="145"/>
      <c r="JX164" s="145"/>
      <c r="JY164" s="145"/>
      <c r="JZ164" s="145"/>
      <c r="KA164" s="145"/>
      <c r="KB164" s="145"/>
      <c r="KC164" s="145"/>
      <c r="KD164" s="145"/>
      <c r="KE164" s="145"/>
      <c r="KF164" s="145"/>
      <c r="KG164" s="145"/>
      <c r="KH164" s="145"/>
      <c r="KI164" s="145"/>
      <c r="KJ164" s="145"/>
      <c r="KK164" s="145"/>
      <c r="KL164" s="145"/>
      <c r="KM164" s="145"/>
      <c r="KN164" s="145"/>
      <c r="KO164" s="145"/>
      <c r="KP164" s="145"/>
      <c r="KQ164" s="145"/>
      <c r="KR164" s="145"/>
      <c r="KS164" s="145"/>
      <c r="KT164" s="145"/>
      <c r="KU164" s="145"/>
      <c r="KV164" s="145"/>
      <c r="KW164" s="145"/>
      <c r="KX164" s="145"/>
      <c r="KY164" s="145"/>
      <c r="KZ164" s="145"/>
      <c r="LA164" s="145"/>
      <c r="LB164" s="145"/>
      <c r="LC164" s="145"/>
      <c r="LD164" s="145"/>
      <c r="LE164" s="145"/>
      <c r="LF164" s="145"/>
      <c r="LG164" s="145"/>
      <c r="LH164" s="145"/>
      <c r="LI164" s="145"/>
      <c r="LJ164" s="145"/>
      <c r="LK164" s="145"/>
      <c r="LL164" s="145"/>
      <c r="LM164" s="145"/>
      <c r="LN164" s="145"/>
      <c r="LO164" s="145"/>
      <c r="LP164" s="145"/>
      <c r="LQ164" s="145"/>
      <c r="LR164" s="145"/>
      <c r="LS164" s="145"/>
      <c r="LT164" s="145"/>
      <c r="LU164" s="145"/>
      <c r="LV164" s="145"/>
      <c r="LW164" s="145"/>
      <c r="LX164" s="145"/>
      <c r="LY164" s="145"/>
      <c r="LZ164" s="145"/>
      <c r="MA164" s="145"/>
      <c r="MB164" s="145"/>
      <c r="MC164" s="145"/>
      <c r="MD164" s="145"/>
      <c r="ME164" s="145"/>
      <c r="MF164" s="145"/>
      <c r="MG164" s="145"/>
      <c r="MH164" s="145"/>
      <c r="MI164" s="145"/>
      <c r="MJ164" s="145"/>
      <c r="MK164" s="145"/>
      <c r="ML164" s="145"/>
      <c r="MM164" s="145"/>
      <c r="MN164" s="145"/>
      <c r="MO164" s="145"/>
      <c r="MP164" s="145"/>
      <c r="MQ164" s="145"/>
      <c r="MR164" s="145"/>
      <c r="MS164" s="145"/>
      <c r="MT164" s="145"/>
      <c r="MU164" s="145"/>
      <c r="MV164" s="145"/>
      <c r="MW164" s="145"/>
      <c r="MX164" s="145"/>
      <c r="MY164" s="145"/>
      <c r="MZ164" s="145"/>
      <c r="NA164" s="145"/>
      <c r="NB164" s="145"/>
      <c r="NC164" s="145"/>
      <c r="ND164" s="145"/>
      <c r="NE164" s="145"/>
      <c r="NF164" s="145"/>
      <c r="NG164" s="145"/>
      <c r="NH164" s="145"/>
      <c r="NI164" s="145"/>
      <c r="NJ164" s="145"/>
      <c r="NK164" s="145"/>
      <c r="NL164" s="145"/>
      <c r="NM164" s="145"/>
      <c r="NN164" s="145"/>
      <c r="NO164" s="145"/>
      <c r="NP164" s="145"/>
      <c r="NQ164" s="145"/>
      <c r="NR164" s="145"/>
      <c r="NS164" s="145"/>
    </row>
    <row r="165" spans="1:383" s="16" customFormat="1" ht="15" customHeight="1" x14ac:dyDescent="0.2">
      <c r="A165" s="15">
        <v>99400</v>
      </c>
      <c r="B165" s="25">
        <v>994</v>
      </c>
      <c r="C165" s="26">
        <v>0</v>
      </c>
      <c r="D165" s="20" t="s">
        <v>522</v>
      </c>
      <c r="E165" s="14">
        <v>40310</v>
      </c>
      <c r="F165" s="18">
        <v>1.45035224647697</v>
      </c>
      <c r="G165" s="18">
        <v>1.3900778674026</v>
      </c>
      <c r="H165" s="21">
        <v>100</v>
      </c>
      <c r="I165" s="21">
        <v>100</v>
      </c>
      <c r="J165" s="21">
        <v>100</v>
      </c>
      <c r="K165" s="18">
        <v>1</v>
      </c>
      <c r="L165" s="18">
        <v>99.7</v>
      </c>
      <c r="M165" s="18">
        <v>58.723300000000002</v>
      </c>
      <c r="N165" s="18">
        <v>0</v>
      </c>
      <c r="O165" s="18">
        <v>0</v>
      </c>
      <c r="P165" s="18">
        <v>0</v>
      </c>
      <c r="Q165" s="19"/>
      <c r="R165" s="18">
        <v>100</v>
      </c>
      <c r="S165" s="18">
        <v>0</v>
      </c>
      <c r="T165" s="18">
        <v>0</v>
      </c>
      <c r="U165" s="18">
        <v>0</v>
      </c>
      <c r="V165" s="18">
        <v>0</v>
      </c>
      <c r="W165" s="18">
        <v>0</v>
      </c>
      <c r="X165" s="18"/>
      <c r="Y165" s="18">
        <v>0</v>
      </c>
      <c r="Z165" s="18">
        <v>0</v>
      </c>
      <c r="AA165" s="18">
        <v>0</v>
      </c>
      <c r="AB165" s="18">
        <v>0</v>
      </c>
      <c r="AC165" s="18">
        <v>0</v>
      </c>
      <c r="AD165" s="18">
        <v>0</v>
      </c>
      <c r="AE165" s="18">
        <v>0</v>
      </c>
      <c r="AF165" s="18">
        <v>0</v>
      </c>
      <c r="AG165" s="18">
        <v>0</v>
      </c>
      <c r="AH165" s="18">
        <v>0</v>
      </c>
      <c r="AI165" s="18">
        <v>0</v>
      </c>
      <c r="AJ165" s="18">
        <v>0</v>
      </c>
      <c r="AK165" s="18">
        <v>0</v>
      </c>
      <c r="AL165" s="18"/>
      <c r="AM165" s="18">
        <v>0</v>
      </c>
      <c r="AN165" s="18">
        <v>168.6</v>
      </c>
      <c r="AO165" s="18">
        <v>0</v>
      </c>
      <c r="AP165" s="18">
        <v>0</v>
      </c>
      <c r="AQ165" s="18">
        <v>0</v>
      </c>
      <c r="AR165" s="18">
        <v>0</v>
      </c>
      <c r="AS165" s="18">
        <v>0</v>
      </c>
      <c r="AT165" s="18">
        <v>0</v>
      </c>
      <c r="AU165" s="18">
        <v>0</v>
      </c>
      <c r="AV165" s="18">
        <v>0</v>
      </c>
      <c r="AW165" s="18">
        <v>0</v>
      </c>
      <c r="AX165" s="18"/>
      <c r="AY165" s="18">
        <v>1</v>
      </c>
      <c r="AZ165" s="18">
        <v>1</v>
      </c>
      <c r="BA165" s="18">
        <v>1</v>
      </c>
      <c r="BB165" s="18">
        <v>1</v>
      </c>
      <c r="BC165" s="18">
        <v>1</v>
      </c>
      <c r="BD165" s="18">
        <v>1</v>
      </c>
      <c r="BE165" s="18">
        <v>1</v>
      </c>
      <c r="BF165" s="18">
        <v>1</v>
      </c>
      <c r="BG165" s="18">
        <v>1</v>
      </c>
      <c r="BH165" s="18">
        <v>1</v>
      </c>
      <c r="BI165" s="18">
        <v>1</v>
      </c>
      <c r="BJ165" s="19"/>
      <c r="BK165" s="18">
        <v>58.9</v>
      </c>
      <c r="BL165" s="18">
        <v>0</v>
      </c>
      <c r="BM165" s="18">
        <v>0</v>
      </c>
      <c r="BN165" s="18">
        <v>0</v>
      </c>
      <c r="BO165" s="18"/>
      <c r="BP165" s="18">
        <v>0</v>
      </c>
      <c r="BQ165" s="18">
        <v>0</v>
      </c>
      <c r="BR165" s="18">
        <v>1.4547163956639619</v>
      </c>
      <c r="BS165" s="18">
        <v>1.394260649350652</v>
      </c>
      <c r="BT165" s="19"/>
      <c r="BU165" s="18">
        <v>1000</v>
      </c>
      <c r="BV165" s="18">
        <v>464.01</v>
      </c>
      <c r="BW165" s="18">
        <v>0</v>
      </c>
      <c r="BX165" s="18" t="s">
        <v>217</v>
      </c>
      <c r="BY165" s="18" t="s">
        <v>217</v>
      </c>
      <c r="BZ165" s="18" t="s">
        <v>217</v>
      </c>
      <c r="CA165" s="18" t="s">
        <v>217</v>
      </c>
      <c r="CB165" s="19"/>
      <c r="CC165" s="19">
        <v>0</v>
      </c>
      <c r="CD165" s="19">
        <v>0</v>
      </c>
      <c r="CE165" s="19">
        <v>0</v>
      </c>
      <c r="CF165" s="19">
        <v>0</v>
      </c>
      <c r="CG165" s="19">
        <v>0</v>
      </c>
      <c r="CH165" s="19">
        <v>0</v>
      </c>
      <c r="CI165" s="19">
        <v>0</v>
      </c>
      <c r="CJ165" s="19"/>
      <c r="CK165" s="19">
        <v>0</v>
      </c>
      <c r="CL165" s="19">
        <v>0</v>
      </c>
      <c r="CM165" s="19">
        <v>0</v>
      </c>
      <c r="CN165" s="19">
        <v>0</v>
      </c>
      <c r="CO165" s="19">
        <v>0</v>
      </c>
      <c r="CP165" s="19">
        <v>0</v>
      </c>
      <c r="CQ165" s="19">
        <v>587.23299999999995</v>
      </c>
      <c r="CR165" s="19">
        <v>404.88991651954842</v>
      </c>
      <c r="CS165" s="19">
        <v>0</v>
      </c>
      <c r="CT165" s="19">
        <v>682.6443992519587</v>
      </c>
      <c r="CU165" s="19">
        <v>0</v>
      </c>
      <c r="CV165" s="19">
        <v>682.6443992519587</v>
      </c>
      <c r="CW165" s="19">
        <v>0</v>
      </c>
      <c r="CX165" s="19">
        <v>0</v>
      </c>
      <c r="CY165" s="19">
        <v>0</v>
      </c>
      <c r="CZ165" s="19">
        <v>0</v>
      </c>
      <c r="DA165" s="19">
        <v>0</v>
      </c>
      <c r="DB165" s="19">
        <v>0</v>
      </c>
      <c r="DC165" s="19">
        <v>0</v>
      </c>
      <c r="DD165" s="19">
        <v>0</v>
      </c>
      <c r="DE165" s="19">
        <v>0</v>
      </c>
      <c r="DF165" s="23">
        <v>0</v>
      </c>
      <c r="DG165" s="23">
        <v>0</v>
      </c>
      <c r="DH165" s="23">
        <v>0</v>
      </c>
      <c r="DI165" s="19">
        <v>0</v>
      </c>
      <c r="DJ165" s="19">
        <v>0</v>
      </c>
      <c r="DK165" s="19">
        <v>0</v>
      </c>
      <c r="DL165" s="19">
        <v>0</v>
      </c>
      <c r="DM165" s="19">
        <v>0</v>
      </c>
      <c r="DN165" s="19">
        <v>0</v>
      </c>
      <c r="DO165" s="19">
        <v>0</v>
      </c>
      <c r="DP165" s="19">
        <v>0</v>
      </c>
      <c r="DQ165" s="19">
        <v>0</v>
      </c>
      <c r="DR165" s="19">
        <v>0</v>
      </c>
      <c r="DS165" s="19">
        <v>0</v>
      </c>
      <c r="DT165" s="19">
        <v>0</v>
      </c>
      <c r="DU165" s="19">
        <v>0</v>
      </c>
      <c r="DV165" s="19">
        <v>0</v>
      </c>
      <c r="DW165" s="17" t="s">
        <v>218</v>
      </c>
      <c r="DX165" s="22" t="s">
        <v>218</v>
      </c>
      <c r="DY165" s="22" t="s">
        <v>218</v>
      </c>
      <c r="DZ165" s="22" t="s">
        <v>218</v>
      </c>
      <c r="EA165" s="22" t="s">
        <v>218</v>
      </c>
      <c r="EB165" s="22" t="s">
        <v>218</v>
      </c>
      <c r="EC165" s="22" t="s">
        <v>218</v>
      </c>
      <c r="ED165" s="22" t="s">
        <v>218</v>
      </c>
      <c r="EE165" s="22" t="s">
        <v>218</v>
      </c>
      <c r="EF165" s="22" t="s">
        <v>218</v>
      </c>
      <c r="EG165" s="22" t="s">
        <v>218</v>
      </c>
      <c r="EH165" s="22" t="s">
        <v>218</v>
      </c>
      <c r="EI165" s="22" t="s">
        <v>218</v>
      </c>
      <c r="EJ165" s="22" t="s">
        <v>218</v>
      </c>
      <c r="EK165" s="22" t="s">
        <v>218</v>
      </c>
      <c r="EL165" s="22" t="s">
        <v>218</v>
      </c>
      <c r="EM165" s="22" t="s">
        <v>218</v>
      </c>
      <c r="EN165" s="22" t="s">
        <v>218</v>
      </c>
      <c r="EO165" s="22" t="s">
        <v>218</v>
      </c>
      <c r="EP165" s="22" t="s">
        <v>218</v>
      </c>
      <c r="EQ165" s="22" t="s">
        <v>218</v>
      </c>
      <c r="ER165" s="22" t="s">
        <v>218</v>
      </c>
      <c r="ES165" s="22" t="s">
        <v>218</v>
      </c>
      <c r="ET165" s="22" t="s">
        <v>218</v>
      </c>
      <c r="EU165" s="22" t="s">
        <v>218</v>
      </c>
      <c r="EV165" s="22" t="s">
        <v>218</v>
      </c>
      <c r="EW165" s="22" t="s">
        <v>218</v>
      </c>
      <c r="EX165" s="22" t="s">
        <v>218</v>
      </c>
      <c r="EY165" s="22" t="s">
        <v>218</v>
      </c>
      <c r="EZ165" s="22" t="s">
        <v>218</v>
      </c>
      <c r="FA165" s="22" t="s">
        <v>218</v>
      </c>
      <c r="FB165" s="22" t="s">
        <v>218</v>
      </c>
      <c r="FC165" s="22" t="s">
        <v>218</v>
      </c>
      <c r="FD165" s="22" t="s">
        <v>218</v>
      </c>
      <c r="FE165" s="22" t="s">
        <v>218</v>
      </c>
      <c r="FF165" s="22" t="s">
        <v>218</v>
      </c>
      <c r="FG165" s="22" t="s">
        <v>218</v>
      </c>
      <c r="FH165" s="22" t="s">
        <v>218</v>
      </c>
      <c r="FI165" s="22" t="s">
        <v>218</v>
      </c>
      <c r="FJ165" s="22" t="s">
        <v>218</v>
      </c>
      <c r="FK165" s="22" t="s">
        <v>218</v>
      </c>
      <c r="FL165" s="22" t="s">
        <v>218</v>
      </c>
      <c r="FM165" s="22" t="s">
        <v>218</v>
      </c>
      <c r="FN165" s="22" t="s">
        <v>218</v>
      </c>
      <c r="FO165" s="22" t="s">
        <v>218</v>
      </c>
      <c r="FP165" s="22" t="s">
        <v>218</v>
      </c>
      <c r="FQ165" s="22" t="s">
        <v>218</v>
      </c>
      <c r="FR165" s="22" t="s">
        <v>218</v>
      </c>
      <c r="FS165" s="22" t="s">
        <v>218</v>
      </c>
      <c r="FT165" s="22" t="s">
        <v>218</v>
      </c>
      <c r="FU165" s="22" t="s">
        <v>218</v>
      </c>
      <c r="FV165" s="22" t="s">
        <v>218</v>
      </c>
      <c r="FW165" s="22" t="s">
        <v>218</v>
      </c>
      <c r="FX165" s="22" t="s">
        <v>218</v>
      </c>
      <c r="FY165" s="22" t="s">
        <v>218</v>
      </c>
      <c r="FZ165" s="22" t="s">
        <v>218</v>
      </c>
      <c r="GA165" s="22" t="s">
        <v>218</v>
      </c>
      <c r="GB165" s="22" t="s">
        <v>218</v>
      </c>
      <c r="GC165" s="22" t="s">
        <v>218</v>
      </c>
      <c r="GD165" s="22" t="s">
        <v>218</v>
      </c>
      <c r="GE165" s="22" t="s">
        <v>218</v>
      </c>
      <c r="GF165" s="22" t="s">
        <v>218</v>
      </c>
      <c r="GG165" s="22" t="s">
        <v>218</v>
      </c>
      <c r="GH165" s="22" t="s">
        <v>218</v>
      </c>
      <c r="GI165" s="22" t="s">
        <v>218</v>
      </c>
      <c r="GJ165" s="22" t="s">
        <v>218</v>
      </c>
      <c r="GK165" s="22" t="s">
        <v>218</v>
      </c>
      <c r="GL165" s="22" t="s">
        <v>218</v>
      </c>
      <c r="GM165" s="22" t="s">
        <v>218</v>
      </c>
      <c r="GN165" s="22" t="s">
        <v>218</v>
      </c>
      <c r="GO165" s="22" t="s">
        <v>218</v>
      </c>
      <c r="GP165" s="22" t="s">
        <v>218</v>
      </c>
      <c r="GQ165" s="22" t="s">
        <v>218</v>
      </c>
      <c r="GR165" s="22" t="s">
        <v>218</v>
      </c>
      <c r="GS165" s="22" t="s">
        <v>218</v>
      </c>
      <c r="GT165" s="22" t="s">
        <v>218</v>
      </c>
      <c r="GU165" s="22" t="s">
        <v>218</v>
      </c>
      <c r="GV165" s="22" t="s">
        <v>218</v>
      </c>
      <c r="GW165" s="22" t="s">
        <v>218</v>
      </c>
      <c r="GX165" s="22" t="s">
        <v>218</v>
      </c>
      <c r="GY165" s="22" t="s">
        <v>218</v>
      </c>
      <c r="GZ165" s="22" t="s">
        <v>218</v>
      </c>
      <c r="HA165" s="22" t="s">
        <v>218</v>
      </c>
      <c r="HB165" s="22" t="s">
        <v>218</v>
      </c>
      <c r="HC165" s="22" t="s">
        <v>218</v>
      </c>
      <c r="HD165" s="22" t="s">
        <v>218</v>
      </c>
      <c r="HE165" s="22" t="s">
        <v>218</v>
      </c>
      <c r="HF165" s="22" t="s">
        <v>218</v>
      </c>
      <c r="HG165" s="22" t="s">
        <v>218</v>
      </c>
      <c r="HH165" s="22" t="s">
        <v>218</v>
      </c>
      <c r="HI165" s="22" t="s">
        <v>218</v>
      </c>
      <c r="HJ165" s="22" t="s">
        <v>218</v>
      </c>
      <c r="HK165" s="22" t="s">
        <v>218</v>
      </c>
      <c r="HL165" s="22" t="s">
        <v>218</v>
      </c>
      <c r="HM165" s="860"/>
      <c r="HN165" s="860"/>
      <c r="HO165" s="860"/>
      <c r="HP165" s="860"/>
      <c r="HQ165" s="860"/>
      <c r="HR165" s="860"/>
      <c r="HS165" s="860"/>
      <c r="HT165" s="145"/>
      <c r="HU165" s="145" t="s">
        <v>1809</v>
      </c>
      <c r="HV165" s="22" t="s">
        <v>1926</v>
      </c>
      <c r="HW165" s="22" t="s">
        <v>218</v>
      </c>
      <c r="HX165" s="22" t="s">
        <v>218</v>
      </c>
      <c r="HY165" s="22" t="s">
        <v>218</v>
      </c>
      <c r="HZ165" s="19"/>
      <c r="IA165" s="19"/>
      <c r="IB165" s="621">
        <f>'background data'!$G$10</f>
        <v>0.47300000000000003</v>
      </c>
      <c r="IC165" s="621">
        <f>'background data'!$H$10</f>
        <v>0.13</v>
      </c>
      <c r="ID165" s="621">
        <f>'background data'!$J$10</f>
        <v>0.39100000000000001</v>
      </c>
      <c r="IE165" s="621">
        <f>'background data'!$L$10</f>
        <v>5.5E-2</v>
      </c>
      <c r="IF165" s="621">
        <f>'background data'!$M$10</f>
        <v>3.97</v>
      </c>
      <c r="IG165" s="621">
        <f>'background data'!$N$10</f>
        <v>4.5999999999999999E-3</v>
      </c>
      <c r="IH165" s="621">
        <f>'background data'!$O$10</f>
        <v>2.73</v>
      </c>
      <c r="II165" s="145"/>
      <c r="IJ165" s="145"/>
      <c r="IK165" s="145"/>
      <c r="IL165" s="145"/>
      <c r="IM165" s="145"/>
      <c r="IN165" s="145"/>
      <c r="IO165" s="145"/>
      <c r="IP165" s="145"/>
      <c r="IQ165" s="145"/>
      <c r="IR165" s="145"/>
      <c r="IS165" s="145"/>
      <c r="IT165" s="145"/>
      <c r="IU165" s="145"/>
      <c r="IV165" s="145"/>
      <c r="IW165" s="145"/>
      <c r="IX165" s="145"/>
      <c r="IY165" s="145"/>
      <c r="IZ165" s="145"/>
      <c r="JA165" s="145"/>
      <c r="JB165" s="145"/>
      <c r="JC165" s="145"/>
      <c r="JD165" s="145"/>
      <c r="JE165" s="145"/>
      <c r="JF165" s="145"/>
      <c r="JG165" s="145"/>
      <c r="JH165" s="145"/>
      <c r="JI165" s="145"/>
      <c r="JJ165" s="145"/>
      <c r="JK165" s="145"/>
      <c r="JL165" s="145"/>
      <c r="JM165" s="145"/>
      <c r="JN165" s="145"/>
      <c r="JO165" s="145"/>
      <c r="JP165" s="145"/>
      <c r="JQ165" s="145"/>
      <c r="JR165" s="145"/>
      <c r="JS165" s="145"/>
      <c r="JT165" s="145"/>
      <c r="JU165" s="145"/>
      <c r="JV165" s="145"/>
      <c r="JW165" s="145"/>
      <c r="JX165" s="145"/>
      <c r="JY165" s="145"/>
      <c r="JZ165" s="145"/>
      <c r="KA165" s="145"/>
      <c r="KB165" s="145"/>
      <c r="KC165" s="145"/>
      <c r="KD165" s="145"/>
      <c r="KE165" s="145"/>
      <c r="KF165" s="145"/>
      <c r="KG165" s="145"/>
      <c r="KH165" s="145"/>
      <c r="KI165" s="145"/>
      <c r="KJ165" s="145"/>
      <c r="KK165" s="145"/>
      <c r="KL165" s="145"/>
      <c r="KM165" s="145"/>
      <c r="KN165" s="145"/>
      <c r="KO165" s="145"/>
      <c r="KP165" s="145"/>
      <c r="KQ165" s="145"/>
      <c r="KR165" s="145"/>
      <c r="KS165" s="145"/>
      <c r="KT165" s="145"/>
      <c r="KU165" s="145"/>
      <c r="KV165" s="145"/>
      <c r="KW165" s="145"/>
      <c r="KX165" s="145"/>
      <c r="KY165" s="145"/>
      <c r="KZ165" s="145"/>
      <c r="LA165" s="145"/>
      <c r="LB165" s="145"/>
      <c r="LC165" s="145"/>
      <c r="LD165" s="145"/>
      <c r="LE165" s="145"/>
      <c r="LF165" s="145"/>
      <c r="LG165" s="145"/>
      <c r="LH165" s="145"/>
      <c r="LI165" s="145"/>
      <c r="LJ165" s="145"/>
      <c r="LK165" s="145"/>
      <c r="LL165" s="145"/>
      <c r="LM165" s="145"/>
      <c r="LN165" s="145"/>
      <c r="LO165" s="145"/>
      <c r="LP165" s="145"/>
      <c r="LQ165" s="145"/>
      <c r="LR165" s="145"/>
      <c r="LS165" s="145"/>
      <c r="LT165" s="145"/>
      <c r="LU165" s="145"/>
      <c r="LV165" s="145"/>
      <c r="LW165" s="145"/>
      <c r="LX165" s="145"/>
      <c r="LY165" s="145"/>
      <c r="LZ165" s="145"/>
      <c r="MA165" s="145"/>
      <c r="MB165" s="145"/>
      <c r="MC165" s="145"/>
      <c r="MD165" s="145"/>
      <c r="ME165" s="145"/>
      <c r="MF165" s="145"/>
      <c r="MG165" s="145"/>
      <c r="MH165" s="145"/>
      <c r="MI165" s="145"/>
      <c r="MJ165" s="145"/>
      <c r="MK165" s="145"/>
      <c r="ML165" s="145"/>
      <c r="MM165" s="145"/>
      <c r="MN165" s="145"/>
      <c r="MO165" s="145"/>
      <c r="MP165" s="145"/>
      <c r="MQ165" s="145"/>
      <c r="MR165" s="145"/>
      <c r="MS165" s="145"/>
      <c r="MT165" s="145"/>
      <c r="MU165" s="145"/>
      <c r="MV165" s="145"/>
      <c r="MW165" s="145"/>
      <c r="MX165" s="145"/>
      <c r="MY165" s="145"/>
      <c r="MZ165" s="145"/>
      <c r="NA165" s="145"/>
      <c r="NB165" s="145"/>
      <c r="NC165" s="145"/>
      <c r="ND165" s="145"/>
      <c r="NE165" s="145"/>
      <c r="NF165" s="145"/>
      <c r="NG165" s="145"/>
      <c r="NH165" s="145"/>
      <c r="NI165" s="145"/>
      <c r="NJ165" s="145"/>
      <c r="NK165" s="145"/>
      <c r="NL165" s="145"/>
      <c r="NM165" s="145"/>
      <c r="NN165" s="145"/>
      <c r="NO165" s="145"/>
      <c r="NP165" s="145"/>
      <c r="NQ165" s="145"/>
      <c r="NR165" s="145"/>
      <c r="NS165" s="145"/>
    </row>
    <row r="166" spans="1:383" s="16" customFormat="1" ht="15" customHeight="1" x14ac:dyDescent="0.2">
      <c r="A166" s="15">
        <v>55000</v>
      </c>
      <c r="B166" s="25">
        <v>550</v>
      </c>
      <c r="C166" s="26">
        <v>0</v>
      </c>
      <c r="D166" s="20" t="s">
        <v>523</v>
      </c>
      <c r="E166" s="14">
        <v>40310</v>
      </c>
      <c r="F166" s="18">
        <v>1.16173463753387</v>
      </c>
      <c r="G166" s="18">
        <v>1.14662175324675</v>
      </c>
      <c r="H166" s="21">
        <v>87</v>
      </c>
      <c r="I166" s="21">
        <v>84</v>
      </c>
      <c r="J166" s="21">
        <v>91</v>
      </c>
      <c r="K166" s="18">
        <v>1</v>
      </c>
      <c r="L166" s="18">
        <v>87.5</v>
      </c>
      <c r="M166" s="18">
        <v>9.0124999999999993</v>
      </c>
      <c r="N166" s="18">
        <v>3.2374999999999998</v>
      </c>
      <c r="O166" s="18">
        <v>1.3125</v>
      </c>
      <c r="P166" s="18">
        <v>2.3975</v>
      </c>
      <c r="Q166" s="19"/>
      <c r="R166" s="18">
        <v>79.599999999999994</v>
      </c>
      <c r="S166" s="18">
        <v>16</v>
      </c>
      <c r="T166" s="18">
        <v>31</v>
      </c>
      <c r="U166" s="18">
        <v>36</v>
      </c>
      <c r="V166" s="18">
        <v>42</v>
      </c>
      <c r="W166" s="18">
        <v>45</v>
      </c>
      <c r="X166" s="18"/>
      <c r="Y166" s="18">
        <v>0.3</v>
      </c>
      <c r="Z166" s="18">
        <v>2.9</v>
      </c>
      <c r="AA166" s="18">
        <v>9.9999999999999992E-2</v>
      </c>
      <c r="AB166" s="18">
        <v>0</v>
      </c>
      <c r="AC166" s="18">
        <v>3.5</v>
      </c>
      <c r="AD166" s="18">
        <v>1.3999999999999886</v>
      </c>
      <c r="AE166" s="18">
        <v>0.79999999999999993</v>
      </c>
      <c r="AF166" s="18">
        <v>67</v>
      </c>
      <c r="AG166" s="18">
        <v>6.9999999999999885</v>
      </c>
      <c r="AH166" s="18">
        <v>16</v>
      </c>
      <c r="AI166" s="18">
        <v>20</v>
      </c>
      <c r="AJ166" s="18">
        <v>0</v>
      </c>
      <c r="AK166" s="18">
        <v>0.12</v>
      </c>
      <c r="AL166" s="18"/>
      <c r="AM166" s="18">
        <v>2.27</v>
      </c>
      <c r="AN166" s="18">
        <v>1.76</v>
      </c>
      <c r="AO166" s="18">
        <v>1.91</v>
      </c>
      <c r="AP166" s="18">
        <v>3.29</v>
      </c>
      <c r="AQ166" s="18">
        <v>1.08</v>
      </c>
      <c r="AR166" s="18">
        <v>3.79</v>
      </c>
      <c r="AS166" s="18">
        <v>12.93</v>
      </c>
      <c r="AT166" s="18">
        <v>2.48</v>
      </c>
      <c r="AU166" s="18">
        <v>5.25</v>
      </c>
      <c r="AV166" s="18">
        <v>3.95</v>
      </c>
      <c r="AW166" s="18">
        <v>4.76</v>
      </c>
      <c r="AX166" s="18"/>
      <c r="AY166" s="18">
        <v>0.98</v>
      </c>
      <c r="AZ166" s="18">
        <v>1.02</v>
      </c>
      <c r="BA166" s="18">
        <v>1</v>
      </c>
      <c r="BB166" s="18">
        <v>0.98</v>
      </c>
      <c r="BC166" s="18">
        <v>0.98</v>
      </c>
      <c r="BD166" s="18">
        <v>0.98</v>
      </c>
      <c r="BE166" s="18">
        <v>0.97</v>
      </c>
      <c r="BF166" s="18">
        <v>0.97</v>
      </c>
      <c r="BG166" s="18">
        <v>1.02</v>
      </c>
      <c r="BH166" s="18">
        <v>0.98</v>
      </c>
      <c r="BI166" s="18">
        <v>0.97</v>
      </c>
      <c r="BJ166" s="19"/>
      <c r="BK166" s="18">
        <v>10.299999999999999</v>
      </c>
      <c r="BL166" s="18">
        <v>3.6999999999999997</v>
      </c>
      <c r="BM166" s="18">
        <v>1.5</v>
      </c>
      <c r="BN166" s="18">
        <v>2.7399999999999998</v>
      </c>
      <c r="BO166" s="18"/>
      <c r="BP166" s="18">
        <v>115</v>
      </c>
      <c r="BQ166" s="18">
        <v>42.550000000000004</v>
      </c>
      <c r="BR166" s="18">
        <v>1.3276967286101371</v>
      </c>
      <c r="BS166" s="18">
        <v>1.3104248608534286</v>
      </c>
      <c r="BT166" s="19"/>
      <c r="BU166" s="18">
        <v>985</v>
      </c>
      <c r="BV166" s="18">
        <v>685.11571428571438</v>
      </c>
      <c r="BW166" s="18">
        <v>42.214285714285715</v>
      </c>
      <c r="BX166" s="18" t="s">
        <v>217</v>
      </c>
      <c r="BY166" s="18" t="s">
        <v>217</v>
      </c>
      <c r="BZ166" s="18" t="s">
        <v>217</v>
      </c>
      <c r="CA166" s="18" t="s">
        <v>217</v>
      </c>
      <c r="CB166" s="19"/>
      <c r="CC166" s="19">
        <v>0.26250000000000001</v>
      </c>
      <c r="CD166" s="19">
        <v>2.5375000000000001</v>
      </c>
      <c r="CE166" s="19">
        <v>8.7499999999999994E-2</v>
      </c>
      <c r="CF166" s="19">
        <v>0</v>
      </c>
      <c r="CG166" s="19">
        <v>3.0625</v>
      </c>
      <c r="CH166" s="19">
        <v>1.2249999999999901</v>
      </c>
      <c r="CI166" s="19">
        <v>0.7</v>
      </c>
      <c r="CJ166" s="19"/>
      <c r="CK166" s="19">
        <v>58.625</v>
      </c>
      <c r="CL166" s="19">
        <v>6.1249999999999902</v>
      </c>
      <c r="CM166" s="19">
        <v>14</v>
      </c>
      <c r="CN166" s="19">
        <v>17.5</v>
      </c>
      <c r="CO166" s="19">
        <v>0</v>
      </c>
      <c r="CP166" s="19">
        <v>0.105</v>
      </c>
      <c r="CQ166" s="19">
        <v>71.739500000000007</v>
      </c>
      <c r="CR166" s="19">
        <v>61.752053939175475</v>
      </c>
      <c r="CS166" s="19">
        <v>1.3737361919308975</v>
      </c>
      <c r="CT166" s="19">
        <v>1.1085728723160782</v>
      </c>
      <c r="CU166" s="19">
        <v>1.1794642302382514</v>
      </c>
      <c r="CV166" s="19">
        <v>2.2880371025543296</v>
      </c>
      <c r="CW166" s="19">
        <v>1.9910097231068953</v>
      </c>
      <c r="CX166" s="19">
        <v>0.6535837388922332</v>
      </c>
      <c r="CY166" s="19">
        <v>2.2935947874088551</v>
      </c>
      <c r="CZ166" s="19">
        <v>7.7450043571053273</v>
      </c>
      <c r="DA166" s="19">
        <v>1.4855074095608052</v>
      </c>
      <c r="DB166" s="19">
        <v>3.3068224884428465</v>
      </c>
      <c r="DC166" s="19">
        <v>2.3904220079854825</v>
      </c>
      <c r="DD166" s="19">
        <v>5.6972444964283291</v>
      </c>
      <c r="DE166" s="19">
        <v>2.8512158344796097</v>
      </c>
      <c r="DF166" s="23">
        <v>0</v>
      </c>
      <c r="DG166" s="23" t="s">
        <v>217</v>
      </c>
      <c r="DH166" s="23" t="s">
        <v>217</v>
      </c>
      <c r="DI166" s="19">
        <v>0</v>
      </c>
      <c r="DJ166" s="19">
        <v>0</v>
      </c>
      <c r="DK166" s="19">
        <v>0</v>
      </c>
      <c r="DL166" s="19">
        <v>0</v>
      </c>
      <c r="DM166" s="19">
        <v>0</v>
      </c>
      <c r="DN166" s="19">
        <v>0</v>
      </c>
      <c r="DO166" s="19">
        <v>0</v>
      </c>
      <c r="DP166" s="19">
        <v>0</v>
      </c>
      <c r="DQ166" s="19">
        <v>0</v>
      </c>
      <c r="DR166" s="19">
        <v>0</v>
      </c>
      <c r="DS166" s="19">
        <v>0</v>
      </c>
      <c r="DT166" s="19">
        <v>0</v>
      </c>
      <c r="DU166" s="19">
        <v>0</v>
      </c>
      <c r="DV166" s="19">
        <v>0</v>
      </c>
      <c r="DW166" s="17" t="s">
        <v>524</v>
      </c>
      <c r="DX166" s="22" t="s">
        <v>218</v>
      </c>
      <c r="DY166" s="22" t="s">
        <v>218</v>
      </c>
      <c r="DZ166" s="22" t="s">
        <v>218</v>
      </c>
      <c r="EA166" s="22" t="s">
        <v>218</v>
      </c>
      <c r="EB166" s="22" t="s">
        <v>218</v>
      </c>
      <c r="EC166" s="22" t="s">
        <v>218</v>
      </c>
      <c r="ED166" s="22" t="s">
        <v>218</v>
      </c>
      <c r="EE166" s="22" t="s">
        <v>218</v>
      </c>
      <c r="EF166" s="22" t="s">
        <v>218</v>
      </c>
      <c r="EG166" s="22" t="s">
        <v>218</v>
      </c>
      <c r="EH166" s="22" t="s">
        <v>218</v>
      </c>
      <c r="EI166" s="22" t="s">
        <v>218</v>
      </c>
      <c r="EJ166" s="22" t="s">
        <v>218</v>
      </c>
      <c r="EK166" s="22" t="s">
        <v>218</v>
      </c>
      <c r="EL166" s="22" t="s">
        <v>218</v>
      </c>
      <c r="EM166" s="22" t="s">
        <v>218</v>
      </c>
      <c r="EN166" s="22" t="s">
        <v>218</v>
      </c>
      <c r="EO166" s="22" t="s">
        <v>218</v>
      </c>
      <c r="EP166" s="22" t="s">
        <v>218</v>
      </c>
      <c r="EQ166" s="22" t="s">
        <v>218</v>
      </c>
      <c r="ER166" s="22" t="s">
        <v>218</v>
      </c>
      <c r="ES166" s="22" t="s">
        <v>218</v>
      </c>
      <c r="ET166" s="22" t="s">
        <v>218</v>
      </c>
      <c r="EU166" s="22" t="s">
        <v>218</v>
      </c>
      <c r="EV166" s="22" t="s">
        <v>218</v>
      </c>
      <c r="EW166" s="22" t="s">
        <v>218</v>
      </c>
      <c r="EX166" s="22" t="s">
        <v>218</v>
      </c>
      <c r="EY166" s="22" t="s">
        <v>218</v>
      </c>
      <c r="EZ166" s="22" t="s">
        <v>218</v>
      </c>
      <c r="FA166" s="22" t="s">
        <v>218</v>
      </c>
      <c r="FB166" s="22" t="s">
        <v>218</v>
      </c>
      <c r="FC166" s="22" t="s">
        <v>218</v>
      </c>
      <c r="FD166" s="22" t="s">
        <v>218</v>
      </c>
      <c r="FE166" s="22" t="s">
        <v>218</v>
      </c>
      <c r="FF166" s="22" t="s">
        <v>218</v>
      </c>
      <c r="FG166" s="22" t="s">
        <v>218</v>
      </c>
      <c r="FH166" s="22" t="s">
        <v>218</v>
      </c>
      <c r="FI166" s="22" t="s">
        <v>218</v>
      </c>
      <c r="FJ166" s="22" t="s">
        <v>218</v>
      </c>
      <c r="FK166" s="22" t="s">
        <v>218</v>
      </c>
      <c r="FL166" s="22" t="s">
        <v>218</v>
      </c>
      <c r="FM166" s="22" t="s">
        <v>218</v>
      </c>
      <c r="FN166" s="22" t="s">
        <v>218</v>
      </c>
      <c r="FO166" s="22" t="s">
        <v>218</v>
      </c>
      <c r="FP166" s="22" t="s">
        <v>218</v>
      </c>
      <c r="FQ166" s="22" t="s">
        <v>218</v>
      </c>
      <c r="FR166" s="22" t="s">
        <v>218</v>
      </c>
      <c r="FS166" s="22" t="s">
        <v>218</v>
      </c>
      <c r="FT166" s="22" t="s">
        <v>218</v>
      </c>
      <c r="FU166" s="22" t="s">
        <v>218</v>
      </c>
      <c r="FV166" s="22" t="s">
        <v>218</v>
      </c>
      <c r="FW166" s="22" t="s">
        <v>218</v>
      </c>
      <c r="FX166" s="22" t="s">
        <v>218</v>
      </c>
      <c r="FY166" s="22" t="s">
        <v>218</v>
      </c>
      <c r="FZ166" s="22" t="s">
        <v>218</v>
      </c>
      <c r="GA166" s="22" t="s">
        <v>218</v>
      </c>
      <c r="GB166" s="22" t="s">
        <v>218</v>
      </c>
      <c r="GC166" s="22" t="s">
        <v>218</v>
      </c>
      <c r="GD166" s="22" t="s">
        <v>218</v>
      </c>
      <c r="GE166" s="22" t="s">
        <v>218</v>
      </c>
      <c r="GF166" s="22" t="s">
        <v>218</v>
      </c>
      <c r="GG166" s="22" t="s">
        <v>218</v>
      </c>
      <c r="GH166" s="22" t="s">
        <v>218</v>
      </c>
      <c r="GI166" s="22" t="s">
        <v>218</v>
      </c>
      <c r="GJ166" s="22" t="s">
        <v>218</v>
      </c>
      <c r="GK166" s="22" t="s">
        <v>218</v>
      </c>
      <c r="GL166" s="22" t="s">
        <v>218</v>
      </c>
      <c r="GM166" s="22" t="s">
        <v>218</v>
      </c>
      <c r="GN166" s="22" t="s">
        <v>218</v>
      </c>
      <c r="GO166" s="22" t="s">
        <v>218</v>
      </c>
      <c r="GP166" s="22" t="s">
        <v>218</v>
      </c>
      <c r="GQ166" s="22" t="s">
        <v>218</v>
      </c>
      <c r="GR166" s="22" t="s">
        <v>218</v>
      </c>
      <c r="GS166" s="22" t="s">
        <v>218</v>
      </c>
      <c r="GT166" s="22" t="s">
        <v>218</v>
      </c>
      <c r="GU166" s="22" t="s">
        <v>218</v>
      </c>
      <c r="GV166" s="22" t="s">
        <v>218</v>
      </c>
      <c r="GW166" s="22" t="s">
        <v>218</v>
      </c>
      <c r="GX166" s="22" t="s">
        <v>218</v>
      </c>
      <c r="GY166" s="22" t="s">
        <v>218</v>
      </c>
      <c r="GZ166" s="22" t="s">
        <v>218</v>
      </c>
      <c r="HA166" s="22" t="s">
        <v>218</v>
      </c>
      <c r="HB166" s="22" t="s">
        <v>218</v>
      </c>
      <c r="HC166" s="22" t="s">
        <v>218</v>
      </c>
      <c r="HD166" s="22" t="s">
        <v>218</v>
      </c>
      <c r="HE166" s="22" t="s">
        <v>218</v>
      </c>
      <c r="HF166" s="22" t="s">
        <v>218</v>
      </c>
      <c r="HG166" s="22" t="s">
        <v>218</v>
      </c>
      <c r="HH166" s="22" t="s">
        <v>218</v>
      </c>
      <c r="HI166" s="22" t="s">
        <v>218</v>
      </c>
      <c r="HJ166" s="22" t="s">
        <v>218</v>
      </c>
      <c r="HK166" s="22" t="s">
        <v>218</v>
      </c>
      <c r="HL166" s="22" t="s">
        <v>218</v>
      </c>
      <c r="HM166" s="860"/>
      <c r="HN166" s="860"/>
      <c r="HO166" s="860"/>
      <c r="HP166" s="860"/>
      <c r="HQ166" s="860"/>
      <c r="HR166" s="860"/>
      <c r="HS166" s="860"/>
      <c r="HT166" s="145"/>
      <c r="HU166" s="145" t="s">
        <v>1809</v>
      </c>
      <c r="HV166" s="22" t="s">
        <v>1926</v>
      </c>
      <c r="HW166" s="22" t="s">
        <v>525</v>
      </c>
      <c r="HX166" s="22" t="s">
        <v>526</v>
      </c>
      <c r="HY166" s="22" t="s">
        <v>527</v>
      </c>
      <c r="HZ166" s="19"/>
      <c r="IA166" s="19"/>
      <c r="IB166" s="621">
        <f>'background data'!$G$10</f>
        <v>0.47300000000000003</v>
      </c>
      <c r="IC166" s="621">
        <f>'background data'!$H$10</f>
        <v>0.13</v>
      </c>
      <c r="ID166" s="621">
        <f>'background data'!$J$10</f>
        <v>0.39100000000000001</v>
      </c>
      <c r="IE166" s="621">
        <f>'background data'!$L$10</f>
        <v>5.5E-2</v>
      </c>
      <c r="IF166" s="621">
        <f>'background data'!$M$10</f>
        <v>3.97</v>
      </c>
      <c r="IG166" s="621">
        <f>'background data'!$N$10</f>
        <v>4.5999999999999999E-3</v>
      </c>
      <c r="IH166" s="621">
        <f>'background data'!$O$10</f>
        <v>2.73</v>
      </c>
      <c r="II166" s="145"/>
      <c r="IJ166" s="145"/>
      <c r="IK166" s="145"/>
      <c r="IL166" s="145"/>
      <c r="IM166" s="145"/>
      <c r="IN166" s="145"/>
      <c r="IO166" s="145"/>
      <c r="IP166" s="145"/>
      <c r="IQ166" s="145"/>
      <c r="IR166" s="145"/>
      <c r="IS166" s="145"/>
      <c r="IT166" s="145"/>
      <c r="IU166" s="145"/>
      <c r="IV166" s="145"/>
      <c r="IW166" s="145"/>
      <c r="IX166" s="145"/>
      <c r="IY166" s="145"/>
      <c r="IZ166" s="145"/>
      <c r="JA166" s="145"/>
      <c r="JB166" s="145"/>
      <c r="JC166" s="145"/>
      <c r="JD166" s="145"/>
      <c r="JE166" s="145"/>
      <c r="JF166" s="145"/>
      <c r="JG166" s="145"/>
      <c r="JH166" s="145"/>
      <c r="JI166" s="145"/>
      <c r="JJ166" s="145"/>
      <c r="JK166" s="145"/>
      <c r="JL166" s="145"/>
      <c r="JM166" s="145"/>
      <c r="JN166" s="145"/>
      <c r="JO166" s="145"/>
      <c r="JP166" s="145"/>
      <c r="JQ166" s="145"/>
      <c r="JR166" s="145"/>
      <c r="JS166" s="145"/>
      <c r="JT166" s="145"/>
      <c r="JU166" s="145"/>
      <c r="JV166" s="145"/>
      <c r="JW166" s="145"/>
      <c r="JX166" s="145"/>
      <c r="JY166" s="145"/>
      <c r="JZ166" s="145"/>
      <c r="KA166" s="145"/>
      <c r="KB166" s="145"/>
      <c r="KC166" s="145"/>
      <c r="KD166" s="145"/>
      <c r="KE166" s="145"/>
      <c r="KF166" s="145"/>
      <c r="KG166" s="145"/>
      <c r="KH166" s="145"/>
      <c r="KI166" s="145"/>
      <c r="KJ166" s="145"/>
      <c r="KK166" s="145"/>
      <c r="KL166" s="145"/>
      <c r="KM166" s="145"/>
      <c r="KN166" s="145"/>
      <c r="KO166" s="145"/>
      <c r="KP166" s="145"/>
      <c r="KQ166" s="145"/>
      <c r="KR166" s="145"/>
      <c r="KS166" s="145"/>
      <c r="KT166" s="145"/>
      <c r="KU166" s="145"/>
      <c r="KV166" s="145"/>
      <c r="KW166" s="145"/>
      <c r="KX166" s="145"/>
      <c r="KY166" s="145"/>
      <c r="KZ166" s="145"/>
      <c r="LA166" s="145"/>
      <c r="LB166" s="145"/>
      <c r="LC166" s="145"/>
      <c r="LD166" s="145"/>
      <c r="LE166" s="145"/>
      <c r="LF166" s="145"/>
      <c r="LG166" s="145"/>
      <c r="LH166" s="145"/>
      <c r="LI166" s="145"/>
      <c r="LJ166" s="145"/>
      <c r="LK166" s="145"/>
      <c r="LL166" s="145"/>
      <c r="LM166" s="145"/>
      <c r="LN166" s="145"/>
      <c r="LO166" s="145"/>
      <c r="LP166" s="145"/>
      <c r="LQ166" s="145"/>
      <c r="LR166" s="145"/>
      <c r="LS166" s="145"/>
      <c r="LT166" s="145"/>
      <c r="LU166" s="145"/>
      <c r="LV166" s="145"/>
      <c r="LW166" s="145"/>
      <c r="LX166" s="145"/>
      <c r="LY166" s="145"/>
      <c r="LZ166" s="145"/>
      <c r="MA166" s="145"/>
      <c r="MB166" s="145"/>
      <c r="MC166" s="145"/>
      <c r="MD166" s="145"/>
      <c r="ME166" s="145"/>
      <c r="MF166" s="145"/>
      <c r="MG166" s="145"/>
      <c r="MH166" s="145"/>
      <c r="MI166" s="145"/>
      <c r="MJ166" s="145"/>
      <c r="MK166" s="145"/>
      <c r="ML166" s="145"/>
      <c r="MM166" s="145"/>
      <c r="MN166" s="145"/>
      <c r="MO166" s="145"/>
      <c r="MP166" s="145"/>
      <c r="MQ166" s="145"/>
      <c r="MR166" s="145"/>
      <c r="MS166" s="145"/>
      <c r="MT166" s="145"/>
      <c r="MU166" s="145"/>
      <c r="MV166" s="145"/>
      <c r="MW166" s="145"/>
      <c r="MX166" s="145"/>
      <c r="MY166" s="145"/>
      <c r="MZ166" s="145"/>
      <c r="NA166" s="145"/>
      <c r="NB166" s="145"/>
      <c r="NC166" s="145"/>
      <c r="ND166" s="145"/>
      <c r="NE166" s="145"/>
      <c r="NF166" s="145"/>
      <c r="NG166" s="145"/>
      <c r="NH166" s="145"/>
      <c r="NI166" s="145"/>
      <c r="NJ166" s="145"/>
      <c r="NK166" s="145"/>
      <c r="NL166" s="145"/>
      <c r="NM166" s="145"/>
      <c r="NN166" s="145"/>
      <c r="NO166" s="145"/>
      <c r="NP166" s="145"/>
      <c r="NQ166" s="145"/>
      <c r="NR166" s="145"/>
      <c r="NS166" s="145"/>
    </row>
    <row r="167" spans="1:383" s="16" customFormat="1" ht="15" customHeight="1" x14ac:dyDescent="0.2">
      <c r="A167" s="15">
        <v>46200</v>
      </c>
      <c r="B167" s="25">
        <v>462</v>
      </c>
      <c r="C167" s="26">
        <v>0</v>
      </c>
      <c r="D167" s="20" t="s">
        <v>528</v>
      </c>
      <c r="E167" s="14">
        <v>40310</v>
      </c>
      <c r="F167" s="18">
        <v>-0.112682926829268</v>
      </c>
      <c r="G167" s="18">
        <v>-0.108</v>
      </c>
      <c r="H167" s="21">
        <v>70</v>
      </c>
      <c r="I167" s="21">
        <v>70</v>
      </c>
      <c r="J167" s="21">
        <v>0</v>
      </c>
      <c r="K167" s="18">
        <v>1</v>
      </c>
      <c r="L167" s="18">
        <v>99</v>
      </c>
      <c r="M167" s="18">
        <v>0</v>
      </c>
      <c r="N167" s="18">
        <v>0</v>
      </c>
      <c r="O167" s="18">
        <v>99</v>
      </c>
      <c r="P167" s="18">
        <v>0</v>
      </c>
      <c r="Q167" s="19"/>
      <c r="R167" s="18">
        <v>0</v>
      </c>
      <c r="S167" s="18">
        <v>67</v>
      </c>
      <c r="T167" s="18">
        <v>67</v>
      </c>
      <c r="U167" s="18">
        <v>67</v>
      </c>
      <c r="V167" s="18">
        <v>67</v>
      </c>
      <c r="W167" s="18">
        <v>67</v>
      </c>
      <c r="X167" s="18"/>
      <c r="Y167" s="18">
        <v>161.61616161616161</v>
      </c>
      <c r="Z167" s="18">
        <v>229.2929292929293</v>
      </c>
      <c r="AA167" s="18">
        <v>0</v>
      </c>
      <c r="AB167" s="18">
        <v>0</v>
      </c>
      <c r="AC167" s="18">
        <v>0</v>
      </c>
      <c r="AD167" s="18">
        <v>0</v>
      </c>
      <c r="AE167" s="18">
        <v>0</v>
      </c>
      <c r="AF167" s="18">
        <v>0</v>
      </c>
      <c r="AG167" s="18">
        <v>0</v>
      </c>
      <c r="AH167" s="18">
        <v>0</v>
      </c>
      <c r="AI167" s="18">
        <v>0</v>
      </c>
      <c r="AJ167" s="18">
        <v>0</v>
      </c>
      <c r="AK167" s="18">
        <v>0</v>
      </c>
      <c r="AL167" s="18"/>
      <c r="AM167" s="18">
        <v>0</v>
      </c>
      <c r="AN167" s="18">
        <v>0</v>
      </c>
      <c r="AO167" s="18">
        <v>0</v>
      </c>
      <c r="AP167" s="18">
        <v>0</v>
      </c>
      <c r="AQ167" s="18">
        <v>0</v>
      </c>
      <c r="AR167" s="18">
        <v>0</v>
      </c>
      <c r="AS167" s="18">
        <v>0</v>
      </c>
      <c r="AT167" s="18">
        <v>0</v>
      </c>
      <c r="AU167" s="18">
        <v>0</v>
      </c>
      <c r="AV167" s="18">
        <v>0</v>
      </c>
      <c r="AW167" s="18">
        <v>0</v>
      </c>
      <c r="AX167" s="18"/>
      <c r="AY167" s="18">
        <v>1</v>
      </c>
      <c r="AZ167" s="18">
        <v>1</v>
      </c>
      <c r="BA167" s="18">
        <v>1</v>
      </c>
      <c r="BB167" s="18">
        <v>1</v>
      </c>
      <c r="BC167" s="18">
        <v>1</v>
      </c>
      <c r="BD167" s="18">
        <v>1</v>
      </c>
      <c r="BE167" s="18">
        <v>1</v>
      </c>
      <c r="BF167" s="18">
        <v>1</v>
      </c>
      <c r="BG167" s="18">
        <v>1</v>
      </c>
      <c r="BH167" s="18">
        <v>1</v>
      </c>
      <c r="BI167" s="18">
        <v>1</v>
      </c>
      <c r="BJ167" s="19"/>
      <c r="BK167" s="18">
        <v>0</v>
      </c>
      <c r="BL167" s="18">
        <v>0</v>
      </c>
      <c r="BM167" s="18">
        <v>100</v>
      </c>
      <c r="BN167" s="18">
        <v>0</v>
      </c>
      <c r="BO167" s="18"/>
      <c r="BP167" s="18">
        <v>0</v>
      </c>
      <c r="BQ167" s="18">
        <v>0</v>
      </c>
      <c r="BR167" s="18">
        <v>-0.11382113821138182</v>
      </c>
      <c r="BS167" s="18">
        <v>-0.10909090909090909</v>
      </c>
      <c r="BT167" s="19"/>
      <c r="BU167" s="18">
        <v>0</v>
      </c>
      <c r="BV167" s="18">
        <v>0</v>
      </c>
      <c r="BW167" s="18">
        <v>0</v>
      </c>
      <c r="BX167" s="18" t="s">
        <v>217</v>
      </c>
      <c r="BY167" s="18" t="s">
        <v>217</v>
      </c>
      <c r="BZ167" s="18" t="s">
        <v>217</v>
      </c>
      <c r="CA167" s="18" t="s">
        <v>217</v>
      </c>
      <c r="CB167" s="19"/>
      <c r="CC167" s="19">
        <v>160</v>
      </c>
      <c r="CD167" s="19">
        <v>227</v>
      </c>
      <c r="CE167" s="19">
        <v>0</v>
      </c>
      <c r="CF167" s="19">
        <v>0</v>
      </c>
      <c r="CG167" s="19">
        <v>0</v>
      </c>
      <c r="CH167" s="19">
        <v>0</v>
      </c>
      <c r="CI167" s="19">
        <v>0</v>
      </c>
      <c r="CJ167" s="19"/>
      <c r="CK167" s="19">
        <v>0</v>
      </c>
      <c r="CL167" s="19">
        <v>0</v>
      </c>
      <c r="CM167" s="19">
        <v>0</v>
      </c>
      <c r="CN167" s="19">
        <v>0</v>
      </c>
      <c r="CO167" s="19">
        <v>0</v>
      </c>
      <c r="CP167" s="19">
        <v>0</v>
      </c>
      <c r="CQ167" s="19">
        <v>0</v>
      </c>
      <c r="CR167" s="19">
        <v>0</v>
      </c>
      <c r="CS167" s="19">
        <v>0</v>
      </c>
      <c r="CT167" s="19">
        <v>0</v>
      </c>
      <c r="CU167" s="19">
        <v>0</v>
      </c>
      <c r="CV167" s="19">
        <v>0</v>
      </c>
      <c r="CW167" s="19">
        <v>0</v>
      </c>
      <c r="CX167" s="19">
        <v>0</v>
      </c>
      <c r="CY167" s="19">
        <v>0</v>
      </c>
      <c r="CZ167" s="19">
        <v>0</v>
      </c>
      <c r="DA167" s="19">
        <v>0</v>
      </c>
      <c r="DB167" s="19">
        <v>0</v>
      </c>
      <c r="DC167" s="19">
        <v>0</v>
      </c>
      <c r="DD167" s="19">
        <v>0</v>
      </c>
      <c r="DE167" s="19">
        <v>0</v>
      </c>
      <c r="DF167" s="23">
        <v>0</v>
      </c>
      <c r="DG167" s="23">
        <v>0</v>
      </c>
      <c r="DH167" s="23">
        <v>0</v>
      </c>
      <c r="DI167" s="19">
        <v>0</v>
      </c>
      <c r="DJ167" s="19">
        <v>0</v>
      </c>
      <c r="DK167" s="19">
        <v>0</v>
      </c>
      <c r="DL167" s="19">
        <v>0</v>
      </c>
      <c r="DM167" s="19">
        <v>0</v>
      </c>
      <c r="DN167" s="19">
        <v>0</v>
      </c>
      <c r="DO167" s="19">
        <v>0</v>
      </c>
      <c r="DP167" s="19">
        <v>0</v>
      </c>
      <c r="DQ167" s="19">
        <v>0</v>
      </c>
      <c r="DR167" s="19">
        <v>0</v>
      </c>
      <c r="DS167" s="19">
        <v>0</v>
      </c>
      <c r="DT167" s="19">
        <v>0</v>
      </c>
      <c r="DU167" s="19">
        <v>0</v>
      </c>
      <c r="DV167" s="19">
        <v>0</v>
      </c>
      <c r="DW167" s="17" t="s">
        <v>529</v>
      </c>
      <c r="DX167" s="22" t="s">
        <v>218</v>
      </c>
      <c r="DY167" s="22" t="s">
        <v>218</v>
      </c>
      <c r="DZ167" s="22" t="s">
        <v>218</v>
      </c>
      <c r="EA167" s="22" t="s">
        <v>218</v>
      </c>
      <c r="EB167" s="22" t="s">
        <v>218</v>
      </c>
      <c r="EC167" s="22" t="s">
        <v>218</v>
      </c>
      <c r="ED167" s="22" t="s">
        <v>218</v>
      </c>
      <c r="EE167" s="22" t="s">
        <v>218</v>
      </c>
      <c r="EF167" s="22" t="s">
        <v>218</v>
      </c>
      <c r="EG167" s="22" t="s">
        <v>218</v>
      </c>
      <c r="EH167" s="22" t="s">
        <v>218</v>
      </c>
      <c r="EI167" s="22" t="s">
        <v>218</v>
      </c>
      <c r="EJ167" s="22" t="s">
        <v>218</v>
      </c>
      <c r="EK167" s="22" t="s">
        <v>218</v>
      </c>
      <c r="EL167" s="22" t="s">
        <v>218</v>
      </c>
      <c r="EM167" s="22" t="s">
        <v>218</v>
      </c>
      <c r="EN167" s="22" t="s">
        <v>218</v>
      </c>
      <c r="EO167" s="22" t="s">
        <v>218</v>
      </c>
      <c r="EP167" s="22" t="s">
        <v>218</v>
      </c>
      <c r="EQ167" s="22" t="s">
        <v>218</v>
      </c>
      <c r="ER167" s="22" t="s">
        <v>218</v>
      </c>
      <c r="ES167" s="22" t="s">
        <v>218</v>
      </c>
      <c r="ET167" s="22" t="s">
        <v>218</v>
      </c>
      <c r="EU167" s="22" t="s">
        <v>218</v>
      </c>
      <c r="EV167" s="22" t="s">
        <v>218</v>
      </c>
      <c r="EW167" s="22" t="s">
        <v>218</v>
      </c>
      <c r="EX167" s="22" t="s">
        <v>218</v>
      </c>
      <c r="EY167" s="22" t="s">
        <v>218</v>
      </c>
      <c r="EZ167" s="22" t="s">
        <v>218</v>
      </c>
      <c r="FA167" s="22" t="s">
        <v>218</v>
      </c>
      <c r="FB167" s="22" t="s">
        <v>218</v>
      </c>
      <c r="FC167" s="22" t="s">
        <v>218</v>
      </c>
      <c r="FD167" s="22" t="s">
        <v>218</v>
      </c>
      <c r="FE167" s="22" t="s">
        <v>218</v>
      </c>
      <c r="FF167" s="22" t="s">
        <v>218</v>
      </c>
      <c r="FG167" s="22" t="s">
        <v>218</v>
      </c>
      <c r="FH167" s="22" t="s">
        <v>218</v>
      </c>
      <c r="FI167" s="22" t="s">
        <v>218</v>
      </c>
      <c r="FJ167" s="22" t="s">
        <v>218</v>
      </c>
      <c r="FK167" s="22" t="s">
        <v>218</v>
      </c>
      <c r="FL167" s="22" t="s">
        <v>218</v>
      </c>
      <c r="FM167" s="22" t="s">
        <v>218</v>
      </c>
      <c r="FN167" s="22" t="s">
        <v>218</v>
      </c>
      <c r="FO167" s="22" t="s">
        <v>218</v>
      </c>
      <c r="FP167" s="22" t="s">
        <v>218</v>
      </c>
      <c r="FQ167" s="22" t="s">
        <v>218</v>
      </c>
      <c r="FR167" s="22" t="s">
        <v>218</v>
      </c>
      <c r="FS167" s="22" t="s">
        <v>218</v>
      </c>
      <c r="FT167" s="22" t="s">
        <v>218</v>
      </c>
      <c r="FU167" s="22" t="s">
        <v>218</v>
      </c>
      <c r="FV167" s="22" t="s">
        <v>218</v>
      </c>
      <c r="FW167" s="22" t="s">
        <v>218</v>
      </c>
      <c r="FX167" s="22" t="s">
        <v>218</v>
      </c>
      <c r="FY167" s="22" t="s">
        <v>218</v>
      </c>
      <c r="FZ167" s="22" t="s">
        <v>218</v>
      </c>
      <c r="GA167" s="22" t="s">
        <v>218</v>
      </c>
      <c r="GB167" s="22" t="s">
        <v>218</v>
      </c>
      <c r="GC167" s="22" t="s">
        <v>218</v>
      </c>
      <c r="GD167" s="22" t="s">
        <v>218</v>
      </c>
      <c r="GE167" s="22" t="s">
        <v>218</v>
      </c>
      <c r="GF167" s="22" t="s">
        <v>218</v>
      </c>
      <c r="GG167" s="22" t="s">
        <v>218</v>
      </c>
      <c r="GH167" s="22" t="s">
        <v>218</v>
      </c>
      <c r="GI167" s="22" t="s">
        <v>218</v>
      </c>
      <c r="GJ167" s="22" t="s">
        <v>218</v>
      </c>
      <c r="GK167" s="22" t="s">
        <v>218</v>
      </c>
      <c r="GL167" s="22" t="s">
        <v>218</v>
      </c>
      <c r="GM167" s="22" t="s">
        <v>218</v>
      </c>
      <c r="GN167" s="22" t="s">
        <v>218</v>
      </c>
      <c r="GO167" s="22" t="s">
        <v>218</v>
      </c>
      <c r="GP167" s="22" t="s">
        <v>218</v>
      </c>
      <c r="GQ167" s="22" t="s">
        <v>218</v>
      </c>
      <c r="GR167" s="22" t="s">
        <v>218</v>
      </c>
      <c r="GS167" s="22" t="s">
        <v>218</v>
      </c>
      <c r="GT167" s="22" t="s">
        <v>218</v>
      </c>
      <c r="GU167" s="22" t="s">
        <v>218</v>
      </c>
      <c r="GV167" s="22" t="s">
        <v>218</v>
      </c>
      <c r="GW167" s="22" t="s">
        <v>218</v>
      </c>
      <c r="GX167" s="22" t="s">
        <v>218</v>
      </c>
      <c r="GY167" s="22" t="s">
        <v>218</v>
      </c>
      <c r="GZ167" s="22" t="s">
        <v>218</v>
      </c>
      <c r="HA167" s="22" t="s">
        <v>218</v>
      </c>
      <c r="HB167" s="22" t="s">
        <v>218</v>
      </c>
      <c r="HC167" s="22" t="s">
        <v>218</v>
      </c>
      <c r="HD167" s="22" t="s">
        <v>218</v>
      </c>
      <c r="HE167" s="22" t="s">
        <v>218</v>
      </c>
      <c r="HF167" s="22" t="s">
        <v>218</v>
      </c>
      <c r="HG167" s="22" t="s">
        <v>218</v>
      </c>
      <c r="HH167" s="22" t="s">
        <v>218</v>
      </c>
      <c r="HI167" s="22" t="s">
        <v>218</v>
      </c>
      <c r="HJ167" s="22" t="s">
        <v>218</v>
      </c>
      <c r="HK167" s="22" t="s">
        <v>218</v>
      </c>
      <c r="HL167" s="22" t="s">
        <v>218</v>
      </c>
      <c r="HM167" s="860"/>
      <c r="HN167" s="860"/>
      <c r="HO167" s="860"/>
      <c r="HP167" s="860"/>
      <c r="HQ167" s="860"/>
      <c r="HR167" s="860"/>
      <c r="HS167" s="860"/>
      <c r="HT167" s="145"/>
      <c r="HU167" s="145" t="s">
        <v>1809</v>
      </c>
      <c r="HV167" s="22" t="s">
        <v>1926</v>
      </c>
      <c r="HW167" s="22">
        <v>0</v>
      </c>
      <c r="HX167" s="22">
        <v>0</v>
      </c>
      <c r="HY167" s="22">
        <v>0</v>
      </c>
      <c r="HZ167" s="19"/>
      <c r="IA167" s="19"/>
      <c r="IB167" s="621">
        <f>'background data'!$G$10</f>
        <v>0.47300000000000003</v>
      </c>
      <c r="IC167" s="621">
        <f>'background data'!$H$10</f>
        <v>0.13</v>
      </c>
      <c r="ID167" s="621">
        <f>'background data'!$J$10</f>
        <v>0.39100000000000001</v>
      </c>
      <c r="IE167" s="621">
        <f>'background data'!$L$10</f>
        <v>5.5E-2</v>
      </c>
      <c r="IF167" s="621">
        <f>'background data'!$M$10</f>
        <v>3.97</v>
      </c>
      <c r="IG167" s="621">
        <f>'background data'!$N$10</f>
        <v>4.5999999999999999E-3</v>
      </c>
      <c r="IH167" s="621">
        <f>'background data'!$O$10</f>
        <v>2.73</v>
      </c>
      <c r="II167" s="145"/>
      <c r="IJ167" s="145"/>
      <c r="IK167" s="145"/>
      <c r="IL167" s="145"/>
      <c r="IM167" s="145"/>
      <c r="IN167" s="145"/>
      <c r="IO167" s="145"/>
      <c r="IP167" s="145"/>
      <c r="IQ167" s="145"/>
      <c r="IR167" s="145"/>
      <c r="IS167" s="145"/>
      <c r="IT167" s="145"/>
      <c r="IU167" s="145"/>
      <c r="IV167" s="145"/>
      <c r="IW167" s="145"/>
      <c r="IX167" s="145"/>
      <c r="IY167" s="145"/>
      <c r="IZ167" s="145"/>
      <c r="JA167" s="145"/>
      <c r="JB167" s="145"/>
      <c r="JC167" s="145"/>
      <c r="JD167" s="145"/>
      <c r="JE167" s="145"/>
      <c r="JF167" s="145"/>
      <c r="JG167" s="145"/>
      <c r="JH167" s="145"/>
      <c r="JI167" s="145"/>
      <c r="JJ167" s="145"/>
      <c r="JK167" s="145"/>
      <c r="JL167" s="145"/>
      <c r="JM167" s="145"/>
      <c r="JN167" s="145"/>
      <c r="JO167" s="145"/>
      <c r="JP167" s="145"/>
      <c r="JQ167" s="145"/>
      <c r="JR167" s="145"/>
      <c r="JS167" s="145"/>
      <c r="JT167" s="145"/>
      <c r="JU167" s="145"/>
      <c r="JV167" s="145"/>
      <c r="JW167" s="145"/>
      <c r="JX167" s="145"/>
      <c r="JY167" s="145"/>
      <c r="JZ167" s="145"/>
      <c r="KA167" s="145"/>
      <c r="KB167" s="145"/>
      <c r="KC167" s="145"/>
      <c r="KD167" s="145"/>
      <c r="KE167" s="145"/>
      <c r="KF167" s="145"/>
      <c r="KG167" s="145"/>
      <c r="KH167" s="145"/>
      <c r="KI167" s="145"/>
      <c r="KJ167" s="145"/>
      <c r="KK167" s="145"/>
      <c r="KL167" s="145"/>
      <c r="KM167" s="145"/>
      <c r="KN167" s="145"/>
      <c r="KO167" s="145"/>
      <c r="KP167" s="145"/>
      <c r="KQ167" s="145"/>
      <c r="KR167" s="145"/>
      <c r="KS167" s="145"/>
      <c r="KT167" s="145"/>
      <c r="KU167" s="145"/>
      <c r="KV167" s="145"/>
      <c r="KW167" s="145"/>
      <c r="KX167" s="145"/>
      <c r="KY167" s="145"/>
      <c r="KZ167" s="145"/>
      <c r="LA167" s="145"/>
      <c r="LB167" s="145"/>
      <c r="LC167" s="145"/>
      <c r="LD167" s="145"/>
      <c r="LE167" s="145"/>
      <c r="LF167" s="145"/>
      <c r="LG167" s="145"/>
      <c r="LH167" s="145"/>
      <c r="LI167" s="145"/>
      <c r="LJ167" s="145"/>
      <c r="LK167" s="145"/>
      <c r="LL167" s="145"/>
      <c r="LM167" s="145"/>
      <c r="LN167" s="145"/>
      <c r="LO167" s="145"/>
      <c r="LP167" s="145"/>
      <c r="LQ167" s="145"/>
      <c r="LR167" s="145"/>
      <c r="LS167" s="145"/>
      <c r="LT167" s="145"/>
      <c r="LU167" s="145"/>
      <c r="LV167" s="145"/>
      <c r="LW167" s="145"/>
      <c r="LX167" s="145"/>
      <c r="LY167" s="145"/>
      <c r="LZ167" s="145"/>
      <c r="MA167" s="145"/>
      <c r="MB167" s="145"/>
      <c r="MC167" s="145"/>
      <c r="MD167" s="145"/>
      <c r="ME167" s="145"/>
      <c r="MF167" s="145"/>
      <c r="MG167" s="145"/>
      <c r="MH167" s="145"/>
      <c r="MI167" s="145"/>
      <c r="MJ167" s="145"/>
      <c r="MK167" s="145"/>
      <c r="ML167" s="145"/>
      <c r="MM167" s="145"/>
      <c r="MN167" s="145"/>
      <c r="MO167" s="145"/>
      <c r="MP167" s="145"/>
      <c r="MQ167" s="145"/>
      <c r="MR167" s="145"/>
      <c r="MS167" s="145"/>
      <c r="MT167" s="145"/>
      <c r="MU167" s="145"/>
      <c r="MV167" s="145"/>
      <c r="MW167" s="145"/>
      <c r="MX167" s="145"/>
      <c r="MY167" s="145"/>
      <c r="MZ167" s="145"/>
      <c r="NA167" s="145"/>
      <c r="NB167" s="145"/>
      <c r="NC167" s="145"/>
      <c r="ND167" s="145"/>
      <c r="NE167" s="145"/>
      <c r="NF167" s="145"/>
      <c r="NG167" s="145"/>
      <c r="NH167" s="145"/>
      <c r="NI167" s="145"/>
      <c r="NJ167" s="145"/>
      <c r="NK167" s="145"/>
      <c r="NL167" s="145"/>
      <c r="NM167" s="145"/>
      <c r="NN167" s="145"/>
      <c r="NO167" s="145"/>
      <c r="NP167" s="145"/>
      <c r="NQ167" s="145"/>
      <c r="NR167" s="145"/>
      <c r="NS167" s="145"/>
    </row>
    <row r="168" spans="1:383" s="16" customFormat="1" ht="15" customHeight="1" x14ac:dyDescent="0.2">
      <c r="A168" s="15">
        <v>47200</v>
      </c>
      <c r="B168" s="25">
        <v>472</v>
      </c>
      <c r="C168" s="26">
        <v>0</v>
      </c>
      <c r="D168" s="20" t="s">
        <v>530</v>
      </c>
      <c r="E168" s="14">
        <v>40310</v>
      </c>
      <c r="F168" s="18">
        <v>-0.112682926829268</v>
      </c>
      <c r="G168" s="18">
        <v>-0.108</v>
      </c>
      <c r="H168" s="21">
        <v>70</v>
      </c>
      <c r="I168" s="21">
        <v>70</v>
      </c>
      <c r="J168" s="21">
        <v>0</v>
      </c>
      <c r="K168" s="18">
        <v>1</v>
      </c>
      <c r="L168" s="18">
        <v>99</v>
      </c>
      <c r="M168" s="18">
        <v>0</v>
      </c>
      <c r="N168" s="18">
        <v>0</v>
      </c>
      <c r="O168" s="18">
        <v>99</v>
      </c>
      <c r="P168" s="18">
        <v>0</v>
      </c>
      <c r="Q168" s="19"/>
      <c r="R168" s="18">
        <v>0</v>
      </c>
      <c r="S168" s="18">
        <v>67</v>
      </c>
      <c r="T168" s="18">
        <v>67</v>
      </c>
      <c r="U168" s="18">
        <v>67</v>
      </c>
      <c r="V168" s="18">
        <v>67</v>
      </c>
      <c r="W168" s="18">
        <v>67</v>
      </c>
      <c r="X168" s="18"/>
      <c r="Y168" s="18">
        <v>222.22221999999999</v>
      </c>
      <c r="Z168" s="18">
        <v>222.22221999999999</v>
      </c>
      <c r="AA168" s="18">
        <v>0</v>
      </c>
      <c r="AB168" s="18">
        <v>0</v>
      </c>
      <c r="AC168" s="18">
        <v>0</v>
      </c>
      <c r="AD168" s="18">
        <v>0</v>
      </c>
      <c r="AE168" s="18">
        <v>0</v>
      </c>
      <c r="AF168" s="18">
        <v>0</v>
      </c>
      <c r="AG168" s="18">
        <v>0</v>
      </c>
      <c r="AH168" s="18">
        <v>0</v>
      </c>
      <c r="AI168" s="18">
        <v>0</v>
      </c>
      <c r="AJ168" s="18">
        <v>0</v>
      </c>
      <c r="AK168" s="18">
        <v>0</v>
      </c>
      <c r="AL168" s="18"/>
      <c r="AM168" s="18">
        <v>0</v>
      </c>
      <c r="AN168" s="18">
        <v>0</v>
      </c>
      <c r="AO168" s="18">
        <v>0</v>
      </c>
      <c r="AP168" s="18">
        <v>0</v>
      </c>
      <c r="AQ168" s="18">
        <v>0</v>
      </c>
      <c r="AR168" s="18">
        <v>0</v>
      </c>
      <c r="AS168" s="18">
        <v>0</v>
      </c>
      <c r="AT168" s="18">
        <v>0</v>
      </c>
      <c r="AU168" s="18">
        <v>0</v>
      </c>
      <c r="AV168" s="18">
        <v>0</v>
      </c>
      <c r="AW168" s="18">
        <v>0</v>
      </c>
      <c r="AX168" s="18"/>
      <c r="AY168" s="18">
        <v>1</v>
      </c>
      <c r="AZ168" s="18">
        <v>1</v>
      </c>
      <c r="BA168" s="18">
        <v>1</v>
      </c>
      <c r="BB168" s="18">
        <v>1</v>
      </c>
      <c r="BC168" s="18">
        <v>1</v>
      </c>
      <c r="BD168" s="18">
        <v>1</v>
      </c>
      <c r="BE168" s="18">
        <v>1</v>
      </c>
      <c r="BF168" s="18">
        <v>1</v>
      </c>
      <c r="BG168" s="18">
        <v>1</v>
      </c>
      <c r="BH168" s="18">
        <v>1</v>
      </c>
      <c r="BI168" s="18">
        <v>1</v>
      </c>
      <c r="BJ168" s="19"/>
      <c r="BK168" s="18">
        <v>0</v>
      </c>
      <c r="BL168" s="18">
        <v>0</v>
      </c>
      <c r="BM168" s="18">
        <v>100</v>
      </c>
      <c r="BN168" s="18">
        <v>0</v>
      </c>
      <c r="BO168" s="18"/>
      <c r="BP168" s="18">
        <v>0</v>
      </c>
      <c r="BQ168" s="18">
        <v>0</v>
      </c>
      <c r="BR168" s="18">
        <v>-0.11382113821138182</v>
      </c>
      <c r="BS168" s="18">
        <v>-0.10909090909090909</v>
      </c>
      <c r="BT168" s="19"/>
      <c r="BU168" s="18">
        <v>0</v>
      </c>
      <c r="BV168" s="18">
        <v>0</v>
      </c>
      <c r="BW168" s="18">
        <v>0</v>
      </c>
      <c r="BX168" s="18" t="s">
        <v>217</v>
      </c>
      <c r="BY168" s="18" t="s">
        <v>217</v>
      </c>
      <c r="BZ168" s="18" t="s">
        <v>217</v>
      </c>
      <c r="CA168" s="18" t="s">
        <v>217</v>
      </c>
      <c r="CB168" s="19"/>
      <c r="CC168" s="19">
        <v>219.99999779999999</v>
      </c>
      <c r="CD168" s="19">
        <v>219.99999779999999</v>
      </c>
      <c r="CE168" s="19">
        <v>0</v>
      </c>
      <c r="CF168" s="19">
        <v>0</v>
      </c>
      <c r="CG168" s="19">
        <v>0</v>
      </c>
      <c r="CH168" s="19">
        <v>0</v>
      </c>
      <c r="CI168" s="19">
        <v>0</v>
      </c>
      <c r="CJ168" s="19"/>
      <c r="CK168" s="19">
        <v>0</v>
      </c>
      <c r="CL168" s="19">
        <v>0</v>
      </c>
      <c r="CM168" s="19">
        <v>0</v>
      </c>
      <c r="CN168" s="19">
        <v>0</v>
      </c>
      <c r="CO168" s="19">
        <v>0</v>
      </c>
      <c r="CP168" s="19">
        <v>0</v>
      </c>
      <c r="CQ168" s="19">
        <v>0</v>
      </c>
      <c r="CR168" s="19">
        <v>0</v>
      </c>
      <c r="CS168" s="19">
        <v>0</v>
      </c>
      <c r="CT168" s="19">
        <v>0</v>
      </c>
      <c r="CU168" s="19">
        <v>0</v>
      </c>
      <c r="CV168" s="19">
        <v>0</v>
      </c>
      <c r="CW168" s="19">
        <v>0</v>
      </c>
      <c r="CX168" s="19">
        <v>0</v>
      </c>
      <c r="CY168" s="19">
        <v>0</v>
      </c>
      <c r="CZ168" s="19">
        <v>0</v>
      </c>
      <c r="DA168" s="19">
        <v>0</v>
      </c>
      <c r="DB168" s="19">
        <v>0</v>
      </c>
      <c r="DC168" s="19">
        <v>0</v>
      </c>
      <c r="DD168" s="19">
        <v>0</v>
      </c>
      <c r="DE168" s="19">
        <v>0</v>
      </c>
      <c r="DF168" s="23">
        <v>0</v>
      </c>
      <c r="DG168" s="23">
        <v>0</v>
      </c>
      <c r="DH168" s="23">
        <v>0</v>
      </c>
      <c r="DI168" s="19">
        <v>0</v>
      </c>
      <c r="DJ168" s="19">
        <v>0</v>
      </c>
      <c r="DK168" s="19">
        <v>0</v>
      </c>
      <c r="DL168" s="19">
        <v>0</v>
      </c>
      <c r="DM168" s="19">
        <v>0</v>
      </c>
      <c r="DN168" s="19">
        <v>0</v>
      </c>
      <c r="DO168" s="19">
        <v>0</v>
      </c>
      <c r="DP168" s="19">
        <v>0</v>
      </c>
      <c r="DQ168" s="19">
        <v>0</v>
      </c>
      <c r="DR168" s="19">
        <v>0</v>
      </c>
      <c r="DS168" s="19">
        <v>0</v>
      </c>
      <c r="DT168" s="19">
        <v>0</v>
      </c>
      <c r="DU168" s="19">
        <v>0</v>
      </c>
      <c r="DV168" s="19">
        <v>0</v>
      </c>
      <c r="DW168" s="17" t="s">
        <v>531</v>
      </c>
      <c r="DX168" s="22" t="s">
        <v>218</v>
      </c>
      <c r="DY168" s="22" t="s">
        <v>218</v>
      </c>
      <c r="DZ168" s="22" t="s">
        <v>218</v>
      </c>
      <c r="EA168" s="22" t="s">
        <v>218</v>
      </c>
      <c r="EB168" s="22" t="s">
        <v>218</v>
      </c>
      <c r="EC168" s="22" t="s">
        <v>218</v>
      </c>
      <c r="ED168" s="22" t="s">
        <v>218</v>
      </c>
      <c r="EE168" s="22" t="s">
        <v>218</v>
      </c>
      <c r="EF168" s="22" t="s">
        <v>218</v>
      </c>
      <c r="EG168" s="22" t="s">
        <v>218</v>
      </c>
      <c r="EH168" s="22" t="s">
        <v>218</v>
      </c>
      <c r="EI168" s="22" t="s">
        <v>218</v>
      </c>
      <c r="EJ168" s="22" t="s">
        <v>218</v>
      </c>
      <c r="EK168" s="22" t="s">
        <v>218</v>
      </c>
      <c r="EL168" s="22" t="s">
        <v>218</v>
      </c>
      <c r="EM168" s="22" t="s">
        <v>218</v>
      </c>
      <c r="EN168" s="22" t="s">
        <v>218</v>
      </c>
      <c r="EO168" s="22" t="s">
        <v>218</v>
      </c>
      <c r="EP168" s="22" t="s">
        <v>218</v>
      </c>
      <c r="EQ168" s="22" t="s">
        <v>218</v>
      </c>
      <c r="ER168" s="22" t="s">
        <v>218</v>
      </c>
      <c r="ES168" s="22" t="s">
        <v>218</v>
      </c>
      <c r="ET168" s="22" t="s">
        <v>218</v>
      </c>
      <c r="EU168" s="22" t="s">
        <v>218</v>
      </c>
      <c r="EV168" s="22" t="s">
        <v>218</v>
      </c>
      <c r="EW168" s="22" t="s">
        <v>218</v>
      </c>
      <c r="EX168" s="22" t="s">
        <v>218</v>
      </c>
      <c r="EY168" s="22" t="s">
        <v>218</v>
      </c>
      <c r="EZ168" s="22" t="s">
        <v>218</v>
      </c>
      <c r="FA168" s="22" t="s">
        <v>218</v>
      </c>
      <c r="FB168" s="22" t="s">
        <v>218</v>
      </c>
      <c r="FC168" s="22" t="s">
        <v>218</v>
      </c>
      <c r="FD168" s="22" t="s">
        <v>218</v>
      </c>
      <c r="FE168" s="22" t="s">
        <v>218</v>
      </c>
      <c r="FF168" s="22" t="s">
        <v>218</v>
      </c>
      <c r="FG168" s="22" t="s">
        <v>218</v>
      </c>
      <c r="FH168" s="22" t="s">
        <v>218</v>
      </c>
      <c r="FI168" s="22" t="s">
        <v>218</v>
      </c>
      <c r="FJ168" s="22" t="s">
        <v>218</v>
      </c>
      <c r="FK168" s="22" t="s">
        <v>218</v>
      </c>
      <c r="FL168" s="22" t="s">
        <v>218</v>
      </c>
      <c r="FM168" s="22" t="s">
        <v>218</v>
      </c>
      <c r="FN168" s="22" t="s">
        <v>218</v>
      </c>
      <c r="FO168" s="22" t="s">
        <v>218</v>
      </c>
      <c r="FP168" s="22" t="s">
        <v>218</v>
      </c>
      <c r="FQ168" s="22" t="s">
        <v>218</v>
      </c>
      <c r="FR168" s="22" t="s">
        <v>218</v>
      </c>
      <c r="FS168" s="22" t="s">
        <v>218</v>
      </c>
      <c r="FT168" s="22" t="s">
        <v>218</v>
      </c>
      <c r="FU168" s="22" t="s">
        <v>218</v>
      </c>
      <c r="FV168" s="22" t="s">
        <v>218</v>
      </c>
      <c r="FW168" s="22" t="s">
        <v>218</v>
      </c>
      <c r="FX168" s="22" t="s">
        <v>218</v>
      </c>
      <c r="FY168" s="22" t="s">
        <v>218</v>
      </c>
      <c r="FZ168" s="22" t="s">
        <v>218</v>
      </c>
      <c r="GA168" s="22" t="s">
        <v>218</v>
      </c>
      <c r="GB168" s="22" t="s">
        <v>218</v>
      </c>
      <c r="GC168" s="22" t="s">
        <v>218</v>
      </c>
      <c r="GD168" s="22" t="s">
        <v>218</v>
      </c>
      <c r="GE168" s="22" t="s">
        <v>218</v>
      </c>
      <c r="GF168" s="22" t="s">
        <v>218</v>
      </c>
      <c r="GG168" s="22" t="s">
        <v>218</v>
      </c>
      <c r="GH168" s="22" t="s">
        <v>218</v>
      </c>
      <c r="GI168" s="22" t="s">
        <v>218</v>
      </c>
      <c r="GJ168" s="22" t="s">
        <v>218</v>
      </c>
      <c r="GK168" s="22" t="s">
        <v>218</v>
      </c>
      <c r="GL168" s="22" t="s">
        <v>218</v>
      </c>
      <c r="GM168" s="22" t="s">
        <v>218</v>
      </c>
      <c r="GN168" s="22" t="s">
        <v>218</v>
      </c>
      <c r="GO168" s="22" t="s">
        <v>218</v>
      </c>
      <c r="GP168" s="22" t="s">
        <v>218</v>
      </c>
      <c r="GQ168" s="22" t="s">
        <v>218</v>
      </c>
      <c r="GR168" s="22" t="s">
        <v>218</v>
      </c>
      <c r="GS168" s="22" t="s">
        <v>218</v>
      </c>
      <c r="GT168" s="22" t="s">
        <v>218</v>
      </c>
      <c r="GU168" s="22" t="s">
        <v>218</v>
      </c>
      <c r="GV168" s="22" t="s">
        <v>218</v>
      </c>
      <c r="GW168" s="22" t="s">
        <v>218</v>
      </c>
      <c r="GX168" s="22" t="s">
        <v>218</v>
      </c>
      <c r="GY168" s="22" t="s">
        <v>218</v>
      </c>
      <c r="GZ168" s="22" t="s">
        <v>218</v>
      </c>
      <c r="HA168" s="22" t="s">
        <v>218</v>
      </c>
      <c r="HB168" s="22" t="s">
        <v>218</v>
      </c>
      <c r="HC168" s="22" t="s">
        <v>218</v>
      </c>
      <c r="HD168" s="22" t="s">
        <v>218</v>
      </c>
      <c r="HE168" s="22" t="s">
        <v>218</v>
      </c>
      <c r="HF168" s="22" t="s">
        <v>218</v>
      </c>
      <c r="HG168" s="22" t="s">
        <v>218</v>
      </c>
      <c r="HH168" s="22" t="s">
        <v>218</v>
      </c>
      <c r="HI168" s="22" t="s">
        <v>218</v>
      </c>
      <c r="HJ168" s="22" t="s">
        <v>218</v>
      </c>
      <c r="HK168" s="22" t="s">
        <v>218</v>
      </c>
      <c r="HL168" s="22" t="s">
        <v>218</v>
      </c>
      <c r="HM168" s="860"/>
      <c r="HN168" s="860"/>
      <c r="HO168" s="860"/>
      <c r="HP168" s="860"/>
      <c r="HQ168" s="860"/>
      <c r="HR168" s="860"/>
      <c r="HS168" s="860"/>
      <c r="HT168" s="145"/>
      <c r="HU168" s="145" t="s">
        <v>1809</v>
      </c>
      <c r="HV168" s="22" t="s">
        <v>1926</v>
      </c>
      <c r="HW168" s="22">
        <v>0</v>
      </c>
      <c r="HX168" s="22">
        <v>0</v>
      </c>
      <c r="HY168" s="22">
        <v>0</v>
      </c>
      <c r="HZ168" s="19"/>
      <c r="IA168" s="19"/>
      <c r="IB168" s="621">
        <f>'background data'!$G$10</f>
        <v>0.47300000000000003</v>
      </c>
      <c r="IC168" s="621">
        <f>'background data'!$H$10</f>
        <v>0.13</v>
      </c>
      <c r="ID168" s="621">
        <f>'background data'!$J$10</f>
        <v>0.39100000000000001</v>
      </c>
      <c r="IE168" s="621">
        <f>'background data'!$L$10</f>
        <v>5.5E-2</v>
      </c>
      <c r="IF168" s="621">
        <f>'background data'!$M$10</f>
        <v>3.97</v>
      </c>
      <c r="IG168" s="621">
        <f>'background data'!$N$10</f>
        <v>4.5999999999999999E-3</v>
      </c>
      <c r="IH168" s="621">
        <f>'background data'!$O$10</f>
        <v>2.73</v>
      </c>
      <c r="II168" s="145"/>
      <c r="IJ168" s="145"/>
      <c r="IK168" s="145"/>
      <c r="IL168" s="145"/>
      <c r="IM168" s="145"/>
      <c r="IN168" s="145"/>
      <c r="IO168" s="145"/>
      <c r="IP168" s="145"/>
      <c r="IQ168" s="145"/>
      <c r="IR168" s="145"/>
      <c r="IS168" s="145"/>
      <c r="IT168" s="145"/>
      <c r="IU168" s="145"/>
      <c r="IV168" s="145"/>
      <c r="IW168" s="145"/>
      <c r="IX168" s="145"/>
      <c r="IY168" s="145"/>
      <c r="IZ168" s="145"/>
      <c r="JA168" s="145"/>
      <c r="JB168" s="145"/>
      <c r="JC168" s="145"/>
      <c r="JD168" s="145"/>
      <c r="JE168" s="145"/>
      <c r="JF168" s="145"/>
      <c r="JG168" s="145"/>
      <c r="JH168" s="145"/>
      <c r="JI168" s="145"/>
      <c r="JJ168" s="145"/>
      <c r="JK168" s="145"/>
      <c r="JL168" s="145"/>
      <c r="JM168" s="145"/>
      <c r="JN168" s="145"/>
      <c r="JO168" s="145"/>
      <c r="JP168" s="145"/>
      <c r="JQ168" s="145"/>
      <c r="JR168" s="145"/>
      <c r="JS168" s="145"/>
      <c r="JT168" s="145"/>
      <c r="JU168" s="145"/>
      <c r="JV168" s="145"/>
      <c r="JW168" s="145"/>
      <c r="JX168" s="145"/>
      <c r="JY168" s="145"/>
      <c r="JZ168" s="145"/>
      <c r="KA168" s="145"/>
      <c r="KB168" s="145"/>
      <c r="KC168" s="145"/>
      <c r="KD168" s="145"/>
      <c r="KE168" s="145"/>
      <c r="KF168" s="145"/>
      <c r="KG168" s="145"/>
      <c r="KH168" s="145"/>
      <c r="KI168" s="145"/>
      <c r="KJ168" s="145"/>
      <c r="KK168" s="145"/>
      <c r="KL168" s="145"/>
      <c r="KM168" s="145"/>
      <c r="KN168" s="145"/>
      <c r="KO168" s="145"/>
      <c r="KP168" s="145"/>
      <c r="KQ168" s="145"/>
      <c r="KR168" s="145"/>
      <c r="KS168" s="145"/>
      <c r="KT168" s="145"/>
      <c r="KU168" s="145"/>
      <c r="KV168" s="145"/>
      <c r="KW168" s="145"/>
      <c r="KX168" s="145"/>
      <c r="KY168" s="145"/>
      <c r="KZ168" s="145"/>
      <c r="LA168" s="145"/>
      <c r="LB168" s="145"/>
      <c r="LC168" s="145"/>
      <c r="LD168" s="145"/>
      <c r="LE168" s="145"/>
      <c r="LF168" s="145"/>
      <c r="LG168" s="145"/>
      <c r="LH168" s="145"/>
      <c r="LI168" s="145"/>
      <c r="LJ168" s="145"/>
      <c r="LK168" s="145"/>
      <c r="LL168" s="145"/>
      <c r="LM168" s="145"/>
      <c r="LN168" s="145"/>
      <c r="LO168" s="145"/>
      <c r="LP168" s="145"/>
      <c r="LQ168" s="145"/>
      <c r="LR168" s="145"/>
      <c r="LS168" s="145"/>
      <c r="LT168" s="145"/>
      <c r="LU168" s="145"/>
      <c r="LV168" s="145"/>
      <c r="LW168" s="145"/>
      <c r="LX168" s="145"/>
      <c r="LY168" s="145"/>
      <c r="LZ168" s="145"/>
      <c r="MA168" s="145"/>
      <c r="MB168" s="145"/>
      <c r="MC168" s="145"/>
      <c r="MD168" s="145"/>
      <c r="ME168" s="145"/>
      <c r="MF168" s="145"/>
      <c r="MG168" s="145"/>
      <c r="MH168" s="145"/>
      <c r="MI168" s="145"/>
      <c r="MJ168" s="145"/>
      <c r="MK168" s="145"/>
      <c r="ML168" s="145"/>
      <c r="MM168" s="145"/>
      <c r="MN168" s="145"/>
      <c r="MO168" s="145"/>
      <c r="MP168" s="145"/>
      <c r="MQ168" s="145"/>
      <c r="MR168" s="145"/>
      <c r="MS168" s="145"/>
      <c r="MT168" s="145"/>
      <c r="MU168" s="145"/>
      <c r="MV168" s="145"/>
      <c r="MW168" s="145"/>
      <c r="MX168" s="145"/>
      <c r="MY168" s="145"/>
      <c r="MZ168" s="145"/>
      <c r="NA168" s="145"/>
      <c r="NB168" s="145"/>
      <c r="NC168" s="145"/>
      <c r="ND168" s="145"/>
      <c r="NE168" s="145"/>
      <c r="NF168" s="145"/>
      <c r="NG168" s="145"/>
      <c r="NH168" s="145"/>
      <c r="NI168" s="145"/>
      <c r="NJ168" s="145"/>
      <c r="NK168" s="145"/>
      <c r="NL168" s="145"/>
      <c r="NM168" s="145"/>
      <c r="NN168" s="145"/>
      <c r="NO168" s="145"/>
      <c r="NP168" s="145"/>
      <c r="NQ168" s="145"/>
      <c r="NR168" s="145"/>
      <c r="NS168" s="145"/>
    </row>
    <row r="169" spans="1:383" s="16" customFormat="1" ht="15" customHeight="1" x14ac:dyDescent="0.2">
      <c r="A169" s="15">
        <v>46300</v>
      </c>
      <c r="B169" s="25">
        <v>463</v>
      </c>
      <c r="C169" s="26">
        <v>0</v>
      </c>
      <c r="D169" s="20" t="s">
        <v>532</v>
      </c>
      <c r="E169" s="14">
        <v>40310</v>
      </c>
      <c r="F169" s="18">
        <v>-0.112682926829268</v>
      </c>
      <c r="G169" s="18">
        <v>-0.108</v>
      </c>
      <c r="H169" s="21">
        <v>70</v>
      </c>
      <c r="I169" s="21">
        <v>70</v>
      </c>
      <c r="J169" s="21">
        <v>0</v>
      </c>
      <c r="K169" s="18">
        <v>1</v>
      </c>
      <c r="L169" s="18">
        <v>99</v>
      </c>
      <c r="M169" s="18">
        <v>0</v>
      </c>
      <c r="N169" s="18">
        <v>0</v>
      </c>
      <c r="O169" s="18">
        <v>99</v>
      </c>
      <c r="P169" s="18">
        <v>0</v>
      </c>
      <c r="Q169" s="19"/>
      <c r="R169" s="18">
        <v>0</v>
      </c>
      <c r="S169" s="18">
        <v>80</v>
      </c>
      <c r="T169" s="18">
        <v>80</v>
      </c>
      <c r="U169" s="18">
        <v>80</v>
      </c>
      <c r="V169" s="18">
        <v>80</v>
      </c>
      <c r="W169" s="18">
        <v>80</v>
      </c>
      <c r="X169" s="18"/>
      <c r="Y169" s="18">
        <v>0</v>
      </c>
      <c r="Z169" s="18">
        <v>242.42424</v>
      </c>
      <c r="AA169" s="18">
        <v>202.02020000000002</v>
      </c>
      <c r="AB169" s="18">
        <v>0</v>
      </c>
      <c r="AC169" s="18">
        <v>0</v>
      </c>
      <c r="AD169" s="18">
        <v>0</v>
      </c>
      <c r="AE169" s="18">
        <v>0</v>
      </c>
      <c r="AF169" s="18">
        <v>0</v>
      </c>
      <c r="AG169" s="18">
        <v>0</v>
      </c>
      <c r="AH169" s="18">
        <v>0</v>
      </c>
      <c r="AI169" s="18">
        <v>0</v>
      </c>
      <c r="AJ169" s="18">
        <v>0</v>
      </c>
      <c r="AK169" s="18">
        <v>0</v>
      </c>
      <c r="AL169" s="18"/>
      <c r="AM169" s="18">
        <v>0</v>
      </c>
      <c r="AN169" s="18">
        <v>0</v>
      </c>
      <c r="AO169" s="18">
        <v>0</v>
      </c>
      <c r="AP169" s="18">
        <v>0</v>
      </c>
      <c r="AQ169" s="18">
        <v>0</v>
      </c>
      <c r="AR169" s="18">
        <v>0</v>
      </c>
      <c r="AS169" s="18">
        <v>0</v>
      </c>
      <c r="AT169" s="18">
        <v>0</v>
      </c>
      <c r="AU169" s="18">
        <v>0</v>
      </c>
      <c r="AV169" s="18">
        <v>0</v>
      </c>
      <c r="AW169" s="18">
        <v>0</v>
      </c>
      <c r="AX169" s="18"/>
      <c r="AY169" s="18">
        <v>1</v>
      </c>
      <c r="AZ169" s="18">
        <v>1</v>
      </c>
      <c r="BA169" s="18">
        <v>1</v>
      </c>
      <c r="BB169" s="18">
        <v>1</v>
      </c>
      <c r="BC169" s="18">
        <v>1</v>
      </c>
      <c r="BD169" s="18">
        <v>1</v>
      </c>
      <c r="BE169" s="18">
        <v>1</v>
      </c>
      <c r="BF169" s="18">
        <v>1</v>
      </c>
      <c r="BG169" s="18">
        <v>1</v>
      </c>
      <c r="BH169" s="18">
        <v>1</v>
      </c>
      <c r="BI169" s="18">
        <v>1</v>
      </c>
      <c r="BJ169" s="19"/>
      <c r="BK169" s="18">
        <v>0</v>
      </c>
      <c r="BL169" s="18">
        <v>0</v>
      </c>
      <c r="BM169" s="18">
        <v>100</v>
      </c>
      <c r="BN169" s="18">
        <v>0</v>
      </c>
      <c r="BO169" s="18"/>
      <c r="BP169" s="18">
        <v>0</v>
      </c>
      <c r="BQ169" s="18">
        <v>0</v>
      </c>
      <c r="BR169" s="18">
        <v>-0.11382113821138182</v>
      </c>
      <c r="BS169" s="18">
        <v>-0.10909090909090909</v>
      </c>
      <c r="BT169" s="19"/>
      <c r="BU169" s="18">
        <v>0</v>
      </c>
      <c r="BV169" s="18">
        <v>0</v>
      </c>
      <c r="BW169" s="18">
        <v>0</v>
      </c>
      <c r="BX169" s="18" t="s">
        <v>217</v>
      </c>
      <c r="BY169" s="18" t="s">
        <v>217</v>
      </c>
      <c r="BZ169" s="18" t="s">
        <v>217</v>
      </c>
      <c r="CA169" s="18" t="s">
        <v>217</v>
      </c>
      <c r="CB169" s="19"/>
      <c r="CC169" s="19">
        <v>0</v>
      </c>
      <c r="CD169" s="19">
        <v>239.9999976</v>
      </c>
      <c r="CE169" s="19">
        <v>199.99999800000001</v>
      </c>
      <c r="CF169" s="19">
        <v>0</v>
      </c>
      <c r="CG169" s="19">
        <v>0</v>
      </c>
      <c r="CH169" s="19">
        <v>0</v>
      </c>
      <c r="CI169" s="19">
        <v>0</v>
      </c>
      <c r="CJ169" s="19"/>
      <c r="CK169" s="19">
        <v>0</v>
      </c>
      <c r="CL169" s="19">
        <v>0</v>
      </c>
      <c r="CM169" s="19">
        <v>0</v>
      </c>
      <c r="CN169" s="19">
        <v>0</v>
      </c>
      <c r="CO169" s="19">
        <v>0</v>
      </c>
      <c r="CP169" s="19">
        <v>0</v>
      </c>
      <c r="CQ169" s="19">
        <v>0</v>
      </c>
      <c r="CR169" s="19">
        <v>0</v>
      </c>
      <c r="CS169" s="19">
        <v>0</v>
      </c>
      <c r="CT169" s="19">
        <v>0</v>
      </c>
      <c r="CU169" s="19">
        <v>0</v>
      </c>
      <c r="CV169" s="19">
        <v>0</v>
      </c>
      <c r="CW169" s="19">
        <v>0</v>
      </c>
      <c r="CX169" s="19">
        <v>0</v>
      </c>
      <c r="CY169" s="19">
        <v>0</v>
      </c>
      <c r="CZ169" s="19">
        <v>0</v>
      </c>
      <c r="DA169" s="19">
        <v>0</v>
      </c>
      <c r="DB169" s="19">
        <v>0</v>
      </c>
      <c r="DC169" s="19">
        <v>0</v>
      </c>
      <c r="DD169" s="19">
        <v>0</v>
      </c>
      <c r="DE169" s="19">
        <v>0</v>
      </c>
      <c r="DF169" s="23">
        <v>0</v>
      </c>
      <c r="DG169" s="23">
        <v>0</v>
      </c>
      <c r="DH169" s="23">
        <v>0</v>
      </c>
      <c r="DI169" s="19">
        <v>0</v>
      </c>
      <c r="DJ169" s="19">
        <v>0</v>
      </c>
      <c r="DK169" s="19">
        <v>0</v>
      </c>
      <c r="DL169" s="19">
        <v>0</v>
      </c>
      <c r="DM169" s="19">
        <v>0</v>
      </c>
      <c r="DN169" s="19">
        <v>0</v>
      </c>
      <c r="DO169" s="19">
        <v>0</v>
      </c>
      <c r="DP169" s="19">
        <v>0</v>
      </c>
      <c r="DQ169" s="19">
        <v>0</v>
      </c>
      <c r="DR169" s="19">
        <v>0</v>
      </c>
      <c r="DS169" s="19">
        <v>0</v>
      </c>
      <c r="DT169" s="19">
        <v>0</v>
      </c>
      <c r="DU169" s="19">
        <v>0</v>
      </c>
      <c r="DV169" s="19">
        <v>0</v>
      </c>
      <c r="DW169" s="17" t="s">
        <v>533</v>
      </c>
      <c r="DX169" s="22" t="s">
        <v>218</v>
      </c>
      <c r="DY169" s="22" t="s">
        <v>218</v>
      </c>
      <c r="DZ169" s="22" t="s">
        <v>218</v>
      </c>
      <c r="EA169" s="22" t="s">
        <v>218</v>
      </c>
      <c r="EB169" s="22" t="s">
        <v>218</v>
      </c>
      <c r="EC169" s="22" t="s">
        <v>218</v>
      </c>
      <c r="ED169" s="22" t="s">
        <v>218</v>
      </c>
      <c r="EE169" s="22" t="s">
        <v>218</v>
      </c>
      <c r="EF169" s="22" t="s">
        <v>218</v>
      </c>
      <c r="EG169" s="22" t="s">
        <v>218</v>
      </c>
      <c r="EH169" s="22" t="s">
        <v>218</v>
      </c>
      <c r="EI169" s="22" t="s">
        <v>218</v>
      </c>
      <c r="EJ169" s="22" t="s">
        <v>218</v>
      </c>
      <c r="EK169" s="22" t="s">
        <v>218</v>
      </c>
      <c r="EL169" s="22" t="s">
        <v>218</v>
      </c>
      <c r="EM169" s="22" t="s">
        <v>218</v>
      </c>
      <c r="EN169" s="22" t="s">
        <v>218</v>
      </c>
      <c r="EO169" s="22" t="s">
        <v>218</v>
      </c>
      <c r="EP169" s="22" t="s">
        <v>218</v>
      </c>
      <c r="EQ169" s="22" t="s">
        <v>218</v>
      </c>
      <c r="ER169" s="22" t="s">
        <v>218</v>
      </c>
      <c r="ES169" s="22" t="s">
        <v>218</v>
      </c>
      <c r="ET169" s="22" t="s">
        <v>218</v>
      </c>
      <c r="EU169" s="22" t="s">
        <v>218</v>
      </c>
      <c r="EV169" s="22" t="s">
        <v>218</v>
      </c>
      <c r="EW169" s="22" t="s">
        <v>218</v>
      </c>
      <c r="EX169" s="22" t="s">
        <v>218</v>
      </c>
      <c r="EY169" s="22" t="s">
        <v>218</v>
      </c>
      <c r="EZ169" s="22" t="s">
        <v>218</v>
      </c>
      <c r="FA169" s="22" t="s">
        <v>218</v>
      </c>
      <c r="FB169" s="22" t="s">
        <v>218</v>
      </c>
      <c r="FC169" s="22" t="s">
        <v>218</v>
      </c>
      <c r="FD169" s="22" t="s">
        <v>218</v>
      </c>
      <c r="FE169" s="22" t="s">
        <v>218</v>
      </c>
      <c r="FF169" s="22" t="s">
        <v>218</v>
      </c>
      <c r="FG169" s="22" t="s">
        <v>218</v>
      </c>
      <c r="FH169" s="22" t="s">
        <v>218</v>
      </c>
      <c r="FI169" s="22" t="s">
        <v>218</v>
      </c>
      <c r="FJ169" s="22" t="s">
        <v>218</v>
      </c>
      <c r="FK169" s="22" t="s">
        <v>218</v>
      </c>
      <c r="FL169" s="22" t="s">
        <v>218</v>
      </c>
      <c r="FM169" s="22" t="s">
        <v>218</v>
      </c>
      <c r="FN169" s="22" t="s">
        <v>218</v>
      </c>
      <c r="FO169" s="22" t="s">
        <v>218</v>
      </c>
      <c r="FP169" s="22" t="s">
        <v>218</v>
      </c>
      <c r="FQ169" s="22" t="s">
        <v>218</v>
      </c>
      <c r="FR169" s="22" t="s">
        <v>218</v>
      </c>
      <c r="FS169" s="22" t="s">
        <v>218</v>
      </c>
      <c r="FT169" s="22" t="s">
        <v>218</v>
      </c>
      <c r="FU169" s="22" t="s">
        <v>218</v>
      </c>
      <c r="FV169" s="22" t="s">
        <v>218</v>
      </c>
      <c r="FW169" s="22" t="s">
        <v>218</v>
      </c>
      <c r="FX169" s="22" t="s">
        <v>218</v>
      </c>
      <c r="FY169" s="22" t="s">
        <v>218</v>
      </c>
      <c r="FZ169" s="22" t="s">
        <v>218</v>
      </c>
      <c r="GA169" s="22" t="s">
        <v>218</v>
      </c>
      <c r="GB169" s="22" t="s">
        <v>218</v>
      </c>
      <c r="GC169" s="22" t="s">
        <v>218</v>
      </c>
      <c r="GD169" s="22" t="s">
        <v>218</v>
      </c>
      <c r="GE169" s="22" t="s">
        <v>218</v>
      </c>
      <c r="GF169" s="22" t="s">
        <v>218</v>
      </c>
      <c r="GG169" s="22" t="s">
        <v>218</v>
      </c>
      <c r="GH169" s="22" t="s">
        <v>218</v>
      </c>
      <c r="GI169" s="22" t="s">
        <v>218</v>
      </c>
      <c r="GJ169" s="22" t="s">
        <v>218</v>
      </c>
      <c r="GK169" s="22" t="s">
        <v>218</v>
      </c>
      <c r="GL169" s="22" t="s">
        <v>218</v>
      </c>
      <c r="GM169" s="22" t="s">
        <v>218</v>
      </c>
      <c r="GN169" s="22" t="s">
        <v>218</v>
      </c>
      <c r="GO169" s="22" t="s">
        <v>218</v>
      </c>
      <c r="GP169" s="22" t="s">
        <v>218</v>
      </c>
      <c r="GQ169" s="22" t="s">
        <v>218</v>
      </c>
      <c r="GR169" s="22" t="s">
        <v>218</v>
      </c>
      <c r="GS169" s="22" t="s">
        <v>218</v>
      </c>
      <c r="GT169" s="22" t="s">
        <v>218</v>
      </c>
      <c r="GU169" s="22" t="s">
        <v>218</v>
      </c>
      <c r="GV169" s="22" t="s">
        <v>218</v>
      </c>
      <c r="GW169" s="22" t="s">
        <v>218</v>
      </c>
      <c r="GX169" s="22" t="s">
        <v>218</v>
      </c>
      <c r="GY169" s="22" t="s">
        <v>218</v>
      </c>
      <c r="GZ169" s="22" t="s">
        <v>218</v>
      </c>
      <c r="HA169" s="22" t="s">
        <v>218</v>
      </c>
      <c r="HB169" s="22" t="s">
        <v>218</v>
      </c>
      <c r="HC169" s="22" t="s">
        <v>218</v>
      </c>
      <c r="HD169" s="22" t="s">
        <v>218</v>
      </c>
      <c r="HE169" s="22" t="s">
        <v>218</v>
      </c>
      <c r="HF169" s="22" t="s">
        <v>218</v>
      </c>
      <c r="HG169" s="22" t="s">
        <v>218</v>
      </c>
      <c r="HH169" s="22" t="s">
        <v>218</v>
      </c>
      <c r="HI169" s="22" t="s">
        <v>218</v>
      </c>
      <c r="HJ169" s="22" t="s">
        <v>218</v>
      </c>
      <c r="HK169" s="22" t="s">
        <v>218</v>
      </c>
      <c r="HL169" s="22" t="s">
        <v>218</v>
      </c>
      <c r="HM169" s="860"/>
      <c r="HN169" s="860"/>
      <c r="HO169" s="860"/>
      <c r="HP169" s="860"/>
      <c r="HQ169" s="860"/>
      <c r="HR169" s="860"/>
      <c r="HS169" s="860"/>
      <c r="HT169" s="145"/>
      <c r="HU169" s="145" t="s">
        <v>1809</v>
      </c>
      <c r="HV169" s="22" t="s">
        <v>1926</v>
      </c>
      <c r="HW169" s="22">
        <v>0</v>
      </c>
      <c r="HX169" s="22">
        <v>0</v>
      </c>
      <c r="HY169" s="22">
        <v>0</v>
      </c>
      <c r="HZ169" s="19"/>
      <c r="IA169" s="19"/>
      <c r="IB169" s="621">
        <f>'background data'!$G$10</f>
        <v>0.47300000000000003</v>
      </c>
      <c r="IC169" s="621">
        <f>'background data'!$H$10</f>
        <v>0.13</v>
      </c>
      <c r="ID169" s="621">
        <f>'background data'!$J$10</f>
        <v>0.39100000000000001</v>
      </c>
      <c r="IE169" s="621">
        <f>'background data'!$L$10</f>
        <v>5.5E-2</v>
      </c>
      <c r="IF169" s="621">
        <f>'background data'!$M$10</f>
        <v>3.97</v>
      </c>
      <c r="IG169" s="621">
        <f>'background data'!$N$10</f>
        <v>4.5999999999999999E-3</v>
      </c>
      <c r="IH169" s="621">
        <f>'background data'!$O$10</f>
        <v>2.73</v>
      </c>
      <c r="II169" s="145"/>
      <c r="IJ169" s="145"/>
      <c r="IK169" s="145"/>
      <c r="IL169" s="145"/>
      <c r="IM169" s="145"/>
      <c r="IN169" s="145"/>
      <c r="IO169" s="145"/>
      <c r="IP169" s="145"/>
      <c r="IQ169" s="145"/>
      <c r="IR169" s="145"/>
      <c r="IS169" s="145"/>
      <c r="IT169" s="145"/>
      <c r="IU169" s="145"/>
      <c r="IV169" s="145"/>
      <c r="IW169" s="145"/>
      <c r="IX169" s="145"/>
      <c r="IY169" s="145"/>
      <c r="IZ169" s="145"/>
      <c r="JA169" s="145"/>
      <c r="JB169" s="145"/>
      <c r="JC169" s="145"/>
      <c r="JD169" s="145"/>
      <c r="JE169" s="145"/>
      <c r="JF169" s="145"/>
      <c r="JG169" s="145"/>
      <c r="JH169" s="145"/>
      <c r="JI169" s="145"/>
      <c r="JJ169" s="145"/>
      <c r="JK169" s="145"/>
      <c r="JL169" s="145"/>
      <c r="JM169" s="145"/>
      <c r="JN169" s="145"/>
      <c r="JO169" s="145"/>
      <c r="JP169" s="145"/>
      <c r="JQ169" s="145"/>
      <c r="JR169" s="145"/>
      <c r="JS169" s="145"/>
      <c r="JT169" s="145"/>
      <c r="JU169" s="145"/>
      <c r="JV169" s="145"/>
      <c r="JW169" s="145"/>
      <c r="JX169" s="145"/>
      <c r="JY169" s="145"/>
      <c r="JZ169" s="145"/>
      <c r="KA169" s="145"/>
      <c r="KB169" s="145"/>
      <c r="KC169" s="145"/>
      <c r="KD169" s="145"/>
      <c r="KE169" s="145"/>
      <c r="KF169" s="145"/>
      <c r="KG169" s="145"/>
      <c r="KH169" s="145"/>
      <c r="KI169" s="145"/>
      <c r="KJ169" s="145"/>
      <c r="KK169" s="145"/>
      <c r="KL169" s="145"/>
      <c r="KM169" s="145"/>
      <c r="KN169" s="145"/>
      <c r="KO169" s="145"/>
      <c r="KP169" s="145"/>
      <c r="KQ169" s="145"/>
      <c r="KR169" s="145"/>
      <c r="KS169" s="145"/>
      <c r="KT169" s="145"/>
      <c r="KU169" s="145"/>
      <c r="KV169" s="145"/>
      <c r="KW169" s="145"/>
      <c r="KX169" s="145"/>
      <c r="KY169" s="145"/>
      <c r="KZ169" s="145"/>
      <c r="LA169" s="145"/>
      <c r="LB169" s="145"/>
      <c r="LC169" s="145"/>
      <c r="LD169" s="145"/>
      <c r="LE169" s="145"/>
      <c r="LF169" s="145"/>
      <c r="LG169" s="145"/>
      <c r="LH169" s="145"/>
      <c r="LI169" s="145"/>
      <c r="LJ169" s="145"/>
      <c r="LK169" s="145"/>
      <c r="LL169" s="145"/>
      <c r="LM169" s="145"/>
      <c r="LN169" s="145"/>
      <c r="LO169" s="145"/>
      <c r="LP169" s="145"/>
      <c r="LQ169" s="145"/>
      <c r="LR169" s="145"/>
      <c r="LS169" s="145"/>
      <c r="LT169" s="145"/>
      <c r="LU169" s="145"/>
      <c r="LV169" s="145"/>
      <c r="LW169" s="145"/>
      <c r="LX169" s="145"/>
      <c r="LY169" s="145"/>
      <c r="LZ169" s="145"/>
      <c r="MA169" s="145"/>
      <c r="MB169" s="145"/>
      <c r="MC169" s="145"/>
      <c r="MD169" s="145"/>
      <c r="ME169" s="145"/>
      <c r="MF169" s="145"/>
      <c r="MG169" s="145"/>
      <c r="MH169" s="145"/>
      <c r="MI169" s="145"/>
      <c r="MJ169" s="145"/>
      <c r="MK169" s="145"/>
      <c r="ML169" s="145"/>
      <c r="MM169" s="145"/>
      <c r="MN169" s="145"/>
      <c r="MO169" s="145"/>
      <c r="MP169" s="145"/>
      <c r="MQ169" s="145"/>
      <c r="MR169" s="145"/>
      <c r="MS169" s="145"/>
      <c r="MT169" s="145"/>
      <c r="MU169" s="145"/>
      <c r="MV169" s="145"/>
      <c r="MW169" s="145"/>
      <c r="MX169" s="145"/>
      <c r="MY169" s="145"/>
      <c r="MZ169" s="145"/>
      <c r="NA169" s="145"/>
      <c r="NB169" s="145"/>
      <c r="NC169" s="145"/>
      <c r="ND169" s="145"/>
      <c r="NE169" s="145"/>
      <c r="NF169" s="145"/>
      <c r="NG169" s="145"/>
      <c r="NH169" s="145"/>
      <c r="NI169" s="145"/>
      <c r="NJ169" s="145"/>
      <c r="NK169" s="145"/>
      <c r="NL169" s="145"/>
      <c r="NM169" s="145"/>
      <c r="NN169" s="145"/>
      <c r="NO169" s="145"/>
      <c r="NP169" s="145"/>
      <c r="NQ169" s="145"/>
      <c r="NR169" s="145"/>
      <c r="NS169" s="145"/>
    </row>
    <row r="170" spans="1:383" s="16" customFormat="1" ht="15" customHeight="1" x14ac:dyDescent="0.2">
      <c r="A170" s="15">
        <v>94600</v>
      </c>
      <c r="B170" s="25">
        <v>946</v>
      </c>
      <c r="C170" s="26">
        <v>0</v>
      </c>
      <c r="D170" s="20" t="s">
        <v>534</v>
      </c>
      <c r="E170" s="14">
        <v>40310</v>
      </c>
      <c r="F170" s="18">
        <v>1.18902422220169</v>
      </c>
      <c r="G170" s="18">
        <v>1.13961022855175</v>
      </c>
      <c r="H170" s="21">
        <v>100</v>
      </c>
      <c r="I170" s="21">
        <v>100</v>
      </c>
      <c r="J170" s="21">
        <v>100</v>
      </c>
      <c r="K170" s="18">
        <v>1</v>
      </c>
      <c r="L170" s="18">
        <v>75</v>
      </c>
      <c r="M170" s="18">
        <v>7.5757575757575798E-5</v>
      </c>
      <c r="N170" s="18">
        <v>0</v>
      </c>
      <c r="O170" s="18">
        <v>0</v>
      </c>
      <c r="P170" s="18">
        <v>0</v>
      </c>
      <c r="Q170" s="19"/>
      <c r="R170" s="18">
        <v>0</v>
      </c>
      <c r="S170" s="18">
        <v>0</v>
      </c>
      <c r="T170" s="18">
        <v>0</v>
      </c>
      <c r="U170" s="18">
        <v>0</v>
      </c>
      <c r="V170" s="18">
        <v>0</v>
      </c>
      <c r="W170" s="18">
        <v>0</v>
      </c>
      <c r="X170" s="18"/>
      <c r="Y170" s="18">
        <v>0</v>
      </c>
      <c r="Z170" s="18">
        <v>0</v>
      </c>
      <c r="AA170" s="18">
        <v>0</v>
      </c>
      <c r="AB170" s="18">
        <v>0</v>
      </c>
      <c r="AC170" s="18">
        <v>0</v>
      </c>
      <c r="AD170" s="18">
        <v>0</v>
      </c>
      <c r="AE170" s="18">
        <v>0</v>
      </c>
      <c r="AF170" s="18">
        <v>0</v>
      </c>
      <c r="AG170" s="18">
        <v>0</v>
      </c>
      <c r="AH170" s="18">
        <v>0</v>
      </c>
      <c r="AI170" s="18">
        <v>0</v>
      </c>
      <c r="AJ170" s="18">
        <v>0</v>
      </c>
      <c r="AK170" s="18">
        <v>0</v>
      </c>
      <c r="AL170" s="18"/>
      <c r="AM170" s="18">
        <v>0</v>
      </c>
      <c r="AN170" s="18">
        <v>0</v>
      </c>
      <c r="AO170" s="18">
        <v>0</v>
      </c>
      <c r="AP170" s="18">
        <v>0</v>
      </c>
      <c r="AQ170" s="18">
        <v>0</v>
      </c>
      <c r="AR170" s="18">
        <v>0</v>
      </c>
      <c r="AS170" s="18">
        <v>0</v>
      </c>
      <c r="AT170" s="18">
        <v>0</v>
      </c>
      <c r="AU170" s="18">
        <v>0</v>
      </c>
      <c r="AV170" s="18">
        <v>0</v>
      </c>
      <c r="AW170" s="18">
        <v>0</v>
      </c>
      <c r="AX170" s="18"/>
      <c r="AY170" s="18">
        <v>1</v>
      </c>
      <c r="AZ170" s="18">
        <v>1</v>
      </c>
      <c r="BA170" s="18">
        <v>1</v>
      </c>
      <c r="BB170" s="18">
        <v>1</v>
      </c>
      <c r="BC170" s="18">
        <v>1</v>
      </c>
      <c r="BD170" s="18">
        <v>1</v>
      </c>
      <c r="BE170" s="18">
        <v>1</v>
      </c>
      <c r="BF170" s="18">
        <v>1</v>
      </c>
      <c r="BG170" s="18">
        <v>1</v>
      </c>
      <c r="BH170" s="18">
        <v>1</v>
      </c>
      <c r="BI170" s="18">
        <v>1</v>
      </c>
      <c r="BJ170" s="19"/>
      <c r="BK170" s="18">
        <v>1.0101010101010106E-4</v>
      </c>
      <c r="BL170" s="18">
        <v>0</v>
      </c>
      <c r="BM170" s="18">
        <v>0</v>
      </c>
      <c r="BN170" s="18">
        <v>0</v>
      </c>
      <c r="BO170" s="18"/>
      <c r="BP170" s="18">
        <v>0</v>
      </c>
      <c r="BQ170" s="18">
        <v>0</v>
      </c>
      <c r="BR170" s="18">
        <v>1.5853656296022534</v>
      </c>
      <c r="BS170" s="18">
        <v>1.5194803047356666</v>
      </c>
      <c r="BT170" s="19"/>
      <c r="BU170" s="18">
        <v>1000</v>
      </c>
      <c r="BV170" s="18">
        <v>999.99908080808143</v>
      </c>
      <c r="BW170" s="18">
        <v>0</v>
      </c>
      <c r="BX170" s="18" t="s">
        <v>217</v>
      </c>
      <c r="BY170" s="18" t="s">
        <v>217</v>
      </c>
      <c r="BZ170" s="18" t="s">
        <v>217</v>
      </c>
      <c r="CA170" s="18" t="s">
        <v>217</v>
      </c>
      <c r="CB170" s="19"/>
      <c r="CC170" s="19">
        <v>0</v>
      </c>
      <c r="CD170" s="19">
        <v>0</v>
      </c>
      <c r="CE170" s="19">
        <v>0</v>
      </c>
      <c r="CF170" s="19">
        <v>0</v>
      </c>
      <c r="CG170" s="19">
        <v>0</v>
      </c>
      <c r="CH170" s="19">
        <v>0</v>
      </c>
      <c r="CI170" s="19">
        <v>0</v>
      </c>
      <c r="CJ170" s="19"/>
      <c r="CK170" s="19">
        <v>0</v>
      </c>
      <c r="CL170" s="19">
        <v>0</v>
      </c>
      <c r="CM170" s="19">
        <v>0</v>
      </c>
      <c r="CN170" s="19">
        <v>0</v>
      </c>
      <c r="CO170" s="19">
        <v>0</v>
      </c>
      <c r="CP170" s="19">
        <v>0</v>
      </c>
      <c r="CQ170" s="19">
        <v>0</v>
      </c>
      <c r="CR170" s="19">
        <v>0</v>
      </c>
      <c r="CS170" s="19">
        <v>0</v>
      </c>
      <c r="CT170" s="19">
        <v>0</v>
      </c>
      <c r="CU170" s="19">
        <v>0</v>
      </c>
      <c r="CV170" s="19">
        <v>0</v>
      </c>
      <c r="CW170" s="19">
        <v>0</v>
      </c>
      <c r="CX170" s="19">
        <v>0</v>
      </c>
      <c r="CY170" s="19">
        <v>0</v>
      </c>
      <c r="CZ170" s="19">
        <v>0</v>
      </c>
      <c r="DA170" s="19">
        <v>0</v>
      </c>
      <c r="DB170" s="19">
        <v>0</v>
      </c>
      <c r="DC170" s="19">
        <v>0</v>
      </c>
      <c r="DD170" s="19">
        <v>0</v>
      </c>
      <c r="DE170" s="19">
        <v>0</v>
      </c>
      <c r="DF170" s="23">
        <v>0</v>
      </c>
      <c r="DG170" s="23">
        <v>0</v>
      </c>
      <c r="DH170" s="23">
        <v>0</v>
      </c>
      <c r="DI170" s="19">
        <v>0</v>
      </c>
      <c r="DJ170" s="19">
        <v>0</v>
      </c>
      <c r="DK170" s="19">
        <v>0</v>
      </c>
      <c r="DL170" s="19">
        <v>0</v>
      </c>
      <c r="DM170" s="19">
        <v>0</v>
      </c>
      <c r="DN170" s="19">
        <v>0</v>
      </c>
      <c r="DO170" s="19">
        <v>0</v>
      </c>
      <c r="DP170" s="19">
        <v>0</v>
      </c>
      <c r="DQ170" s="19">
        <v>0</v>
      </c>
      <c r="DR170" s="19">
        <v>0</v>
      </c>
      <c r="DS170" s="19">
        <v>0</v>
      </c>
      <c r="DT170" s="19">
        <v>0</v>
      </c>
      <c r="DU170" s="19">
        <v>0</v>
      </c>
      <c r="DV170" s="19">
        <v>0</v>
      </c>
      <c r="DW170" s="17" t="s">
        <v>218</v>
      </c>
      <c r="DX170" s="22" t="s">
        <v>218</v>
      </c>
      <c r="DY170" s="22" t="s">
        <v>218</v>
      </c>
      <c r="DZ170" s="22" t="s">
        <v>218</v>
      </c>
      <c r="EA170" s="22" t="s">
        <v>218</v>
      </c>
      <c r="EB170" s="22" t="s">
        <v>218</v>
      </c>
      <c r="EC170" s="22" t="s">
        <v>218</v>
      </c>
      <c r="ED170" s="22" t="s">
        <v>218</v>
      </c>
      <c r="EE170" s="22" t="s">
        <v>218</v>
      </c>
      <c r="EF170" s="22" t="s">
        <v>218</v>
      </c>
      <c r="EG170" s="22" t="s">
        <v>218</v>
      </c>
      <c r="EH170" s="22" t="s">
        <v>218</v>
      </c>
      <c r="EI170" s="22" t="s">
        <v>218</v>
      </c>
      <c r="EJ170" s="22" t="s">
        <v>218</v>
      </c>
      <c r="EK170" s="22" t="s">
        <v>218</v>
      </c>
      <c r="EL170" s="22" t="s">
        <v>218</v>
      </c>
      <c r="EM170" s="22" t="s">
        <v>218</v>
      </c>
      <c r="EN170" s="22" t="s">
        <v>218</v>
      </c>
      <c r="EO170" s="22" t="s">
        <v>218</v>
      </c>
      <c r="EP170" s="22" t="s">
        <v>218</v>
      </c>
      <c r="EQ170" s="22" t="s">
        <v>218</v>
      </c>
      <c r="ER170" s="22" t="s">
        <v>218</v>
      </c>
      <c r="ES170" s="22" t="s">
        <v>218</v>
      </c>
      <c r="ET170" s="22" t="s">
        <v>218</v>
      </c>
      <c r="EU170" s="22" t="s">
        <v>218</v>
      </c>
      <c r="EV170" s="22" t="s">
        <v>218</v>
      </c>
      <c r="EW170" s="22" t="s">
        <v>218</v>
      </c>
      <c r="EX170" s="22" t="s">
        <v>218</v>
      </c>
      <c r="EY170" s="22" t="s">
        <v>218</v>
      </c>
      <c r="EZ170" s="22" t="s">
        <v>218</v>
      </c>
      <c r="FA170" s="22" t="s">
        <v>218</v>
      </c>
      <c r="FB170" s="22" t="s">
        <v>218</v>
      </c>
      <c r="FC170" s="22" t="s">
        <v>218</v>
      </c>
      <c r="FD170" s="22" t="s">
        <v>218</v>
      </c>
      <c r="FE170" s="22" t="s">
        <v>218</v>
      </c>
      <c r="FF170" s="22" t="s">
        <v>218</v>
      </c>
      <c r="FG170" s="22" t="s">
        <v>218</v>
      </c>
      <c r="FH170" s="22" t="s">
        <v>218</v>
      </c>
      <c r="FI170" s="22" t="s">
        <v>218</v>
      </c>
      <c r="FJ170" s="22" t="s">
        <v>218</v>
      </c>
      <c r="FK170" s="22" t="s">
        <v>218</v>
      </c>
      <c r="FL170" s="22" t="s">
        <v>218</v>
      </c>
      <c r="FM170" s="22" t="s">
        <v>218</v>
      </c>
      <c r="FN170" s="22" t="s">
        <v>218</v>
      </c>
      <c r="FO170" s="22" t="s">
        <v>218</v>
      </c>
      <c r="FP170" s="22" t="s">
        <v>218</v>
      </c>
      <c r="FQ170" s="22" t="s">
        <v>218</v>
      </c>
      <c r="FR170" s="22" t="s">
        <v>218</v>
      </c>
      <c r="FS170" s="22" t="s">
        <v>218</v>
      </c>
      <c r="FT170" s="22" t="s">
        <v>218</v>
      </c>
      <c r="FU170" s="22" t="s">
        <v>218</v>
      </c>
      <c r="FV170" s="22" t="s">
        <v>218</v>
      </c>
      <c r="FW170" s="22" t="s">
        <v>218</v>
      </c>
      <c r="FX170" s="22" t="s">
        <v>218</v>
      </c>
      <c r="FY170" s="22" t="s">
        <v>218</v>
      </c>
      <c r="FZ170" s="22" t="s">
        <v>218</v>
      </c>
      <c r="GA170" s="22" t="s">
        <v>218</v>
      </c>
      <c r="GB170" s="22" t="s">
        <v>218</v>
      </c>
      <c r="GC170" s="22" t="s">
        <v>218</v>
      </c>
      <c r="GD170" s="22" t="s">
        <v>218</v>
      </c>
      <c r="GE170" s="22" t="s">
        <v>218</v>
      </c>
      <c r="GF170" s="22" t="s">
        <v>218</v>
      </c>
      <c r="GG170" s="22" t="s">
        <v>218</v>
      </c>
      <c r="GH170" s="22" t="s">
        <v>218</v>
      </c>
      <c r="GI170" s="22" t="s">
        <v>218</v>
      </c>
      <c r="GJ170" s="22" t="s">
        <v>218</v>
      </c>
      <c r="GK170" s="22" t="s">
        <v>218</v>
      </c>
      <c r="GL170" s="22" t="s">
        <v>218</v>
      </c>
      <c r="GM170" s="22" t="s">
        <v>218</v>
      </c>
      <c r="GN170" s="22" t="s">
        <v>218</v>
      </c>
      <c r="GO170" s="22" t="s">
        <v>218</v>
      </c>
      <c r="GP170" s="22" t="s">
        <v>218</v>
      </c>
      <c r="GQ170" s="22" t="s">
        <v>218</v>
      </c>
      <c r="GR170" s="22" t="s">
        <v>218</v>
      </c>
      <c r="GS170" s="22" t="s">
        <v>218</v>
      </c>
      <c r="GT170" s="22" t="s">
        <v>218</v>
      </c>
      <c r="GU170" s="22" t="s">
        <v>218</v>
      </c>
      <c r="GV170" s="22" t="s">
        <v>218</v>
      </c>
      <c r="GW170" s="22" t="s">
        <v>218</v>
      </c>
      <c r="GX170" s="22" t="s">
        <v>218</v>
      </c>
      <c r="GY170" s="22" t="s">
        <v>218</v>
      </c>
      <c r="GZ170" s="22" t="s">
        <v>218</v>
      </c>
      <c r="HA170" s="22" t="s">
        <v>218</v>
      </c>
      <c r="HB170" s="22" t="s">
        <v>218</v>
      </c>
      <c r="HC170" s="22" t="s">
        <v>218</v>
      </c>
      <c r="HD170" s="22" t="s">
        <v>218</v>
      </c>
      <c r="HE170" s="22" t="s">
        <v>218</v>
      </c>
      <c r="HF170" s="22" t="s">
        <v>218</v>
      </c>
      <c r="HG170" s="22" t="s">
        <v>218</v>
      </c>
      <c r="HH170" s="22" t="s">
        <v>218</v>
      </c>
      <c r="HI170" s="22" t="s">
        <v>218</v>
      </c>
      <c r="HJ170" s="22" t="s">
        <v>218</v>
      </c>
      <c r="HK170" s="22" t="s">
        <v>218</v>
      </c>
      <c r="HL170" s="22" t="s">
        <v>218</v>
      </c>
      <c r="HM170" s="860"/>
      <c r="HN170" s="860"/>
      <c r="HO170" s="860"/>
      <c r="HP170" s="860"/>
      <c r="HQ170" s="860"/>
      <c r="HR170" s="860"/>
      <c r="HS170" s="860"/>
      <c r="HT170" s="145"/>
      <c r="HU170" s="145" t="s">
        <v>1809</v>
      </c>
      <c r="HV170" s="22" t="s">
        <v>1926</v>
      </c>
      <c r="HW170" s="22">
        <v>0</v>
      </c>
      <c r="HX170" s="22">
        <v>0</v>
      </c>
      <c r="HY170" s="22">
        <v>0</v>
      </c>
      <c r="HZ170" s="19"/>
      <c r="IA170" s="19"/>
      <c r="IB170" s="621">
        <f>'background data'!$G$10</f>
        <v>0.47300000000000003</v>
      </c>
      <c r="IC170" s="621">
        <f>'background data'!$H$10</f>
        <v>0.13</v>
      </c>
      <c r="ID170" s="621">
        <f>'background data'!$J$10</f>
        <v>0.39100000000000001</v>
      </c>
      <c r="IE170" s="621">
        <f>'background data'!$L$10</f>
        <v>5.5E-2</v>
      </c>
      <c r="IF170" s="621">
        <f>'background data'!$M$10</f>
        <v>3.97</v>
      </c>
      <c r="IG170" s="621">
        <f>'background data'!$N$10</f>
        <v>4.5999999999999999E-3</v>
      </c>
      <c r="IH170" s="621">
        <f>'background data'!$O$10</f>
        <v>2.73</v>
      </c>
      <c r="II170" s="145"/>
      <c r="IJ170" s="145"/>
      <c r="IK170" s="145"/>
      <c r="IL170" s="145"/>
      <c r="IM170" s="145"/>
      <c r="IN170" s="145"/>
      <c r="IO170" s="145"/>
      <c r="IP170" s="145"/>
      <c r="IQ170" s="145"/>
      <c r="IR170" s="145"/>
      <c r="IS170" s="145"/>
      <c r="IT170" s="145"/>
      <c r="IU170" s="145"/>
      <c r="IV170" s="145"/>
      <c r="IW170" s="145"/>
      <c r="IX170" s="145"/>
      <c r="IY170" s="145"/>
      <c r="IZ170" s="145"/>
      <c r="JA170" s="145"/>
      <c r="JB170" s="145"/>
      <c r="JC170" s="145"/>
      <c r="JD170" s="145"/>
      <c r="JE170" s="145"/>
      <c r="JF170" s="145"/>
      <c r="JG170" s="145"/>
      <c r="JH170" s="145"/>
      <c r="JI170" s="145"/>
      <c r="JJ170" s="145"/>
      <c r="JK170" s="145"/>
      <c r="JL170" s="145"/>
      <c r="JM170" s="145"/>
      <c r="JN170" s="145"/>
      <c r="JO170" s="145"/>
      <c r="JP170" s="145"/>
      <c r="JQ170" s="145"/>
      <c r="JR170" s="145"/>
      <c r="JS170" s="145"/>
      <c r="JT170" s="145"/>
      <c r="JU170" s="145"/>
      <c r="JV170" s="145"/>
      <c r="JW170" s="145"/>
      <c r="JX170" s="145"/>
      <c r="JY170" s="145"/>
      <c r="JZ170" s="145"/>
      <c r="KA170" s="145"/>
      <c r="KB170" s="145"/>
      <c r="KC170" s="145"/>
      <c r="KD170" s="145"/>
      <c r="KE170" s="145"/>
      <c r="KF170" s="145"/>
      <c r="KG170" s="145"/>
      <c r="KH170" s="145"/>
      <c r="KI170" s="145"/>
      <c r="KJ170" s="145"/>
      <c r="KK170" s="145"/>
      <c r="KL170" s="145"/>
      <c r="KM170" s="145"/>
      <c r="KN170" s="145"/>
      <c r="KO170" s="145"/>
      <c r="KP170" s="145"/>
      <c r="KQ170" s="145"/>
      <c r="KR170" s="145"/>
      <c r="KS170" s="145"/>
      <c r="KT170" s="145"/>
      <c r="KU170" s="145"/>
      <c r="KV170" s="145"/>
      <c r="KW170" s="145"/>
      <c r="KX170" s="145"/>
      <c r="KY170" s="145"/>
      <c r="KZ170" s="145"/>
      <c r="LA170" s="145"/>
      <c r="LB170" s="145"/>
      <c r="LC170" s="145"/>
      <c r="LD170" s="145"/>
      <c r="LE170" s="145"/>
      <c r="LF170" s="145"/>
      <c r="LG170" s="145"/>
      <c r="LH170" s="145"/>
      <c r="LI170" s="145"/>
      <c r="LJ170" s="145"/>
      <c r="LK170" s="145"/>
      <c r="LL170" s="145"/>
      <c r="LM170" s="145"/>
      <c r="LN170" s="145"/>
      <c r="LO170" s="145"/>
      <c r="LP170" s="145"/>
      <c r="LQ170" s="145"/>
      <c r="LR170" s="145"/>
      <c r="LS170" s="145"/>
      <c r="LT170" s="145"/>
      <c r="LU170" s="145"/>
      <c r="LV170" s="145"/>
      <c r="LW170" s="145"/>
      <c r="LX170" s="145"/>
      <c r="LY170" s="145"/>
      <c r="LZ170" s="145"/>
      <c r="MA170" s="145"/>
      <c r="MB170" s="145"/>
      <c r="MC170" s="145"/>
      <c r="MD170" s="145"/>
      <c r="ME170" s="145"/>
      <c r="MF170" s="145"/>
      <c r="MG170" s="145"/>
      <c r="MH170" s="145"/>
      <c r="MI170" s="145"/>
      <c r="MJ170" s="145"/>
      <c r="MK170" s="145"/>
      <c r="ML170" s="145"/>
      <c r="MM170" s="145"/>
      <c r="MN170" s="145"/>
      <c r="MO170" s="145"/>
      <c r="MP170" s="145"/>
      <c r="MQ170" s="145"/>
      <c r="MR170" s="145"/>
      <c r="MS170" s="145"/>
      <c r="MT170" s="145"/>
      <c r="MU170" s="145"/>
      <c r="MV170" s="145"/>
      <c r="MW170" s="145"/>
      <c r="MX170" s="145"/>
      <c r="MY170" s="145"/>
      <c r="MZ170" s="145"/>
      <c r="NA170" s="145"/>
      <c r="NB170" s="145"/>
      <c r="NC170" s="145"/>
      <c r="ND170" s="145"/>
      <c r="NE170" s="145"/>
      <c r="NF170" s="145"/>
      <c r="NG170" s="145"/>
      <c r="NH170" s="145"/>
      <c r="NI170" s="145"/>
      <c r="NJ170" s="145"/>
      <c r="NK170" s="145"/>
      <c r="NL170" s="145"/>
      <c r="NM170" s="145"/>
      <c r="NN170" s="145"/>
      <c r="NO170" s="145"/>
      <c r="NP170" s="145"/>
      <c r="NQ170" s="145"/>
      <c r="NR170" s="145"/>
      <c r="NS170" s="145"/>
    </row>
    <row r="171" spans="1:383" s="16" customFormat="1" ht="15" customHeight="1" x14ac:dyDescent="0.2">
      <c r="A171" s="15">
        <v>99472</v>
      </c>
      <c r="B171" s="25">
        <v>994</v>
      </c>
      <c r="C171" s="26">
        <v>72</v>
      </c>
      <c r="D171" s="20" t="s">
        <v>535</v>
      </c>
      <c r="E171" s="14">
        <v>40310</v>
      </c>
      <c r="F171" s="18">
        <v>1.2345155826558301</v>
      </c>
      <c r="G171" s="18">
        <v>1.18321103896104</v>
      </c>
      <c r="H171" s="21">
        <v>100</v>
      </c>
      <c r="I171" s="21">
        <v>100</v>
      </c>
      <c r="J171" s="21">
        <v>100</v>
      </c>
      <c r="K171" s="18">
        <v>1</v>
      </c>
      <c r="L171" s="18">
        <v>88</v>
      </c>
      <c r="M171" s="18">
        <v>72</v>
      </c>
      <c r="N171" s="18">
        <v>0.02</v>
      </c>
      <c r="O171" s="18">
        <v>0.08</v>
      </c>
      <c r="P171" s="18">
        <v>0.02</v>
      </c>
      <c r="Q171" s="19"/>
      <c r="R171" s="18">
        <v>100</v>
      </c>
      <c r="S171" s="18">
        <v>0</v>
      </c>
      <c r="T171" s="18">
        <v>0</v>
      </c>
      <c r="U171" s="18">
        <v>0</v>
      </c>
      <c r="V171" s="18">
        <v>0</v>
      </c>
      <c r="W171" s="18">
        <v>0</v>
      </c>
      <c r="X171" s="18"/>
      <c r="Y171" s="18">
        <v>0</v>
      </c>
      <c r="Z171" s="18">
        <v>0</v>
      </c>
      <c r="AA171" s="18">
        <v>0</v>
      </c>
      <c r="AB171" s="18">
        <v>0</v>
      </c>
      <c r="AC171" s="18">
        <v>0</v>
      </c>
      <c r="AD171" s="18">
        <v>0</v>
      </c>
      <c r="AE171" s="18">
        <v>0</v>
      </c>
      <c r="AF171" s="18">
        <v>0</v>
      </c>
      <c r="AG171" s="18">
        <v>0</v>
      </c>
      <c r="AH171" s="18">
        <v>0</v>
      </c>
      <c r="AI171" s="18">
        <v>0</v>
      </c>
      <c r="AJ171" s="18">
        <v>0</v>
      </c>
      <c r="AK171" s="18">
        <v>0</v>
      </c>
      <c r="AL171" s="18"/>
      <c r="AM171" s="18">
        <v>0</v>
      </c>
      <c r="AN171" s="18">
        <v>100</v>
      </c>
      <c r="AO171" s="18">
        <v>0</v>
      </c>
      <c r="AP171" s="18">
        <v>0</v>
      </c>
      <c r="AQ171" s="18">
        <v>0</v>
      </c>
      <c r="AR171" s="18">
        <v>0</v>
      </c>
      <c r="AS171" s="18">
        <v>0</v>
      </c>
      <c r="AT171" s="18">
        <v>0</v>
      </c>
      <c r="AU171" s="18">
        <v>0</v>
      </c>
      <c r="AV171" s="18">
        <v>0</v>
      </c>
      <c r="AW171" s="18">
        <v>0</v>
      </c>
      <c r="AX171" s="18"/>
      <c r="AY171" s="18">
        <v>1</v>
      </c>
      <c r="AZ171" s="18">
        <v>1</v>
      </c>
      <c r="BA171" s="18">
        <v>1</v>
      </c>
      <c r="BB171" s="18">
        <v>1</v>
      </c>
      <c r="BC171" s="18">
        <v>1</v>
      </c>
      <c r="BD171" s="18">
        <v>1</v>
      </c>
      <c r="BE171" s="18">
        <v>1</v>
      </c>
      <c r="BF171" s="18">
        <v>1</v>
      </c>
      <c r="BG171" s="18">
        <v>1</v>
      </c>
      <c r="BH171" s="18">
        <v>1</v>
      </c>
      <c r="BI171" s="18">
        <v>1</v>
      </c>
      <c r="BJ171" s="19"/>
      <c r="BK171" s="18">
        <v>81.818181818181813</v>
      </c>
      <c r="BL171" s="18">
        <v>2.2727272727272728E-2</v>
      </c>
      <c r="BM171" s="18">
        <v>9.0909090909090912E-2</v>
      </c>
      <c r="BN171" s="18">
        <v>2.2727272727272728E-2</v>
      </c>
      <c r="BO171" s="18"/>
      <c r="BP171" s="18">
        <v>0</v>
      </c>
      <c r="BQ171" s="18">
        <v>0</v>
      </c>
      <c r="BR171" s="18">
        <v>1.4028586166543524</v>
      </c>
      <c r="BS171" s="18">
        <v>1.3445579988193637</v>
      </c>
      <c r="BT171" s="19"/>
      <c r="BU171" s="18">
        <v>999.09090909090912</v>
      </c>
      <c r="BV171" s="18">
        <v>254.32500000000002</v>
      </c>
      <c r="BW171" s="18">
        <v>0</v>
      </c>
      <c r="BX171" s="18" t="s">
        <v>217</v>
      </c>
      <c r="BY171" s="18" t="s">
        <v>217</v>
      </c>
      <c r="BZ171" s="18" t="s">
        <v>217</v>
      </c>
      <c r="CA171" s="18" t="s">
        <v>217</v>
      </c>
      <c r="CB171" s="19"/>
      <c r="CC171" s="19">
        <v>0</v>
      </c>
      <c r="CD171" s="19">
        <v>0</v>
      </c>
      <c r="CE171" s="19">
        <v>0</v>
      </c>
      <c r="CF171" s="19">
        <v>0</v>
      </c>
      <c r="CG171" s="19">
        <v>0</v>
      </c>
      <c r="CH171" s="19">
        <v>0</v>
      </c>
      <c r="CI171" s="19">
        <v>0</v>
      </c>
      <c r="CJ171" s="19"/>
      <c r="CK171" s="19">
        <v>0</v>
      </c>
      <c r="CL171" s="19">
        <v>0</v>
      </c>
      <c r="CM171" s="19">
        <v>0</v>
      </c>
      <c r="CN171" s="19">
        <v>0</v>
      </c>
      <c r="CO171" s="19">
        <v>0</v>
      </c>
      <c r="CP171" s="19">
        <v>0</v>
      </c>
      <c r="CQ171" s="19">
        <v>720</v>
      </c>
      <c r="CR171" s="19">
        <v>583.2247159254598</v>
      </c>
      <c r="CS171" s="19">
        <v>0</v>
      </c>
      <c r="CT171" s="19">
        <v>583.2247159254598</v>
      </c>
      <c r="CU171" s="19">
        <v>0</v>
      </c>
      <c r="CV171" s="19">
        <v>583.2247159254598</v>
      </c>
      <c r="CW171" s="19">
        <v>0</v>
      </c>
      <c r="CX171" s="19">
        <v>0</v>
      </c>
      <c r="CY171" s="19">
        <v>0</v>
      </c>
      <c r="CZ171" s="19">
        <v>0</v>
      </c>
      <c r="DA171" s="19">
        <v>0</v>
      </c>
      <c r="DB171" s="19">
        <v>0</v>
      </c>
      <c r="DC171" s="19">
        <v>0</v>
      </c>
      <c r="DD171" s="19">
        <v>0</v>
      </c>
      <c r="DE171" s="19">
        <v>0</v>
      </c>
      <c r="DF171" s="23">
        <v>0</v>
      </c>
      <c r="DG171" s="23">
        <v>0</v>
      </c>
      <c r="DH171" s="23">
        <v>0</v>
      </c>
      <c r="DI171" s="19">
        <v>0</v>
      </c>
      <c r="DJ171" s="19">
        <v>0</v>
      </c>
      <c r="DK171" s="19">
        <v>0</v>
      </c>
      <c r="DL171" s="19">
        <v>0</v>
      </c>
      <c r="DM171" s="19">
        <v>0</v>
      </c>
      <c r="DN171" s="19">
        <v>0</v>
      </c>
      <c r="DO171" s="19">
        <v>0</v>
      </c>
      <c r="DP171" s="19">
        <v>0</v>
      </c>
      <c r="DQ171" s="19">
        <v>0</v>
      </c>
      <c r="DR171" s="19">
        <v>0</v>
      </c>
      <c r="DS171" s="19">
        <v>0</v>
      </c>
      <c r="DT171" s="19">
        <v>0</v>
      </c>
      <c r="DU171" s="19">
        <v>0</v>
      </c>
      <c r="DV171" s="19">
        <v>0</v>
      </c>
      <c r="DW171" s="17" t="s">
        <v>218</v>
      </c>
      <c r="DX171" s="22" t="s">
        <v>218</v>
      </c>
      <c r="DY171" s="22" t="s">
        <v>218</v>
      </c>
      <c r="DZ171" s="22" t="s">
        <v>218</v>
      </c>
      <c r="EA171" s="22" t="s">
        <v>218</v>
      </c>
      <c r="EB171" s="22" t="s">
        <v>218</v>
      </c>
      <c r="EC171" s="22" t="s">
        <v>218</v>
      </c>
      <c r="ED171" s="22" t="s">
        <v>218</v>
      </c>
      <c r="EE171" s="22" t="s">
        <v>218</v>
      </c>
      <c r="EF171" s="22" t="s">
        <v>218</v>
      </c>
      <c r="EG171" s="22" t="s">
        <v>218</v>
      </c>
      <c r="EH171" s="22" t="s">
        <v>218</v>
      </c>
      <c r="EI171" s="22" t="s">
        <v>218</v>
      </c>
      <c r="EJ171" s="22" t="s">
        <v>218</v>
      </c>
      <c r="EK171" s="22" t="s">
        <v>218</v>
      </c>
      <c r="EL171" s="22" t="s">
        <v>218</v>
      </c>
      <c r="EM171" s="22" t="s">
        <v>218</v>
      </c>
      <c r="EN171" s="22" t="s">
        <v>218</v>
      </c>
      <c r="EO171" s="22" t="s">
        <v>218</v>
      </c>
      <c r="EP171" s="22" t="s">
        <v>218</v>
      </c>
      <c r="EQ171" s="22" t="s">
        <v>218</v>
      </c>
      <c r="ER171" s="22" t="s">
        <v>218</v>
      </c>
      <c r="ES171" s="22" t="s">
        <v>218</v>
      </c>
      <c r="ET171" s="22" t="s">
        <v>218</v>
      </c>
      <c r="EU171" s="22" t="s">
        <v>218</v>
      </c>
      <c r="EV171" s="22" t="s">
        <v>218</v>
      </c>
      <c r="EW171" s="22" t="s">
        <v>218</v>
      </c>
      <c r="EX171" s="22" t="s">
        <v>218</v>
      </c>
      <c r="EY171" s="22" t="s">
        <v>218</v>
      </c>
      <c r="EZ171" s="22" t="s">
        <v>218</v>
      </c>
      <c r="FA171" s="22" t="s">
        <v>218</v>
      </c>
      <c r="FB171" s="22" t="s">
        <v>218</v>
      </c>
      <c r="FC171" s="22" t="s">
        <v>218</v>
      </c>
      <c r="FD171" s="22" t="s">
        <v>218</v>
      </c>
      <c r="FE171" s="22" t="s">
        <v>218</v>
      </c>
      <c r="FF171" s="22" t="s">
        <v>218</v>
      </c>
      <c r="FG171" s="22" t="s">
        <v>218</v>
      </c>
      <c r="FH171" s="22" t="s">
        <v>218</v>
      </c>
      <c r="FI171" s="22" t="s">
        <v>218</v>
      </c>
      <c r="FJ171" s="22" t="s">
        <v>218</v>
      </c>
      <c r="FK171" s="22" t="s">
        <v>218</v>
      </c>
      <c r="FL171" s="22" t="s">
        <v>218</v>
      </c>
      <c r="FM171" s="22" t="s">
        <v>218</v>
      </c>
      <c r="FN171" s="22" t="s">
        <v>218</v>
      </c>
      <c r="FO171" s="22" t="s">
        <v>218</v>
      </c>
      <c r="FP171" s="22" t="s">
        <v>218</v>
      </c>
      <c r="FQ171" s="22" t="s">
        <v>218</v>
      </c>
      <c r="FR171" s="22" t="s">
        <v>218</v>
      </c>
      <c r="FS171" s="22" t="s">
        <v>218</v>
      </c>
      <c r="FT171" s="22" t="s">
        <v>218</v>
      </c>
      <c r="FU171" s="22" t="s">
        <v>218</v>
      </c>
      <c r="FV171" s="22" t="s">
        <v>218</v>
      </c>
      <c r="FW171" s="22" t="s">
        <v>218</v>
      </c>
      <c r="FX171" s="22" t="s">
        <v>218</v>
      </c>
      <c r="FY171" s="22" t="s">
        <v>218</v>
      </c>
      <c r="FZ171" s="22" t="s">
        <v>218</v>
      </c>
      <c r="GA171" s="22" t="s">
        <v>218</v>
      </c>
      <c r="GB171" s="22" t="s">
        <v>218</v>
      </c>
      <c r="GC171" s="22" t="s">
        <v>218</v>
      </c>
      <c r="GD171" s="22" t="s">
        <v>218</v>
      </c>
      <c r="GE171" s="22" t="s">
        <v>218</v>
      </c>
      <c r="GF171" s="22" t="s">
        <v>218</v>
      </c>
      <c r="GG171" s="22" t="s">
        <v>218</v>
      </c>
      <c r="GH171" s="22" t="s">
        <v>218</v>
      </c>
      <c r="GI171" s="22" t="s">
        <v>218</v>
      </c>
      <c r="GJ171" s="22" t="s">
        <v>218</v>
      </c>
      <c r="GK171" s="22" t="s">
        <v>218</v>
      </c>
      <c r="GL171" s="22" t="s">
        <v>218</v>
      </c>
      <c r="GM171" s="22" t="s">
        <v>218</v>
      </c>
      <c r="GN171" s="22" t="s">
        <v>218</v>
      </c>
      <c r="GO171" s="22" t="s">
        <v>218</v>
      </c>
      <c r="GP171" s="22" t="s">
        <v>218</v>
      </c>
      <c r="GQ171" s="22" t="s">
        <v>218</v>
      </c>
      <c r="GR171" s="22" t="s">
        <v>218</v>
      </c>
      <c r="GS171" s="22" t="s">
        <v>218</v>
      </c>
      <c r="GT171" s="22" t="s">
        <v>218</v>
      </c>
      <c r="GU171" s="22" t="s">
        <v>218</v>
      </c>
      <c r="GV171" s="22" t="s">
        <v>218</v>
      </c>
      <c r="GW171" s="22" t="s">
        <v>218</v>
      </c>
      <c r="GX171" s="22" t="s">
        <v>218</v>
      </c>
      <c r="GY171" s="22" t="s">
        <v>218</v>
      </c>
      <c r="GZ171" s="22" t="s">
        <v>218</v>
      </c>
      <c r="HA171" s="22" t="s">
        <v>218</v>
      </c>
      <c r="HB171" s="22" t="s">
        <v>218</v>
      </c>
      <c r="HC171" s="22" t="s">
        <v>218</v>
      </c>
      <c r="HD171" s="22" t="s">
        <v>218</v>
      </c>
      <c r="HE171" s="22" t="s">
        <v>218</v>
      </c>
      <c r="HF171" s="22" t="s">
        <v>218</v>
      </c>
      <c r="HG171" s="22" t="s">
        <v>218</v>
      </c>
      <c r="HH171" s="22" t="s">
        <v>218</v>
      </c>
      <c r="HI171" s="22" t="s">
        <v>218</v>
      </c>
      <c r="HJ171" s="22" t="s">
        <v>218</v>
      </c>
      <c r="HK171" s="22" t="s">
        <v>218</v>
      </c>
      <c r="HL171" s="22" t="s">
        <v>218</v>
      </c>
      <c r="HM171" s="860"/>
      <c r="HN171" s="860"/>
      <c r="HO171" s="860"/>
      <c r="HP171" s="860"/>
      <c r="HQ171" s="860"/>
      <c r="HR171" s="860"/>
      <c r="HS171" s="860"/>
      <c r="HT171" s="145"/>
      <c r="HU171" s="145" t="s">
        <v>1809</v>
      </c>
      <c r="HV171" s="22" t="s">
        <v>1926</v>
      </c>
      <c r="HW171" s="22" t="s">
        <v>218</v>
      </c>
      <c r="HX171" s="22" t="s">
        <v>218</v>
      </c>
      <c r="HY171" s="22" t="s">
        <v>218</v>
      </c>
      <c r="HZ171" s="19"/>
      <c r="IA171" s="19"/>
      <c r="IB171" s="621">
        <f>'background data'!$G$10</f>
        <v>0.47300000000000003</v>
      </c>
      <c r="IC171" s="621">
        <f>'background data'!$H$10</f>
        <v>0.13</v>
      </c>
      <c r="ID171" s="621">
        <f>'background data'!$J$10</f>
        <v>0.39100000000000001</v>
      </c>
      <c r="IE171" s="621">
        <f>'background data'!$L$10</f>
        <v>5.5E-2</v>
      </c>
      <c r="IF171" s="621">
        <f>'background data'!$M$10</f>
        <v>3.97</v>
      </c>
      <c r="IG171" s="621">
        <f>'background data'!$N$10</f>
        <v>4.5999999999999999E-3</v>
      </c>
      <c r="IH171" s="621">
        <f>'background data'!$O$10</f>
        <v>2.73</v>
      </c>
      <c r="II171" s="145"/>
      <c r="IJ171" s="145"/>
      <c r="IK171" s="145"/>
      <c r="IL171" s="145"/>
      <c r="IM171" s="145"/>
      <c r="IN171" s="145"/>
      <c r="IO171" s="145"/>
      <c r="IP171" s="145"/>
      <c r="IQ171" s="145"/>
      <c r="IR171" s="145"/>
      <c r="IS171" s="145"/>
      <c r="IT171" s="145"/>
      <c r="IU171" s="145"/>
      <c r="IV171" s="145"/>
      <c r="IW171" s="145"/>
      <c r="IX171" s="145"/>
      <c r="IY171" s="145"/>
      <c r="IZ171" s="145"/>
      <c r="JA171" s="145"/>
      <c r="JB171" s="145"/>
      <c r="JC171" s="145"/>
      <c r="JD171" s="145"/>
      <c r="JE171" s="145"/>
      <c r="JF171" s="145"/>
      <c r="JG171" s="145"/>
      <c r="JH171" s="145"/>
      <c r="JI171" s="145"/>
      <c r="JJ171" s="145"/>
      <c r="JK171" s="145"/>
      <c r="JL171" s="145"/>
      <c r="JM171" s="145"/>
      <c r="JN171" s="145"/>
      <c r="JO171" s="145"/>
      <c r="JP171" s="145"/>
      <c r="JQ171" s="145"/>
      <c r="JR171" s="145"/>
      <c r="JS171" s="145"/>
      <c r="JT171" s="145"/>
      <c r="JU171" s="145"/>
      <c r="JV171" s="145"/>
      <c r="JW171" s="145"/>
      <c r="JX171" s="145"/>
      <c r="JY171" s="145"/>
      <c r="JZ171" s="145"/>
      <c r="KA171" s="145"/>
      <c r="KB171" s="145"/>
      <c r="KC171" s="145"/>
      <c r="KD171" s="145"/>
      <c r="KE171" s="145"/>
      <c r="KF171" s="145"/>
      <c r="KG171" s="145"/>
      <c r="KH171" s="145"/>
      <c r="KI171" s="145"/>
      <c r="KJ171" s="145"/>
      <c r="KK171" s="145"/>
      <c r="KL171" s="145"/>
      <c r="KM171" s="145"/>
      <c r="KN171" s="145"/>
      <c r="KO171" s="145"/>
      <c r="KP171" s="145"/>
      <c r="KQ171" s="145"/>
      <c r="KR171" s="145"/>
      <c r="KS171" s="145"/>
      <c r="KT171" s="145"/>
      <c r="KU171" s="145"/>
      <c r="KV171" s="145"/>
      <c r="KW171" s="145"/>
      <c r="KX171" s="145"/>
      <c r="KY171" s="145"/>
      <c r="KZ171" s="145"/>
      <c r="LA171" s="145"/>
      <c r="LB171" s="145"/>
      <c r="LC171" s="145"/>
      <c r="LD171" s="145"/>
      <c r="LE171" s="145"/>
      <c r="LF171" s="145"/>
      <c r="LG171" s="145"/>
      <c r="LH171" s="145"/>
      <c r="LI171" s="145"/>
      <c r="LJ171" s="145"/>
      <c r="LK171" s="145"/>
      <c r="LL171" s="145"/>
      <c r="LM171" s="145"/>
      <c r="LN171" s="145"/>
      <c r="LO171" s="145"/>
      <c r="LP171" s="145"/>
      <c r="LQ171" s="145"/>
      <c r="LR171" s="145"/>
      <c r="LS171" s="145"/>
      <c r="LT171" s="145"/>
      <c r="LU171" s="145"/>
      <c r="LV171" s="145"/>
      <c r="LW171" s="145"/>
      <c r="LX171" s="145"/>
      <c r="LY171" s="145"/>
      <c r="LZ171" s="145"/>
      <c r="MA171" s="145"/>
      <c r="MB171" s="145"/>
      <c r="MC171" s="145"/>
      <c r="MD171" s="145"/>
      <c r="ME171" s="145"/>
      <c r="MF171" s="145"/>
      <c r="MG171" s="145"/>
      <c r="MH171" s="145"/>
      <c r="MI171" s="145"/>
      <c r="MJ171" s="145"/>
      <c r="MK171" s="145"/>
      <c r="ML171" s="145"/>
      <c r="MM171" s="145"/>
      <c r="MN171" s="145"/>
      <c r="MO171" s="145"/>
      <c r="MP171" s="145"/>
      <c r="MQ171" s="145"/>
      <c r="MR171" s="145"/>
      <c r="MS171" s="145"/>
      <c r="MT171" s="145"/>
      <c r="MU171" s="145"/>
      <c r="MV171" s="145"/>
      <c r="MW171" s="145"/>
      <c r="MX171" s="145"/>
      <c r="MY171" s="145"/>
      <c r="MZ171" s="145"/>
      <c r="NA171" s="145"/>
      <c r="NB171" s="145"/>
      <c r="NC171" s="145"/>
      <c r="ND171" s="145"/>
      <c r="NE171" s="145"/>
      <c r="NF171" s="145"/>
      <c r="NG171" s="145"/>
      <c r="NH171" s="145"/>
      <c r="NI171" s="145"/>
      <c r="NJ171" s="145"/>
      <c r="NK171" s="145"/>
      <c r="NL171" s="145"/>
      <c r="NM171" s="145"/>
      <c r="NN171" s="145"/>
      <c r="NO171" s="145"/>
      <c r="NP171" s="145"/>
      <c r="NQ171" s="145"/>
      <c r="NR171" s="145"/>
      <c r="NS171" s="145"/>
    </row>
    <row r="172" spans="1:383" s="16" customFormat="1" ht="15" customHeight="1" x14ac:dyDescent="0.2">
      <c r="A172" s="15">
        <v>76000</v>
      </c>
      <c r="B172" s="25">
        <v>760</v>
      </c>
      <c r="C172" s="26">
        <v>0</v>
      </c>
      <c r="D172" s="20" t="s">
        <v>536</v>
      </c>
      <c r="E172" s="14">
        <v>41556</v>
      </c>
      <c r="F172" s="18" t="s">
        <v>217</v>
      </c>
      <c r="G172" s="18" t="s">
        <v>217</v>
      </c>
      <c r="H172" s="21" t="s">
        <v>217</v>
      </c>
      <c r="I172" s="21" t="s">
        <v>217</v>
      </c>
      <c r="J172" s="21">
        <v>91</v>
      </c>
      <c r="K172" s="18">
        <v>1</v>
      </c>
      <c r="L172" s="18">
        <v>95</v>
      </c>
      <c r="M172" s="18" t="s">
        <v>217</v>
      </c>
      <c r="N172" s="18" t="s">
        <v>217</v>
      </c>
      <c r="O172" s="18" t="s">
        <v>217</v>
      </c>
      <c r="P172" s="18" t="s">
        <v>217</v>
      </c>
      <c r="Q172" s="19"/>
      <c r="R172" s="18" t="s">
        <v>217</v>
      </c>
      <c r="S172" s="18" t="s">
        <v>217</v>
      </c>
      <c r="T172" s="18" t="s">
        <v>217</v>
      </c>
      <c r="U172" s="18" t="s">
        <v>217</v>
      </c>
      <c r="V172" s="18" t="s">
        <v>217</v>
      </c>
      <c r="W172" s="18" t="s">
        <v>217</v>
      </c>
      <c r="X172" s="18"/>
      <c r="Y172" s="18" t="s">
        <v>217</v>
      </c>
      <c r="Z172" s="18" t="s">
        <v>217</v>
      </c>
      <c r="AA172" s="18" t="s">
        <v>217</v>
      </c>
      <c r="AB172" s="18" t="s">
        <v>217</v>
      </c>
      <c r="AC172" s="18" t="s">
        <v>217</v>
      </c>
      <c r="AD172" s="18" t="s">
        <v>217</v>
      </c>
      <c r="AE172" s="18" t="s">
        <v>217</v>
      </c>
      <c r="AF172" s="18" t="s">
        <v>217</v>
      </c>
      <c r="AG172" s="18" t="s">
        <v>217</v>
      </c>
      <c r="AH172" s="18" t="s">
        <v>217</v>
      </c>
      <c r="AI172" s="18" t="s">
        <v>217</v>
      </c>
      <c r="AJ172" s="18" t="s">
        <v>217</v>
      </c>
      <c r="AK172" s="18" t="s">
        <v>217</v>
      </c>
      <c r="AL172" s="18"/>
      <c r="AM172" s="18" t="s">
        <v>217</v>
      </c>
      <c r="AN172" s="18" t="s">
        <v>217</v>
      </c>
      <c r="AO172" s="18" t="s">
        <v>217</v>
      </c>
      <c r="AP172" s="18" t="s">
        <v>217</v>
      </c>
      <c r="AQ172" s="18" t="s">
        <v>217</v>
      </c>
      <c r="AR172" s="18" t="s">
        <v>217</v>
      </c>
      <c r="AS172" s="18" t="s">
        <v>217</v>
      </c>
      <c r="AT172" s="18" t="s">
        <v>217</v>
      </c>
      <c r="AU172" s="18" t="s">
        <v>217</v>
      </c>
      <c r="AV172" s="18" t="s">
        <v>217</v>
      </c>
      <c r="AW172" s="18" t="s">
        <v>217</v>
      </c>
      <c r="AX172" s="18"/>
      <c r="AY172" s="18">
        <v>1</v>
      </c>
      <c r="AZ172" s="18">
        <v>1</v>
      </c>
      <c r="BA172" s="18">
        <v>1</v>
      </c>
      <c r="BB172" s="18">
        <v>1</v>
      </c>
      <c r="BC172" s="18">
        <v>1</v>
      </c>
      <c r="BD172" s="18">
        <v>1</v>
      </c>
      <c r="BE172" s="18">
        <v>1</v>
      </c>
      <c r="BF172" s="18">
        <v>1</v>
      </c>
      <c r="BG172" s="18">
        <v>1</v>
      </c>
      <c r="BH172" s="18">
        <v>1</v>
      </c>
      <c r="BI172" s="18">
        <v>1</v>
      </c>
      <c r="BJ172" s="19"/>
      <c r="BK172" s="18" t="s">
        <v>217</v>
      </c>
      <c r="BL172" s="18" t="s">
        <v>217</v>
      </c>
      <c r="BM172" s="18" t="s">
        <v>217</v>
      </c>
      <c r="BN172" s="18" t="s">
        <v>217</v>
      </c>
      <c r="BO172" s="18"/>
      <c r="BP172" s="18" t="s">
        <v>217</v>
      </c>
      <c r="BQ172" s="18" t="s">
        <v>217</v>
      </c>
      <c r="BR172" s="18" t="s">
        <v>217</v>
      </c>
      <c r="BS172" s="18" t="s">
        <v>217</v>
      </c>
      <c r="BT172" s="19"/>
      <c r="BU172" s="18" t="s">
        <v>217</v>
      </c>
      <c r="BV172" s="18" t="s">
        <v>217</v>
      </c>
      <c r="BW172" s="18" t="s">
        <v>217</v>
      </c>
      <c r="BX172" s="18" t="s">
        <v>217</v>
      </c>
      <c r="BY172" s="18" t="s">
        <v>217</v>
      </c>
      <c r="BZ172" s="18" t="s">
        <v>217</v>
      </c>
      <c r="CA172" s="18" t="s">
        <v>217</v>
      </c>
      <c r="CB172" s="19"/>
      <c r="CC172" s="19" t="s">
        <v>217</v>
      </c>
      <c r="CD172" s="19" t="s">
        <v>217</v>
      </c>
      <c r="CE172" s="19" t="s">
        <v>217</v>
      </c>
      <c r="CF172" s="19" t="s">
        <v>217</v>
      </c>
      <c r="CG172" s="19" t="s">
        <v>217</v>
      </c>
      <c r="CH172" s="19" t="s">
        <v>217</v>
      </c>
      <c r="CI172" s="19" t="s">
        <v>217</v>
      </c>
      <c r="CJ172" s="19"/>
      <c r="CK172" s="19" t="s">
        <v>217</v>
      </c>
      <c r="CL172" s="19" t="s">
        <v>217</v>
      </c>
      <c r="CM172" s="19" t="s">
        <v>217</v>
      </c>
      <c r="CN172" s="19" t="s">
        <v>217</v>
      </c>
      <c r="CO172" s="19" t="s">
        <v>217</v>
      </c>
      <c r="CP172" s="19" t="s">
        <v>217</v>
      </c>
      <c r="CQ172" s="19" t="s">
        <v>217</v>
      </c>
      <c r="CR172" s="19" t="s">
        <v>217</v>
      </c>
      <c r="CS172" s="19" t="s">
        <v>217</v>
      </c>
      <c r="CT172" s="19" t="s">
        <v>217</v>
      </c>
      <c r="CU172" s="19" t="s">
        <v>217</v>
      </c>
      <c r="CV172" s="19" t="s">
        <v>217</v>
      </c>
      <c r="CW172" s="19" t="s">
        <v>217</v>
      </c>
      <c r="CX172" s="19" t="s">
        <v>217</v>
      </c>
      <c r="CY172" s="19" t="s">
        <v>217</v>
      </c>
      <c r="CZ172" s="19" t="s">
        <v>217</v>
      </c>
      <c r="DA172" s="19" t="s">
        <v>217</v>
      </c>
      <c r="DB172" s="19" t="s">
        <v>217</v>
      </c>
      <c r="DC172" s="19" t="s">
        <v>217</v>
      </c>
      <c r="DD172" s="19" t="s">
        <v>217</v>
      </c>
      <c r="DE172" s="19" t="s">
        <v>217</v>
      </c>
      <c r="DF172" s="23" t="s">
        <v>217</v>
      </c>
      <c r="DG172" s="23">
        <v>0</v>
      </c>
      <c r="DH172" s="23">
        <v>0</v>
      </c>
      <c r="DI172" s="19" t="s">
        <v>217</v>
      </c>
      <c r="DJ172" s="19" t="s">
        <v>217</v>
      </c>
      <c r="DK172" s="19" t="s">
        <v>217</v>
      </c>
      <c r="DL172" s="19" t="s">
        <v>217</v>
      </c>
      <c r="DM172" s="19" t="s">
        <v>217</v>
      </c>
      <c r="DN172" s="19" t="s">
        <v>217</v>
      </c>
      <c r="DO172" s="19" t="s">
        <v>217</v>
      </c>
      <c r="DP172" s="19" t="s">
        <v>217</v>
      </c>
      <c r="DQ172" s="19" t="s">
        <v>217</v>
      </c>
      <c r="DR172" s="19" t="s">
        <v>217</v>
      </c>
      <c r="DS172" s="19" t="s">
        <v>217</v>
      </c>
      <c r="DT172" s="19" t="s">
        <v>217</v>
      </c>
      <c r="DU172" s="19" t="s">
        <v>217</v>
      </c>
      <c r="DV172" s="19" t="s">
        <v>217</v>
      </c>
      <c r="DW172" s="17" t="s">
        <v>537</v>
      </c>
      <c r="DX172" s="22" t="s">
        <v>218</v>
      </c>
      <c r="DY172" s="22" t="s">
        <v>218</v>
      </c>
      <c r="DZ172" s="22" t="s">
        <v>218</v>
      </c>
      <c r="EA172" s="22" t="s">
        <v>218</v>
      </c>
      <c r="EB172" s="22" t="s">
        <v>218</v>
      </c>
      <c r="EC172" s="22" t="s">
        <v>218</v>
      </c>
      <c r="ED172" s="22" t="s">
        <v>218</v>
      </c>
      <c r="EE172" s="22" t="s">
        <v>218</v>
      </c>
      <c r="EF172" s="22" t="s">
        <v>218</v>
      </c>
      <c r="EG172" s="22" t="s">
        <v>218</v>
      </c>
      <c r="EH172" s="22" t="s">
        <v>218</v>
      </c>
      <c r="EI172" s="22" t="s">
        <v>218</v>
      </c>
      <c r="EJ172" s="22" t="s">
        <v>218</v>
      </c>
      <c r="EK172" s="22" t="s">
        <v>218</v>
      </c>
      <c r="EL172" s="22" t="s">
        <v>218</v>
      </c>
      <c r="EM172" s="22" t="s">
        <v>218</v>
      </c>
      <c r="EN172" s="22" t="s">
        <v>218</v>
      </c>
      <c r="EO172" s="22" t="s">
        <v>218</v>
      </c>
      <c r="EP172" s="22" t="s">
        <v>218</v>
      </c>
      <c r="EQ172" s="22" t="s">
        <v>218</v>
      </c>
      <c r="ER172" s="22" t="s">
        <v>218</v>
      </c>
      <c r="ES172" s="22" t="s">
        <v>218</v>
      </c>
      <c r="ET172" s="22" t="s">
        <v>218</v>
      </c>
      <c r="EU172" s="22" t="s">
        <v>218</v>
      </c>
      <c r="EV172" s="22" t="s">
        <v>218</v>
      </c>
      <c r="EW172" s="22" t="s">
        <v>218</v>
      </c>
      <c r="EX172" s="22" t="s">
        <v>218</v>
      </c>
      <c r="EY172" s="22" t="s">
        <v>218</v>
      </c>
      <c r="EZ172" s="22" t="s">
        <v>218</v>
      </c>
      <c r="FA172" s="22" t="s">
        <v>218</v>
      </c>
      <c r="FB172" s="22" t="s">
        <v>218</v>
      </c>
      <c r="FC172" s="22" t="s">
        <v>218</v>
      </c>
      <c r="FD172" s="22" t="s">
        <v>218</v>
      </c>
      <c r="FE172" s="22" t="s">
        <v>218</v>
      </c>
      <c r="FF172" s="22" t="s">
        <v>218</v>
      </c>
      <c r="FG172" s="22" t="s">
        <v>218</v>
      </c>
      <c r="FH172" s="22" t="s">
        <v>218</v>
      </c>
      <c r="FI172" s="22" t="s">
        <v>218</v>
      </c>
      <c r="FJ172" s="22" t="s">
        <v>218</v>
      </c>
      <c r="FK172" s="22" t="s">
        <v>218</v>
      </c>
      <c r="FL172" s="22" t="s">
        <v>218</v>
      </c>
      <c r="FM172" s="22" t="s">
        <v>218</v>
      </c>
      <c r="FN172" s="22" t="s">
        <v>218</v>
      </c>
      <c r="FO172" s="22" t="s">
        <v>218</v>
      </c>
      <c r="FP172" s="22" t="s">
        <v>218</v>
      </c>
      <c r="FQ172" s="22" t="s">
        <v>218</v>
      </c>
      <c r="FR172" s="22" t="s">
        <v>218</v>
      </c>
      <c r="FS172" s="22" t="s">
        <v>218</v>
      </c>
      <c r="FT172" s="22" t="s">
        <v>218</v>
      </c>
      <c r="FU172" s="22" t="s">
        <v>218</v>
      </c>
      <c r="FV172" s="22" t="s">
        <v>218</v>
      </c>
      <c r="FW172" s="22" t="s">
        <v>218</v>
      </c>
      <c r="FX172" s="22" t="s">
        <v>218</v>
      </c>
      <c r="FY172" s="22" t="s">
        <v>218</v>
      </c>
      <c r="FZ172" s="22" t="s">
        <v>218</v>
      </c>
      <c r="GA172" s="22" t="s">
        <v>218</v>
      </c>
      <c r="GB172" s="22" t="s">
        <v>218</v>
      </c>
      <c r="GC172" s="22" t="s">
        <v>218</v>
      </c>
      <c r="GD172" s="22" t="s">
        <v>218</v>
      </c>
      <c r="GE172" s="22" t="s">
        <v>218</v>
      </c>
      <c r="GF172" s="22" t="s">
        <v>218</v>
      </c>
      <c r="GG172" s="22" t="s">
        <v>218</v>
      </c>
      <c r="GH172" s="22" t="s">
        <v>218</v>
      </c>
      <c r="GI172" s="22" t="s">
        <v>218</v>
      </c>
      <c r="GJ172" s="22" t="s">
        <v>218</v>
      </c>
      <c r="GK172" s="22" t="s">
        <v>218</v>
      </c>
      <c r="GL172" s="22" t="s">
        <v>218</v>
      </c>
      <c r="GM172" s="22" t="s">
        <v>218</v>
      </c>
      <c r="GN172" s="22" t="s">
        <v>218</v>
      </c>
      <c r="GO172" s="22" t="s">
        <v>218</v>
      </c>
      <c r="GP172" s="22" t="s">
        <v>218</v>
      </c>
      <c r="GQ172" s="22" t="s">
        <v>218</v>
      </c>
      <c r="GR172" s="22" t="s">
        <v>218</v>
      </c>
      <c r="GS172" s="22" t="s">
        <v>218</v>
      </c>
      <c r="GT172" s="22" t="s">
        <v>218</v>
      </c>
      <c r="GU172" s="22" t="s">
        <v>218</v>
      </c>
      <c r="GV172" s="22" t="s">
        <v>218</v>
      </c>
      <c r="GW172" s="22" t="s">
        <v>218</v>
      </c>
      <c r="GX172" s="22" t="s">
        <v>218</v>
      </c>
      <c r="GY172" s="22" t="s">
        <v>218</v>
      </c>
      <c r="GZ172" s="22" t="s">
        <v>218</v>
      </c>
      <c r="HA172" s="22" t="s">
        <v>218</v>
      </c>
      <c r="HB172" s="22" t="s">
        <v>218</v>
      </c>
      <c r="HC172" s="22" t="s">
        <v>218</v>
      </c>
      <c r="HD172" s="22" t="s">
        <v>218</v>
      </c>
      <c r="HE172" s="22" t="s">
        <v>218</v>
      </c>
      <c r="HF172" s="22" t="s">
        <v>218</v>
      </c>
      <c r="HG172" s="22" t="s">
        <v>218</v>
      </c>
      <c r="HH172" s="22" t="s">
        <v>218</v>
      </c>
      <c r="HI172" s="22" t="s">
        <v>218</v>
      </c>
      <c r="HJ172" s="22" t="s">
        <v>218</v>
      </c>
      <c r="HK172" s="22" t="s">
        <v>218</v>
      </c>
      <c r="HL172" s="22" t="s">
        <v>218</v>
      </c>
      <c r="HM172" s="860"/>
      <c r="HN172" s="860"/>
      <c r="HO172" s="860"/>
      <c r="HP172" s="860"/>
      <c r="HQ172" s="860"/>
      <c r="HR172" s="860"/>
      <c r="HS172" s="860"/>
      <c r="HT172" s="145"/>
      <c r="HU172" s="145" t="s">
        <v>1809</v>
      </c>
      <c r="HV172" s="22" t="s">
        <v>1966</v>
      </c>
      <c r="HW172" s="22" t="s">
        <v>538</v>
      </c>
      <c r="HX172" s="22">
        <v>0</v>
      </c>
      <c r="HY172" s="22">
        <v>0</v>
      </c>
      <c r="HZ172" s="19"/>
      <c r="IA172" s="19"/>
      <c r="IB172" s="621">
        <f>'background data'!$G$10</f>
        <v>0.47300000000000003</v>
      </c>
      <c r="IC172" s="621">
        <f>'background data'!$H$10</f>
        <v>0.13</v>
      </c>
      <c r="ID172" s="621">
        <f>'background data'!$J$10</f>
        <v>0.39100000000000001</v>
      </c>
      <c r="IE172" s="621">
        <f>'background data'!$L$10</f>
        <v>5.5E-2</v>
      </c>
      <c r="IF172" s="621">
        <f>'background data'!$M$10</f>
        <v>3.97</v>
      </c>
      <c r="IG172" s="621">
        <f>'background data'!$N$10</f>
        <v>4.5999999999999999E-3</v>
      </c>
      <c r="IH172" s="621">
        <f>'background data'!$O$10</f>
        <v>2.73</v>
      </c>
      <c r="II172" s="145"/>
      <c r="IJ172" s="145"/>
      <c r="IK172" s="145"/>
      <c r="IL172" s="145"/>
      <c r="IM172" s="145"/>
      <c r="IN172" s="145"/>
      <c r="IO172" s="145"/>
      <c r="IP172" s="145"/>
      <c r="IQ172" s="145"/>
      <c r="IR172" s="145"/>
      <c r="IS172" s="145"/>
      <c r="IT172" s="145"/>
      <c r="IU172" s="145"/>
      <c r="IV172" s="145"/>
      <c r="IW172" s="145"/>
      <c r="IX172" s="145"/>
      <c r="IY172" s="145"/>
      <c r="IZ172" s="145"/>
      <c r="JA172" s="145"/>
      <c r="JB172" s="145"/>
      <c r="JC172" s="145"/>
      <c r="JD172" s="145"/>
      <c r="JE172" s="145"/>
      <c r="JF172" s="145"/>
      <c r="JG172" s="145"/>
      <c r="JH172" s="145"/>
      <c r="JI172" s="145"/>
      <c r="JJ172" s="145"/>
      <c r="JK172" s="145"/>
      <c r="JL172" s="145"/>
      <c r="JM172" s="145"/>
      <c r="JN172" s="145"/>
      <c r="JO172" s="145"/>
      <c r="JP172" s="145"/>
      <c r="JQ172" s="145"/>
      <c r="JR172" s="145"/>
      <c r="JS172" s="145"/>
      <c r="JT172" s="145"/>
      <c r="JU172" s="145"/>
      <c r="JV172" s="145"/>
      <c r="JW172" s="145"/>
      <c r="JX172" s="145"/>
      <c r="JY172" s="145"/>
      <c r="JZ172" s="145"/>
      <c r="KA172" s="145"/>
      <c r="KB172" s="145"/>
      <c r="KC172" s="145"/>
      <c r="KD172" s="145"/>
      <c r="KE172" s="145"/>
      <c r="KF172" s="145"/>
      <c r="KG172" s="145"/>
      <c r="KH172" s="145"/>
      <c r="KI172" s="145"/>
      <c r="KJ172" s="145"/>
      <c r="KK172" s="145"/>
      <c r="KL172" s="145"/>
      <c r="KM172" s="145"/>
      <c r="KN172" s="145"/>
      <c r="KO172" s="145"/>
      <c r="KP172" s="145"/>
      <c r="KQ172" s="145"/>
      <c r="KR172" s="145"/>
      <c r="KS172" s="145"/>
      <c r="KT172" s="145"/>
      <c r="KU172" s="145"/>
      <c r="KV172" s="145"/>
      <c r="KW172" s="145"/>
      <c r="KX172" s="145"/>
      <c r="KY172" s="145"/>
      <c r="KZ172" s="145"/>
      <c r="LA172" s="145"/>
      <c r="LB172" s="145"/>
      <c r="LC172" s="145"/>
      <c r="LD172" s="145"/>
      <c r="LE172" s="145"/>
      <c r="LF172" s="145"/>
      <c r="LG172" s="145"/>
      <c r="LH172" s="145"/>
      <c r="LI172" s="145"/>
      <c r="LJ172" s="145"/>
      <c r="LK172" s="145"/>
      <c r="LL172" s="145"/>
      <c r="LM172" s="145"/>
      <c r="LN172" s="145"/>
      <c r="LO172" s="145"/>
      <c r="LP172" s="145"/>
      <c r="LQ172" s="145"/>
      <c r="LR172" s="145"/>
      <c r="LS172" s="145"/>
      <c r="LT172" s="145"/>
      <c r="LU172" s="145"/>
      <c r="LV172" s="145"/>
      <c r="LW172" s="145"/>
      <c r="LX172" s="145"/>
      <c r="LY172" s="145"/>
      <c r="LZ172" s="145"/>
      <c r="MA172" s="145"/>
      <c r="MB172" s="145"/>
      <c r="MC172" s="145"/>
      <c r="MD172" s="145"/>
      <c r="ME172" s="145"/>
      <c r="MF172" s="145"/>
      <c r="MG172" s="145"/>
      <c r="MH172" s="145"/>
      <c r="MI172" s="145"/>
      <c r="MJ172" s="145"/>
      <c r="MK172" s="145"/>
      <c r="ML172" s="145"/>
      <c r="MM172" s="145"/>
      <c r="MN172" s="145"/>
      <c r="MO172" s="145"/>
      <c r="MP172" s="145"/>
      <c r="MQ172" s="145"/>
      <c r="MR172" s="145"/>
      <c r="MS172" s="145"/>
      <c r="MT172" s="145"/>
      <c r="MU172" s="145"/>
      <c r="MV172" s="145"/>
      <c r="MW172" s="145"/>
      <c r="MX172" s="145"/>
      <c r="MY172" s="145"/>
      <c r="MZ172" s="145"/>
      <c r="NA172" s="145"/>
      <c r="NB172" s="145"/>
      <c r="NC172" s="145"/>
      <c r="ND172" s="145"/>
      <c r="NE172" s="145"/>
      <c r="NF172" s="145"/>
      <c r="NG172" s="145"/>
      <c r="NH172" s="145"/>
      <c r="NI172" s="145"/>
      <c r="NJ172" s="145"/>
      <c r="NK172" s="145"/>
      <c r="NL172" s="145"/>
      <c r="NM172" s="145"/>
      <c r="NN172" s="145"/>
      <c r="NO172" s="145"/>
      <c r="NP172" s="145"/>
      <c r="NQ172" s="145"/>
      <c r="NR172" s="145"/>
      <c r="NS172" s="145"/>
    </row>
    <row r="173" spans="1:383" s="16" customFormat="1" ht="15" customHeight="1" x14ac:dyDescent="0.2">
      <c r="A173" s="15">
        <v>94500</v>
      </c>
      <c r="B173" s="25">
        <v>945</v>
      </c>
      <c r="C173" s="26">
        <v>0</v>
      </c>
      <c r="D173" s="20" t="s">
        <v>539</v>
      </c>
      <c r="E173" s="14">
        <v>40310</v>
      </c>
      <c r="F173" s="18">
        <v>1.26829250368181</v>
      </c>
      <c r="G173" s="18">
        <v>1.21558424378854</v>
      </c>
      <c r="H173" s="21">
        <v>100</v>
      </c>
      <c r="I173" s="21">
        <v>100</v>
      </c>
      <c r="J173" s="21">
        <v>100</v>
      </c>
      <c r="K173" s="18">
        <v>1</v>
      </c>
      <c r="L173" s="18">
        <v>80</v>
      </c>
      <c r="M173" s="18">
        <v>8.0808080808080797E-5</v>
      </c>
      <c r="N173" s="18">
        <v>0</v>
      </c>
      <c r="O173" s="18">
        <v>0</v>
      </c>
      <c r="P173" s="18">
        <v>0</v>
      </c>
      <c r="Q173" s="19"/>
      <c r="R173" s="18">
        <v>0</v>
      </c>
      <c r="S173" s="18">
        <v>0</v>
      </c>
      <c r="T173" s="18">
        <v>0</v>
      </c>
      <c r="U173" s="18">
        <v>0</v>
      </c>
      <c r="V173" s="18">
        <v>0</v>
      </c>
      <c r="W173" s="18">
        <v>0</v>
      </c>
      <c r="X173" s="18"/>
      <c r="Y173" s="18">
        <v>0</v>
      </c>
      <c r="Z173" s="18">
        <v>0</v>
      </c>
      <c r="AA173" s="18">
        <v>0</v>
      </c>
      <c r="AB173" s="18">
        <v>0</v>
      </c>
      <c r="AC173" s="18">
        <v>0</v>
      </c>
      <c r="AD173" s="18">
        <v>0</v>
      </c>
      <c r="AE173" s="18">
        <v>0</v>
      </c>
      <c r="AF173" s="18">
        <v>0</v>
      </c>
      <c r="AG173" s="18">
        <v>0</v>
      </c>
      <c r="AH173" s="18">
        <v>0</v>
      </c>
      <c r="AI173" s="18">
        <v>0</v>
      </c>
      <c r="AJ173" s="18">
        <v>0</v>
      </c>
      <c r="AK173" s="18">
        <v>0</v>
      </c>
      <c r="AL173" s="18"/>
      <c r="AM173" s="18">
        <v>0</v>
      </c>
      <c r="AN173" s="18">
        <v>0</v>
      </c>
      <c r="AO173" s="18">
        <v>0</v>
      </c>
      <c r="AP173" s="18">
        <v>0</v>
      </c>
      <c r="AQ173" s="18">
        <v>0</v>
      </c>
      <c r="AR173" s="18">
        <v>0</v>
      </c>
      <c r="AS173" s="18">
        <v>0</v>
      </c>
      <c r="AT173" s="18">
        <v>0</v>
      </c>
      <c r="AU173" s="18">
        <v>0</v>
      </c>
      <c r="AV173" s="18">
        <v>0</v>
      </c>
      <c r="AW173" s="18">
        <v>0</v>
      </c>
      <c r="AX173" s="18"/>
      <c r="AY173" s="18">
        <v>1</v>
      </c>
      <c r="AZ173" s="18">
        <v>1</v>
      </c>
      <c r="BA173" s="18">
        <v>1</v>
      </c>
      <c r="BB173" s="18">
        <v>1</v>
      </c>
      <c r="BC173" s="18">
        <v>1</v>
      </c>
      <c r="BD173" s="18">
        <v>1</v>
      </c>
      <c r="BE173" s="18">
        <v>1</v>
      </c>
      <c r="BF173" s="18">
        <v>1</v>
      </c>
      <c r="BG173" s="18">
        <v>1</v>
      </c>
      <c r="BH173" s="18">
        <v>1</v>
      </c>
      <c r="BI173" s="18">
        <v>1</v>
      </c>
      <c r="BJ173" s="19"/>
      <c r="BK173" s="18">
        <v>1.01010101010101E-4</v>
      </c>
      <c r="BL173" s="18">
        <v>0</v>
      </c>
      <c r="BM173" s="18">
        <v>0</v>
      </c>
      <c r="BN173" s="18">
        <v>0</v>
      </c>
      <c r="BO173" s="18"/>
      <c r="BP173" s="18">
        <v>0</v>
      </c>
      <c r="BQ173" s="18">
        <v>0</v>
      </c>
      <c r="BR173" s="18">
        <v>1.5853656296022625</v>
      </c>
      <c r="BS173" s="18">
        <v>1.5194803047356751</v>
      </c>
      <c r="BT173" s="19"/>
      <c r="BU173" s="18">
        <v>1000</v>
      </c>
      <c r="BV173" s="18">
        <v>999.99908080808132</v>
      </c>
      <c r="BW173" s="18">
        <v>0</v>
      </c>
      <c r="BX173" s="18" t="s">
        <v>217</v>
      </c>
      <c r="BY173" s="18" t="s">
        <v>217</v>
      </c>
      <c r="BZ173" s="18" t="s">
        <v>217</v>
      </c>
      <c r="CA173" s="18" t="s">
        <v>217</v>
      </c>
      <c r="CB173" s="19"/>
      <c r="CC173" s="19">
        <v>0</v>
      </c>
      <c r="CD173" s="19">
        <v>0</v>
      </c>
      <c r="CE173" s="19">
        <v>0</v>
      </c>
      <c r="CF173" s="19">
        <v>0</v>
      </c>
      <c r="CG173" s="19">
        <v>0</v>
      </c>
      <c r="CH173" s="19">
        <v>0</v>
      </c>
      <c r="CI173" s="19">
        <v>0</v>
      </c>
      <c r="CJ173" s="19"/>
      <c r="CK173" s="19">
        <v>0</v>
      </c>
      <c r="CL173" s="19">
        <v>0</v>
      </c>
      <c r="CM173" s="19">
        <v>0</v>
      </c>
      <c r="CN173" s="19">
        <v>0</v>
      </c>
      <c r="CO173" s="19">
        <v>0</v>
      </c>
      <c r="CP173" s="19">
        <v>0</v>
      </c>
      <c r="CQ173" s="19">
        <v>0</v>
      </c>
      <c r="CR173" s="19">
        <v>0</v>
      </c>
      <c r="CS173" s="19">
        <v>0</v>
      </c>
      <c r="CT173" s="19">
        <v>0</v>
      </c>
      <c r="CU173" s="19">
        <v>0</v>
      </c>
      <c r="CV173" s="19">
        <v>0</v>
      </c>
      <c r="CW173" s="19">
        <v>0</v>
      </c>
      <c r="CX173" s="19">
        <v>0</v>
      </c>
      <c r="CY173" s="19">
        <v>0</v>
      </c>
      <c r="CZ173" s="19">
        <v>0</v>
      </c>
      <c r="DA173" s="19">
        <v>0</v>
      </c>
      <c r="DB173" s="19">
        <v>0</v>
      </c>
      <c r="DC173" s="19">
        <v>0</v>
      </c>
      <c r="DD173" s="19">
        <v>0</v>
      </c>
      <c r="DE173" s="19">
        <v>0</v>
      </c>
      <c r="DF173" s="23">
        <v>0</v>
      </c>
      <c r="DG173" s="23">
        <v>0</v>
      </c>
      <c r="DH173" s="23">
        <v>0</v>
      </c>
      <c r="DI173" s="19">
        <v>0</v>
      </c>
      <c r="DJ173" s="19">
        <v>0</v>
      </c>
      <c r="DK173" s="19">
        <v>0</v>
      </c>
      <c r="DL173" s="19">
        <v>0</v>
      </c>
      <c r="DM173" s="19">
        <v>0</v>
      </c>
      <c r="DN173" s="19">
        <v>0</v>
      </c>
      <c r="DO173" s="19">
        <v>0</v>
      </c>
      <c r="DP173" s="19">
        <v>0</v>
      </c>
      <c r="DQ173" s="19">
        <v>0</v>
      </c>
      <c r="DR173" s="19">
        <v>0</v>
      </c>
      <c r="DS173" s="19">
        <v>0</v>
      </c>
      <c r="DT173" s="19">
        <v>0</v>
      </c>
      <c r="DU173" s="19">
        <v>0</v>
      </c>
      <c r="DV173" s="19">
        <v>0</v>
      </c>
      <c r="DW173" s="17" t="s">
        <v>218</v>
      </c>
      <c r="DX173" s="22" t="s">
        <v>218</v>
      </c>
      <c r="DY173" s="22" t="s">
        <v>218</v>
      </c>
      <c r="DZ173" s="22" t="s">
        <v>218</v>
      </c>
      <c r="EA173" s="22" t="s">
        <v>218</v>
      </c>
      <c r="EB173" s="22" t="s">
        <v>218</v>
      </c>
      <c r="EC173" s="22" t="s">
        <v>218</v>
      </c>
      <c r="ED173" s="22" t="s">
        <v>218</v>
      </c>
      <c r="EE173" s="22" t="s">
        <v>218</v>
      </c>
      <c r="EF173" s="22" t="s">
        <v>218</v>
      </c>
      <c r="EG173" s="22" t="s">
        <v>218</v>
      </c>
      <c r="EH173" s="22" t="s">
        <v>218</v>
      </c>
      <c r="EI173" s="22" t="s">
        <v>218</v>
      </c>
      <c r="EJ173" s="22" t="s">
        <v>218</v>
      </c>
      <c r="EK173" s="22" t="s">
        <v>218</v>
      </c>
      <c r="EL173" s="22" t="s">
        <v>218</v>
      </c>
      <c r="EM173" s="22" t="s">
        <v>218</v>
      </c>
      <c r="EN173" s="22" t="s">
        <v>218</v>
      </c>
      <c r="EO173" s="22" t="s">
        <v>218</v>
      </c>
      <c r="EP173" s="22" t="s">
        <v>218</v>
      </c>
      <c r="EQ173" s="22" t="s">
        <v>218</v>
      </c>
      <c r="ER173" s="22" t="s">
        <v>218</v>
      </c>
      <c r="ES173" s="22" t="s">
        <v>218</v>
      </c>
      <c r="ET173" s="22" t="s">
        <v>218</v>
      </c>
      <c r="EU173" s="22" t="s">
        <v>218</v>
      </c>
      <c r="EV173" s="22" t="s">
        <v>218</v>
      </c>
      <c r="EW173" s="22" t="s">
        <v>218</v>
      </c>
      <c r="EX173" s="22" t="s">
        <v>218</v>
      </c>
      <c r="EY173" s="22" t="s">
        <v>218</v>
      </c>
      <c r="EZ173" s="22" t="s">
        <v>218</v>
      </c>
      <c r="FA173" s="22" t="s">
        <v>218</v>
      </c>
      <c r="FB173" s="22" t="s">
        <v>218</v>
      </c>
      <c r="FC173" s="22" t="s">
        <v>218</v>
      </c>
      <c r="FD173" s="22" t="s">
        <v>218</v>
      </c>
      <c r="FE173" s="22" t="s">
        <v>218</v>
      </c>
      <c r="FF173" s="22" t="s">
        <v>218</v>
      </c>
      <c r="FG173" s="22" t="s">
        <v>218</v>
      </c>
      <c r="FH173" s="22" t="s">
        <v>218</v>
      </c>
      <c r="FI173" s="22" t="s">
        <v>218</v>
      </c>
      <c r="FJ173" s="22" t="s">
        <v>218</v>
      </c>
      <c r="FK173" s="22" t="s">
        <v>218</v>
      </c>
      <c r="FL173" s="22" t="s">
        <v>218</v>
      </c>
      <c r="FM173" s="22" t="s">
        <v>218</v>
      </c>
      <c r="FN173" s="22" t="s">
        <v>218</v>
      </c>
      <c r="FO173" s="22" t="s">
        <v>218</v>
      </c>
      <c r="FP173" s="22" t="s">
        <v>218</v>
      </c>
      <c r="FQ173" s="22" t="s">
        <v>218</v>
      </c>
      <c r="FR173" s="22" t="s">
        <v>218</v>
      </c>
      <c r="FS173" s="22" t="s">
        <v>218</v>
      </c>
      <c r="FT173" s="22" t="s">
        <v>218</v>
      </c>
      <c r="FU173" s="22" t="s">
        <v>218</v>
      </c>
      <c r="FV173" s="22" t="s">
        <v>218</v>
      </c>
      <c r="FW173" s="22" t="s">
        <v>218</v>
      </c>
      <c r="FX173" s="22" t="s">
        <v>218</v>
      </c>
      <c r="FY173" s="22" t="s">
        <v>218</v>
      </c>
      <c r="FZ173" s="22" t="s">
        <v>218</v>
      </c>
      <c r="GA173" s="22" t="s">
        <v>218</v>
      </c>
      <c r="GB173" s="22" t="s">
        <v>218</v>
      </c>
      <c r="GC173" s="22" t="s">
        <v>218</v>
      </c>
      <c r="GD173" s="22" t="s">
        <v>218</v>
      </c>
      <c r="GE173" s="22" t="s">
        <v>218</v>
      </c>
      <c r="GF173" s="22" t="s">
        <v>218</v>
      </c>
      <c r="GG173" s="22" t="s">
        <v>218</v>
      </c>
      <c r="GH173" s="22" t="s">
        <v>218</v>
      </c>
      <c r="GI173" s="22" t="s">
        <v>218</v>
      </c>
      <c r="GJ173" s="22" t="s">
        <v>218</v>
      </c>
      <c r="GK173" s="22" t="s">
        <v>218</v>
      </c>
      <c r="GL173" s="22" t="s">
        <v>218</v>
      </c>
      <c r="GM173" s="22" t="s">
        <v>218</v>
      </c>
      <c r="GN173" s="22" t="s">
        <v>218</v>
      </c>
      <c r="GO173" s="22" t="s">
        <v>218</v>
      </c>
      <c r="GP173" s="22" t="s">
        <v>218</v>
      </c>
      <c r="GQ173" s="22" t="s">
        <v>218</v>
      </c>
      <c r="GR173" s="22" t="s">
        <v>218</v>
      </c>
      <c r="GS173" s="22" t="s">
        <v>218</v>
      </c>
      <c r="GT173" s="22" t="s">
        <v>218</v>
      </c>
      <c r="GU173" s="22" t="s">
        <v>218</v>
      </c>
      <c r="GV173" s="22" t="s">
        <v>218</v>
      </c>
      <c r="GW173" s="22" t="s">
        <v>218</v>
      </c>
      <c r="GX173" s="22" t="s">
        <v>218</v>
      </c>
      <c r="GY173" s="22" t="s">
        <v>218</v>
      </c>
      <c r="GZ173" s="22" t="s">
        <v>218</v>
      </c>
      <c r="HA173" s="22" t="s">
        <v>218</v>
      </c>
      <c r="HB173" s="22" t="s">
        <v>218</v>
      </c>
      <c r="HC173" s="22" t="s">
        <v>218</v>
      </c>
      <c r="HD173" s="22" t="s">
        <v>218</v>
      </c>
      <c r="HE173" s="22" t="s">
        <v>218</v>
      </c>
      <c r="HF173" s="22" t="s">
        <v>218</v>
      </c>
      <c r="HG173" s="22" t="s">
        <v>218</v>
      </c>
      <c r="HH173" s="22" t="s">
        <v>218</v>
      </c>
      <c r="HI173" s="22" t="s">
        <v>218</v>
      </c>
      <c r="HJ173" s="22" t="s">
        <v>218</v>
      </c>
      <c r="HK173" s="22" t="s">
        <v>218</v>
      </c>
      <c r="HL173" s="22" t="s">
        <v>218</v>
      </c>
      <c r="HM173" s="860"/>
      <c r="HN173" s="860"/>
      <c r="HO173" s="860"/>
      <c r="HP173" s="860"/>
      <c r="HQ173" s="860"/>
      <c r="HR173" s="860"/>
      <c r="HS173" s="860"/>
      <c r="HT173" s="145"/>
      <c r="HU173" s="145" t="s">
        <v>1809</v>
      </c>
      <c r="HV173" s="22" t="s">
        <v>1967</v>
      </c>
      <c r="HW173" s="22">
        <v>0</v>
      </c>
      <c r="HX173" s="22">
        <v>0</v>
      </c>
      <c r="HY173" s="22">
        <v>0</v>
      </c>
      <c r="HZ173" s="19"/>
      <c r="IA173" s="19"/>
      <c r="IB173" s="621">
        <f>'background data'!$G$10</f>
        <v>0.47300000000000003</v>
      </c>
      <c r="IC173" s="621">
        <f>'background data'!$H$10</f>
        <v>0.13</v>
      </c>
      <c r="ID173" s="621">
        <f>'background data'!$J$10</f>
        <v>0.39100000000000001</v>
      </c>
      <c r="IE173" s="621">
        <f>'background data'!$L$10</f>
        <v>5.5E-2</v>
      </c>
      <c r="IF173" s="621">
        <f>'background data'!$M$10</f>
        <v>3.97</v>
      </c>
      <c r="IG173" s="621">
        <f>'background data'!$N$10</f>
        <v>4.5999999999999999E-3</v>
      </c>
      <c r="IH173" s="621">
        <f>'background data'!$O$10</f>
        <v>2.73</v>
      </c>
      <c r="II173" s="145"/>
      <c r="IJ173" s="145"/>
      <c r="IK173" s="145"/>
      <c r="IL173" s="145"/>
      <c r="IM173" s="145"/>
      <c r="IN173" s="145"/>
      <c r="IO173" s="145"/>
      <c r="IP173" s="145"/>
      <c r="IQ173" s="145"/>
      <c r="IR173" s="145"/>
      <c r="IS173" s="145"/>
      <c r="IT173" s="145"/>
      <c r="IU173" s="145"/>
      <c r="IV173" s="145"/>
      <c r="IW173" s="145"/>
      <c r="IX173" s="145"/>
      <c r="IY173" s="145"/>
      <c r="IZ173" s="145"/>
      <c r="JA173" s="145"/>
      <c r="JB173" s="145"/>
      <c r="JC173" s="145"/>
      <c r="JD173" s="145"/>
      <c r="JE173" s="145"/>
      <c r="JF173" s="145"/>
      <c r="JG173" s="145"/>
      <c r="JH173" s="145"/>
      <c r="JI173" s="145"/>
      <c r="JJ173" s="145"/>
      <c r="JK173" s="145"/>
      <c r="JL173" s="145"/>
      <c r="JM173" s="145"/>
      <c r="JN173" s="145"/>
      <c r="JO173" s="145"/>
      <c r="JP173" s="145"/>
      <c r="JQ173" s="145"/>
      <c r="JR173" s="145"/>
      <c r="JS173" s="145"/>
      <c r="JT173" s="145"/>
      <c r="JU173" s="145"/>
      <c r="JV173" s="145"/>
      <c r="JW173" s="145"/>
      <c r="JX173" s="145"/>
      <c r="JY173" s="145"/>
      <c r="JZ173" s="145"/>
      <c r="KA173" s="145"/>
      <c r="KB173" s="145"/>
      <c r="KC173" s="145"/>
      <c r="KD173" s="145"/>
      <c r="KE173" s="145"/>
      <c r="KF173" s="145"/>
      <c r="KG173" s="145"/>
      <c r="KH173" s="145"/>
      <c r="KI173" s="145"/>
      <c r="KJ173" s="145"/>
      <c r="KK173" s="145"/>
      <c r="KL173" s="145"/>
      <c r="KM173" s="145"/>
      <c r="KN173" s="145"/>
      <c r="KO173" s="145"/>
      <c r="KP173" s="145"/>
      <c r="KQ173" s="145"/>
      <c r="KR173" s="145"/>
      <c r="KS173" s="145"/>
      <c r="KT173" s="145"/>
      <c r="KU173" s="145"/>
      <c r="KV173" s="145"/>
      <c r="KW173" s="145"/>
      <c r="KX173" s="145"/>
      <c r="KY173" s="145"/>
      <c r="KZ173" s="145"/>
      <c r="LA173" s="145"/>
      <c r="LB173" s="145"/>
      <c r="LC173" s="145"/>
      <c r="LD173" s="145"/>
      <c r="LE173" s="145"/>
      <c r="LF173" s="145"/>
      <c r="LG173" s="145"/>
      <c r="LH173" s="145"/>
      <c r="LI173" s="145"/>
      <c r="LJ173" s="145"/>
      <c r="LK173" s="145"/>
      <c r="LL173" s="145"/>
      <c r="LM173" s="145"/>
      <c r="LN173" s="145"/>
      <c r="LO173" s="145"/>
      <c r="LP173" s="145"/>
      <c r="LQ173" s="145"/>
      <c r="LR173" s="145"/>
      <c r="LS173" s="145"/>
      <c r="LT173" s="145"/>
      <c r="LU173" s="145"/>
      <c r="LV173" s="145"/>
      <c r="LW173" s="145"/>
      <c r="LX173" s="145"/>
      <c r="LY173" s="145"/>
      <c r="LZ173" s="145"/>
      <c r="MA173" s="145"/>
      <c r="MB173" s="145"/>
      <c r="MC173" s="145"/>
      <c r="MD173" s="145"/>
      <c r="ME173" s="145"/>
      <c r="MF173" s="145"/>
      <c r="MG173" s="145"/>
      <c r="MH173" s="145"/>
      <c r="MI173" s="145"/>
      <c r="MJ173" s="145"/>
      <c r="MK173" s="145"/>
      <c r="ML173" s="145"/>
      <c r="MM173" s="145"/>
      <c r="MN173" s="145"/>
      <c r="MO173" s="145"/>
      <c r="MP173" s="145"/>
      <c r="MQ173" s="145"/>
      <c r="MR173" s="145"/>
      <c r="MS173" s="145"/>
      <c r="MT173" s="145"/>
      <c r="MU173" s="145"/>
      <c r="MV173" s="145"/>
      <c r="MW173" s="145"/>
      <c r="MX173" s="145"/>
      <c r="MY173" s="145"/>
      <c r="MZ173" s="145"/>
      <c r="NA173" s="145"/>
      <c r="NB173" s="145"/>
      <c r="NC173" s="145"/>
      <c r="ND173" s="145"/>
      <c r="NE173" s="145"/>
      <c r="NF173" s="145"/>
      <c r="NG173" s="145"/>
      <c r="NH173" s="145"/>
      <c r="NI173" s="145"/>
      <c r="NJ173" s="145"/>
      <c r="NK173" s="145"/>
      <c r="NL173" s="145"/>
      <c r="NM173" s="145"/>
      <c r="NN173" s="145"/>
      <c r="NO173" s="145"/>
      <c r="NP173" s="145"/>
      <c r="NQ173" s="145"/>
      <c r="NR173" s="145"/>
      <c r="NS173" s="145"/>
    </row>
    <row r="174" spans="1:383" s="16" customFormat="1" ht="15" customHeight="1" x14ac:dyDescent="0.2">
      <c r="A174" s="15">
        <v>46600</v>
      </c>
      <c r="B174" s="25">
        <v>466</v>
      </c>
      <c r="C174" s="26">
        <v>0</v>
      </c>
      <c r="D174" s="20" t="s">
        <v>540</v>
      </c>
      <c r="E174" s="14">
        <v>40310</v>
      </c>
      <c r="F174" s="18">
        <v>-0.108130081300813</v>
      </c>
      <c r="G174" s="18">
        <v>-0.103636363636364</v>
      </c>
      <c r="H174" s="21">
        <v>70</v>
      </c>
      <c r="I174" s="21">
        <v>70</v>
      </c>
      <c r="J174" s="21">
        <v>0</v>
      </c>
      <c r="K174" s="18">
        <v>1</v>
      </c>
      <c r="L174" s="18">
        <v>95</v>
      </c>
      <c r="M174" s="18">
        <v>0</v>
      </c>
      <c r="N174" s="18">
        <v>0</v>
      </c>
      <c r="O174" s="18">
        <v>95</v>
      </c>
      <c r="P174" s="18">
        <v>0</v>
      </c>
      <c r="Q174" s="19"/>
      <c r="R174" s="18">
        <v>0</v>
      </c>
      <c r="S174" s="18">
        <v>0</v>
      </c>
      <c r="T174" s="18">
        <v>0</v>
      </c>
      <c r="U174" s="18">
        <v>0</v>
      </c>
      <c r="V174" s="18">
        <v>0</v>
      </c>
      <c r="W174" s="18">
        <v>0</v>
      </c>
      <c r="X174" s="18"/>
      <c r="Y174" s="18">
        <v>0</v>
      </c>
      <c r="Z174" s="18">
        <v>0</v>
      </c>
      <c r="AA174" s="18">
        <v>284.21053000000001</v>
      </c>
      <c r="AB174" s="18">
        <v>0</v>
      </c>
      <c r="AC174" s="18">
        <v>0</v>
      </c>
      <c r="AD174" s="18">
        <v>0</v>
      </c>
      <c r="AE174" s="18">
        <v>0</v>
      </c>
      <c r="AF174" s="18">
        <v>0</v>
      </c>
      <c r="AG174" s="18">
        <v>0</v>
      </c>
      <c r="AH174" s="18">
        <v>0</v>
      </c>
      <c r="AI174" s="18">
        <v>0</v>
      </c>
      <c r="AJ174" s="18">
        <v>0</v>
      </c>
      <c r="AK174" s="18">
        <v>0</v>
      </c>
      <c r="AL174" s="18"/>
      <c r="AM174" s="18">
        <v>0</v>
      </c>
      <c r="AN174" s="18">
        <v>0</v>
      </c>
      <c r="AO174" s="18">
        <v>0</v>
      </c>
      <c r="AP174" s="18">
        <v>0</v>
      </c>
      <c r="AQ174" s="18">
        <v>0</v>
      </c>
      <c r="AR174" s="18">
        <v>0</v>
      </c>
      <c r="AS174" s="18">
        <v>0</v>
      </c>
      <c r="AT174" s="18">
        <v>0</v>
      </c>
      <c r="AU174" s="18">
        <v>0</v>
      </c>
      <c r="AV174" s="18">
        <v>0</v>
      </c>
      <c r="AW174" s="18">
        <v>0</v>
      </c>
      <c r="AX174" s="18"/>
      <c r="AY174" s="18">
        <v>1</v>
      </c>
      <c r="AZ174" s="18">
        <v>1</v>
      </c>
      <c r="BA174" s="18">
        <v>1</v>
      </c>
      <c r="BB174" s="18">
        <v>1</v>
      </c>
      <c r="BC174" s="18">
        <v>1</v>
      </c>
      <c r="BD174" s="18">
        <v>1</v>
      </c>
      <c r="BE174" s="18">
        <v>1</v>
      </c>
      <c r="BF174" s="18">
        <v>1</v>
      </c>
      <c r="BG174" s="18">
        <v>1</v>
      </c>
      <c r="BH174" s="18">
        <v>1</v>
      </c>
      <c r="BI174" s="18">
        <v>1</v>
      </c>
      <c r="BJ174" s="19"/>
      <c r="BK174" s="18">
        <v>0</v>
      </c>
      <c r="BL174" s="18">
        <v>0</v>
      </c>
      <c r="BM174" s="18">
        <v>100</v>
      </c>
      <c r="BN174" s="18">
        <v>0</v>
      </c>
      <c r="BO174" s="18"/>
      <c r="BP174" s="18">
        <v>0</v>
      </c>
      <c r="BQ174" s="18">
        <v>0</v>
      </c>
      <c r="BR174" s="18">
        <v>-0.11382113821138211</v>
      </c>
      <c r="BS174" s="18">
        <v>-0.10909090909090947</v>
      </c>
      <c r="BT174" s="19"/>
      <c r="BU174" s="18">
        <v>0</v>
      </c>
      <c r="BV174" s="18">
        <v>0</v>
      </c>
      <c r="BW174" s="18">
        <v>0</v>
      </c>
      <c r="BX174" s="18" t="s">
        <v>217</v>
      </c>
      <c r="BY174" s="18" t="s">
        <v>217</v>
      </c>
      <c r="BZ174" s="18" t="s">
        <v>217</v>
      </c>
      <c r="CA174" s="18" t="s">
        <v>217</v>
      </c>
      <c r="CB174" s="19"/>
      <c r="CC174" s="19">
        <v>0</v>
      </c>
      <c r="CD174" s="19">
        <v>0</v>
      </c>
      <c r="CE174" s="19">
        <v>270.00000349999999</v>
      </c>
      <c r="CF174" s="19">
        <v>0</v>
      </c>
      <c r="CG174" s="19">
        <v>0</v>
      </c>
      <c r="CH174" s="19">
        <v>0</v>
      </c>
      <c r="CI174" s="19">
        <v>0</v>
      </c>
      <c r="CJ174" s="19"/>
      <c r="CK174" s="19">
        <v>0</v>
      </c>
      <c r="CL174" s="19">
        <v>0</v>
      </c>
      <c r="CM174" s="19">
        <v>0</v>
      </c>
      <c r="CN174" s="19">
        <v>0</v>
      </c>
      <c r="CO174" s="19">
        <v>0</v>
      </c>
      <c r="CP174" s="19">
        <v>0</v>
      </c>
      <c r="CQ174" s="19">
        <v>0</v>
      </c>
      <c r="CR174" s="19">
        <v>0</v>
      </c>
      <c r="CS174" s="19">
        <v>0</v>
      </c>
      <c r="CT174" s="19">
        <v>0</v>
      </c>
      <c r="CU174" s="19">
        <v>0</v>
      </c>
      <c r="CV174" s="19">
        <v>0</v>
      </c>
      <c r="CW174" s="19">
        <v>0</v>
      </c>
      <c r="CX174" s="19">
        <v>0</v>
      </c>
      <c r="CY174" s="19">
        <v>0</v>
      </c>
      <c r="CZ174" s="19">
        <v>0</v>
      </c>
      <c r="DA174" s="19">
        <v>0</v>
      </c>
      <c r="DB174" s="19">
        <v>0</v>
      </c>
      <c r="DC174" s="19">
        <v>0</v>
      </c>
      <c r="DD174" s="19">
        <v>0</v>
      </c>
      <c r="DE174" s="19">
        <v>0</v>
      </c>
      <c r="DF174" s="23">
        <v>0</v>
      </c>
      <c r="DG174" s="23">
        <v>0</v>
      </c>
      <c r="DH174" s="23">
        <v>0</v>
      </c>
      <c r="DI174" s="19">
        <v>0</v>
      </c>
      <c r="DJ174" s="19">
        <v>0</v>
      </c>
      <c r="DK174" s="19">
        <v>0</v>
      </c>
      <c r="DL174" s="19">
        <v>0</v>
      </c>
      <c r="DM174" s="19">
        <v>0</v>
      </c>
      <c r="DN174" s="19">
        <v>0</v>
      </c>
      <c r="DO174" s="19">
        <v>0</v>
      </c>
      <c r="DP174" s="19">
        <v>0</v>
      </c>
      <c r="DQ174" s="19">
        <v>0</v>
      </c>
      <c r="DR174" s="19">
        <v>0</v>
      </c>
      <c r="DS174" s="19">
        <v>0</v>
      </c>
      <c r="DT174" s="19">
        <v>0</v>
      </c>
      <c r="DU174" s="19">
        <v>0</v>
      </c>
      <c r="DV174" s="19">
        <v>0</v>
      </c>
      <c r="DW174" s="17" t="s">
        <v>541</v>
      </c>
      <c r="DX174" s="22" t="s">
        <v>218</v>
      </c>
      <c r="DY174" s="22" t="s">
        <v>218</v>
      </c>
      <c r="DZ174" s="22" t="s">
        <v>218</v>
      </c>
      <c r="EA174" s="22" t="s">
        <v>218</v>
      </c>
      <c r="EB174" s="22" t="s">
        <v>218</v>
      </c>
      <c r="EC174" s="22" t="s">
        <v>218</v>
      </c>
      <c r="ED174" s="22" t="s">
        <v>218</v>
      </c>
      <c r="EE174" s="22" t="s">
        <v>218</v>
      </c>
      <c r="EF174" s="22" t="s">
        <v>218</v>
      </c>
      <c r="EG174" s="22" t="s">
        <v>218</v>
      </c>
      <c r="EH174" s="22" t="s">
        <v>218</v>
      </c>
      <c r="EI174" s="22" t="s">
        <v>218</v>
      </c>
      <c r="EJ174" s="22" t="s">
        <v>218</v>
      </c>
      <c r="EK174" s="22" t="s">
        <v>218</v>
      </c>
      <c r="EL174" s="22" t="s">
        <v>218</v>
      </c>
      <c r="EM174" s="22" t="s">
        <v>218</v>
      </c>
      <c r="EN174" s="22" t="s">
        <v>218</v>
      </c>
      <c r="EO174" s="22" t="s">
        <v>218</v>
      </c>
      <c r="EP174" s="22" t="s">
        <v>218</v>
      </c>
      <c r="EQ174" s="22" t="s">
        <v>218</v>
      </c>
      <c r="ER174" s="22" t="s">
        <v>218</v>
      </c>
      <c r="ES174" s="22" t="s">
        <v>218</v>
      </c>
      <c r="ET174" s="22" t="s">
        <v>218</v>
      </c>
      <c r="EU174" s="22" t="s">
        <v>218</v>
      </c>
      <c r="EV174" s="22" t="s">
        <v>218</v>
      </c>
      <c r="EW174" s="22" t="s">
        <v>218</v>
      </c>
      <c r="EX174" s="22" t="s">
        <v>218</v>
      </c>
      <c r="EY174" s="22" t="s">
        <v>218</v>
      </c>
      <c r="EZ174" s="22" t="s">
        <v>218</v>
      </c>
      <c r="FA174" s="22" t="s">
        <v>218</v>
      </c>
      <c r="FB174" s="22" t="s">
        <v>218</v>
      </c>
      <c r="FC174" s="22" t="s">
        <v>218</v>
      </c>
      <c r="FD174" s="22" t="s">
        <v>218</v>
      </c>
      <c r="FE174" s="22" t="s">
        <v>218</v>
      </c>
      <c r="FF174" s="22" t="s">
        <v>218</v>
      </c>
      <c r="FG174" s="22" t="s">
        <v>218</v>
      </c>
      <c r="FH174" s="22" t="s">
        <v>218</v>
      </c>
      <c r="FI174" s="22" t="s">
        <v>218</v>
      </c>
      <c r="FJ174" s="22" t="s">
        <v>218</v>
      </c>
      <c r="FK174" s="22" t="s">
        <v>218</v>
      </c>
      <c r="FL174" s="22" t="s">
        <v>218</v>
      </c>
      <c r="FM174" s="22" t="s">
        <v>218</v>
      </c>
      <c r="FN174" s="22" t="s">
        <v>218</v>
      </c>
      <c r="FO174" s="22" t="s">
        <v>218</v>
      </c>
      <c r="FP174" s="22" t="s">
        <v>218</v>
      </c>
      <c r="FQ174" s="22" t="s">
        <v>218</v>
      </c>
      <c r="FR174" s="22" t="s">
        <v>218</v>
      </c>
      <c r="FS174" s="22" t="s">
        <v>218</v>
      </c>
      <c r="FT174" s="22" t="s">
        <v>218</v>
      </c>
      <c r="FU174" s="22" t="s">
        <v>218</v>
      </c>
      <c r="FV174" s="22" t="s">
        <v>218</v>
      </c>
      <c r="FW174" s="22" t="s">
        <v>218</v>
      </c>
      <c r="FX174" s="22" t="s">
        <v>218</v>
      </c>
      <c r="FY174" s="22" t="s">
        <v>218</v>
      </c>
      <c r="FZ174" s="22" t="s">
        <v>218</v>
      </c>
      <c r="GA174" s="22" t="s">
        <v>218</v>
      </c>
      <c r="GB174" s="22" t="s">
        <v>218</v>
      </c>
      <c r="GC174" s="22" t="s">
        <v>218</v>
      </c>
      <c r="GD174" s="22" t="s">
        <v>218</v>
      </c>
      <c r="GE174" s="22" t="s">
        <v>218</v>
      </c>
      <c r="GF174" s="22" t="s">
        <v>218</v>
      </c>
      <c r="GG174" s="22" t="s">
        <v>218</v>
      </c>
      <c r="GH174" s="22" t="s">
        <v>218</v>
      </c>
      <c r="GI174" s="22" t="s">
        <v>218</v>
      </c>
      <c r="GJ174" s="22" t="s">
        <v>218</v>
      </c>
      <c r="GK174" s="22" t="s">
        <v>218</v>
      </c>
      <c r="GL174" s="22" t="s">
        <v>218</v>
      </c>
      <c r="GM174" s="22" t="s">
        <v>218</v>
      </c>
      <c r="GN174" s="22" t="s">
        <v>218</v>
      </c>
      <c r="GO174" s="22" t="s">
        <v>218</v>
      </c>
      <c r="GP174" s="22" t="s">
        <v>218</v>
      </c>
      <c r="GQ174" s="22" t="s">
        <v>218</v>
      </c>
      <c r="GR174" s="22" t="s">
        <v>218</v>
      </c>
      <c r="GS174" s="22" t="s">
        <v>218</v>
      </c>
      <c r="GT174" s="22" t="s">
        <v>218</v>
      </c>
      <c r="GU174" s="22" t="s">
        <v>218</v>
      </c>
      <c r="GV174" s="22" t="s">
        <v>218</v>
      </c>
      <c r="GW174" s="22" t="s">
        <v>218</v>
      </c>
      <c r="GX174" s="22" t="s">
        <v>218</v>
      </c>
      <c r="GY174" s="22" t="s">
        <v>218</v>
      </c>
      <c r="GZ174" s="22" t="s">
        <v>218</v>
      </c>
      <c r="HA174" s="22" t="s">
        <v>218</v>
      </c>
      <c r="HB174" s="22" t="s">
        <v>218</v>
      </c>
      <c r="HC174" s="22" t="s">
        <v>218</v>
      </c>
      <c r="HD174" s="22" t="s">
        <v>218</v>
      </c>
      <c r="HE174" s="22" t="s">
        <v>218</v>
      </c>
      <c r="HF174" s="22" t="s">
        <v>218</v>
      </c>
      <c r="HG174" s="22" t="s">
        <v>218</v>
      </c>
      <c r="HH174" s="22" t="s">
        <v>218</v>
      </c>
      <c r="HI174" s="22" t="s">
        <v>218</v>
      </c>
      <c r="HJ174" s="22" t="s">
        <v>218</v>
      </c>
      <c r="HK174" s="22" t="s">
        <v>218</v>
      </c>
      <c r="HL174" s="22" t="s">
        <v>218</v>
      </c>
      <c r="HM174" s="860"/>
      <c r="HN174" s="860"/>
      <c r="HO174" s="860"/>
      <c r="HP174" s="860"/>
      <c r="HQ174" s="860"/>
      <c r="HR174" s="860"/>
      <c r="HS174" s="860"/>
      <c r="HT174" s="145"/>
      <c r="HU174" s="145" t="s">
        <v>1809</v>
      </c>
      <c r="HV174" s="22" t="s">
        <v>1926</v>
      </c>
      <c r="HW174" s="22">
        <v>0</v>
      </c>
      <c r="HX174" s="22">
        <v>0</v>
      </c>
      <c r="HY174" s="22">
        <v>0</v>
      </c>
      <c r="HZ174" s="19"/>
      <c r="IA174" s="19"/>
      <c r="IB174" s="621">
        <f>'background data'!$G$10</f>
        <v>0.47300000000000003</v>
      </c>
      <c r="IC174" s="621">
        <f>'background data'!$H$10</f>
        <v>0.13</v>
      </c>
      <c r="ID174" s="621">
        <f>'background data'!$J$10</f>
        <v>0.39100000000000001</v>
      </c>
      <c r="IE174" s="621">
        <f>'background data'!$L$10</f>
        <v>5.5E-2</v>
      </c>
      <c r="IF174" s="621">
        <f>'background data'!$M$10</f>
        <v>3.97</v>
      </c>
      <c r="IG174" s="621">
        <f>'background data'!$N$10</f>
        <v>4.5999999999999999E-3</v>
      </c>
      <c r="IH174" s="621">
        <f>'background data'!$O$10</f>
        <v>2.73</v>
      </c>
      <c r="II174" s="145"/>
      <c r="IJ174" s="145"/>
      <c r="IK174" s="145"/>
      <c r="IL174" s="145"/>
      <c r="IM174" s="145"/>
      <c r="IN174" s="145"/>
      <c r="IO174" s="145"/>
      <c r="IP174" s="145"/>
      <c r="IQ174" s="145"/>
      <c r="IR174" s="145"/>
      <c r="IS174" s="145"/>
      <c r="IT174" s="145"/>
      <c r="IU174" s="145"/>
      <c r="IV174" s="145"/>
      <c r="IW174" s="145"/>
      <c r="IX174" s="145"/>
      <c r="IY174" s="145"/>
      <c r="IZ174" s="145"/>
      <c r="JA174" s="145"/>
      <c r="JB174" s="145"/>
      <c r="JC174" s="145"/>
      <c r="JD174" s="145"/>
      <c r="JE174" s="145"/>
      <c r="JF174" s="145"/>
      <c r="JG174" s="145"/>
      <c r="JH174" s="145"/>
      <c r="JI174" s="145"/>
      <c r="JJ174" s="145"/>
      <c r="JK174" s="145"/>
      <c r="JL174" s="145"/>
      <c r="JM174" s="145"/>
      <c r="JN174" s="145"/>
      <c r="JO174" s="145"/>
      <c r="JP174" s="145"/>
      <c r="JQ174" s="145"/>
      <c r="JR174" s="145"/>
      <c r="JS174" s="145"/>
      <c r="JT174" s="145"/>
      <c r="JU174" s="145"/>
      <c r="JV174" s="145"/>
      <c r="JW174" s="145"/>
      <c r="JX174" s="145"/>
      <c r="JY174" s="145"/>
      <c r="JZ174" s="145"/>
      <c r="KA174" s="145"/>
      <c r="KB174" s="145"/>
      <c r="KC174" s="145"/>
      <c r="KD174" s="145"/>
      <c r="KE174" s="145"/>
      <c r="KF174" s="145"/>
      <c r="KG174" s="145"/>
      <c r="KH174" s="145"/>
      <c r="KI174" s="145"/>
      <c r="KJ174" s="145"/>
      <c r="KK174" s="145"/>
      <c r="KL174" s="145"/>
      <c r="KM174" s="145"/>
      <c r="KN174" s="145"/>
      <c r="KO174" s="145"/>
      <c r="KP174" s="145"/>
      <c r="KQ174" s="145"/>
      <c r="KR174" s="145"/>
      <c r="KS174" s="145"/>
      <c r="KT174" s="145"/>
      <c r="KU174" s="145"/>
      <c r="KV174" s="145"/>
      <c r="KW174" s="145"/>
      <c r="KX174" s="145"/>
      <c r="KY174" s="145"/>
      <c r="KZ174" s="145"/>
      <c r="LA174" s="145"/>
      <c r="LB174" s="145"/>
      <c r="LC174" s="145"/>
      <c r="LD174" s="145"/>
      <c r="LE174" s="145"/>
      <c r="LF174" s="145"/>
      <c r="LG174" s="145"/>
      <c r="LH174" s="145"/>
      <c r="LI174" s="145"/>
      <c r="LJ174" s="145"/>
      <c r="LK174" s="145"/>
      <c r="LL174" s="145"/>
      <c r="LM174" s="145"/>
      <c r="LN174" s="145"/>
      <c r="LO174" s="145"/>
      <c r="LP174" s="145"/>
      <c r="LQ174" s="145"/>
      <c r="LR174" s="145"/>
      <c r="LS174" s="145"/>
      <c r="LT174" s="145"/>
      <c r="LU174" s="145"/>
      <c r="LV174" s="145"/>
      <c r="LW174" s="145"/>
      <c r="LX174" s="145"/>
      <c r="LY174" s="145"/>
      <c r="LZ174" s="145"/>
      <c r="MA174" s="145"/>
      <c r="MB174" s="145"/>
      <c r="MC174" s="145"/>
      <c r="MD174" s="145"/>
      <c r="ME174" s="145"/>
      <c r="MF174" s="145"/>
      <c r="MG174" s="145"/>
      <c r="MH174" s="145"/>
      <c r="MI174" s="145"/>
      <c r="MJ174" s="145"/>
      <c r="MK174" s="145"/>
      <c r="ML174" s="145"/>
      <c r="MM174" s="145"/>
      <c r="MN174" s="145"/>
      <c r="MO174" s="145"/>
      <c r="MP174" s="145"/>
      <c r="MQ174" s="145"/>
      <c r="MR174" s="145"/>
      <c r="MS174" s="145"/>
      <c r="MT174" s="145"/>
      <c r="MU174" s="145"/>
      <c r="MV174" s="145"/>
      <c r="MW174" s="145"/>
      <c r="MX174" s="145"/>
      <c r="MY174" s="145"/>
      <c r="MZ174" s="145"/>
      <c r="NA174" s="145"/>
      <c r="NB174" s="145"/>
      <c r="NC174" s="145"/>
      <c r="ND174" s="145"/>
      <c r="NE174" s="145"/>
      <c r="NF174" s="145"/>
      <c r="NG174" s="145"/>
      <c r="NH174" s="145"/>
      <c r="NI174" s="145"/>
      <c r="NJ174" s="145"/>
      <c r="NK174" s="145"/>
      <c r="NL174" s="145"/>
      <c r="NM174" s="145"/>
      <c r="NN174" s="145"/>
      <c r="NO174" s="145"/>
      <c r="NP174" s="145"/>
      <c r="NQ174" s="145"/>
      <c r="NR174" s="145"/>
      <c r="NS174" s="145"/>
    </row>
    <row r="175" spans="1:383" s="16" customFormat="1" ht="15" customHeight="1" x14ac:dyDescent="0.2">
      <c r="A175" s="15">
        <v>46500</v>
      </c>
      <c r="B175" s="25">
        <v>465</v>
      </c>
      <c r="C175" s="26">
        <v>0</v>
      </c>
      <c r="D175" s="20" t="s">
        <v>542</v>
      </c>
      <c r="E175" s="14">
        <v>40310</v>
      </c>
      <c r="F175" s="18">
        <v>-0.112682926829268</v>
      </c>
      <c r="G175" s="18">
        <v>-0.108</v>
      </c>
      <c r="H175" s="21">
        <v>70</v>
      </c>
      <c r="I175" s="21">
        <v>70</v>
      </c>
      <c r="J175" s="21">
        <v>0</v>
      </c>
      <c r="K175" s="18">
        <v>1</v>
      </c>
      <c r="L175" s="18">
        <v>99</v>
      </c>
      <c r="M175" s="18">
        <v>0</v>
      </c>
      <c r="N175" s="18">
        <v>0</v>
      </c>
      <c r="O175" s="18">
        <v>99</v>
      </c>
      <c r="P175" s="18">
        <v>0</v>
      </c>
      <c r="Q175" s="19"/>
      <c r="R175" s="18">
        <v>0</v>
      </c>
      <c r="S175" s="18">
        <v>0</v>
      </c>
      <c r="T175" s="18">
        <v>0</v>
      </c>
      <c r="U175" s="18">
        <v>0</v>
      </c>
      <c r="V175" s="18">
        <v>0</v>
      </c>
      <c r="W175" s="18">
        <v>0</v>
      </c>
      <c r="X175" s="18"/>
      <c r="Y175" s="18">
        <v>0</v>
      </c>
      <c r="Z175" s="18">
        <v>0</v>
      </c>
      <c r="AA175" s="18">
        <v>383.83838000000105</v>
      </c>
      <c r="AB175" s="18">
        <v>626.26262999999994</v>
      </c>
      <c r="AC175" s="18">
        <v>0</v>
      </c>
      <c r="AD175" s="18">
        <v>0</v>
      </c>
      <c r="AE175" s="18">
        <v>0</v>
      </c>
      <c r="AF175" s="18">
        <v>0</v>
      </c>
      <c r="AG175" s="18">
        <v>0</v>
      </c>
      <c r="AH175" s="18">
        <v>0</v>
      </c>
      <c r="AI175" s="18">
        <v>0</v>
      </c>
      <c r="AJ175" s="18">
        <v>0</v>
      </c>
      <c r="AK175" s="18">
        <v>0</v>
      </c>
      <c r="AL175" s="18"/>
      <c r="AM175" s="18">
        <v>0</v>
      </c>
      <c r="AN175" s="18">
        <v>0</v>
      </c>
      <c r="AO175" s="18">
        <v>0</v>
      </c>
      <c r="AP175" s="18">
        <v>0</v>
      </c>
      <c r="AQ175" s="18">
        <v>0</v>
      </c>
      <c r="AR175" s="18">
        <v>0</v>
      </c>
      <c r="AS175" s="18">
        <v>0</v>
      </c>
      <c r="AT175" s="18">
        <v>0</v>
      </c>
      <c r="AU175" s="18">
        <v>0</v>
      </c>
      <c r="AV175" s="18">
        <v>0</v>
      </c>
      <c r="AW175" s="18">
        <v>0</v>
      </c>
      <c r="AX175" s="18"/>
      <c r="AY175" s="18">
        <v>1</v>
      </c>
      <c r="AZ175" s="18">
        <v>1</v>
      </c>
      <c r="BA175" s="18">
        <v>1</v>
      </c>
      <c r="BB175" s="18">
        <v>1</v>
      </c>
      <c r="BC175" s="18">
        <v>1</v>
      </c>
      <c r="BD175" s="18">
        <v>1</v>
      </c>
      <c r="BE175" s="18">
        <v>1</v>
      </c>
      <c r="BF175" s="18">
        <v>1</v>
      </c>
      <c r="BG175" s="18">
        <v>1</v>
      </c>
      <c r="BH175" s="18">
        <v>1</v>
      </c>
      <c r="BI175" s="18">
        <v>1</v>
      </c>
      <c r="BJ175" s="19"/>
      <c r="BK175" s="18">
        <v>0</v>
      </c>
      <c r="BL175" s="18">
        <v>0</v>
      </c>
      <c r="BM175" s="18">
        <v>100</v>
      </c>
      <c r="BN175" s="18">
        <v>0</v>
      </c>
      <c r="BO175" s="18"/>
      <c r="BP175" s="18">
        <v>0</v>
      </c>
      <c r="BQ175" s="18">
        <v>0</v>
      </c>
      <c r="BR175" s="18">
        <v>-0.11382113821138182</v>
      </c>
      <c r="BS175" s="18">
        <v>-0.10909090909090909</v>
      </c>
      <c r="BT175" s="19"/>
      <c r="BU175" s="18">
        <v>0</v>
      </c>
      <c r="BV175" s="18">
        <v>0</v>
      </c>
      <c r="BW175" s="18">
        <v>0</v>
      </c>
      <c r="BX175" s="18" t="s">
        <v>217</v>
      </c>
      <c r="BY175" s="18" t="s">
        <v>217</v>
      </c>
      <c r="BZ175" s="18" t="s">
        <v>217</v>
      </c>
      <c r="CA175" s="18" t="s">
        <v>217</v>
      </c>
      <c r="CB175" s="19"/>
      <c r="CC175" s="19">
        <v>0</v>
      </c>
      <c r="CD175" s="19">
        <v>0</v>
      </c>
      <c r="CE175" s="19">
        <v>379.99999620000102</v>
      </c>
      <c r="CF175" s="19">
        <v>620.00000369999998</v>
      </c>
      <c r="CG175" s="19">
        <v>0</v>
      </c>
      <c r="CH175" s="19">
        <v>0</v>
      </c>
      <c r="CI175" s="19">
        <v>0</v>
      </c>
      <c r="CJ175" s="19"/>
      <c r="CK175" s="19">
        <v>0</v>
      </c>
      <c r="CL175" s="19">
        <v>0</v>
      </c>
      <c r="CM175" s="19">
        <v>0</v>
      </c>
      <c r="CN175" s="19">
        <v>0</v>
      </c>
      <c r="CO175" s="19">
        <v>0</v>
      </c>
      <c r="CP175" s="19">
        <v>0</v>
      </c>
      <c r="CQ175" s="19">
        <v>0</v>
      </c>
      <c r="CR175" s="19">
        <v>0</v>
      </c>
      <c r="CS175" s="19">
        <v>0</v>
      </c>
      <c r="CT175" s="19">
        <v>0</v>
      </c>
      <c r="CU175" s="19">
        <v>0</v>
      </c>
      <c r="CV175" s="19">
        <v>0</v>
      </c>
      <c r="CW175" s="19">
        <v>0</v>
      </c>
      <c r="CX175" s="19">
        <v>0</v>
      </c>
      <c r="CY175" s="19">
        <v>0</v>
      </c>
      <c r="CZ175" s="19">
        <v>0</v>
      </c>
      <c r="DA175" s="19">
        <v>0</v>
      </c>
      <c r="DB175" s="19">
        <v>0</v>
      </c>
      <c r="DC175" s="19">
        <v>0</v>
      </c>
      <c r="DD175" s="19">
        <v>0</v>
      </c>
      <c r="DE175" s="19">
        <v>0</v>
      </c>
      <c r="DF175" s="23">
        <v>0</v>
      </c>
      <c r="DG175" s="23">
        <v>0</v>
      </c>
      <c r="DH175" s="23">
        <v>0</v>
      </c>
      <c r="DI175" s="19">
        <v>0</v>
      </c>
      <c r="DJ175" s="19">
        <v>0</v>
      </c>
      <c r="DK175" s="19">
        <v>0</v>
      </c>
      <c r="DL175" s="19">
        <v>0</v>
      </c>
      <c r="DM175" s="19">
        <v>0</v>
      </c>
      <c r="DN175" s="19">
        <v>0</v>
      </c>
      <c r="DO175" s="19">
        <v>0</v>
      </c>
      <c r="DP175" s="19">
        <v>0</v>
      </c>
      <c r="DQ175" s="19">
        <v>0</v>
      </c>
      <c r="DR175" s="19">
        <v>0</v>
      </c>
      <c r="DS175" s="19">
        <v>0</v>
      </c>
      <c r="DT175" s="19">
        <v>0</v>
      </c>
      <c r="DU175" s="19">
        <v>0</v>
      </c>
      <c r="DV175" s="19">
        <v>0</v>
      </c>
      <c r="DW175" s="17" t="s">
        <v>543</v>
      </c>
      <c r="DX175" s="22" t="s">
        <v>218</v>
      </c>
      <c r="DY175" s="22" t="s">
        <v>218</v>
      </c>
      <c r="DZ175" s="22" t="s">
        <v>218</v>
      </c>
      <c r="EA175" s="22" t="s">
        <v>218</v>
      </c>
      <c r="EB175" s="22" t="s">
        <v>218</v>
      </c>
      <c r="EC175" s="22" t="s">
        <v>218</v>
      </c>
      <c r="ED175" s="22" t="s">
        <v>218</v>
      </c>
      <c r="EE175" s="22" t="s">
        <v>218</v>
      </c>
      <c r="EF175" s="22" t="s">
        <v>218</v>
      </c>
      <c r="EG175" s="22" t="s">
        <v>218</v>
      </c>
      <c r="EH175" s="22" t="s">
        <v>218</v>
      </c>
      <c r="EI175" s="22" t="s">
        <v>218</v>
      </c>
      <c r="EJ175" s="22" t="s">
        <v>218</v>
      </c>
      <c r="EK175" s="22" t="s">
        <v>218</v>
      </c>
      <c r="EL175" s="22" t="s">
        <v>218</v>
      </c>
      <c r="EM175" s="22" t="s">
        <v>218</v>
      </c>
      <c r="EN175" s="22" t="s">
        <v>218</v>
      </c>
      <c r="EO175" s="22" t="s">
        <v>218</v>
      </c>
      <c r="EP175" s="22" t="s">
        <v>218</v>
      </c>
      <c r="EQ175" s="22" t="s">
        <v>218</v>
      </c>
      <c r="ER175" s="22" t="s">
        <v>218</v>
      </c>
      <c r="ES175" s="22" t="s">
        <v>218</v>
      </c>
      <c r="ET175" s="22" t="s">
        <v>218</v>
      </c>
      <c r="EU175" s="22" t="s">
        <v>218</v>
      </c>
      <c r="EV175" s="22" t="s">
        <v>218</v>
      </c>
      <c r="EW175" s="22" t="s">
        <v>218</v>
      </c>
      <c r="EX175" s="22" t="s">
        <v>218</v>
      </c>
      <c r="EY175" s="22" t="s">
        <v>218</v>
      </c>
      <c r="EZ175" s="22" t="s">
        <v>218</v>
      </c>
      <c r="FA175" s="22" t="s">
        <v>218</v>
      </c>
      <c r="FB175" s="22" t="s">
        <v>218</v>
      </c>
      <c r="FC175" s="22" t="s">
        <v>218</v>
      </c>
      <c r="FD175" s="22" t="s">
        <v>218</v>
      </c>
      <c r="FE175" s="22" t="s">
        <v>218</v>
      </c>
      <c r="FF175" s="22" t="s">
        <v>218</v>
      </c>
      <c r="FG175" s="22" t="s">
        <v>218</v>
      </c>
      <c r="FH175" s="22" t="s">
        <v>218</v>
      </c>
      <c r="FI175" s="22" t="s">
        <v>218</v>
      </c>
      <c r="FJ175" s="22" t="s">
        <v>218</v>
      </c>
      <c r="FK175" s="22" t="s">
        <v>218</v>
      </c>
      <c r="FL175" s="22" t="s">
        <v>218</v>
      </c>
      <c r="FM175" s="22" t="s">
        <v>218</v>
      </c>
      <c r="FN175" s="22" t="s">
        <v>218</v>
      </c>
      <c r="FO175" s="22" t="s">
        <v>218</v>
      </c>
      <c r="FP175" s="22" t="s">
        <v>218</v>
      </c>
      <c r="FQ175" s="22" t="s">
        <v>218</v>
      </c>
      <c r="FR175" s="22" t="s">
        <v>218</v>
      </c>
      <c r="FS175" s="22" t="s">
        <v>218</v>
      </c>
      <c r="FT175" s="22" t="s">
        <v>218</v>
      </c>
      <c r="FU175" s="22" t="s">
        <v>218</v>
      </c>
      <c r="FV175" s="22" t="s">
        <v>218</v>
      </c>
      <c r="FW175" s="22" t="s">
        <v>218</v>
      </c>
      <c r="FX175" s="22" t="s">
        <v>218</v>
      </c>
      <c r="FY175" s="22" t="s">
        <v>218</v>
      </c>
      <c r="FZ175" s="22" t="s">
        <v>218</v>
      </c>
      <c r="GA175" s="22" t="s">
        <v>218</v>
      </c>
      <c r="GB175" s="22" t="s">
        <v>218</v>
      </c>
      <c r="GC175" s="22" t="s">
        <v>218</v>
      </c>
      <c r="GD175" s="22" t="s">
        <v>218</v>
      </c>
      <c r="GE175" s="22" t="s">
        <v>218</v>
      </c>
      <c r="GF175" s="22" t="s">
        <v>218</v>
      </c>
      <c r="GG175" s="22" t="s">
        <v>218</v>
      </c>
      <c r="GH175" s="22" t="s">
        <v>218</v>
      </c>
      <c r="GI175" s="22" t="s">
        <v>218</v>
      </c>
      <c r="GJ175" s="22" t="s">
        <v>218</v>
      </c>
      <c r="GK175" s="22" t="s">
        <v>218</v>
      </c>
      <c r="GL175" s="22" t="s">
        <v>218</v>
      </c>
      <c r="GM175" s="22" t="s">
        <v>218</v>
      </c>
      <c r="GN175" s="22" t="s">
        <v>218</v>
      </c>
      <c r="GO175" s="22" t="s">
        <v>218</v>
      </c>
      <c r="GP175" s="22" t="s">
        <v>218</v>
      </c>
      <c r="GQ175" s="22" t="s">
        <v>218</v>
      </c>
      <c r="GR175" s="22" t="s">
        <v>218</v>
      </c>
      <c r="GS175" s="22" t="s">
        <v>218</v>
      </c>
      <c r="GT175" s="22" t="s">
        <v>218</v>
      </c>
      <c r="GU175" s="22" t="s">
        <v>218</v>
      </c>
      <c r="GV175" s="22" t="s">
        <v>218</v>
      </c>
      <c r="GW175" s="22" t="s">
        <v>218</v>
      </c>
      <c r="GX175" s="22" t="s">
        <v>218</v>
      </c>
      <c r="GY175" s="22" t="s">
        <v>218</v>
      </c>
      <c r="GZ175" s="22" t="s">
        <v>218</v>
      </c>
      <c r="HA175" s="22" t="s">
        <v>218</v>
      </c>
      <c r="HB175" s="22" t="s">
        <v>218</v>
      </c>
      <c r="HC175" s="22" t="s">
        <v>218</v>
      </c>
      <c r="HD175" s="22" t="s">
        <v>218</v>
      </c>
      <c r="HE175" s="22" t="s">
        <v>218</v>
      </c>
      <c r="HF175" s="22" t="s">
        <v>218</v>
      </c>
      <c r="HG175" s="22" t="s">
        <v>218</v>
      </c>
      <c r="HH175" s="22" t="s">
        <v>218</v>
      </c>
      <c r="HI175" s="22" t="s">
        <v>218</v>
      </c>
      <c r="HJ175" s="22" t="s">
        <v>218</v>
      </c>
      <c r="HK175" s="22" t="s">
        <v>218</v>
      </c>
      <c r="HL175" s="22" t="s">
        <v>218</v>
      </c>
      <c r="HM175" s="860"/>
      <c r="HN175" s="860"/>
      <c r="HO175" s="860"/>
      <c r="HP175" s="860"/>
      <c r="HQ175" s="860"/>
      <c r="HR175" s="860"/>
      <c r="HS175" s="860"/>
      <c r="HT175" s="145"/>
      <c r="HU175" s="145" t="s">
        <v>1809</v>
      </c>
      <c r="HV175" s="22" t="s">
        <v>1926</v>
      </c>
      <c r="HW175" s="22">
        <v>0</v>
      </c>
      <c r="HX175" s="22">
        <v>0</v>
      </c>
      <c r="HY175" s="22">
        <v>0</v>
      </c>
      <c r="HZ175" s="19"/>
      <c r="IA175" s="19"/>
      <c r="IB175" s="621">
        <f>'background data'!$G$10</f>
        <v>0.47300000000000003</v>
      </c>
      <c r="IC175" s="621">
        <f>'background data'!$H$10</f>
        <v>0.13</v>
      </c>
      <c r="ID175" s="621">
        <f>'background data'!$J$10</f>
        <v>0.39100000000000001</v>
      </c>
      <c r="IE175" s="621">
        <f>'background data'!$L$10</f>
        <v>5.5E-2</v>
      </c>
      <c r="IF175" s="621">
        <f>'background data'!$M$10</f>
        <v>3.97</v>
      </c>
      <c r="IG175" s="621">
        <f>'background data'!$N$10</f>
        <v>4.5999999999999999E-3</v>
      </c>
      <c r="IH175" s="621">
        <f>'background data'!$O$10</f>
        <v>2.73</v>
      </c>
      <c r="II175" s="145"/>
      <c r="IJ175" s="145"/>
      <c r="IK175" s="145"/>
      <c r="IL175" s="145"/>
      <c r="IM175" s="145"/>
      <c r="IN175" s="145"/>
      <c r="IO175" s="145"/>
      <c r="IP175" s="145"/>
      <c r="IQ175" s="145"/>
      <c r="IR175" s="145"/>
      <c r="IS175" s="145"/>
      <c r="IT175" s="145"/>
      <c r="IU175" s="145"/>
      <c r="IV175" s="145"/>
      <c r="IW175" s="145"/>
      <c r="IX175" s="145"/>
      <c r="IY175" s="145"/>
      <c r="IZ175" s="145"/>
      <c r="JA175" s="145"/>
      <c r="JB175" s="145"/>
      <c r="JC175" s="145"/>
      <c r="JD175" s="145"/>
      <c r="JE175" s="145"/>
      <c r="JF175" s="145"/>
      <c r="JG175" s="145"/>
      <c r="JH175" s="145"/>
      <c r="JI175" s="145"/>
      <c r="JJ175" s="145"/>
      <c r="JK175" s="145"/>
      <c r="JL175" s="145"/>
      <c r="JM175" s="145"/>
      <c r="JN175" s="145"/>
      <c r="JO175" s="145"/>
      <c r="JP175" s="145"/>
      <c r="JQ175" s="145"/>
      <c r="JR175" s="145"/>
      <c r="JS175" s="145"/>
      <c r="JT175" s="145"/>
      <c r="JU175" s="145"/>
      <c r="JV175" s="145"/>
      <c r="JW175" s="145"/>
      <c r="JX175" s="145"/>
      <c r="JY175" s="145"/>
      <c r="JZ175" s="145"/>
      <c r="KA175" s="145"/>
      <c r="KB175" s="145"/>
      <c r="KC175" s="145"/>
      <c r="KD175" s="145"/>
      <c r="KE175" s="145"/>
      <c r="KF175" s="145"/>
      <c r="KG175" s="145"/>
      <c r="KH175" s="145"/>
      <c r="KI175" s="145"/>
      <c r="KJ175" s="145"/>
      <c r="KK175" s="145"/>
      <c r="KL175" s="145"/>
      <c r="KM175" s="145"/>
      <c r="KN175" s="145"/>
      <c r="KO175" s="145"/>
      <c r="KP175" s="145"/>
      <c r="KQ175" s="145"/>
      <c r="KR175" s="145"/>
      <c r="KS175" s="145"/>
      <c r="KT175" s="145"/>
      <c r="KU175" s="145"/>
      <c r="KV175" s="145"/>
      <c r="KW175" s="145"/>
      <c r="KX175" s="145"/>
      <c r="KY175" s="145"/>
      <c r="KZ175" s="145"/>
      <c r="LA175" s="145"/>
      <c r="LB175" s="145"/>
      <c r="LC175" s="145"/>
      <c r="LD175" s="145"/>
      <c r="LE175" s="145"/>
      <c r="LF175" s="145"/>
      <c r="LG175" s="145"/>
      <c r="LH175" s="145"/>
      <c r="LI175" s="145"/>
      <c r="LJ175" s="145"/>
      <c r="LK175" s="145"/>
      <c r="LL175" s="145"/>
      <c r="LM175" s="145"/>
      <c r="LN175" s="145"/>
      <c r="LO175" s="145"/>
      <c r="LP175" s="145"/>
      <c r="LQ175" s="145"/>
      <c r="LR175" s="145"/>
      <c r="LS175" s="145"/>
      <c r="LT175" s="145"/>
      <c r="LU175" s="145"/>
      <c r="LV175" s="145"/>
      <c r="LW175" s="145"/>
      <c r="LX175" s="145"/>
      <c r="LY175" s="145"/>
      <c r="LZ175" s="145"/>
      <c r="MA175" s="145"/>
      <c r="MB175" s="145"/>
      <c r="MC175" s="145"/>
      <c r="MD175" s="145"/>
      <c r="ME175" s="145"/>
      <c r="MF175" s="145"/>
      <c r="MG175" s="145"/>
      <c r="MH175" s="145"/>
      <c r="MI175" s="145"/>
      <c r="MJ175" s="145"/>
      <c r="MK175" s="145"/>
      <c r="ML175" s="145"/>
      <c r="MM175" s="145"/>
      <c r="MN175" s="145"/>
      <c r="MO175" s="145"/>
      <c r="MP175" s="145"/>
      <c r="MQ175" s="145"/>
      <c r="MR175" s="145"/>
      <c r="MS175" s="145"/>
      <c r="MT175" s="145"/>
      <c r="MU175" s="145"/>
      <c r="MV175" s="145"/>
      <c r="MW175" s="145"/>
      <c r="MX175" s="145"/>
      <c r="MY175" s="145"/>
      <c r="MZ175" s="145"/>
      <c r="NA175" s="145"/>
      <c r="NB175" s="145"/>
      <c r="NC175" s="145"/>
      <c r="ND175" s="145"/>
      <c r="NE175" s="145"/>
      <c r="NF175" s="145"/>
      <c r="NG175" s="145"/>
      <c r="NH175" s="145"/>
      <c r="NI175" s="145"/>
      <c r="NJ175" s="145"/>
      <c r="NK175" s="145"/>
      <c r="NL175" s="145"/>
      <c r="NM175" s="145"/>
      <c r="NN175" s="145"/>
      <c r="NO175" s="145"/>
      <c r="NP175" s="145"/>
      <c r="NQ175" s="145"/>
      <c r="NR175" s="145"/>
      <c r="NS175" s="145"/>
    </row>
    <row r="176" spans="1:383" s="16" customFormat="1" ht="15" customHeight="1" x14ac:dyDescent="0.2">
      <c r="A176" s="15">
        <v>48700</v>
      </c>
      <c r="B176" s="25">
        <v>487</v>
      </c>
      <c r="C176" s="26">
        <v>0</v>
      </c>
      <c r="D176" s="20" t="s">
        <v>544</v>
      </c>
      <c r="E176" s="14">
        <v>40310</v>
      </c>
      <c r="F176" s="18">
        <v>-0.112682926829268</v>
      </c>
      <c r="G176" s="18">
        <v>-0.108</v>
      </c>
      <c r="H176" s="21">
        <v>70</v>
      </c>
      <c r="I176" s="21">
        <v>70</v>
      </c>
      <c r="J176" s="21">
        <v>0</v>
      </c>
      <c r="K176" s="18">
        <v>1</v>
      </c>
      <c r="L176" s="18">
        <v>99</v>
      </c>
      <c r="M176" s="18">
        <v>0</v>
      </c>
      <c r="N176" s="18">
        <v>0</v>
      </c>
      <c r="O176" s="18">
        <v>99</v>
      </c>
      <c r="P176" s="18">
        <v>0</v>
      </c>
      <c r="Q176" s="19"/>
      <c r="R176" s="18">
        <v>0</v>
      </c>
      <c r="S176" s="18">
        <v>0</v>
      </c>
      <c r="T176" s="18">
        <v>0</v>
      </c>
      <c r="U176" s="18">
        <v>0</v>
      </c>
      <c r="V176" s="18">
        <v>0</v>
      </c>
      <c r="W176" s="18">
        <v>0</v>
      </c>
      <c r="X176" s="18"/>
      <c r="Y176" s="18">
        <v>0</v>
      </c>
      <c r="Z176" s="18">
        <v>0</v>
      </c>
      <c r="AA176" s="18">
        <v>2.6868686868686869</v>
      </c>
      <c r="AB176" s="18">
        <v>0</v>
      </c>
      <c r="AC176" s="18">
        <v>0</v>
      </c>
      <c r="AD176" s="18">
        <v>0</v>
      </c>
      <c r="AE176" s="18">
        <v>0</v>
      </c>
      <c r="AF176" s="18">
        <v>0</v>
      </c>
      <c r="AG176" s="18">
        <v>0</v>
      </c>
      <c r="AH176" s="18">
        <v>0</v>
      </c>
      <c r="AI176" s="18">
        <v>0</v>
      </c>
      <c r="AJ176" s="18">
        <v>0</v>
      </c>
      <c r="AK176" s="18">
        <v>4646.4646464646466</v>
      </c>
      <c r="AL176" s="18"/>
      <c r="AM176" s="18">
        <v>0</v>
      </c>
      <c r="AN176" s="18">
        <v>0</v>
      </c>
      <c r="AO176" s="18">
        <v>0</v>
      </c>
      <c r="AP176" s="18">
        <v>0</v>
      </c>
      <c r="AQ176" s="18">
        <v>0</v>
      </c>
      <c r="AR176" s="18">
        <v>0</v>
      </c>
      <c r="AS176" s="18">
        <v>0</v>
      </c>
      <c r="AT176" s="18">
        <v>0</v>
      </c>
      <c r="AU176" s="18">
        <v>0</v>
      </c>
      <c r="AV176" s="18">
        <v>0</v>
      </c>
      <c r="AW176" s="18">
        <v>0</v>
      </c>
      <c r="AX176" s="18"/>
      <c r="AY176" s="18">
        <v>1</v>
      </c>
      <c r="AZ176" s="18">
        <v>1</v>
      </c>
      <c r="BA176" s="18">
        <v>1</v>
      </c>
      <c r="BB176" s="18">
        <v>1</v>
      </c>
      <c r="BC176" s="18">
        <v>1</v>
      </c>
      <c r="BD176" s="18">
        <v>1</v>
      </c>
      <c r="BE176" s="18">
        <v>1</v>
      </c>
      <c r="BF176" s="18">
        <v>1</v>
      </c>
      <c r="BG176" s="18">
        <v>1</v>
      </c>
      <c r="BH176" s="18">
        <v>1</v>
      </c>
      <c r="BI176" s="18">
        <v>1</v>
      </c>
      <c r="BJ176" s="19"/>
      <c r="BK176" s="18">
        <v>0</v>
      </c>
      <c r="BL176" s="18">
        <v>0</v>
      </c>
      <c r="BM176" s="18">
        <v>100</v>
      </c>
      <c r="BN176" s="18">
        <v>0</v>
      </c>
      <c r="BO176" s="18"/>
      <c r="BP176" s="18">
        <v>0</v>
      </c>
      <c r="BQ176" s="18">
        <v>0</v>
      </c>
      <c r="BR176" s="18">
        <v>-0.11382113821138182</v>
      </c>
      <c r="BS176" s="18">
        <v>-0.10909090909090909</v>
      </c>
      <c r="BT176" s="19"/>
      <c r="BU176" s="18">
        <v>0</v>
      </c>
      <c r="BV176" s="18">
        <v>0</v>
      </c>
      <c r="BW176" s="18">
        <v>0</v>
      </c>
      <c r="BX176" s="18" t="s">
        <v>217</v>
      </c>
      <c r="BY176" s="18" t="s">
        <v>217</v>
      </c>
      <c r="BZ176" s="18" t="s">
        <v>217</v>
      </c>
      <c r="CA176" s="18" t="s">
        <v>217</v>
      </c>
      <c r="CB176" s="19"/>
      <c r="CC176" s="19">
        <v>0</v>
      </c>
      <c r="CD176" s="19">
        <v>0</v>
      </c>
      <c r="CE176" s="19">
        <v>2.66</v>
      </c>
      <c r="CF176" s="19">
        <v>0</v>
      </c>
      <c r="CG176" s="19">
        <v>0</v>
      </c>
      <c r="CH176" s="19">
        <v>0</v>
      </c>
      <c r="CI176" s="19">
        <v>0</v>
      </c>
      <c r="CJ176" s="19"/>
      <c r="CK176" s="19">
        <v>0</v>
      </c>
      <c r="CL176" s="19">
        <v>0</v>
      </c>
      <c r="CM176" s="19">
        <v>0</v>
      </c>
      <c r="CN176" s="19">
        <v>0</v>
      </c>
      <c r="CO176" s="19">
        <v>0</v>
      </c>
      <c r="CP176" s="19">
        <v>4600</v>
      </c>
      <c r="CQ176" s="19">
        <v>0</v>
      </c>
      <c r="CR176" s="19">
        <v>0</v>
      </c>
      <c r="CS176" s="19">
        <v>0</v>
      </c>
      <c r="CT176" s="19">
        <v>0</v>
      </c>
      <c r="CU176" s="19">
        <v>0</v>
      </c>
      <c r="CV176" s="19">
        <v>0</v>
      </c>
      <c r="CW176" s="19">
        <v>0</v>
      </c>
      <c r="CX176" s="19">
        <v>0</v>
      </c>
      <c r="CY176" s="19">
        <v>0</v>
      </c>
      <c r="CZ176" s="19">
        <v>0</v>
      </c>
      <c r="DA176" s="19">
        <v>0</v>
      </c>
      <c r="DB176" s="19">
        <v>0</v>
      </c>
      <c r="DC176" s="19">
        <v>0</v>
      </c>
      <c r="DD176" s="19">
        <v>0</v>
      </c>
      <c r="DE176" s="19">
        <v>0</v>
      </c>
      <c r="DF176" s="23">
        <v>0</v>
      </c>
      <c r="DG176" s="23">
        <v>0</v>
      </c>
      <c r="DH176" s="23">
        <v>0</v>
      </c>
      <c r="DI176" s="19">
        <v>0</v>
      </c>
      <c r="DJ176" s="19">
        <v>0</v>
      </c>
      <c r="DK176" s="19">
        <v>0</v>
      </c>
      <c r="DL176" s="19">
        <v>0</v>
      </c>
      <c r="DM176" s="19">
        <v>0</v>
      </c>
      <c r="DN176" s="19">
        <v>0</v>
      </c>
      <c r="DO176" s="19">
        <v>0</v>
      </c>
      <c r="DP176" s="19">
        <v>0</v>
      </c>
      <c r="DQ176" s="19">
        <v>0</v>
      </c>
      <c r="DR176" s="19">
        <v>0</v>
      </c>
      <c r="DS176" s="19">
        <v>0</v>
      </c>
      <c r="DT176" s="19">
        <v>0</v>
      </c>
      <c r="DU176" s="19">
        <v>0</v>
      </c>
      <c r="DV176" s="19">
        <v>0</v>
      </c>
      <c r="DW176" s="17" t="s">
        <v>218</v>
      </c>
      <c r="DX176" s="22" t="s">
        <v>218</v>
      </c>
      <c r="DY176" s="22" t="s">
        <v>218</v>
      </c>
      <c r="DZ176" s="22" t="s">
        <v>218</v>
      </c>
      <c r="EA176" s="22" t="s">
        <v>218</v>
      </c>
      <c r="EB176" s="22" t="s">
        <v>218</v>
      </c>
      <c r="EC176" s="22" t="s">
        <v>218</v>
      </c>
      <c r="ED176" s="22" t="s">
        <v>218</v>
      </c>
      <c r="EE176" s="22" t="s">
        <v>218</v>
      </c>
      <c r="EF176" s="22" t="s">
        <v>218</v>
      </c>
      <c r="EG176" s="22" t="s">
        <v>218</v>
      </c>
      <c r="EH176" s="22" t="s">
        <v>218</v>
      </c>
      <c r="EI176" s="22" t="s">
        <v>218</v>
      </c>
      <c r="EJ176" s="22" t="s">
        <v>218</v>
      </c>
      <c r="EK176" s="22" t="s">
        <v>218</v>
      </c>
      <c r="EL176" s="22" t="s">
        <v>218</v>
      </c>
      <c r="EM176" s="22" t="s">
        <v>218</v>
      </c>
      <c r="EN176" s="22" t="s">
        <v>218</v>
      </c>
      <c r="EO176" s="22" t="s">
        <v>218</v>
      </c>
      <c r="EP176" s="22" t="s">
        <v>218</v>
      </c>
      <c r="EQ176" s="22" t="s">
        <v>218</v>
      </c>
      <c r="ER176" s="22" t="s">
        <v>218</v>
      </c>
      <c r="ES176" s="22" t="s">
        <v>218</v>
      </c>
      <c r="ET176" s="22" t="s">
        <v>218</v>
      </c>
      <c r="EU176" s="22" t="s">
        <v>218</v>
      </c>
      <c r="EV176" s="22" t="s">
        <v>218</v>
      </c>
      <c r="EW176" s="22" t="s">
        <v>218</v>
      </c>
      <c r="EX176" s="22" t="s">
        <v>218</v>
      </c>
      <c r="EY176" s="22" t="s">
        <v>218</v>
      </c>
      <c r="EZ176" s="22" t="s">
        <v>218</v>
      </c>
      <c r="FA176" s="22" t="s">
        <v>218</v>
      </c>
      <c r="FB176" s="22" t="s">
        <v>218</v>
      </c>
      <c r="FC176" s="22" t="s">
        <v>218</v>
      </c>
      <c r="FD176" s="22" t="s">
        <v>218</v>
      </c>
      <c r="FE176" s="22" t="s">
        <v>218</v>
      </c>
      <c r="FF176" s="22" t="s">
        <v>218</v>
      </c>
      <c r="FG176" s="22" t="s">
        <v>218</v>
      </c>
      <c r="FH176" s="22" t="s">
        <v>218</v>
      </c>
      <c r="FI176" s="22" t="s">
        <v>218</v>
      </c>
      <c r="FJ176" s="22" t="s">
        <v>218</v>
      </c>
      <c r="FK176" s="22" t="s">
        <v>218</v>
      </c>
      <c r="FL176" s="22" t="s">
        <v>218</v>
      </c>
      <c r="FM176" s="22" t="s">
        <v>218</v>
      </c>
      <c r="FN176" s="22" t="s">
        <v>218</v>
      </c>
      <c r="FO176" s="22" t="s">
        <v>218</v>
      </c>
      <c r="FP176" s="22" t="s">
        <v>218</v>
      </c>
      <c r="FQ176" s="22" t="s">
        <v>218</v>
      </c>
      <c r="FR176" s="22" t="s">
        <v>218</v>
      </c>
      <c r="FS176" s="22" t="s">
        <v>218</v>
      </c>
      <c r="FT176" s="22" t="s">
        <v>218</v>
      </c>
      <c r="FU176" s="22" t="s">
        <v>218</v>
      </c>
      <c r="FV176" s="22" t="s">
        <v>218</v>
      </c>
      <c r="FW176" s="22" t="s">
        <v>218</v>
      </c>
      <c r="FX176" s="22" t="s">
        <v>218</v>
      </c>
      <c r="FY176" s="22" t="s">
        <v>218</v>
      </c>
      <c r="FZ176" s="22" t="s">
        <v>218</v>
      </c>
      <c r="GA176" s="22" t="s">
        <v>218</v>
      </c>
      <c r="GB176" s="22" t="s">
        <v>218</v>
      </c>
      <c r="GC176" s="22" t="s">
        <v>218</v>
      </c>
      <c r="GD176" s="22" t="s">
        <v>218</v>
      </c>
      <c r="GE176" s="22" t="s">
        <v>218</v>
      </c>
      <c r="GF176" s="22" t="s">
        <v>218</v>
      </c>
      <c r="GG176" s="22" t="s">
        <v>218</v>
      </c>
      <c r="GH176" s="22" t="s">
        <v>218</v>
      </c>
      <c r="GI176" s="22" t="s">
        <v>218</v>
      </c>
      <c r="GJ176" s="22" t="s">
        <v>218</v>
      </c>
      <c r="GK176" s="22" t="s">
        <v>218</v>
      </c>
      <c r="GL176" s="22" t="s">
        <v>218</v>
      </c>
      <c r="GM176" s="22" t="s">
        <v>218</v>
      </c>
      <c r="GN176" s="22" t="s">
        <v>218</v>
      </c>
      <c r="GO176" s="22" t="s">
        <v>218</v>
      </c>
      <c r="GP176" s="22" t="s">
        <v>218</v>
      </c>
      <c r="GQ176" s="22" t="s">
        <v>218</v>
      </c>
      <c r="GR176" s="22" t="s">
        <v>218</v>
      </c>
      <c r="GS176" s="22" t="s">
        <v>218</v>
      </c>
      <c r="GT176" s="22" t="s">
        <v>218</v>
      </c>
      <c r="GU176" s="22" t="s">
        <v>218</v>
      </c>
      <c r="GV176" s="22" t="s">
        <v>218</v>
      </c>
      <c r="GW176" s="22" t="s">
        <v>218</v>
      </c>
      <c r="GX176" s="22" t="s">
        <v>218</v>
      </c>
      <c r="GY176" s="22" t="s">
        <v>218</v>
      </c>
      <c r="GZ176" s="22" t="s">
        <v>218</v>
      </c>
      <c r="HA176" s="22" t="s">
        <v>218</v>
      </c>
      <c r="HB176" s="22" t="s">
        <v>218</v>
      </c>
      <c r="HC176" s="22" t="s">
        <v>218</v>
      </c>
      <c r="HD176" s="22" t="s">
        <v>218</v>
      </c>
      <c r="HE176" s="22" t="s">
        <v>218</v>
      </c>
      <c r="HF176" s="22" t="s">
        <v>218</v>
      </c>
      <c r="HG176" s="22" t="s">
        <v>218</v>
      </c>
      <c r="HH176" s="22" t="s">
        <v>218</v>
      </c>
      <c r="HI176" s="22" t="s">
        <v>218</v>
      </c>
      <c r="HJ176" s="22" t="s">
        <v>218</v>
      </c>
      <c r="HK176" s="22" t="s">
        <v>218</v>
      </c>
      <c r="HL176" s="22" t="s">
        <v>218</v>
      </c>
      <c r="HM176" s="860"/>
      <c r="HN176" s="860"/>
      <c r="HO176" s="860"/>
      <c r="HP176" s="860"/>
      <c r="HQ176" s="860"/>
      <c r="HR176" s="860"/>
      <c r="HS176" s="860"/>
      <c r="HT176" s="145"/>
      <c r="HU176" s="145" t="s">
        <v>1809</v>
      </c>
      <c r="HV176" s="22" t="s">
        <v>1926</v>
      </c>
      <c r="HW176" s="22">
        <v>0</v>
      </c>
      <c r="HX176" s="22">
        <v>0</v>
      </c>
      <c r="HY176" s="22">
        <v>0</v>
      </c>
      <c r="HZ176" s="19"/>
      <c r="IA176" s="19"/>
      <c r="IB176" s="621">
        <f>'background data'!$G$10</f>
        <v>0.47300000000000003</v>
      </c>
      <c r="IC176" s="621">
        <f>'background data'!$H$10</f>
        <v>0.13</v>
      </c>
      <c r="ID176" s="621">
        <f>'background data'!$J$10</f>
        <v>0.39100000000000001</v>
      </c>
      <c r="IE176" s="621">
        <f>'background data'!$L$10</f>
        <v>5.5E-2</v>
      </c>
      <c r="IF176" s="621">
        <f>'background data'!$M$10</f>
        <v>3.97</v>
      </c>
      <c r="IG176" s="621">
        <f>'background data'!$N$10</f>
        <v>4.5999999999999999E-3</v>
      </c>
      <c r="IH176" s="621">
        <f>'background data'!$O$10</f>
        <v>2.73</v>
      </c>
      <c r="II176" s="145"/>
      <c r="IJ176" s="145"/>
      <c r="IK176" s="145"/>
      <c r="IL176" s="145"/>
      <c r="IM176" s="145"/>
      <c r="IN176" s="145"/>
      <c r="IO176" s="145"/>
      <c r="IP176" s="145"/>
      <c r="IQ176" s="145"/>
      <c r="IR176" s="145"/>
      <c r="IS176" s="145"/>
      <c r="IT176" s="145"/>
      <c r="IU176" s="145"/>
      <c r="IV176" s="145"/>
      <c r="IW176" s="145"/>
      <c r="IX176" s="145"/>
      <c r="IY176" s="145"/>
      <c r="IZ176" s="145"/>
      <c r="JA176" s="145"/>
      <c r="JB176" s="145"/>
      <c r="JC176" s="145"/>
      <c r="JD176" s="145"/>
      <c r="JE176" s="145"/>
      <c r="JF176" s="145"/>
      <c r="JG176" s="145"/>
      <c r="JH176" s="145"/>
      <c r="JI176" s="145"/>
      <c r="JJ176" s="145"/>
      <c r="JK176" s="145"/>
      <c r="JL176" s="145"/>
      <c r="JM176" s="145"/>
      <c r="JN176" s="145"/>
      <c r="JO176" s="145"/>
      <c r="JP176" s="145"/>
      <c r="JQ176" s="145"/>
      <c r="JR176" s="145"/>
      <c r="JS176" s="145"/>
      <c r="JT176" s="145"/>
      <c r="JU176" s="145"/>
      <c r="JV176" s="145"/>
      <c r="JW176" s="145"/>
      <c r="JX176" s="145"/>
      <c r="JY176" s="145"/>
      <c r="JZ176" s="145"/>
      <c r="KA176" s="145"/>
      <c r="KB176" s="145"/>
      <c r="KC176" s="145"/>
      <c r="KD176" s="145"/>
      <c r="KE176" s="145"/>
      <c r="KF176" s="145"/>
      <c r="KG176" s="145"/>
      <c r="KH176" s="145"/>
      <c r="KI176" s="145"/>
      <c r="KJ176" s="145"/>
      <c r="KK176" s="145"/>
      <c r="KL176" s="145"/>
      <c r="KM176" s="145"/>
      <c r="KN176" s="145"/>
      <c r="KO176" s="145"/>
      <c r="KP176" s="145"/>
      <c r="KQ176" s="145"/>
      <c r="KR176" s="145"/>
      <c r="KS176" s="145"/>
      <c r="KT176" s="145"/>
      <c r="KU176" s="145"/>
      <c r="KV176" s="145"/>
      <c r="KW176" s="145"/>
      <c r="KX176" s="145"/>
      <c r="KY176" s="145"/>
      <c r="KZ176" s="145"/>
      <c r="LA176" s="145"/>
      <c r="LB176" s="145"/>
      <c r="LC176" s="145"/>
      <c r="LD176" s="145"/>
      <c r="LE176" s="145"/>
      <c r="LF176" s="145"/>
      <c r="LG176" s="145"/>
      <c r="LH176" s="145"/>
      <c r="LI176" s="145"/>
      <c r="LJ176" s="145"/>
      <c r="LK176" s="145"/>
      <c r="LL176" s="145"/>
      <c r="LM176" s="145"/>
      <c r="LN176" s="145"/>
      <c r="LO176" s="145"/>
      <c r="LP176" s="145"/>
      <c r="LQ176" s="145"/>
      <c r="LR176" s="145"/>
      <c r="LS176" s="145"/>
      <c r="LT176" s="145"/>
      <c r="LU176" s="145"/>
      <c r="LV176" s="145"/>
      <c r="LW176" s="145"/>
      <c r="LX176" s="145"/>
      <c r="LY176" s="145"/>
      <c r="LZ176" s="145"/>
      <c r="MA176" s="145"/>
      <c r="MB176" s="145"/>
      <c r="MC176" s="145"/>
      <c r="MD176" s="145"/>
      <c r="ME176" s="145"/>
      <c r="MF176" s="145"/>
      <c r="MG176" s="145"/>
      <c r="MH176" s="145"/>
      <c r="MI176" s="145"/>
      <c r="MJ176" s="145"/>
      <c r="MK176" s="145"/>
      <c r="ML176" s="145"/>
      <c r="MM176" s="145"/>
      <c r="MN176" s="145"/>
      <c r="MO176" s="145"/>
      <c r="MP176" s="145"/>
      <c r="MQ176" s="145"/>
      <c r="MR176" s="145"/>
      <c r="MS176" s="145"/>
      <c r="MT176" s="145"/>
      <c r="MU176" s="145"/>
      <c r="MV176" s="145"/>
      <c r="MW176" s="145"/>
      <c r="MX176" s="145"/>
      <c r="MY176" s="145"/>
      <c r="MZ176" s="145"/>
      <c r="NA176" s="145"/>
      <c r="NB176" s="145"/>
      <c r="NC176" s="145"/>
      <c r="ND176" s="145"/>
      <c r="NE176" s="145"/>
      <c r="NF176" s="145"/>
      <c r="NG176" s="145"/>
      <c r="NH176" s="145"/>
      <c r="NI176" s="145"/>
      <c r="NJ176" s="145"/>
      <c r="NK176" s="145"/>
      <c r="NL176" s="145"/>
      <c r="NM176" s="145"/>
      <c r="NN176" s="145"/>
      <c r="NO176" s="145"/>
      <c r="NP176" s="145"/>
      <c r="NQ176" s="145"/>
      <c r="NR176" s="145"/>
      <c r="NS176" s="145"/>
    </row>
    <row r="177" spans="1:383" s="16" customFormat="1" ht="15" customHeight="1" x14ac:dyDescent="0.2">
      <c r="A177" s="15">
        <v>95010</v>
      </c>
      <c r="B177" s="25">
        <v>950</v>
      </c>
      <c r="C177" s="26">
        <v>10</v>
      </c>
      <c r="D177" s="20" t="s">
        <v>545</v>
      </c>
      <c r="E177" s="14">
        <v>40310</v>
      </c>
      <c r="F177" s="18">
        <v>1.45860433604336</v>
      </c>
      <c r="G177" s="18">
        <v>1.39798701298702</v>
      </c>
      <c r="H177" s="21">
        <v>100</v>
      </c>
      <c r="I177" s="21">
        <v>100</v>
      </c>
      <c r="J177" s="21">
        <v>100</v>
      </c>
      <c r="K177" s="18">
        <v>1</v>
      </c>
      <c r="L177" s="18">
        <v>99</v>
      </c>
      <c r="M177" s="18">
        <v>50</v>
      </c>
      <c r="N177" s="18">
        <v>0</v>
      </c>
      <c r="O177" s="18">
        <v>0</v>
      </c>
      <c r="P177" s="18">
        <v>0</v>
      </c>
      <c r="Q177" s="19"/>
      <c r="R177" s="18">
        <v>0</v>
      </c>
      <c r="S177" s="18">
        <v>0</v>
      </c>
      <c r="T177" s="18">
        <v>0</v>
      </c>
      <c r="U177" s="18">
        <v>0</v>
      </c>
      <c r="V177" s="18">
        <v>0</v>
      </c>
      <c r="W177" s="18">
        <v>0</v>
      </c>
      <c r="X177" s="18"/>
      <c r="Y177" s="18">
        <v>0</v>
      </c>
      <c r="Z177" s="18">
        <v>0</v>
      </c>
      <c r="AA177" s="18">
        <v>0</v>
      </c>
      <c r="AB177" s="18">
        <v>0</v>
      </c>
      <c r="AC177" s="18">
        <v>0</v>
      </c>
      <c r="AD177" s="18">
        <v>0</v>
      </c>
      <c r="AE177" s="18">
        <v>0</v>
      </c>
      <c r="AF177" s="18">
        <v>0</v>
      </c>
      <c r="AG177" s="18">
        <v>0</v>
      </c>
      <c r="AH177" s="18">
        <v>0</v>
      </c>
      <c r="AI177" s="18">
        <v>0</v>
      </c>
      <c r="AJ177" s="18">
        <v>0</v>
      </c>
      <c r="AK177" s="18">
        <v>0</v>
      </c>
      <c r="AL177" s="18"/>
      <c r="AM177" s="18">
        <v>0</v>
      </c>
      <c r="AN177" s="18">
        <v>0</v>
      </c>
      <c r="AO177" s="18">
        <v>0</v>
      </c>
      <c r="AP177" s="18">
        <v>0</v>
      </c>
      <c r="AQ177" s="18">
        <v>0</v>
      </c>
      <c r="AR177" s="18">
        <v>0</v>
      </c>
      <c r="AS177" s="18">
        <v>0</v>
      </c>
      <c r="AT177" s="18">
        <v>0</v>
      </c>
      <c r="AU177" s="18">
        <v>0</v>
      </c>
      <c r="AV177" s="18">
        <v>0</v>
      </c>
      <c r="AW177" s="18">
        <v>0</v>
      </c>
      <c r="AX177" s="18"/>
      <c r="AY177" s="18">
        <v>1</v>
      </c>
      <c r="AZ177" s="18">
        <v>1</v>
      </c>
      <c r="BA177" s="18">
        <v>1</v>
      </c>
      <c r="BB177" s="18">
        <v>1</v>
      </c>
      <c r="BC177" s="18">
        <v>1</v>
      </c>
      <c r="BD177" s="18">
        <v>1</v>
      </c>
      <c r="BE177" s="18">
        <v>1</v>
      </c>
      <c r="BF177" s="18">
        <v>1</v>
      </c>
      <c r="BG177" s="18">
        <v>1</v>
      </c>
      <c r="BH177" s="18">
        <v>1</v>
      </c>
      <c r="BI177" s="18">
        <v>1</v>
      </c>
      <c r="BJ177" s="19"/>
      <c r="BK177" s="18">
        <v>50.505050505050505</v>
      </c>
      <c r="BL177" s="18">
        <v>0</v>
      </c>
      <c r="BM177" s="18">
        <v>0</v>
      </c>
      <c r="BN177" s="18">
        <v>0</v>
      </c>
      <c r="BO177" s="18"/>
      <c r="BP177" s="18">
        <v>0</v>
      </c>
      <c r="BQ177" s="18">
        <v>0</v>
      </c>
      <c r="BR177" s="18">
        <v>1.4733377131751111</v>
      </c>
      <c r="BS177" s="18">
        <v>1.4121080939262829</v>
      </c>
      <c r="BT177" s="19"/>
      <c r="BU177" s="18">
        <v>1000</v>
      </c>
      <c r="BV177" s="18">
        <v>540.40404040404042</v>
      </c>
      <c r="BW177" s="18">
        <v>0</v>
      </c>
      <c r="BX177" s="18" t="s">
        <v>217</v>
      </c>
      <c r="BY177" s="18" t="s">
        <v>217</v>
      </c>
      <c r="BZ177" s="18" t="s">
        <v>217</v>
      </c>
      <c r="CA177" s="18" t="s">
        <v>217</v>
      </c>
      <c r="CB177" s="19"/>
      <c r="CC177" s="19">
        <v>0</v>
      </c>
      <c r="CD177" s="19">
        <v>0</v>
      </c>
      <c r="CE177" s="19">
        <v>0</v>
      </c>
      <c r="CF177" s="19">
        <v>0</v>
      </c>
      <c r="CG177" s="19">
        <v>0</v>
      </c>
      <c r="CH177" s="19">
        <v>0</v>
      </c>
      <c r="CI177" s="19">
        <v>0</v>
      </c>
      <c r="CJ177" s="19"/>
      <c r="CK177" s="19">
        <v>0</v>
      </c>
      <c r="CL177" s="19">
        <v>0</v>
      </c>
      <c r="CM177" s="19">
        <v>0</v>
      </c>
      <c r="CN177" s="19">
        <v>0</v>
      </c>
      <c r="CO177" s="19">
        <v>0</v>
      </c>
      <c r="CP177" s="19">
        <v>0</v>
      </c>
      <c r="CQ177" s="19">
        <v>0</v>
      </c>
      <c r="CR177" s="19">
        <v>0</v>
      </c>
      <c r="CS177" s="19">
        <v>0</v>
      </c>
      <c r="CT177" s="19">
        <v>0</v>
      </c>
      <c r="CU177" s="19">
        <v>0</v>
      </c>
      <c r="CV177" s="19">
        <v>0</v>
      </c>
      <c r="CW177" s="19">
        <v>0</v>
      </c>
      <c r="CX177" s="19">
        <v>0</v>
      </c>
      <c r="CY177" s="19">
        <v>0</v>
      </c>
      <c r="CZ177" s="19">
        <v>0</v>
      </c>
      <c r="DA177" s="19">
        <v>0</v>
      </c>
      <c r="DB177" s="19">
        <v>0</v>
      </c>
      <c r="DC177" s="19">
        <v>0</v>
      </c>
      <c r="DD177" s="19">
        <v>0</v>
      </c>
      <c r="DE177" s="19">
        <v>0</v>
      </c>
      <c r="DF177" s="23">
        <v>0</v>
      </c>
      <c r="DG177" s="23">
        <v>5000000</v>
      </c>
      <c r="DH177" s="23">
        <v>0</v>
      </c>
      <c r="DI177" s="19">
        <v>0</v>
      </c>
      <c r="DJ177" s="19">
        <v>0</v>
      </c>
      <c r="DK177" s="19">
        <v>0</v>
      </c>
      <c r="DL177" s="19">
        <v>0</v>
      </c>
      <c r="DM177" s="19">
        <v>0</v>
      </c>
      <c r="DN177" s="19">
        <v>0</v>
      </c>
      <c r="DO177" s="19">
        <v>0</v>
      </c>
      <c r="DP177" s="19">
        <v>0</v>
      </c>
      <c r="DQ177" s="19">
        <v>0</v>
      </c>
      <c r="DR177" s="19">
        <v>0</v>
      </c>
      <c r="DS177" s="19">
        <v>0</v>
      </c>
      <c r="DT177" s="19">
        <v>0</v>
      </c>
      <c r="DU177" s="19">
        <v>0</v>
      </c>
      <c r="DV177" s="19">
        <v>0</v>
      </c>
      <c r="DW177" s="17" t="s">
        <v>218</v>
      </c>
      <c r="DX177" s="22" t="s">
        <v>218</v>
      </c>
      <c r="DY177" s="22" t="s">
        <v>218</v>
      </c>
      <c r="DZ177" s="22" t="s">
        <v>218</v>
      </c>
      <c r="EA177" s="22" t="s">
        <v>218</v>
      </c>
      <c r="EB177" s="22" t="s">
        <v>218</v>
      </c>
      <c r="EC177" s="22" t="s">
        <v>218</v>
      </c>
      <c r="ED177" s="22" t="s">
        <v>218</v>
      </c>
      <c r="EE177" s="22" t="s">
        <v>218</v>
      </c>
      <c r="EF177" s="22" t="s">
        <v>218</v>
      </c>
      <c r="EG177" s="22" t="s">
        <v>218</v>
      </c>
      <c r="EH177" s="22" t="s">
        <v>218</v>
      </c>
      <c r="EI177" s="22" t="s">
        <v>218</v>
      </c>
      <c r="EJ177" s="22" t="s">
        <v>218</v>
      </c>
      <c r="EK177" s="22" t="s">
        <v>218</v>
      </c>
      <c r="EL177" s="22" t="s">
        <v>218</v>
      </c>
      <c r="EM177" s="22" t="s">
        <v>218</v>
      </c>
      <c r="EN177" s="22" t="s">
        <v>218</v>
      </c>
      <c r="EO177" s="22" t="s">
        <v>218</v>
      </c>
      <c r="EP177" s="22" t="s">
        <v>218</v>
      </c>
      <c r="EQ177" s="22" t="s">
        <v>218</v>
      </c>
      <c r="ER177" s="22" t="s">
        <v>218</v>
      </c>
      <c r="ES177" s="22" t="s">
        <v>218</v>
      </c>
      <c r="ET177" s="22" t="s">
        <v>218</v>
      </c>
      <c r="EU177" s="22" t="s">
        <v>218</v>
      </c>
      <c r="EV177" s="22" t="s">
        <v>218</v>
      </c>
      <c r="EW177" s="22" t="s">
        <v>218</v>
      </c>
      <c r="EX177" s="22" t="s">
        <v>218</v>
      </c>
      <c r="EY177" s="22" t="s">
        <v>218</v>
      </c>
      <c r="EZ177" s="22" t="s">
        <v>218</v>
      </c>
      <c r="FA177" s="22" t="s">
        <v>218</v>
      </c>
      <c r="FB177" s="22" t="s">
        <v>218</v>
      </c>
      <c r="FC177" s="22" t="s">
        <v>218</v>
      </c>
      <c r="FD177" s="22" t="s">
        <v>218</v>
      </c>
      <c r="FE177" s="22" t="s">
        <v>218</v>
      </c>
      <c r="FF177" s="22" t="s">
        <v>218</v>
      </c>
      <c r="FG177" s="22" t="s">
        <v>218</v>
      </c>
      <c r="FH177" s="22" t="s">
        <v>218</v>
      </c>
      <c r="FI177" s="22" t="s">
        <v>218</v>
      </c>
      <c r="FJ177" s="22" t="s">
        <v>218</v>
      </c>
      <c r="FK177" s="22" t="s">
        <v>218</v>
      </c>
      <c r="FL177" s="22" t="s">
        <v>218</v>
      </c>
      <c r="FM177" s="22" t="s">
        <v>218</v>
      </c>
      <c r="FN177" s="22" t="s">
        <v>218</v>
      </c>
      <c r="FO177" s="22" t="s">
        <v>218</v>
      </c>
      <c r="FP177" s="22" t="s">
        <v>218</v>
      </c>
      <c r="FQ177" s="22" t="s">
        <v>218</v>
      </c>
      <c r="FR177" s="22" t="s">
        <v>218</v>
      </c>
      <c r="FS177" s="22" t="s">
        <v>218</v>
      </c>
      <c r="FT177" s="22" t="s">
        <v>218</v>
      </c>
      <c r="FU177" s="22" t="s">
        <v>218</v>
      </c>
      <c r="FV177" s="22" t="s">
        <v>218</v>
      </c>
      <c r="FW177" s="22" t="s">
        <v>218</v>
      </c>
      <c r="FX177" s="22" t="s">
        <v>218</v>
      </c>
      <c r="FY177" s="22" t="s">
        <v>218</v>
      </c>
      <c r="FZ177" s="22" t="s">
        <v>218</v>
      </c>
      <c r="GA177" s="22" t="s">
        <v>218</v>
      </c>
      <c r="GB177" s="22" t="s">
        <v>218</v>
      </c>
      <c r="GC177" s="22" t="s">
        <v>218</v>
      </c>
      <c r="GD177" s="22" t="s">
        <v>218</v>
      </c>
      <c r="GE177" s="22" t="s">
        <v>218</v>
      </c>
      <c r="GF177" s="22" t="s">
        <v>218</v>
      </c>
      <c r="GG177" s="22" t="s">
        <v>218</v>
      </c>
      <c r="GH177" s="22" t="s">
        <v>218</v>
      </c>
      <c r="GI177" s="22" t="s">
        <v>218</v>
      </c>
      <c r="GJ177" s="22" t="s">
        <v>218</v>
      </c>
      <c r="GK177" s="22" t="s">
        <v>218</v>
      </c>
      <c r="GL177" s="22" t="s">
        <v>218</v>
      </c>
      <c r="GM177" s="22" t="s">
        <v>218</v>
      </c>
      <c r="GN177" s="22" t="s">
        <v>218</v>
      </c>
      <c r="GO177" s="22" t="s">
        <v>218</v>
      </c>
      <c r="GP177" s="22" t="s">
        <v>218</v>
      </c>
      <c r="GQ177" s="22" t="s">
        <v>218</v>
      </c>
      <c r="GR177" s="22" t="s">
        <v>218</v>
      </c>
      <c r="GS177" s="22" t="s">
        <v>218</v>
      </c>
      <c r="GT177" s="22" t="s">
        <v>218</v>
      </c>
      <c r="GU177" s="22" t="s">
        <v>218</v>
      </c>
      <c r="GV177" s="22" t="s">
        <v>218</v>
      </c>
      <c r="GW177" s="22" t="s">
        <v>218</v>
      </c>
      <c r="GX177" s="22" t="s">
        <v>218</v>
      </c>
      <c r="GY177" s="22" t="s">
        <v>218</v>
      </c>
      <c r="GZ177" s="22" t="s">
        <v>218</v>
      </c>
      <c r="HA177" s="22" t="s">
        <v>218</v>
      </c>
      <c r="HB177" s="22" t="s">
        <v>218</v>
      </c>
      <c r="HC177" s="22" t="s">
        <v>218</v>
      </c>
      <c r="HD177" s="22" t="s">
        <v>218</v>
      </c>
      <c r="HE177" s="22" t="s">
        <v>218</v>
      </c>
      <c r="HF177" s="22" t="s">
        <v>218</v>
      </c>
      <c r="HG177" s="22" t="s">
        <v>218</v>
      </c>
      <c r="HH177" s="22" t="s">
        <v>218</v>
      </c>
      <c r="HI177" s="22" t="s">
        <v>218</v>
      </c>
      <c r="HJ177" s="22" t="s">
        <v>218</v>
      </c>
      <c r="HK177" s="22" t="s">
        <v>218</v>
      </c>
      <c r="HL177" s="22" t="s">
        <v>218</v>
      </c>
      <c r="HM177" s="860"/>
      <c r="HN177" s="860"/>
      <c r="HO177" s="860"/>
      <c r="HP177" s="860"/>
      <c r="HQ177" s="860"/>
      <c r="HR177" s="860"/>
      <c r="HS177" s="860"/>
      <c r="HT177" s="145"/>
      <c r="HU177" s="145" t="s">
        <v>1809</v>
      </c>
      <c r="HV177" s="22" t="s">
        <v>1926</v>
      </c>
      <c r="HW177" s="22">
        <v>0</v>
      </c>
      <c r="HX177" s="22">
        <v>0</v>
      </c>
      <c r="HY177" s="22">
        <v>0</v>
      </c>
      <c r="HZ177" s="19"/>
      <c r="IA177" s="19"/>
      <c r="IB177" s="621">
        <f>'background data'!$G$10</f>
        <v>0.47300000000000003</v>
      </c>
      <c r="IC177" s="621">
        <f>'background data'!$H$10</f>
        <v>0.13</v>
      </c>
      <c r="ID177" s="621">
        <f>'background data'!$J$10</f>
        <v>0.39100000000000001</v>
      </c>
      <c r="IE177" s="621">
        <f>'background data'!$L$10</f>
        <v>5.5E-2</v>
      </c>
      <c r="IF177" s="621">
        <f>'background data'!$M$10</f>
        <v>3.97</v>
      </c>
      <c r="IG177" s="621">
        <f>'background data'!$N$10</f>
        <v>4.5999999999999999E-3</v>
      </c>
      <c r="IH177" s="621">
        <f>'background data'!$O$10</f>
        <v>2.73</v>
      </c>
      <c r="II177" s="145"/>
      <c r="IJ177" s="145"/>
      <c r="IK177" s="145"/>
      <c r="IL177" s="145"/>
      <c r="IM177" s="145"/>
      <c r="IN177" s="145"/>
      <c r="IO177" s="145"/>
      <c r="IP177" s="145"/>
      <c r="IQ177" s="145"/>
      <c r="IR177" s="145"/>
      <c r="IS177" s="145"/>
      <c r="IT177" s="145"/>
      <c r="IU177" s="145"/>
      <c r="IV177" s="145"/>
      <c r="IW177" s="145"/>
      <c r="IX177" s="145"/>
      <c r="IY177" s="145"/>
      <c r="IZ177" s="145"/>
      <c r="JA177" s="145"/>
      <c r="JB177" s="145"/>
      <c r="JC177" s="145"/>
      <c r="JD177" s="145"/>
      <c r="JE177" s="145"/>
      <c r="JF177" s="145"/>
      <c r="JG177" s="145"/>
      <c r="JH177" s="145"/>
      <c r="JI177" s="145"/>
      <c r="JJ177" s="145"/>
      <c r="JK177" s="145"/>
      <c r="JL177" s="145"/>
      <c r="JM177" s="145"/>
      <c r="JN177" s="145"/>
      <c r="JO177" s="145"/>
      <c r="JP177" s="145"/>
      <c r="JQ177" s="145"/>
      <c r="JR177" s="145"/>
      <c r="JS177" s="145"/>
      <c r="JT177" s="145"/>
      <c r="JU177" s="145"/>
      <c r="JV177" s="145"/>
      <c r="JW177" s="145"/>
      <c r="JX177" s="145"/>
      <c r="JY177" s="145"/>
      <c r="JZ177" s="145"/>
      <c r="KA177" s="145"/>
      <c r="KB177" s="145"/>
      <c r="KC177" s="145"/>
      <c r="KD177" s="145"/>
      <c r="KE177" s="145"/>
      <c r="KF177" s="145"/>
      <c r="KG177" s="145"/>
      <c r="KH177" s="145"/>
      <c r="KI177" s="145"/>
      <c r="KJ177" s="145"/>
      <c r="KK177" s="145"/>
      <c r="KL177" s="145"/>
      <c r="KM177" s="145"/>
      <c r="KN177" s="145"/>
      <c r="KO177" s="145"/>
      <c r="KP177" s="145"/>
      <c r="KQ177" s="145"/>
      <c r="KR177" s="145"/>
      <c r="KS177" s="145"/>
      <c r="KT177" s="145"/>
      <c r="KU177" s="145"/>
      <c r="KV177" s="145"/>
      <c r="KW177" s="145"/>
      <c r="KX177" s="145"/>
      <c r="KY177" s="145"/>
      <c r="KZ177" s="145"/>
      <c r="LA177" s="145"/>
      <c r="LB177" s="145"/>
      <c r="LC177" s="145"/>
      <c r="LD177" s="145"/>
      <c r="LE177" s="145"/>
      <c r="LF177" s="145"/>
      <c r="LG177" s="145"/>
      <c r="LH177" s="145"/>
      <c r="LI177" s="145"/>
      <c r="LJ177" s="145"/>
      <c r="LK177" s="145"/>
      <c r="LL177" s="145"/>
      <c r="LM177" s="145"/>
      <c r="LN177" s="145"/>
      <c r="LO177" s="145"/>
      <c r="LP177" s="145"/>
      <c r="LQ177" s="145"/>
      <c r="LR177" s="145"/>
      <c r="LS177" s="145"/>
      <c r="LT177" s="145"/>
      <c r="LU177" s="145"/>
      <c r="LV177" s="145"/>
      <c r="LW177" s="145"/>
      <c r="LX177" s="145"/>
      <c r="LY177" s="145"/>
      <c r="LZ177" s="145"/>
      <c r="MA177" s="145"/>
      <c r="MB177" s="145"/>
      <c r="MC177" s="145"/>
      <c r="MD177" s="145"/>
      <c r="ME177" s="145"/>
      <c r="MF177" s="145"/>
      <c r="MG177" s="145"/>
      <c r="MH177" s="145"/>
      <c r="MI177" s="145"/>
      <c r="MJ177" s="145"/>
      <c r="MK177" s="145"/>
      <c r="ML177" s="145"/>
      <c r="MM177" s="145"/>
      <c r="MN177" s="145"/>
      <c r="MO177" s="145"/>
      <c r="MP177" s="145"/>
      <c r="MQ177" s="145"/>
      <c r="MR177" s="145"/>
      <c r="MS177" s="145"/>
      <c r="MT177" s="145"/>
      <c r="MU177" s="145"/>
      <c r="MV177" s="145"/>
      <c r="MW177" s="145"/>
      <c r="MX177" s="145"/>
      <c r="MY177" s="145"/>
      <c r="MZ177" s="145"/>
      <c r="NA177" s="145"/>
      <c r="NB177" s="145"/>
      <c r="NC177" s="145"/>
      <c r="ND177" s="145"/>
      <c r="NE177" s="145"/>
      <c r="NF177" s="145"/>
      <c r="NG177" s="145"/>
      <c r="NH177" s="145"/>
      <c r="NI177" s="145"/>
      <c r="NJ177" s="145"/>
      <c r="NK177" s="145"/>
      <c r="NL177" s="145"/>
      <c r="NM177" s="145"/>
      <c r="NN177" s="145"/>
      <c r="NO177" s="145"/>
      <c r="NP177" s="145"/>
      <c r="NQ177" s="145"/>
      <c r="NR177" s="145"/>
      <c r="NS177" s="145"/>
    </row>
    <row r="178" spans="1:383" s="16" customFormat="1" ht="15" customHeight="1" x14ac:dyDescent="0.2">
      <c r="A178" s="15">
        <v>95000</v>
      </c>
      <c r="B178" s="25">
        <v>950</v>
      </c>
      <c r="C178" s="26">
        <v>0</v>
      </c>
      <c r="D178" s="20" t="s">
        <v>546</v>
      </c>
      <c r="E178" s="14">
        <v>40310</v>
      </c>
      <c r="F178" s="18">
        <v>1.45860433604336</v>
      </c>
      <c r="G178" s="18">
        <v>1.39798701298702</v>
      </c>
      <c r="H178" s="21">
        <v>100</v>
      </c>
      <c r="I178" s="21">
        <v>100</v>
      </c>
      <c r="J178" s="21">
        <v>100</v>
      </c>
      <c r="K178" s="18">
        <v>1</v>
      </c>
      <c r="L178" s="18">
        <v>99</v>
      </c>
      <c r="M178" s="18">
        <v>50</v>
      </c>
      <c r="N178" s="18">
        <v>0</v>
      </c>
      <c r="O178" s="18">
        <v>0</v>
      </c>
      <c r="P178" s="18">
        <v>0</v>
      </c>
      <c r="Q178" s="19"/>
      <c r="R178" s="18">
        <v>0</v>
      </c>
      <c r="S178" s="18">
        <v>0</v>
      </c>
      <c r="T178" s="18">
        <v>0</v>
      </c>
      <c r="U178" s="18">
        <v>0</v>
      </c>
      <c r="V178" s="18">
        <v>0</v>
      </c>
      <c r="W178" s="18">
        <v>0</v>
      </c>
      <c r="X178" s="18"/>
      <c r="Y178" s="18">
        <v>0</v>
      </c>
      <c r="Z178" s="18">
        <v>0</v>
      </c>
      <c r="AA178" s="18">
        <v>0</v>
      </c>
      <c r="AB178" s="18">
        <v>0</v>
      </c>
      <c r="AC178" s="18">
        <v>0</v>
      </c>
      <c r="AD178" s="18">
        <v>0</v>
      </c>
      <c r="AE178" s="18">
        <v>0</v>
      </c>
      <c r="AF178" s="18">
        <v>0</v>
      </c>
      <c r="AG178" s="18">
        <v>0</v>
      </c>
      <c r="AH178" s="18">
        <v>0</v>
      </c>
      <c r="AI178" s="18">
        <v>0</v>
      </c>
      <c r="AJ178" s="18">
        <v>0</v>
      </c>
      <c r="AK178" s="18">
        <v>0</v>
      </c>
      <c r="AL178" s="18"/>
      <c r="AM178" s="18">
        <v>0</v>
      </c>
      <c r="AN178" s="18">
        <v>0</v>
      </c>
      <c r="AO178" s="18">
        <v>0</v>
      </c>
      <c r="AP178" s="18">
        <v>0</v>
      </c>
      <c r="AQ178" s="18">
        <v>0</v>
      </c>
      <c r="AR178" s="18">
        <v>0</v>
      </c>
      <c r="AS178" s="18">
        <v>0</v>
      </c>
      <c r="AT178" s="18">
        <v>0</v>
      </c>
      <c r="AU178" s="18">
        <v>0</v>
      </c>
      <c r="AV178" s="18">
        <v>0</v>
      </c>
      <c r="AW178" s="18">
        <v>0</v>
      </c>
      <c r="AX178" s="18"/>
      <c r="AY178" s="18">
        <v>1</v>
      </c>
      <c r="AZ178" s="18">
        <v>1</v>
      </c>
      <c r="BA178" s="18">
        <v>1</v>
      </c>
      <c r="BB178" s="18">
        <v>1</v>
      </c>
      <c r="BC178" s="18">
        <v>1</v>
      </c>
      <c r="BD178" s="18">
        <v>1</v>
      </c>
      <c r="BE178" s="18">
        <v>1</v>
      </c>
      <c r="BF178" s="18">
        <v>1</v>
      </c>
      <c r="BG178" s="18">
        <v>1</v>
      </c>
      <c r="BH178" s="18">
        <v>1</v>
      </c>
      <c r="BI178" s="18">
        <v>1</v>
      </c>
      <c r="BJ178" s="19"/>
      <c r="BK178" s="18">
        <v>50.505050505050505</v>
      </c>
      <c r="BL178" s="18">
        <v>0</v>
      </c>
      <c r="BM178" s="18">
        <v>0</v>
      </c>
      <c r="BN178" s="18">
        <v>0</v>
      </c>
      <c r="BO178" s="18"/>
      <c r="BP178" s="18">
        <v>0</v>
      </c>
      <c r="BQ178" s="18">
        <v>0</v>
      </c>
      <c r="BR178" s="18">
        <v>1.4733377131751111</v>
      </c>
      <c r="BS178" s="18">
        <v>1.4121080939262829</v>
      </c>
      <c r="BT178" s="19"/>
      <c r="BU178" s="18">
        <v>1000</v>
      </c>
      <c r="BV178" s="18">
        <v>540.40404040404042</v>
      </c>
      <c r="BW178" s="18">
        <v>0</v>
      </c>
      <c r="BX178" s="18" t="s">
        <v>217</v>
      </c>
      <c r="BY178" s="18" t="s">
        <v>217</v>
      </c>
      <c r="BZ178" s="18" t="s">
        <v>217</v>
      </c>
      <c r="CA178" s="18" t="s">
        <v>217</v>
      </c>
      <c r="CB178" s="19"/>
      <c r="CC178" s="19">
        <v>0</v>
      </c>
      <c r="CD178" s="19">
        <v>0</v>
      </c>
      <c r="CE178" s="19">
        <v>0</v>
      </c>
      <c r="CF178" s="19">
        <v>0</v>
      </c>
      <c r="CG178" s="19">
        <v>0</v>
      </c>
      <c r="CH178" s="19">
        <v>0</v>
      </c>
      <c r="CI178" s="19">
        <v>0</v>
      </c>
      <c r="CJ178" s="19"/>
      <c r="CK178" s="19">
        <v>0</v>
      </c>
      <c r="CL178" s="19">
        <v>0</v>
      </c>
      <c r="CM178" s="19">
        <v>0</v>
      </c>
      <c r="CN178" s="19">
        <v>0</v>
      </c>
      <c r="CO178" s="19">
        <v>0</v>
      </c>
      <c r="CP178" s="19">
        <v>0</v>
      </c>
      <c r="CQ178" s="19">
        <v>0</v>
      </c>
      <c r="CR178" s="19">
        <v>0</v>
      </c>
      <c r="CS178" s="19">
        <v>0</v>
      </c>
      <c r="CT178" s="19">
        <v>0</v>
      </c>
      <c r="CU178" s="19">
        <v>0</v>
      </c>
      <c r="CV178" s="19">
        <v>0</v>
      </c>
      <c r="CW178" s="19">
        <v>0</v>
      </c>
      <c r="CX178" s="19">
        <v>0</v>
      </c>
      <c r="CY178" s="19">
        <v>0</v>
      </c>
      <c r="CZ178" s="19">
        <v>0</v>
      </c>
      <c r="DA178" s="19">
        <v>0</v>
      </c>
      <c r="DB178" s="19">
        <v>0</v>
      </c>
      <c r="DC178" s="19">
        <v>0</v>
      </c>
      <c r="DD178" s="19">
        <v>0</v>
      </c>
      <c r="DE178" s="19">
        <v>0</v>
      </c>
      <c r="DF178" s="23">
        <v>0</v>
      </c>
      <c r="DG178" s="23">
        <v>5000000</v>
      </c>
      <c r="DH178" s="23">
        <v>0</v>
      </c>
      <c r="DI178" s="19">
        <v>0</v>
      </c>
      <c r="DJ178" s="19">
        <v>0</v>
      </c>
      <c r="DK178" s="19">
        <v>0</v>
      </c>
      <c r="DL178" s="19">
        <v>0</v>
      </c>
      <c r="DM178" s="19">
        <v>0</v>
      </c>
      <c r="DN178" s="19">
        <v>0</v>
      </c>
      <c r="DO178" s="19">
        <v>0</v>
      </c>
      <c r="DP178" s="19">
        <v>0</v>
      </c>
      <c r="DQ178" s="19">
        <v>0</v>
      </c>
      <c r="DR178" s="19">
        <v>0</v>
      </c>
      <c r="DS178" s="19">
        <v>0</v>
      </c>
      <c r="DT178" s="19">
        <v>0</v>
      </c>
      <c r="DU178" s="19">
        <v>0</v>
      </c>
      <c r="DV178" s="19">
        <v>0</v>
      </c>
      <c r="DW178" s="17" t="s">
        <v>218</v>
      </c>
      <c r="DX178" s="22" t="s">
        <v>218</v>
      </c>
      <c r="DY178" s="22" t="s">
        <v>218</v>
      </c>
      <c r="DZ178" s="22" t="s">
        <v>218</v>
      </c>
      <c r="EA178" s="22" t="s">
        <v>218</v>
      </c>
      <c r="EB178" s="22" t="s">
        <v>218</v>
      </c>
      <c r="EC178" s="22" t="s">
        <v>218</v>
      </c>
      <c r="ED178" s="22" t="s">
        <v>218</v>
      </c>
      <c r="EE178" s="22" t="s">
        <v>218</v>
      </c>
      <c r="EF178" s="22" t="s">
        <v>218</v>
      </c>
      <c r="EG178" s="22" t="s">
        <v>218</v>
      </c>
      <c r="EH178" s="22" t="s">
        <v>218</v>
      </c>
      <c r="EI178" s="22" t="s">
        <v>218</v>
      </c>
      <c r="EJ178" s="22" t="s">
        <v>218</v>
      </c>
      <c r="EK178" s="22" t="s">
        <v>218</v>
      </c>
      <c r="EL178" s="22" t="s">
        <v>218</v>
      </c>
      <c r="EM178" s="22" t="s">
        <v>218</v>
      </c>
      <c r="EN178" s="22" t="s">
        <v>218</v>
      </c>
      <c r="EO178" s="22" t="s">
        <v>218</v>
      </c>
      <c r="EP178" s="22" t="s">
        <v>218</v>
      </c>
      <c r="EQ178" s="22" t="s">
        <v>218</v>
      </c>
      <c r="ER178" s="22" t="s">
        <v>218</v>
      </c>
      <c r="ES178" s="22" t="s">
        <v>218</v>
      </c>
      <c r="ET178" s="22" t="s">
        <v>218</v>
      </c>
      <c r="EU178" s="22" t="s">
        <v>218</v>
      </c>
      <c r="EV178" s="22" t="s">
        <v>218</v>
      </c>
      <c r="EW178" s="22" t="s">
        <v>218</v>
      </c>
      <c r="EX178" s="22" t="s">
        <v>218</v>
      </c>
      <c r="EY178" s="22" t="s">
        <v>218</v>
      </c>
      <c r="EZ178" s="22" t="s">
        <v>218</v>
      </c>
      <c r="FA178" s="22" t="s">
        <v>218</v>
      </c>
      <c r="FB178" s="22" t="s">
        <v>218</v>
      </c>
      <c r="FC178" s="22" t="s">
        <v>218</v>
      </c>
      <c r="FD178" s="22" t="s">
        <v>218</v>
      </c>
      <c r="FE178" s="22" t="s">
        <v>218</v>
      </c>
      <c r="FF178" s="22" t="s">
        <v>218</v>
      </c>
      <c r="FG178" s="22" t="s">
        <v>218</v>
      </c>
      <c r="FH178" s="22" t="s">
        <v>218</v>
      </c>
      <c r="FI178" s="22" t="s">
        <v>218</v>
      </c>
      <c r="FJ178" s="22" t="s">
        <v>218</v>
      </c>
      <c r="FK178" s="22" t="s">
        <v>218</v>
      </c>
      <c r="FL178" s="22" t="s">
        <v>218</v>
      </c>
      <c r="FM178" s="22" t="s">
        <v>218</v>
      </c>
      <c r="FN178" s="22" t="s">
        <v>218</v>
      </c>
      <c r="FO178" s="22" t="s">
        <v>218</v>
      </c>
      <c r="FP178" s="22" t="s">
        <v>218</v>
      </c>
      <c r="FQ178" s="22" t="s">
        <v>218</v>
      </c>
      <c r="FR178" s="22" t="s">
        <v>218</v>
      </c>
      <c r="FS178" s="22" t="s">
        <v>218</v>
      </c>
      <c r="FT178" s="22" t="s">
        <v>218</v>
      </c>
      <c r="FU178" s="22" t="s">
        <v>218</v>
      </c>
      <c r="FV178" s="22" t="s">
        <v>218</v>
      </c>
      <c r="FW178" s="22" t="s">
        <v>218</v>
      </c>
      <c r="FX178" s="22" t="s">
        <v>218</v>
      </c>
      <c r="FY178" s="22" t="s">
        <v>218</v>
      </c>
      <c r="FZ178" s="22" t="s">
        <v>218</v>
      </c>
      <c r="GA178" s="22" t="s">
        <v>218</v>
      </c>
      <c r="GB178" s="22" t="s">
        <v>218</v>
      </c>
      <c r="GC178" s="22" t="s">
        <v>218</v>
      </c>
      <c r="GD178" s="22" t="s">
        <v>218</v>
      </c>
      <c r="GE178" s="22" t="s">
        <v>218</v>
      </c>
      <c r="GF178" s="22" t="s">
        <v>218</v>
      </c>
      <c r="GG178" s="22" t="s">
        <v>218</v>
      </c>
      <c r="GH178" s="22" t="s">
        <v>218</v>
      </c>
      <c r="GI178" s="22" t="s">
        <v>218</v>
      </c>
      <c r="GJ178" s="22" t="s">
        <v>218</v>
      </c>
      <c r="GK178" s="22" t="s">
        <v>218</v>
      </c>
      <c r="GL178" s="22" t="s">
        <v>218</v>
      </c>
      <c r="GM178" s="22" t="s">
        <v>218</v>
      </c>
      <c r="GN178" s="22" t="s">
        <v>218</v>
      </c>
      <c r="GO178" s="22" t="s">
        <v>218</v>
      </c>
      <c r="GP178" s="22" t="s">
        <v>218</v>
      </c>
      <c r="GQ178" s="22" t="s">
        <v>218</v>
      </c>
      <c r="GR178" s="22" t="s">
        <v>218</v>
      </c>
      <c r="GS178" s="22" t="s">
        <v>218</v>
      </c>
      <c r="GT178" s="22" t="s">
        <v>218</v>
      </c>
      <c r="GU178" s="22" t="s">
        <v>218</v>
      </c>
      <c r="GV178" s="22" t="s">
        <v>218</v>
      </c>
      <c r="GW178" s="22" t="s">
        <v>218</v>
      </c>
      <c r="GX178" s="22" t="s">
        <v>218</v>
      </c>
      <c r="GY178" s="22" t="s">
        <v>218</v>
      </c>
      <c r="GZ178" s="22" t="s">
        <v>218</v>
      </c>
      <c r="HA178" s="22" t="s">
        <v>218</v>
      </c>
      <c r="HB178" s="22" t="s">
        <v>218</v>
      </c>
      <c r="HC178" s="22" t="s">
        <v>218</v>
      </c>
      <c r="HD178" s="22" t="s">
        <v>218</v>
      </c>
      <c r="HE178" s="22" t="s">
        <v>218</v>
      </c>
      <c r="HF178" s="22" t="s">
        <v>218</v>
      </c>
      <c r="HG178" s="22" t="s">
        <v>218</v>
      </c>
      <c r="HH178" s="22" t="s">
        <v>218</v>
      </c>
      <c r="HI178" s="22" t="s">
        <v>218</v>
      </c>
      <c r="HJ178" s="22" t="s">
        <v>218</v>
      </c>
      <c r="HK178" s="22" t="s">
        <v>218</v>
      </c>
      <c r="HL178" s="22" t="s">
        <v>218</v>
      </c>
      <c r="HM178" s="860"/>
      <c r="HN178" s="860"/>
      <c r="HO178" s="860"/>
      <c r="HP178" s="860"/>
      <c r="HQ178" s="860"/>
      <c r="HR178" s="860"/>
      <c r="HS178" s="860"/>
      <c r="HT178" s="145"/>
      <c r="HU178" s="145" t="s">
        <v>1809</v>
      </c>
      <c r="HV178" s="22" t="s">
        <v>1926</v>
      </c>
      <c r="HW178" s="22">
        <v>0</v>
      </c>
      <c r="HX178" s="22">
        <v>0</v>
      </c>
      <c r="HY178" s="22">
        <v>0</v>
      </c>
      <c r="HZ178" s="19"/>
      <c r="IA178" s="19"/>
      <c r="IB178" s="621">
        <f>'background data'!$G$10</f>
        <v>0.47300000000000003</v>
      </c>
      <c r="IC178" s="621">
        <f>'background data'!$H$10</f>
        <v>0.13</v>
      </c>
      <c r="ID178" s="621">
        <f>'background data'!$J$10</f>
        <v>0.39100000000000001</v>
      </c>
      <c r="IE178" s="621">
        <f>'background data'!$L$10</f>
        <v>5.5E-2</v>
      </c>
      <c r="IF178" s="621">
        <f>'background data'!$M$10</f>
        <v>3.97</v>
      </c>
      <c r="IG178" s="621">
        <f>'background data'!$N$10</f>
        <v>4.5999999999999999E-3</v>
      </c>
      <c r="IH178" s="621">
        <f>'background data'!$O$10</f>
        <v>2.73</v>
      </c>
      <c r="II178" s="145"/>
      <c r="IJ178" s="145"/>
      <c r="IK178" s="145"/>
      <c r="IL178" s="145"/>
      <c r="IM178" s="145"/>
      <c r="IN178" s="145"/>
      <c r="IO178" s="145"/>
      <c r="IP178" s="145"/>
      <c r="IQ178" s="145"/>
      <c r="IR178" s="145"/>
      <c r="IS178" s="145"/>
      <c r="IT178" s="145"/>
      <c r="IU178" s="145"/>
      <c r="IV178" s="145"/>
      <c r="IW178" s="145"/>
      <c r="IX178" s="145"/>
      <c r="IY178" s="145"/>
      <c r="IZ178" s="145"/>
      <c r="JA178" s="145"/>
      <c r="JB178" s="145"/>
      <c r="JC178" s="145"/>
      <c r="JD178" s="145"/>
      <c r="JE178" s="145"/>
      <c r="JF178" s="145"/>
      <c r="JG178" s="145"/>
      <c r="JH178" s="145"/>
      <c r="JI178" s="145"/>
      <c r="JJ178" s="145"/>
      <c r="JK178" s="145"/>
      <c r="JL178" s="145"/>
      <c r="JM178" s="145"/>
      <c r="JN178" s="145"/>
      <c r="JO178" s="145"/>
      <c r="JP178" s="145"/>
      <c r="JQ178" s="145"/>
      <c r="JR178" s="145"/>
      <c r="JS178" s="145"/>
      <c r="JT178" s="145"/>
      <c r="JU178" s="145"/>
      <c r="JV178" s="145"/>
      <c r="JW178" s="145"/>
      <c r="JX178" s="145"/>
      <c r="JY178" s="145"/>
      <c r="JZ178" s="145"/>
      <c r="KA178" s="145"/>
      <c r="KB178" s="145"/>
      <c r="KC178" s="145"/>
      <c r="KD178" s="145"/>
      <c r="KE178" s="145"/>
      <c r="KF178" s="145"/>
      <c r="KG178" s="145"/>
      <c r="KH178" s="145"/>
      <c r="KI178" s="145"/>
      <c r="KJ178" s="145"/>
      <c r="KK178" s="145"/>
      <c r="KL178" s="145"/>
      <c r="KM178" s="145"/>
      <c r="KN178" s="145"/>
      <c r="KO178" s="145"/>
      <c r="KP178" s="145"/>
      <c r="KQ178" s="145"/>
      <c r="KR178" s="145"/>
      <c r="KS178" s="145"/>
      <c r="KT178" s="145"/>
      <c r="KU178" s="145"/>
      <c r="KV178" s="145"/>
      <c r="KW178" s="145"/>
      <c r="KX178" s="145"/>
      <c r="KY178" s="145"/>
      <c r="KZ178" s="145"/>
      <c r="LA178" s="145"/>
      <c r="LB178" s="145"/>
      <c r="LC178" s="145"/>
      <c r="LD178" s="145"/>
      <c r="LE178" s="145"/>
      <c r="LF178" s="145"/>
      <c r="LG178" s="145"/>
      <c r="LH178" s="145"/>
      <c r="LI178" s="145"/>
      <c r="LJ178" s="145"/>
      <c r="LK178" s="145"/>
      <c r="LL178" s="145"/>
      <c r="LM178" s="145"/>
      <c r="LN178" s="145"/>
      <c r="LO178" s="145"/>
      <c r="LP178" s="145"/>
      <c r="LQ178" s="145"/>
      <c r="LR178" s="145"/>
      <c r="LS178" s="145"/>
      <c r="LT178" s="145"/>
      <c r="LU178" s="145"/>
      <c r="LV178" s="145"/>
      <c r="LW178" s="145"/>
      <c r="LX178" s="145"/>
      <c r="LY178" s="145"/>
      <c r="LZ178" s="145"/>
      <c r="MA178" s="145"/>
      <c r="MB178" s="145"/>
      <c r="MC178" s="145"/>
      <c r="MD178" s="145"/>
      <c r="ME178" s="145"/>
      <c r="MF178" s="145"/>
      <c r="MG178" s="145"/>
      <c r="MH178" s="145"/>
      <c r="MI178" s="145"/>
      <c r="MJ178" s="145"/>
      <c r="MK178" s="145"/>
      <c r="ML178" s="145"/>
      <c r="MM178" s="145"/>
      <c r="MN178" s="145"/>
      <c r="MO178" s="145"/>
      <c r="MP178" s="145"/>
      <c r="MQ178" s="145"/>
      <c r="MR178" s="145"/>
      <c r="MS178" s="145"/>
      <c r="MT178" s="145"/>
      <c r="MU178" s="145"/>
      <c r="MV178" s="145"/>
      <c r="MW178" s="145"/>
      <c r="MX178" s="145"/>
      <c r="MY178" s="145"/>
      <c r="MZ178" s="145"/>
      <c r="NA178" s="145"/>
      <c r="NB178" s="145"/>
      <c r="NC178" s="145"/>
      <c r="ND178" s="145"/>
      <c r="NE178" s="145"/>
      <c r="NF178" s="145"/>
      <c r="NG178" s="145"/>
      <c r="NH178" s="145"/>
      <c r="NI178" s="145"/>
      <c r="NJ178" s="145"/>
      <c r="NK178" s="145"/>
      <c r="NL178" s="145"/>
      <c r="NM178" s="145"/>
      <c r="NN178" s="145"/>
      <c r="NO178" s="145"/>
      <c r="NP178" s="145"/>
      <c r="NQ178" s="145"/>
      <c r="NR178" s="145"/>
      <c r="NS178" s="145"/>
    </row>
    <row r="179" spans="1:383" s="16" customFormat="1" ht="15" customHeight="1" x14ac:dyDescent="0.2">
      <c r="A179" s="15">
        <v>60000</v>
      </c>
      <c r="B179" s="25">
        <v>600</v>
      </c>
      <c r="C179" s="26">
        <v>0</v>
      </c>
      <c r="D179" s="20" t="s">
        <v>547</v>
      </c>
      <c r="E179" s="14">
        <v>41533</v>
      </c>
      <c r="F179" s="18">
        <v>0.35074562357723599</v>
      </c>
      <c r="G179" s="18">
        <v>0.48391047029610401</v>
      </c>
      <c r="H179" s="21">
        <v>41.4</v>
      </c>
      <c r="I179" s="21">
        <v>28.8</v>
      </c>
      <c r="J179" s="21">
        <v>74</v>
      </c>
      <c r="K179" s="18">
        <v>1</v>
      </c>
      <c r="L179" s="18">
        <v>90.6</v>
      </c>
      <c r="M179" s="18">
        <v>15.401999999999999</v>
      </c>
      <c r="N179" s="18">
        <v>7.4291999999999998</v>
      </c>
      <c r="O179" s="18">
        <v>3.7145999999999999</v>
      </c>
      <c r="P179" s="18">
        <v>17.5764</v>
      </c>
      <c r="Q179" s="19"/>
      <c r="R179" s="18">
        <v>56.9</v>
      </c>
      <c r="S179" s="18">
        <v>30</v>
      </c>
      <c r="T179" s="18">
        <v>30</v>
      </c>
      <c r="U179" s="18">
        <v>30</v>
      </c>
      <c r="V179" s="18">
        <v>30</v>
      </c>
      <c r="W179" s="18">
        <v>30</v>
      </c>
      <c r="X179" s="18"/>
      <c r="Y179" s="18">
        <v>4.2</v>
      </c>
      <c r="Z179" s="18">
        <v>6.4</v>
      </c>
      <c r="AA179" s="18">
        <v>0.1</v>
      </c>
      <c r="AB179" s="18">
        <v>0</v>
      </c>
      <c r="AC179" s="18">
        <v>7.5</v>
      </c>
      <c r="AD179" s="18">
        <v>3.3</v>
      </c>
      <c r="AE179" s="18">
        <v>2.1</v>
      </c>
      <c r="AF179" s="18">
        <v>480</v>
      </c>
      <c r="AG179" s="18">
        <v>25</v>
      </c>
      <c r="AH179" s="18">
        <v>260</v>
      </c>
      <c r="AI179" s="18">
        <v>47.000000000000007</v>
      </c>
      <c r="AJ179" s="18">
        <v>0</v>
      </c>
      <c r="AK179" s="18">
        <v>0.18000000000000002</v>
      </c>
      <c r="AL179" s="18"/>
      <c r="AM179" s="18">
        <v>2.5099999999999998</v>
      </c>
      <c r="AN179" s="18">
        <v>1.74</v>
      </c>
      <c r="AO179" s="18">
        <v>1.1399999999999999</v>
      </c>
      <c r="AP179" s="18">
        <v>2.82</v>
      </c>
      <c r="AQ179" s="18">
        <v>0.76</v>
      </c>
      <c r="AR179" s="18">
        <v>3.36</v>
      </c>
      <c r="AS179" s="18">
        <v>6.03</v>
      </c>
      <c r="AT179" s="18">
        <v>1.59</v>
      </c>
      <c r="AU179" s="18">
        <v>3.83</v>
      </c>
      <c r="AV179" s="18">
        <v>2.44</v>
      </c>
      <c r="AW179" s="18">
        <v>4.8</v>
      </c>
      <c r="AX179" s="18"/>
      <c r="AY179" s="18">
        <v>1</v>
      </c>
      <c r="AZ179" s="18">
        <v>1</v>
      </c>
      <c r="BA179" s="18">
        <v>1</v>
      </c>
      <c r="BB179" s="18">
        <v>1</v>
      </c>
      <c r="BC179" s="18">
        <v>1</v>
      </c>
      <c r="BD179" s="18">
        <v>1</v>
      </c>
      <c r="BE179" s="18">
        <v>1</v>
      </c>
      <c r="BF179" s="18">
        <v>1</v>
      </c>
      <c r="BG179" s="18">
        <v>1</v>
      </c>
      <c r="BH179" s="18">
        <v>1</v>
      </c>
      <c r="BI179" s="18">
        <v>1</v>
      </c>
      <c r="BJ179" s="19"/>
      <c r="BK179" s="18">
        <v>17</v>
      </c>
      <c r="BL179" s="18">
        <v>8.2000000000000011</v>
      </c>
      <c r="BM179" s="18">
        <v>4.1000000000000005</v>
      </c>
      <c r="BN179" s="18">
        <v>19.400000000000002</v>
      </c>
      <c r="BO179" s="18"/>
      <c r="BP179" s="18">
        <v>54</v>
      </c>
      <c r="BQ179" s="18">
        <v>44.28</v>
      </c>
      <c r="BR179" s="18">
        <v>0.38713644986449891</v>
      </c>
      <c r="BS179" s="18">
        <v>0.53411751688311704</v>
      </c>
      <c r="BT179" s="19"/>
      <c r="BU179" s="18">
        <v>959.00000000000011</v>
      </c>
      <c r="BV179" s="18">
        <v>-9.8339999999999677</v>
      </c>
      <c r="BW179" s="18">
        <v>172.62</v>
      </c>
      <c r="BX179" s="18">
        <v>11</v>
      </c>
      <c r="BY179" s="18">
        <v>24</v>
      </c>
      <c r="BZ179" s="18">
        <v>32</v>
      </c>
      <c r="CA179" s="18">
        <v>570</v>
      </c>
      <c r="CB179" s="19"/>
      <c r="CC179" s="19">
        <v>3.8051999999999997</v>
      </c>
      <c r="CD179" s="19">
        <v>5.7984</v>
      </c>
      <c r="CE179" s="19">
        <v>9.06E-2</v>
      </c>
      <c r="CF179" s="19">
        <v>0</v>
      </c>
      <c r="CG179" s="19">
        <v>6.794999999999999</v>
      </c>
      <c r="CH179" s="19">
        <v>2.9897999999999993</v>
      </c>
      <c r="CI179" s="19">
        <v>1.9025999999999998</v>
      </c>
      <c r="CJ179" s="19"/>
      <c r="CK179" s="19">
        <v>434.87999999999994</v>
      </c>
      <c r="CL179" s="19">
        <v>22.65</v>
      </c>
      <c r="CM179" s="19">
        <v>235.55999999999997</v>
      </c>
      <c r="CN179" s="19">
        <v>42.582000000000001</v>
      </c>
      <c r="CO179" s="19">
        <v>0</v>
      </c>
      <c r="CP179" s="19">
        <v>0.16308</v>
      </c>
      <c r="CQ179" s="19">
        <v>87.637379999999993</v>
      </c>
      <c r="CR179" s="19">
        <v>249.86022378894143</v>
      </c>
      <c r="CS179" s="19">
        <v>6.2714916171024297</v>
      </c>
      <c r="CT179" s="19">
        <v>4.3475678939275815</v>
      </c>
      <c r="CU179" s="19">
        <v>2.8484065511939325</v>
      </c>
      <c r="CV179" s="19">
        <v>7.1959744451215126</v>
      </c>
      <c r="CW179" s="19">
        <v>7.0460583108481485</v>
      </c>
      <c r="CX179" s="19">
        <v>1.8989377007959551</v>
      </c>
      <c r="CY179" s="19">
        <v>8.3953035193084329</v>
      </c>
      <c r="CZ179" s="19">
        <v>15.06657149447317</v>
      </c>
      <c r="DA179" s="19">
        <v>3.9727775582441689</v>
      </c>
      <c r="DB179" s="19">
        <v>9.5696465711164578</v>
      </c>
      <c r="DC179" s="19">
        <v>6.0965894604501711</v>
      </c>
      <c r="DD179" s="19">
        <v>15.66623603156663</v>
      </c>
      <c r="DE179" s="19">
        <v>11.99329074186919</v>
      </c>
      <c r="DF179" s="23">
        <v>0</v>
      </c>
      <c r="DG179" s="23">
        <v>0</v>
      </c>
      <c r="DH179" s="23">
        <v>0</v>
      </c>
      <c r="DI179" s="19">
        <v>0</v>
      </c>
      <c r="DJ179" s="19">
        <v>0</v>
      </c>
      <c r="DK179" s="19">
        <v>0</v>
      </c>
      <c r="DL179" s="19">
        <v>0</v>
      </c>
      <c r="DM179" s="19">
        <v>0</v>
      </c>
      <c r="DN179" s="19">
        <v>0</v>
      </c>
      <c r="DO179" s="19">
        <v>0</v>
      </c>
      <c r="DP179" s="19">
        <v>0</v>
      </c>
      <c r="DQ179" s="19">
        <v>0</v>
      </c>
      <c r="DR179" s="19">
        <v>0</v>
      </c>
      <c r="DS179" s="19">
        <v>0</v>
      </c>
      <c r="DT179" s="19">
        <v>0</v>
      </c>
      <c r="DU179" s="19">
        <v>0</v>
      </c>
      <c r="DV179" s="19">
        <v>0</v>
      </c>
      <c r="DW179" s="17" t="s">
        <v>548</v>
      </c>
      <c r="DX179" s="22" t="s">
        <v>218</v>
      </c>
      <c r="DY179" s="22" t="s">
        <v>218</v>
      </c>
      <c r="DZ179" s="22">
        <v>2</v>
      </c>
      <c r="EA179" s="22">
        <v>2</v>
      </c>
      <c r="EB179" s="22">
        <v>2</v>
      </c>
      <c r="EC179" s="22">
        <v>2</v>
      </c>
      <c r="ED179" s="22">
        <v>2</v>
      </c>
      <c r="EE179" s="22" t="s">
        <v>218</v>
      </c>
      <c r="EF179" s="22">
        <v>2</v>
      </c>
      <c r="EG179" s="22" t="s">
        <v>218</v>
      </c>
      <c r="EH179" s="22" t="s">
        <v>218</v>
      </c>
      <c r="EI179" s="22" t="s">
        <v>218</v>
      </c>
      <c r="EJ179" s="22" t="s">
        <v>218</v>
      </c>
      <c r="EK179" s="22" t="s">
        <v>218</v>
      </c>
      <c r="EL179" s="22" t="s">
        <v>218</v>
      </c>
      <c r="EM179" s="22" t="s">
        <v>218</v>
      </c>
      <c r="EN179" s="22" t="s">
        <v>218</v>
      </c>
      <c r="EO179" s="22" t="s">
        <v>218</v>
      </c>
      <c r="EP179" s="22" t="s">
        <v>218</v>
      </c>
      <c r="EQ179" s="22" t="s">
        <v>218</v>
      </c>
      <c r="ER179" s="22" t="s">
        <v>218</v>
      </c>
      <c r="ES179" s="22">
        <v>2</v>
      </c>
      <c r="ET179" s="22">
        <v>2</v>
      </c>
      <c r="EU179" s="22">
        <v>2</v>
      </c>
      <c r="EV179" s="22" t="s">
        <v>218</v>
      </c>
      <c r="EW179" s="22">
        <v>2</v>
      </c>
      <c r="EX179" s="22">
        <v>2</v>
      </c>
      <c r="EY179" s="22">
        <v>2</v>
      </c>
      <c r="EZ179" s="22">
        <v>2</v>
      </c>
      <c r="FA179" s="22">
        <v>2</v>
      </c>
      <c r="FB179" s="22">
        <v>2</v>
      </c>
      <c r="FC179" s="22">
        <v>2</v>
      </c>
      <c r="FD179" s="22" t="s">
        <v>218</v>
      </c>
      <c r="FE179" s="22" t="s">
        <v>218</v>
      </c>
      <c r="FF179" s="22" t="s">
        <v>218</v>
      </c>
      <c r="FG179" s="22" t="s">
        <v>218</v>
      </c>
      <c r="FH179" s="22" t="s">
        <v>218</v>
      </c>
      <c r="FI179" s="22">
        <v>0.2</v>
      </c>
      <c r="FJ179" s="22">
        <v>1.8</v>
      </c>
      <c r="FK179" s="22">
        <v>0.1</v>
      </c>
      <c r="FL179" s="22">
        <v>0.4</v>
      </c>
      <c r="FM179" s="22" t="s">
        <v>218</v>
      </c>
      <c r="FN179" s="22">
        <v>0.6</v>
      </c>
      <c r="FO179" s="22" t="s">
        <v>218</v>
      </c>
      <c r="FP179" s="22" t="s">
        <v>218</v>
      </c>
      <c r="FQ179" s="22" t="s">
        <v>218</v>
      </c>
      <c r="FR179" s="22" t="s">
        <v>218</v>
      </c>
      <c r="FS179" s="22" t="s">
        <v>218</v>
      </c>
      <c r="FT179" s="22" t="s">
        <v>218</v>
      </c>
      <c r="FU179" s="22" t="s">
        <v>218</v>
      </c>
      <c r="FV179" s="22" t="s">
        <v>218</v>
      </c>
      <c r="FW179" s="22" t="s">
        <v>218</v>
      </c>
      <c r="FX179" s="22" t="s">
        <v>218</v>
      </c>
      <c r="FY179" s="22" t="s">
        <v>218</v>
      </c>
      <c r="FZ179" s="22" t="s">
        <v>218</v>
      </c>
      <c r="GA179" s="22">
        <v>0.04</v>
      </c>
      <c r="GB179" s="22">
        <v>0.17</v>
      </c>
      <c r="GC179" s="22" t="s">
        <v>218</v>
      </c>
      <c r="GD179" s="22" t="s">
        <v>218</v>
      </c>
      <c r="GE179" s="22">
        <v>0.32</v>
      </c>
      <c r="GF179" s="22">
        <v>0.12</v>
      </c>
      <c r="GG179" s="22">
        <v>0.06</v>
      </c>
      <c r="GH179" s="22">
        <v>244.4</v>
      </c>
      <c r="GI179" s="22">
        <v>0.24</v>
      </c>
      <c r="GJ179" s="22">
        <v>52.04</v>
      </c>
      <c r="GK179" s="22">
        <v>2.77</v>
      </c>
      <c r="GL179" s="22" t="s">
        <v>218</v>
      </c>
      <c r="GM179" s="22" t="s">
        <v>218</v>
      </c>
      <c r="GN179" s="22" t="s">
        <v>218</v>
      </c>
      <c r="GO179" s="22" t="s">
        <v>218</v>
      </c>
      <c r="GP179" s="22">
        <v>2005</v>
      </c>
      <c r="GQ179" s="22">
        <v>2005</v>
      </c>
      <c r="GR179" s="22">
        <v>2005</v>
      </c>
      <c r="GS179" s="22">
        <v>2005</v>
      </c>
      <c r="GT179" s="22">
        <v>2005</v>
      </c>
      <c r="GU179" s="22" t="s">
        <v>218</v>
      </c>
      <c r="GV179" s="22">
        <v>2005</v>
      </c>
      <c r="GW179" s="22" t="s">
        <v>218</v>
      </c>
      <c r="GX179" s="22" t="s">
        <v>218</v>
      </c>
      <c r="GY179" s="22" t="s">
        <v>218</v>
      </c>
      <c r="GZ179" s="22" t="s">
        <v>218</v>
      </c>
      <c r="HA179" s="22" t="s">
        <v>218</v>
      </c>
      <c r="HB179" s="22" t="s">
        <v>218</v>
      </c>
      <c r="HC179" s="22" t="s">
        <v>218</v>
      </c>
      <c r="HD179" s="22" t="s">
        <v>218</v>
      </c>
      <c r="HE179" s="22" t="s">
        <v>218</v>
      </c>
      <c r="HF179" s="22" t="s">
        <v>218</v>
      </c>
      <c r="HG179" s="22" t="s">
        <v>218</v>
      </c>
      <c r="HH179" s="22" t="s">
        <v>218</v>
      </c>
      <c r="HI179" s="22">
        <v>2005</v>
      </c>
      <c r="HJ179" s="22">
        <v>2005</v>
      </c>
      <c r="HK179" s="22">
        <v>2005</v>
      </c>
      <c r="HL179" s="22" t="s">
        <v>218</v>
      </c>
      <c r="HM179" s="622">
        <f>'background data'!$G$18</f>
        <v>0.54099999999999993</v>
      </c>
      <c r="HN179" s="622">
        <f>'background data'!$H$18</f>
        <v>0.11600000000000001</v>
      </c>
      <c r="HO179" s="622">
        <f>'background data'!$J$18</f>
        <v>0.25</v>
      </c>
      <c r="HP179" s="622">
        <f>'background data'!$L$18</f>
        <v>1.2999999999999999E-2</v>
      </c>
      <c r="HQ179" s="622">
        <f>'background data'!$M$18</f>
        <v>8.86</v>
      </c>
      <c r="HR179" s="622">
        <f>'background data'!$N$18</f>
        <v>6.9299999999999995E-3</v>
      </c>
      <c r="HS179" s="622">
        <f>'background data'!$O$18</f>
        <v>1.75</v>
      </c>
      <c r="HT179" s="145" t="s">
        <v>1794</v>
      </c>
      <c r="HU179" s="145" t="s">
        <v>1809</v>
      </c>
      <c r="HV179" s="22" t="s">
        <v>1968</v>
      </c>
      <c r="HW179" s="22" t="s">
        <v>549</v>
      </c>
      <c r="HX179" s="22" t="s">
        <v>550</v>
      </c>
      <c r="HY179" s="22" t="s">
        <v>551</v>
      </c>
      <c r="HZ179" s="19"/>
      <c r="IA179" s="19"/>
      <c r="IB179" s="622">
        <f>'background data'!$G$18</f>
        <v>0.54099999999999993</v>
      </c>
      <c r="IC179" s="622">
        <f>'background data'!$H$18</f>
        <v>0.11600000000000001</v>
      </c>
      <c r="ID179" s="622">
        <f>'background data'!$J$18</f>
        <v>0.25</v>
      </c>
      <c r="IE179" s="622">
        <f>'background data'!$L$18</f>
        <v>1.2999999999999999E-2</v>
      </c>
      <c r="IF179" s="622">
        <f>'background data'!$M$18</f>
        <v>8.86</v>
      </c>
      <c r="IG179" s="622">
        <f>'background data'!$N$18</f>
        <v>6.9299999999999995E-3</v>
      </c>
      <c r="IH179" s="622">
        <f>'background data'!$O$18</f>
        <v>1.75</v>
      </c>
      <c r="II179" s="145" t="s">
        <v>1794</v>
      </c>
      <c r="IJ179" s="145"/>
      <c r="IK179" s="145"/>
      <c r="IL179" s="145"/>
      <c r="IM179" s="145"/>
      <c r="IN179" s="145"/>
      <c r="IO179" s="145"/>
      <c r="IP179" s="145"/>
      <c r="IQ179" s="145"/>
      <c r="IR179" s="145"/>
      <c r="IS179" s="145"/>
      <c r="IT179" s="145"/>
      <c r="IU179" s="145"/>
      <c r="IV179" s="145"/>
      <c r="IW179" s="145"/>
      <c r="IX179" s="145"/>
      <c r="IY179" s="145"/>
      <c r="IZ179" s="145"/>
      <c r="JA179" s="145"/>
      <c r="JB179" s="145"/>
      <c r="JC179" s="145"/>
      <c r="JD179" s="145"/>
      <c r="JE179" s="145"/>
      <c r="JF179" s="145"/>
      <c r="JG179" s="145"/>
      <c r="JH179" s="145"/>
      <c r="JI179" s="145"/>
      <c r="JJ179" s="145"/>
      <c r="JK179" s="145"/>
      <c r="JL179" s="145"/>
      <c r="JM179" s="145"/>
      <c r="JN179" s="145"/>
      <c r="JO179" s="145"/>
      <c r="JP179" s="145"/>
      <c r="JQ179" s="145"/>
      <c r="JR179" s="145"/>
      <c r="JS179" s="145"/>
      <c r="JT179" s="145"/>
      <c r="JU179" s="145"/>
      <c r="JV179" s="145"/>
      <c r="JW179" s="145"/>
      <c r="JX179" s="145"/>
      <c r="JY179" s="145"/>
      <c r="JZ179" s="145"/>
      <c r="KA179" s="145"/>
      <c r="KB179" s="145"/>
      <c r="KC179" s="145"/>
      <c r="KD179" s="145"/>
      <c r="KE179" s="145"/>
      <c r="KF179" s="145"/>
      <c r="KG179" s="145"/>
      <c r="KH179" s="145"/>
      <c r="KI179" s="145"/>
      <c r="KJ179" s="145"/>
      <c r="KK179" s="145"/>
      <c r="KL179" s="145"/>
      <c r="KM179" s="145"/>
      <c r="KN179" s="145"/>
      <c r="KO179" s="145"/>
      <c r="KP179" s="145"/>
      <c r="KQ179" s="145"/>
      <c r="KR179" s="145"/>
      <c r="KS179" s="145"/>
      <c r="KT179" s="145"/>
      <c r="KU179" s="145"/>
      <c r="KV179" s="145"/>
      <c r="KW179" s="145"/>
      <c r="KX179" s="145"/>
      <c r="KY179" s="145"/>
      <c r="KZ179" s="145"/>
      <c r="LA179" s="145"/>
      <c r="LB179" s="145"/>
      <c r="LC179" s="145"/>
      <c r="LD179" s="145"/>
      <c r="LE179" s="145"/>
      <c r="LF179" s="145"/>
      <c r="LG179" s="145"/>
      <c r="LH179" s="145"/>
      <c r="LI179" s="145"/>
      <c r="LJ179" s="145"/>
      <c r="LK179" s="145"/>
      <c r="LL179" s="145"/>
      <c r="LM179" s="145"/>
      <c r="LN179" s="145"/>
      <c r="LO179" s="145"/>
      <c r="LP179" s="145"/>
      <c r="LQ179" s="145"/>
      <c r="LR179" s="145"/>
      <c r="LS179" s="145"/>
      <c r="LT179" s="145"/>
      <c r="LU179" s="145"/>
      <c r="LV179" s="145"/>
      <c r="LW179" s="145"/>
      <c r="LX179" s="145"/>
      <c r="LY179" s="145"/>
      <c r="LZ179" s="145"/>
      <c r="MA179" s="145"/>
      <c r="MB179" s="145"/>
      <c r="MC179" s="145"/>
      <c r="MD179" s="145"/>
      <c r="ME179" s="145"/>
      <c r="MF179" s="145"/>
      <c r="MG179" s="145"/>
      <c r="MH179" s="145"/>
      <c r="MI179" s="145"/>
      <c r="MJ179" s="145"/>
      <c r="MK179" s="145"/>
      <c r="ML179" s="145"/>
      <c r="MM179" s="145"/>
      <c r="MN179" s="145"/>
      <c r="MO179" s="145"/>
      <c r="MP179" s="145"/>
      <c r="MQ179" s="145"/>
      <c r="MR179" s="145"/>
      <c r="MS179" s="145"/>
      <c r="MT179" s="145"/>
      <c r="MU179" s="145"/>
      <c r="MV179" s="145"/>
      <c r="MW179" s="145"/>
      <c r="MX179" s="145"/>
      <c r="MY179" s="145"/>
      <c r="MZ179" s="145"/>
      <c r="NA179" s="145"/>
      <c r="NB179" s="145"/>
      <c r="NC179" s="145"/>
      <c r="ND179" s="145"/>
      <c r="NE179" s="145"/>
      <c r="NF179" s="145"/>
      <c r="NG179" s="145"/>
      <c r="NH179" s="145"/>
      <c r="NI179" s="145"/>
      <c r="NJ179" s="145"/>
      <c r="NK179" s="145"/>
      <c r="NL179" s="145"/>
      <c r="NM179" s="145"/>
      <c r="NN179" s="145"/>
      <c r="NO179" s="145"/>
      <c r="NP179" s="145"/>
      <c r="NQ179" s="145"/>
      <c r="NR179" s="145"/>
      <c r="NS179" s="145"/>
    </row>
    <row r="180" spans="1:383" s="16" customFormat="1" ht="15" customHeight="1" x14ac:dyDescent="0.2">
      <c r="A180" s="15">
        <v>71100</v>
      </c>
      <c r="B180" s="25">
        <v>711</v>
      </c>
      <c r="C180" s="26">
        <v>0</v>
      </c>
      <c r="D180" s="20" t="s">
        <v>552</v>
      </c>
      <c r="E180" s="14">
        <v>40310</v>
      </c>
      <c r="F180" s="18">
        <v>0.19117298550391101</v>
      </c>
      <c r="G180" s="18">
        <v>0.19653668662582699</v>
      </c>
      <c r="H180" s="21">
        <v>66.2</v>
      </c>
      <c r="I180" s="21" t="s">
        <v>217</v>
      </c>
      <c r="J180" s="21">
        <v>90</v>
      </c>
      <c r="K180" s="18">
        <v>1</v>
      </c>
      <c r="L180" s="18">
        <v>19</v>
      </c>
      <c r="M180" s="18">
        <v>1.25471698113208</v>
      </c>
      <c r="N180" s="18">
        <v>0.95</v>
      </c>
      <c r="O180" s="18">
        <v>0.28499999999999998</v>
      </c>
      <c r="P180" s="18">
        <v>9.2910000000000004</v>
      </c>
      <c r="Q180" s="19"/>
      <c r="R180" s="18">
        <v>55.9264817142857</v>
      </c>
      <c r="S180" s="18" t="s">
        <v>217</v>
      </c>
      <c r="T180" s="18" t="s">
        <v>217</v>
      </c>
      <c r="U180" s="18" t="s">
        <v>217</v>
      </c>
      <c r="V180" s="18" t="s">
        <v>217</v>
      </c>
      <c r="W180" s="18" t="s">
        <v>217</v>
      </c>
      <c r="X180" s="18"/>
      <c r="Y180" s="18">
        <v>4</v>
      </c>
      <c r="Z180" s="18">
        <v>1</v>
      </c>
      <c r="AA180" s="18">
        <v>1.2</v>
      </c>
      <c r="AB180" s="18" t="s">
        <v>217</v>
      </c>
      <c r="AC180" s="18" t="s">
        <v>217</v>
      </c>
      <c r="AD180" s="18" t="s">
        <v>217</v>
      </c>
      <c r="AE180" s="18">
        <v>0</v>
      </c>
      <c r="AF180" s="18">
        <v>0</v>
      </c>
      <c r="AG180" s="18">
        <v>0</v>
      </c>
      <c r="AH180" s="18">
        <v>0</v>
      </c>
      <c r="AI180" s="18">
        <v>0</v>
      </c>
      <c r="AJ180" s="18">
        <v>0</v>
      </c>
      <c r="AK180" s="18">
        <v>0</v>
      </c>
      <c r="AL180" s="18"/>
      <c r="AM180" s="18">
        <v>4.1176469999999998</v>
      </c>
      <c r="AN180" s="18">
        <v>1.470588</v>
      </c>
      <c r="AO180" s="18">
        <v>1.176471</v>
      </c>
      <c r="AP180" s="18">
        <v>3.5294120000000002</v>
      </c>
      <c r="AQ180" s="18" t="s">
        <v>217</v>
      </c>
      <c r="AR180" s="18" t="s">
        <v>217</v>
      </c>
      <c r="AS180" s="18" t="s">
        <v>217</v>
      </c>
      <c r="AT180" s="18" t="s">
        <v>217</v>
      </c>
      <c r="AU180" s="18" t="s">
        <v>217</v>
      </c>
      <c r="AV180" s="18" t="s">
        <v>217</v>
      </c>
      <c r="AW180" s="18" t="s">
        <v>217</v>
      </c>
      <c r="AX180" s="18"/>
      <c r="AY180" s="18">
        <v>1</v>
      </c>
      <c r="AZ180" s="18">
        <v>1</v>
      </c>
      <c r="BA180" s="18">
        <v>1</v>
      </c>
      <c r="BB180" s="18">
        <v>1</v>
      </c>
      <c r="BC180" s="18">
        <v>1</v>
      </c>
      <c r="BD180" s="18">
        <v>1</v>
      </c>
      <c r="BE180" s="18">
        <v>1</v>
      </c>
      <c r="BF180" s="18">
        <v>1</v>
      </c>
      <c r="BG180" s="18">
        <v>1</v>
      </c>
      <c r="BH180" s="18">
        <v>1</v>
      </c>
      <c r="BI180" s="18">
        <v>1</v>
      </c>
      <c r="BJ180" s="19"/>
      <c r="BK180" s="18">
        <v>6.6037735849056842</v>
      </c>
      <c r="BL180" s="18">
        <v>5</v>
      </c>
      <c r="BM180" s="18">
        <v>1.4999999999999998</v>
      </c>
      <c r="BN180" s="18">
        <v>48.9</v>
      </c>
      <c r="BO180" s="18"/>
      <c r="BP180" s="18">
        <v>0</v>
      </c>
      <c r="BQ180" s="18">
        <v>0</v>
      </c>
      <c r="BR180" s="18">
        <v>1.0061736079153212</v>
      </c>
      <c r="BS180" s="18">
        <v>1.034403613820142</v>
      </c>
      <c r="BT180" s="19"/>
      <c r="BU180" s="18">
        <v>985</v>
      </c>
      <c r="BV180" s="18">
        <v>543.47566037735783</v>
      </c>
      <c r="BW180" s="18" t="s">
        <v>217</v>
      </c>
      <c r="BX180" s="18" t="s">
        <v>217</v>
      </c>
      <c r="BY180" s="18" t="s">
        <v>217</v>
      </c>
      <c r="BZ180" s="18" t="s">
        <v>217</v>
      </c>
      <c r="CA180" s="18" t="s">
        <v>217</v>
      </c>
      <c r="CB180" s="19"/>
      <c r="CC180" s="19">
        <v>0.76</v>
      </c>
      <c r="CD180" s="19">
        <v>0.19</v>
      </c>
      <c r="CE180" s="19">
        <v>0.22799999999999998</v>
      </c>
      <c r="CF180" s="19" t="s">
        <v>217</v>
      </c>
      <c r="CG180" s="19" t="s">
        <v>217</v>
      </c>
      <c r="CH180" s="19" t="s">
        <v>217</v>
      </c>
      <c r="CI180" s="19">
        <v>0</v>
      </c>
      <c r="CJ180" s="19"/>
      <c r="CK180" s="19">
        <v>0</v>
      </c>
      <c r="CL180" s="19">
        <v>0</v>
      </c>
      <c r="CM180" s="19">
        <v>0</v>
      </c>
      <c r="CN180" s="19">
        <v>0</v>
      </c>
      <c r="CO180" s="19">
        <v>0</v>
      </c>
      <c r="CP180" s="19">
        <v>0</v>
      </c>
      <c r="CQ180" s="19">
        <v>7.0171906301886704</v>
      </c>
      <c r="CR180" s="19">
        <v>36.705973972693506</v>
      </c>
      <c r="CS180" s="19">
        <v>1.5114224361073956</v>
      </c>
      <c r="CT180" s="19">
        <v>0.53979364852555412</v>
      </c>
      <c r="CU180" s="19">
        <v>0.43183513905628723</v>
      </c>
      <c r="CV180" s="19">
        <v>0.97162878758184146</v>
      </c>
      <c r="CW180" s="19">
        <v>1.2955050501091236</v>
      </c>
      <c r="CX180" s="19" t="s">
        <v>217</v>
      </c>
      <c r="CY180" s="19" t="s">
        <v>217</v>
      </c>
      <c r="CZ180" s="19" t="s">
        <v>217</v>
      </c>
      <c r="DA180" s="19" t="s">
        <v>217</v>
      </c>
      <c r="DB180" s="19" t="s">
        <v>217</v>
      </c>
      <c r="DC180" s="19" t="s">
        <v>217</v>
      </c>
      <c r="DD180" s="19" t="s">
        <v>217</v>
      </c>
      <c r="DE180" s="19" t="s">
        <v>217</v>
      </c>
      <c r="DF180" s="23">
        <v>0</v>
      </c>
      <c r="DG180" s="23">
        <v>0</v>
      </c>
      <c r="DH180" s="23">
        <v>0</v>
      </c>
      <c r="DI180" s="19">
        <v>0</v>
      </c>
      <c r="DJ180" s="19">
        <v>0</v>
      </c>
      <c r="DK180" s="19">
        <v>0</v>
      </c>
      <c r="DL180" s="19">
        <v>0</v>
      </c>
      <c r="DM180" s="19">
        <v>0</v>
      </c>
      <c r="DN180" s="19">
        <v>0</v>
      </c>
      <c r="DO180" s="19">
        <v>0</v>
      </c>
      <c r="DP180" s="19">
        <v>0</v>
      </c>
      <c r="DQ180" s="19">
        <v>0</v>
      </c>
      <c r="DR180" s="19">
        <v>0</v>
      </c>
      <c r="DS180" s="19">
        <v>0</v>
      </c>
      <c r="DT180" s="19">
        <v>0</v>
      </c>
      <c r="DU180" s="19">
        <v>0</v>
      </c>
      <c r="DV180" s="19">
        <v>0</v>
      </c>
      <c r="DW180" s="17" t="s">
        <v>553</v>
      </c>
      <c r="DX180" s="22" t="s">
        <v>218</v>
      </c>
      <c r="DY180" s="22" t="s">
        <v>218</v>
      </c>
      <c r="DZ180" s="22" t="s">
        <v>218</v>
      </c>
      <c r="EA180" s="22" t="s">
        <v>218</v>
      </c>
      <c r="EB180" s="22" t="s">
        <v>218</v>
      </c>
      <c r="EC180" s="22" t="s">
        <v>218</v>
      </c>
      <c r="ED180" s="22" t="s">
        <v>218</v>
      </c>
      <c r="EE180" s="22" t="s">
        <v>218</v>
      </c>
      <c r="EF180" s="22" t="s">
        <v>218</v>
      </c>
      <c r="EG180" s="22" t="s">
        <v>218</v>
      </c>
      <c r="EH180" s="22" t="s">
        <v>218</v>
      </c>
      <c r="EI180" s="22" t="s">
        <v>218</v>
      </c>
      <c r="EJ180" s="22" t="s">
        <v>218</v>
      </c>
      <c r="EK180" s="22" t="s">
        <v>218</v>
      </c>
      <c r="EL180" s="22" t="s">
        <v>218</v>
      </c>
      <c r="EM180" s="22" t="s">
        <v>218</v>
      </c>
      <c r="EN180" s="22" t="s">
        <v>218</v>
      </c>
      <c r="EO180" s="22" t="s">
        <v>218</v>
      </c>
      <c r="EP180" s="22" t="s">
        <v>218</v>
      </c>
      <c r="EQ180" s="22" t="s">
        <v>218</v>
      </c>
      <c r="ER180" s="22" t="s">
        <v>218</v>
      </c>
      <c r="ES180" s="22" t="s">
        <v>218</v>
      </c>
      <c r="ET180" s="22" t="s">
        <v>218</v>
      </c>
      <c r="EU180" s="22" t="s">
        <v>218</v>
      </c>
      <c r="EV180" s="22" t="s">
        <v>218</v>
      </c>
      <c r="EW180" s="22" t="s">
        <v>218</v>
      </c>
      <c r="EX180" s="22" t="s">
        <v>218</v>
      </c>
      <c r="EY180" s="22" t="s">
        <v>218</v>
      </c>
      <c r="EZ180" s="22" t="s">
        <v>218</v>
      </c>
      <c r="FA180" s="22" t="s">
        <v>218</v>
      </c>
      <c r="FB180" s="22" t="s">
        <v>218</v>
      </c>
      <c r="FC180" s="22" t="s">
        <v>218</v>
      </c>
      <c r="FD180" s="22" t="s">
        <v>218</v>
      </c>
      <c r="FE180" s="22" t="s">
        <v>218</v>
      </c>
      <c r="FF180" s="22" t="s">
        <v>218</v>
      </c>
      <c r="FG180" s="22" t="s">
        <v>218</v>
      </c>
      <c r="FH180" s="22" t="s">
        <v>218</v>
      </c>
      <c r="FI180" s="22" t="s">
        <v>218</v>
      </c>
      <c r="FJ180" s="22" t="s">
        <v>218</v>
      </c>
      <c r="FK180" s="22" t="s">
        <v>218</v>
      </c>
      <c r="FL180" s="22" t="s">
        <v>218</v>
      </c>
      <c r="FM180" s="22" t="s">
        <v>218</v>
      </c>
      <c r="FN180" s="22" t="s">
        <v>218</v>
      </c>
      <c r="FO180" s="22" t="s">
        <v>218</v>
      </c>
      <c r="FP180" s="22" t="s">
        <v>218</v>
      </c>
      <c r="FQ180" s="22" t="s">
        <v>218</v>
      </c>
      <c r="FR180" s="22" t="s">
        <v>218</v>
      </c>
      <c r="FS180" s="22" t="s">
        <v>218</v>
      </c>
      <c r="FT180" s="22" t="s">
        <v>218</v>
      </c>
      <c r="FU180" s="22" t="s">
        <v>218</v>
      </c>
      <c r="FV180" s="22" t="s">
        <v>218</v>
      </c>
      <c r="FW180" s="22" t="s">
        <v>218</v>
      </c>
      <c r="FX180" s="22" t="s">
        <v>218</v>
      </c>
      <c r="FY180" s="22" t="s">
        <v>218</v>
      </c>
      <c r="FZ180" s="22" t="s">
        <v>218</v>
      </c>
      <c r="GA180" s="22" t="s">
        <v>218</v>
      </c>
      <c r="GB180" s="22" t="s">
        <v>218</v>
      </c>
      <c r="GC180" s="22" t="s">
        <v>218</v>
      </c>
      <c r="GD180" s="22" t="s">
        <v>218</v>
      </c>
      <c r="GE180" s="22" t="s">
        <v>218</v>
      </c>
      <c r="GF180" s="22" t="s">
        <v>218</v>
      </c>
      <c r="GG180" s="22" t="s">
        <v>218</v>
      </c>
      <c r="GH180" s="22" t="s">
        <v>218</v>
      </c>
      <c r="GI180" s="22" t="s">
        <v>218</v>
      </c>
      <c r="GJ180" s="22" t="s">
        <v>218</v>
      </c>
      <c r="GK180" s="22" t="s">
        <v>218</v>
      </c>
      <c r="GL180" s="22" t="s">
        <v>218</v>
      </c>
      <c r="GM180" s="22" t="s">
        <v>218</v>
      </c>
      <c r="GN180" s="22" t="s">
        <v>218</v>
      </c>
      <c r="GO180" s="22" t="s">
        <v>218</v>
      </c>
      <c r="GP180" s="22" t="s">
        <v>218</v>
      </c>
      <c r="GQ180" s="22" t="s">
        <v>218</v>
      </c>
      <c r="GR180" s="22" t="s">
        <v>218</v>
      </c>
      <c r="GS180" s="22" t="s">
        <v>218</v>
      </c>
      <c r="GT180" s="22" t="s">
        <v>218</v>
      </c>
      <c r="GU180" s="22" t="s">
        <v>218</v>
      </c>
      <c r="GV180" s="22" t="s">
        <v>218</v>
      </c>
      <c r="GW180" s="22" t="s">
        <v>218</v>
      </c>
      <c r="GX180" s="22" t="s">
        <v>218</v>
      </c>
      <c r="GY180" s="22" t="s">
        <v>218</v>
      </c>
      <c r="GZ180" s="22" t="s">
        <v>218</v>
      </c>
      <c r="HA180" s="22" t="s">
        <v>218</v>
      </c>
      <c r="HB180" s="22" t="s">
        <v>218</v>
      </c>
      <c r="HC180" s="22" t="s">
        <v>218</v>
      </c>
      <c r="HD180" s="22" t="s">
        <v>218</v>
      </c>
      <c r="HE180" s="22" t="s">
        <v>218</v>
      </c>
      <c r="HF180" s="22" t="s">
        <v>218</v>
      </c>
      <c r="HG180" s="22" t="s">
        <v>218</v>
      </c>
      <c r="HH180" s="22" t="s">
        <v>218</v>
      </c>
      <c r="HI180" s="22" t="s">
        <v>218</v>
      </c>
      <c r="HJ180" s="22" t="s">
        <v>218</v>
      </c>
      <c r="HK180" s="22" t="s">
        <v>218</v>
      </c>
      <c r="HL180" s="22" t="s">
        <v>218</v>
      </c>
      <c r="HM180" s="860"/>
      <c r="HN180" s="860"/>
      <c r="HO180" s="860"/>
      <c r="HP180" s="860"/>
      <c r="HQ180" s="860"/>
      <c r="HR180" s="860"/>
      <c r="HS180" s="860"/>
      <c r="HT180" s="145"/>
      <c r="HU180" s="145" t="s">
        <v>1809</v>
      </c>
      <c r="HV180" s="22" t="s">
        <v>1926</v>
      </c>
      <c r="HW180" s="22">
        <v>0</v>
      </c>
      <c r="HX180" s="22">
        <v>0</v>
      </c>
      <c r="HY180" s="22">
        <v>0</v>
      </c>
      <c r="HZ180" s="19"/>
      <c r="IA180" s="19"/>
      <c r="IB180" s="621">
        <f>'background data'!$G$10</f>
        <v>0.47300000000000003</v>
      </c>
      <c r="IC180" s="621">
        <f>'background data'!$H$10</f>
        <v>0.13</v>
      </c>
      <c r="ID180" s="621">
        <f>'background data'!$J$10</f>
        <v>0.39100000000000001</v>
      </c>
      <c r="IE180" s="621">
        <f>'background data'!$L$10</f>
        <v>5.5E-2</v>
      </c>
      <c r="IF180" s="621">
        <f>'background data'!$M$10</f>
        <v>3.97</v>
      </c>
      <c r="IG180" s="621">
        <f>'background data'!$N$10</f>
        <v>4.5999999999999999E-3</v>
      </c>
      <c r="IH180" s="621">
        <f>'background data'!$O$10</f>
        <v>2.73</v>
      </c>
      <c r="II180" s="145"/>
      <c r="IJ180" s="145"/>
      <c r="IK180" s="145"/>
      <c r="IL180" s="145"/>
      <c r="IM180" s="145"/>
      <c r="IN180" s="145"/>
      <c r="IO180" s="145"/>
      <c r="IP180" s="145"/>
      <c r="IQ180" s="145"/>
      <c r="IR180" s="145"/>
      <c r="IS180" s="145"/>
      <c r="IT180" s="145"/>
      <c r="IU180" s="145"/>
      <c r="IV180" s="145"/>
      <c r="IW180" s="145"/>
      <c r="IX180" s="145"/>
      <c r="IY180" s="145"/>
      <c r="IZ180" s="145"/>
      <c r="JA180" s="145"/>
      <c r="JB180" s="145"/>
      <c r="JC180" s="145"/>
      <c r="JD180" s="145"/>
      <c r="JE180" s="145"/>
      <c r="JF180" s="145"/>
      <c r="JG180" s="145"/>
      <c r="JH180" s="145"/>
      <c r="JI180" s="145"/>
      <c r="JJ180" s="145"/>
      <c r="JK180" s="145"/>
      <c r="JL180" s="145"/>
      <c r="JM180" s="145"/>
      <c r="JN180" s="145"/>
      <c r="JO180" s="145"/>
      <c r="JP180" s="145"/>
      <c r="JQ180" s="145"/>
      <c r="JR180" s="145"/>
      <c r="JS180" s="145"/>
      <c r="JT180" s="145"/>
      <c r="JU180" s="145"/>
      <c r="JV180" s="145"/>
      <c r="JW180" s="145"/>
      <c r="JX180" s="145"/>
      <c r="JY180" s="145"/>
      <c r="JZ180" s="145"/>
      <c r="KA180" s="145"/>
      <c r="KB180" s="145"/>
      <c r="KC180" s="145"/>
      <c r="KD180" s="145"/>
      <c r="KE180" s="145"/>
      <c r="KF180" s="145"/>
      <c r="KG180" s="145"/>
      <c r="KH180" s="145"/>
      <c r="KI180" s="145"/>
      <c r="KJ180" s="145"/>
      <c r="KK180" s="145"/>
      <c r="KL180" s="145"/>
      <c r="KM180" s="145"/>
      <c r="KN180" s="145"/>
      <c r="KO180" s="145"/>
      <c r="KP180" s="145"/>
      <c r="KQ180" s="145"/>
      <c r="KR180" s="145"/>
      <c r="KS180" s="145"/>
      <c r="KT180" s="145"/>
      <c r="KU180" s="145"/>
      <c r="KV180" s="145"/>
      <c r="KW180" s="145"/>
      <c r="KX180" s="145"/>
      <c r="KY180" s="145"/>
      <c r="KZ180" s="145"/>
      <c r="LA180" s="145"/>
      <c r="LB180" s="145"/>
      <c r="LC180" s="145"/>
      <c r="LD180" s="145"/>
      <c r="LE180" s="145"/>
      <c r="LF180" s="145"/>
      <c r="LG180" s="145"/>
      <c r="LH180" s="145"/>
      <c r="LI180" s="145"/>
      <c r="LJ180" s="145"/>
      <c r="LK180" s="145"/>
      <c r="LL180" s="145"/>
      <c r="LM180" s="145"/>
      <c r="LN180" s="145"/>
      <c r="LO180" s="145"/>
      <c r="LP180" s="145"/>
      <c r="LQ180" s="145"/>
      <c r="LR180" s="145"/>
      <c r="LS180" s="145"/>
      <c r="LT180" s="145"/>
      <c r="LU180" s="145"/>
      <c r="LV180" s="145"/>
      <c r="LW180" s="145"/>
      <c r="LX180" s="145"/>
      <c r="LY180" s="145"/>
      <c r="LZ180" s="145"/>
      <c r="MA180" s="145"/>
      <c r="MB180" s="145"/>
      <c r="MC180" s="145"/>
      <c r="MD180" s="145"/>
      <c r="ME180" s="145"/>
      <c r="MF180" s="145"/>
      <c r="MG180" s="145"/>
      <c r="MH180" s="145"/>
      <c r="MI180" s="145"/>
      <c r="MJ180" s="145"/>
      <c r="MK180" s="145"/>
      <c r="ML180" s="145"/>
      <c r="MM180" s="145"/>
      <c r="MN180" s="145"/>
      <c r="MO180" s="145"/>
      <c r="MP180" s="145"/>
      <c r="MQ180" s="145"/>
      <c r="MR180" s="145"/>
      <c r="MS180" s="145"/>
      <c r="MT180" s="145"/>
      <c r="MU180" s="145"/>
      <c r="MV180" s="145"/>
      <c r="MW180" s="145"/>
      <c r="MX180" s="145"/>
      <c r="MY180" s="145"/>
      <c r="MZ180" s="145"/>
      <c r="NA180" s="145"/>
      <c r="NB180" s="145"/>
      <c r="NC180" s="145"/>
      <c r="ND180" s="145"/>
      <c r="NE180" s="145"/>
      <c r="NF180" s="145"/>
      <c r="NG180" s="145"/>
      <c r="NH180" s="145"/>
      <c r="NI180" s="145"/>
      <c r="NJ180" s="145"/>
      <c r="NK180" s="145"/>
      <c r="NL180" s="145"/>
      <c r="NM180" s="145"/>
      <c r="NN180" s="145"/>
      <c r="NO180" s="145"/>
      <c r="NP180" s="145"/>
      <c r="NQ180" s="145"/>
      <c r="NR180" s="145"/>
      <c r="NS180" s="145"/>
    </row>
    <row r="181" spans="1:383" s="16" customFormat="1" ht="15" customHeight="1" x14ac:dyDescent="0.2">
      <c r="A181" s="15">
        <v>95210</v>
      </c>
      <c r="B181" s="25">
        <v>952</v>
      </c>
      <c r="C181" s="26">
        <v>10</v>
      </c>
      <c r="D181" s="20" t="s">
        <v>554</v>
      </c>
      <c r="E181" s="14">
        <v>40310</v>
      </c>
      <c r="F181" s="18">
        <v>1.45860433604336</v>
      </c>
      <c r="G181" s="18">
        <v>1.39798701298702</v>
      </c>
      <c r="H181" s="21">
        <v>100</v>
      </c>
      <c r="I181" s="21">
        <v>100</v>
      </c>
      <c r="J181" s="21">
        <v>100</v>
      </c>
      <c r="K181" s="18">
        <v>1</v>
      </c>
      <c r="L181" s="18">
        <v>99</v>
      </c>
      <c r="M181" s="18">
        <v>50</v>
      </c>
      <c r="N181" s="18">
        <v>0</v>
      </c>
      <c r="O181" s="18">
        <v>0</v>
      </c>
      <c r="P181" s="18">
        <v>0</v>
      </c>
      <c r="Q181" s="19"/>
      <c r="R181" s="18">
        <v>0</v>
      </c>
      <c r="S181" s="18">
        <v>0</v>
      </c>
      <c r="T181" s="18">
        <v>0</v>
      </c>
      <c r="U181" s="18">
        <v>0</v>
      </c>
      <c r="V181" s="18">
        <v>0</v>
      </c>
      <c r="W181" s="18">
        <v>0</v>
      </c>
      <c r="X181" s="18"/>
      <c r="Y181" s="18">
        <v>0</v>
      </c>
      <c r="Z181" s="18">
        <v>0</v>
      </c>
      <c r="AA181" s="18">
        <v>0</v>
      </c>
      <c r="AB181" s="18">
        <v>0</v>
      </c>
      <c r="AC181" s="18">
        <v>0</v>
      </c>
      <c r="AD181" s="18">
        <v>0</v>
      </c>
      <c r="AE181" s="18">
        <v>0</v>
      </c>
      <c r="AF181" s="18">
        <v>0</v>
      </c>
      <c r="AG181" s="18">
        <v>0</v>
      </c>
      <c r="AH181" s="18">
        <v>0</v>
      </c>
      <c r="AI181" s="18">
        <v>0</v>
      </c>
      <c r="AJ181" s="18">
        <v>0</v>
      </c>
      <c r="AK181" s="18">
        <v>0</v>
      </c>
      <c r="AL181" s="18"/>
      <c r="AM181" s="18">
        <v>0</v>
      </c>
      <c r="AN181" s="18">
        <v>0</v>
      </c>
      <c r="AO181" s="18">
        <v>0</v>
      </c>
      <c r="AP181" s="18">
        <v>0</v>
      </c>
      <c r="AQ181" s="18">
        <v>0</v>
      </c>
      <c r="AR181" s="18">
        <v>0</v>
      </c>
      <c r="AS181" s="18">
        <v>0</v>
      </c>
      <c r="AT181" s="18">
        <v>0</v>
      </c>
      <c r="AU181" s="18">
        <v>0</v>
      </c>
      <c r="AV181" s="18">
        <v>0</v>
      </c>
      <c r="AW181" s="18">
        <v>0</v>
      </c>
      <c r="AX181" s="18"/>
      <c r="AY181" s="18">
        <v>1</v>
      </c>
      <c r="AZ181" s="18">
        <v>1</v>
      </c>
      <c r="BA181" s="18">
        <v>1</v>
      </c>
      <c r="BB181" s="18">
        <v>1</v>
      </c>
      <c r="BC181" s="18">
        <v>1</v>
      </c>
      <c r="BD181" s="18">
        <v>1</v>
      </c>
      <c r="BE181" s="18">
        <v>1</v>
      </c>
      <c r="BF181" s="18">
        <v>1</v>
      </c>
      <c r="BG181" s="18">
        <v>1</v>
      </c>
      <c r="BH181" s="18">
        <v>1</v>
      </c>
      <c r="BI181" s="18">
        <v>1</v>
      </c>
      <c r="BJ181" s="19"/>
      <c r="BK181" s="18">
        <v>50.505050505050505</v>
      </c>
      <c r="BL181" s="18">
        <v>0</v>
      </c>
      <c r="BM181" s="18">
        <v>0</v>
      </c>
      <c r="BN181" s="18">
        <v>0</v>
      </c>
      <c r="BO181" s="18"/>
      <c r="BP181" s="18">
        <v>0</v>
      </c>
      <c r="BQ181" s="18">
        <v>0</v>
      </c>
      <c r="BR181" s="18">
        <v>1.4733377131751111</v>
      </c>
      <c r="BS181" s="18">
        <v>1.4121080939262829</v>
      </c>
      <c r="BT181" s="19"/>
      <c r="BU181" s="18">
        <v>1000</v>
      </c>
      <c r="BV181" s="18">
        <v>540.40404040404042</v>
      </c>
      <c r="BW181" s="18">
        <v>0</v>
      </c>
      <c r="BX181" s="18" t="s">
        <v>217</v>
      </c>
      <c r="BY181" s="18" t="s">
        <v>217</v>
      </c>
      <c r="BZ181" s="18" t="s">
        <v>217</v>
      </c>
      <c r="CA181" s="18" t="s">
        <v>217</v>
      </c>
      <c r="CB181" s="19"/>
      <c r="CC181" s="19">
        <v>0</v>
      </c>
      <c r="CD181" s="19">
        <v>0</v>
      </c>
      <c r="CE181" s="19">
        <v>0</v>
      </c>
      <c r="CF181" s="19">
        <v>0</v>
      </c>
      <c r="CG181" s="19">
        <v>0</v>
      </c>
      <c r="CH181" s="19">
        <v>0</v>
      </c>
      <c r="CI181" s="19">
        <v>0</v>
      </c>
      <c r="CJ181" s="19"/>
      <c r="CK181" s="19">
        <v>0</v>
      </c>
      <c r="CL181" s="19">
        <v>0</v>
      </c>
      <c r="CM181" s="19">
        <v>0</v>
      </c>
      <c r="CN181" s="19">
        <v>0</v>
      </c>
      <c r="CO181" s="19">
        <v>0</v>
      </c>
      <c r="CP181" s="19">
        <v>0</v>
      </c>
      <c r="CQ181" s="19">
        <v>0</v>
      </c>
      <c r="CR181" s="19">
        <v>0</v>
      </c>
      <c r="CS181" s="19">
        <v>0</v>
      </c>
      <c r="CT181" s="19">
        <v>0</v>
      </c>
      <c r="CU181" s="19">
        <v>0</v>
      </c>
      <c r="CV181" s="19">
        <v>0</v>
      </c>
      <c r="CW181" s="19">
        <v>0</v>
      </c>
      <c r="CX181" s="19">
        <v>0</v>
      </c>
      <c r="CY181" s="19">
        <v>0</v>
      </c>
      <c r="CZ181" s="19">
        <v>0</v>
      </c>
      <c r="DA181" s="19">
        <v>0</v>
      </c>
      <c r="DB181" s="19">
        <v>0</v>
      </c>
      <c r="DC181" s="19">
        <v>0</v>
      </c>
      <c r="DD181" s="19">
        <v>0</v>
      </c>
      <c r="DE181" s="19">
        <v>0</v>
      </c>
      <c r="DF181" s="23">
        <v>0</v>
      </c>
      <c r="DG181" s="23">
        <v>5000000</v>
      </c>
      <c r="DH181" s="23">
        <v>0</v>
      </c>
      <c r="DI181" s="19">
        <v>0</v>
      </c>
      <c r="DJ181" s="19">
        <v>0</v>
      </c>
      <c r="DK181" s="19">
        <v>0</v>
      </c>
      <c r="DL181" s="19">
        <v>0</v>
      </c>
      <c r="DM181" s="19">
        <v>0</v>
      </c>
      <c r="DN181" s="19">
        <v>0</v>
      </c>
      <c r="DO181" s="19">
        <v>0</v>
      </c>
      <c r="DP181" s="19">
        <v>0</v>
      </c>
      <c r="DQ181" s="19">
        <v>0</v>
      </c>
      <c r="DR181" s="19">
        <v>0</v>
      </c>
      <c r="DS181" s="19">
        <v>0</v>
      </c>
      <c r="DT181" s="19">
        <v>0</v>
      </c>
      <c r="DU181" s="19">
        <v>0</v>
      </c>
      <c r="DV181" s="19">
        <v>0</v>
      </c>
      <c r="DW181" s="17" t="s">
        <v>218</v>
      </c>
      <c r="DX181" s="22" t="s">
        <v>218</v>
      </c>
      <c r="DY181" s="22" t="s">
        <v>218</v>
      </c>
      <c r="DZ181" s="22" t="s">
        <v>218</v>
      </c>
      <c r="EA181" s="22" t="s">
        <v>218</v>
      </c>
      <c r="EB181" s="22" t="s">
        <v>218</v>
      </c>
      <c r="EC181" s="22" t="s">
        <v>218</v>
      </c>
      <c r="ED181" s="22" t="s">
        <v>218</v>
      </c>
      <c r="EE181" s="22" t="s">
        <v>218</v>
      </c>
      <c r="EF181" s="22" t="s">
        <v>218</v>
      </c>
      <c r="EG181" s="22" t="s">
        <v>218</v>
      </c>
      <c r="EH181" s="22" t="s">
        <v>218</v>
      </c>
      <c r="EI181" s="22" t="s">
        <v>218</v>
      </c>
      <c r="EJ181" s="22" t="s">
        <v>218</v>
      </c>
      <c r="EK181" s="22" t="s">
        <v>218</v>
      </c>
      <c r="EL181" s="22" t="s">
        <v>218</v>
      </c>
      <c r="EM181" s="22" t="s">
        <v>218</v>
      </c>
      <c r="EN181" s="22" t="s">
        <v>218</v>
      </c>
      <c r="EO181" s="22" t="s">
        <v>218</v>
      </c>
      <c r="EP181" s="22" t="s">
        <v>218</v>
      </c>
      <c r="EQ181" s="22" t="s">
        <v>218</v>
      </c>
      <c r="ER181" s="22" t="s">
        <v>218</v>
      </c>
      <c r="ES181" s="22" t="s">
        <v>218</v>
      </c>
      <c r="ET181" s="22" t="s">
        <v>218</v>
      </c>
      <c r="EU181" s="22" t="s">
        <v>218</v>
      </c>
      <c r="EV181" s="22" t="s">
        <v>218</v>
      </c>
      <c r="EW181" s="22" t="s">
        <v>218</v>
      </c>
      <c r="EX181" s="22" t="s">
        <v>218</v>
      </c>
      <c r="EY181" s="22" t="s">
        <v>218</v>
      </c>
      <c r="EZ181" s="22" t="s">
        <v>218</v>
      </c>
      <c r="FA181" s="22" t="s">
        <v>218</v>
      </c>
      <c r="FB181" s="22" t="s">
        <v>218</v>
      </c>
      <c r="FC181" s="22" t="s">
        <v>218</v>
      </c>
      <c r="FD181" s="22" t="s">
        <v>218</v>
      </c>
      <c r="FE181" s="22" t="s">
        <v>218</v>
      </c>
      <c r="FF181" s="22" t="s">
        <v>218</v>
      </c>
      <c r="FG181" s="22" t="s">
        <v>218</v>
      </c>
      <c r="FH181" s="22" t="s">
        <v>218</v>
      </c>
      <c r="FI181" s="22" t="s">
        <v>218</v>
      </c>
      <c r="FJ181" s="22" t="s">
        <v>218</v>
      </c>
      <c r="FK181" s="22" t="s">
        <v>218</v>
      </c>
      <c r="FL181" s="22" t="s">
        <v>218</v>
      </c>
      <c r="FM181" s="22" t="s">
        <v>218</v>
      </c>
      <c r="FN181" s="22" t="s">
        <v>218</v>
      </c>
      <c r="FO181" s="22" t="s">
        <v>218</v>
      </c>
      <c r="FP181" s="22" t="s">
        <v>218</v>
      </c>
      <c r="FQ181" s="22" t="s">
        <v>218</v>
      </c>
      <c r="FR181" s="22" t="s">
        <v>218</v>
      </c>
      <c r="FS181" s="22" t="s">
        <v>218</v>
      </c>
      <c r="FT181" s="22" t="s">
        <v>218</v>
      </c>
      <c r="FU181" s="22" t="s">
        <v>218</v>
      </c>
      <c r="FV181" s="22" t="s">
        <v>218</v>
      </c>
      <c r="FW181" s="22" t="s">
        <v>218</v>
      </c>
      <c r="FX181" s="22" t="s">
        <v>218</v>
      </c>
      <c r="FY181" s="22" t="s">
        <v>218</v>
      </c>
      <c r="FZ181" s="22" t="s">
        <v>218</v>
      </c>
      <c r="GA181" s="22" t="s">
        <v>218</v>
      </c>
      <c r="GB181" s="22" t="s">
        <v>218</v>
      </c>
      <c r="GC181" s="22" t="s">
        <v>218</v>
      </c>
      <c r="GD181" s="22" t="s">
        <v>218</v>
      </c>
      <c r="GE181" s="22" t="s">
        <v>218</v>
      </c>
      <c r="GF181" s="22" t="s">
        <v>218</v>
      </c>
      <c r="GG181" s="22" t="s">
        <v>218</v>
      </c>
      <c r="GH181" s="22" t="s">
        <v>218</v>
      </c>
      <c r="GI181" s="22" t="s">
        <v>218</v>
      </c>
      <c r="GJ181" s="22" t="s">
        <v>218</v>
      </c>
      <c r="GK181" s="22" t="s">
        <v>218</v>
      </c>
      <c r="GL181" s="22" t="s">
        <v>218</v>
      </c>
      <c r="GM181" s="22" t="s">
        <v>218</v>
      </c>
      <c r="GN181" s="22" t="s">
        <v>218</v>
      </c>
      <c r="GO181" s="22" t="s">
        <v>218</v>
      </c>
      <c r="GP181" s="22" t="s">
        <v>218</v>
      </c>
      <c r="GQ181" s="22" t="s">
        <v>218</v>
      </c>
      <c r="GR181" s="22" t="s">
        <v>218</v>
      </c>
      <c r="GS181" s="22" t="s">
        <v>218</v>
      </c>
      <c r="GT181" s="22" t="s">
        <v>218</v>
      </c>
      <c r="GU181" s="22" t="s">
        <v>218</v>
      </c>
      <c r="GV181" s="22" t="s">
        <v>218</v>
      </c>
      <c r="GW181" s="22" t="s">
        <v>218</v>
      </c>
      <c r="GX181" s="22" t="s">
        <v>218</v>
      </c>
      <c r="GY181" s="22" t="s">
        <v>218</v>
      </c>
      <c r="GZ181" s="22" t="s">
        <v>218</v>
      </c>
      <c r="HA181" s="22" t="s">
        <v>218</v>
      </c>
      <c r="HB181" s="22" t="s">
        <v>218</v>
      </c>
      <c r="HC181" s="22" t="s">
        <v>218</v>
      </c>
      <c r="HD181" s="22" t="s">
        <v>218</v>
      </c>
      <c r="HE181" s="22" t="s">
        <v>218</v>
      </c>
      <c r="HF181" s="22" t="s">
        <v>218</v>
      </c>
      <c r="HG181" s="22" t="s">
        <v>218</v>
      </c>
      <c r="HH181" s="22" t="s">
        <v>218</v>
      </c>
      <c r="HI181" s="22" t="s">
        <v>218</v>
      </c>
      <c r="HJ181" s="22" t="s">
        <v>218</v>
      </c>
      <c r="HK181" s="22" t="s">
        <v>218</v>
      </c>
      <c r="HL181" s="22" t="s">
        <v>218</v>
      </c>
      <c r="HM181" s="860"/>
      <c r="HN181" s="860"/>
      <c r="HO181" s="860"/>
      <c r="HP181" s="860"/>
      <c r="HQ181" s="860"/>
      <c r="HR181" s="860"/>
      <c r="HS181" s="860"/>
      <c r="HT181" s="145"/>
      <c r="HU181" s="145" t="s">
        <v>1809</v>
      </c>
      <c r="HV181" s="22" t="s">
        <v>1926</v>
      </c>
      <c r="HW181" s="22">
        <v>0</v>
      </c>
      <c r="HX181" s="22">
        <v>0</v>
      </c>
      <c r="HY181" s="22">
        <v>0</v>
      </c>
      <c r="HZ181" s="19"/>
      <c r="IA181" s="19"/>
      <c r="IB181" s="621">
        <f>'background data'!$G$10</f>
        <v>0.47300000000000003</v>
      </c>
      <c r="IC181" s="621">
        <f>'background data'!$H$10</f>
        <v>0.13</v>
      </c>
      <c r="ID181" s="621">
        <f>'background data'!$J$10</f>
        <v>0.39100000000000001</v>
      </c>
      <c r="IE181" s="621">
        <f>'background data'!$L$10</f>
        <v>5.5E-2</v>
      </c>
      <c r="IF181" s="621">
        <f>'background data'!$M$10</f>
        <v>3.97</v>
      </c>
      <c r="IG181" s="621">
        <f>'background data'!$N$10</f>
        <v>4.5999999999999999E-3</v>
      </c>
      <c r="IH181" s="621">
        <f>'background data'!$O$10</f>
        <v>2.73</v>
      </c>
      <c r="II181" s="145"/>
      <c r="IJ181" s="145"/>
      <c r="IK181" s="145"/>
      <c r="IL181" s="145"/>
      <c r="IM181" s="145"/>
      <c r="IN181" s="145"/>
      <c r="IO181" s="145"/>
      <c r="IP181" s="145"/>
      <c r="IQ181" s="145"/>
      <c r="IR181" s="145"/>
      <c r="IS181" s="145"/>
      <c r="IT181" s="145"/>
      <c r="IU181" s="145"/>
      <c r="IV181" s="145"/>
      <c r="IW181" s="145"/>
      <c r="IX181" s="145"/>
      <c r="IY181" s="145"/>
      <c r="IZ181" s="145"/>
      <c r="JA181" s="145"/>
      <c r="JB181" s="145"/>
      <c r="JC181" s="145"/>
      <c r="JD181" s="145"/>
      <c r="JE181" s="145"/>
      <c r="JF181" s="145"/>
      <c r="JG181" s="145"/>
      <c r="JH181" s="145"/>
      <c r="JI181" s="145"/>
      <c r="JJ181" s="145"/>
      <c r="JK181" s="145"/>
      <c r="JL181" s="145"/>
      <c r="JM181" s="145"/>
      <c r="JN181" s="145"/>
      <c r="JO181" s="145"/>
      <c r="JP181" s="145"/>
      <c r="JQ181" s="145"/>
      <c r="JR181" s="145"/>
      <c r="JS181" s="145"/>
      <c r="JT181" s="145"/>
      <c r="JU181" s="145"/>
      <c r="JV181" s="145"/>
      <c r="JW181" s="145"/>
      <c r="JX181" s="145"/>
      <c r="JY181" s="145"/>
      <c r="JZ181" s="145"/>
      <c r="KA181" s="145"/>
      <c r="KB181" s="145"/>
      <c r="KC181" s="145"/>
      <c r="KD181" s="145"/>
      <c r="KE181" s="145"/>
      <c r="KF181" s="145"/>
      <c r="KG181" s="145"/>
      <c r="KH181" s="145"/>
      <c r="KI181" s="145"/>
      <c r="KJ181" s="145"/>
      <c r="KK181" s="145"/>
      <c r="KL181" s="145"/>
      <c r="KM181" s="145"/>
      <c r="KN181" s="145"/>
      <c r="KO181" s="145"/>
      <c r="KP181" s="145"/>
      <c r="KQ181" s="145"/>
      <c r="KR181" s="145"/>
      <c r="KS181" s="145"/>
      <c r="KT181" s="145"/>
      <c r="KU181" s="145"/>
      <c r="KV181" s="145"/>
      <c r="KW181" s="145"/>
      <c r="KX181" s="145"/>
      <c r="KY181" s="145"/>
      <c r="KZ181" s="145"/>
      <c r="LA181" s="145"/>
      <c r="LB181" s="145"/>
      <c r="LC181" s="145"/>
      <c r="LD181" s="145"/>
      <c r="LE181" s="145"/>
      <c r="LF181" s="145"/>
      <c r="LG181" s="145"/>
      <c r="LH181" s="145"/>
      <c r="LI181" s="145"/>
      <c r="LJ181" s="145"/>
      <c r="LK181" s="145"/>
      <c r="LL181" s="145"/>
      <c r="LM181" s="145"/>
      <c r="LN181" s="145"/>
      <c r="LO181" s="145"/>
      <c r="LP181" s="145"/>
      <c r="LQ181" s="145"/>
      <c r="LR181" s="145"/>
      <c r="LS181" s="145"/>
      <c r="LT181" s="145"/>
      <c r="LU181" s="145"/>
      <c r="LV181" s="145"/>
      <c r="LW181" s="145"/>
      <c r="LX181" s="145"/>
      <c r="LY181" s="145"/>
      <c r="LZ181" s="145"/>
      <c r="MA181" s="145"/>
      <c r="MB181" s="145"/>
      <c r="MC181" s="145"/>
      <c r="MD181" s="145"/>
      <c r="ME181" s="145"/>
      <c r="MF181" s="145"/>
      <c r="MG181" s="145"/>
      <c r="MH181" s="145"/>
      <c r="MI181" s="145"/>
      <c r="MJ181" s="145"/>
      <c r="MK181" s="145"/>
      <c r="ML181" s="145"/>
      <c r="MM181" s="145"/>
      <c r="MN181" s="145"/>
      <c r="MO181" s="145"/>
      <c r="MP181" s="145"/>
      <c r="MQ181" s="145"/>
      <c r="MR181" s="145"/>
      <c r="MS181" s="145"/>
      <c r="MT181" s="145"/>
      <c r="MU181" s="145"/>
      <c r="MV181" s="145"/>
      <c r="MW181" s="145"/>
      <c r="MX181" s="145"/>
      <c r="MY181" s="145"/>
      <c r="MZ181" s="145"/>
      <c r="NA181" s="145"/>
      <c r="NB181" s="145"/>
      <c r="NC181" s="145"/>
      <c r="ND181" s="145"/>
      <c r="NE181" s="145"/>
      <c r="NF181" s="145"/>
      <c r="NG181" s="145"/>
      <c r="NH181" s="145"/>
      <c r="NI181" s="145"/>
      <c r="NJ181" s="145"/>
      <c r="NK181" s="145"/>
      <c r="NL181" s="145"/>
      <c r="NM181" s="145"/>
      <c r="NN181" s="145"/>
      <c r="NO181" s="145"/>
      <c r="NP181" s="145"/>
      <c r="NQ181" s="145"/>
      <c r="NR181" s="145"/>
      <c r="NS181" s="145"/>
    </row>
    <row r="182" spans="1:383" s="16" customFormat="1" ht="15" customHeight="1" x14ac:dyDescent="0.2">
      <c r="A182" s="15">
        <v>95200</v>
      </c>
      <c r="B182" s="25">
        <v>952</v>
      </c>
      <c r="C182" s="26">
        <v>0</v>
      </c>
      <c r="D182" s="20" t="s">
        <v>555</v>
      </c>
      <c r="E182" s="14">
        <v>40310</v>
      </c>
      <c r="F182" s="18">
        <v>1.45860433604336</v>
      </c>
      <c r="G182" s="18">
        <v>1.39798701298702</v>
      </c>
      <c r="H182" s="21">
        <v>100</v>
      </c>
      <c r="I182" s="21">
        <v>100</v>
      </c>
      <c r="J182" s="21">
        <v>100</v>
      </c>
      <c r="K182" s="18">
        <v>1</v>
      </c>
      <c r="L182" s="18">
        <v>99</v>
      </c>
      <c r="M182" s="18">
        <v>50</v>
      </c>
      <c r="N182" s="18">
        <v>0</v>
      </c>
      <c r="O182" s="18">
        <v>0</v>
      </c>
      <c r="P182" s="18">
        <v>0</v>
      </c>
      <c r="Q182" s="19"/>
      <c r="R182" s="18">
        <v>0</v>
      </c>
      <c r="S182" s="18">
        <v>0</v>
      </c>
      <c r="T182" s="18">
        <v>0</v>
      </c>
      <c r="U182" s="18">
        <v>0</v>
      </c>
      <c r="V182" s="18">
        <v>0</v>
      </c>
      <c r="W182" s="18">
        <v>0</v>
      </c>
      <c r="X182" s="18"/>
      <c r="Y182" s="18">
        <v>0</v>
      </c>
      <c r="Z182" s="18">
        <v>0</v>
      </c>
      <c r="AA182" s="18">
        <v>0</v>
      </c>
      <c r="AB182" s="18">
        <v>0</v>
      </c>
      <c r="AC182" s="18">
        <v>0</v>
      </c>
      <c r="AD182" s="18">
        <v>0</v>
      </c>
      <c r="AE182" s="18">
        <v>0</v>
      </c>
      <c r="AF182" s="18">
        <v>0</v>
      </c>
      <c r="AG182" s="18">
        <v>0</v>
      </c>
      <c r="AH182" s="18">
        <v>0</v>
      </c>
      <c r="AI182" s="18">
        <v>0</v>
      </c>
      <c r="AJ182" s="18">
        <v>0</v>
      </c>
      <c r="AK182" s="18">
        <v>0</v>
      </c>
      <c r="AL182" s="18"/>
      <c r="AM182" s="18">
        <v>0</v>
      </c>
      <c r="AN182" s="18">
        <v>0</v>
      </c>
      <c r="AO182" s="18">
        <v>0</v>
      </c>
      <c r="AP182" s="18">
        <v>0</v>
      </c>
      <c r="AQ182" s="18">
        <v>0</v>
      </c>
      <c r="AR182" s="18">
        <v>0</v>
      </c>
      <c r="AS182" s="18">
        <v>0</v>
      </c>
      <c r="AT182" s="18">
        <v>0</v>
      </c>
      <c r="AU182" s="18">
        <v>0</v>
      </c>
      <c r="AV182" s="18">
        <v>0</v>
      </c>
      <c r="AW182" s="18">
        <v>0</v>
      </c>
      <c r="AX182" s="18"/>
      <c r="AY182" s="18">
        <v>1</v>
      </c>
      <c r="AZ182" s="18">
        <v>1</v>
      </c>
      <c r="BA182" s="18">
        <v>1</v>
      </c>
      <c r="BB182" s="18">
        <v>1</v>
      </c>
      <c r="BC182" s="18">
        <v>1</v>
      </c>
      <c r="BD182" s="18">
        <v>1</v>
      </c>
      <c r="BE182" s="18">
        <v>1</v>
      </c>
      <c r="BF182" s="18">
        <v>1</v>
      </c>
      <c r="BG182" s="18">
        <v>1</v>
      </c>
      <c r="BH182" s="18">
        <v>1</v>
      </c>
      <c r="BI182" s="18">
        <v>1</v>
      </c>
      <c r="BJ182" s="19"/>
      <c r="BK182" s="18">
        <v>50.505050505050505</v>
      </c>
      <c r="BL182" s="18">
        <v>0</v>
      </c>
      <c r="BM182" s="18">
        <v>0</v>
      </c>
      <c r="BN182" s="18">
        <v>0</v>
      </c>
      <c r="BO182" s="18"/>
      <c r="BP182" s="18">
        <v>0</v>
      </c>
      <c r="BQ182" s="18">
        <v>0</v>
      </c>
      <c r="BR182" s="18">
        <v>1.4733377131751111</v>
      </c>
      <c r="BS182" s="18">
        <v>1.4121080939262829</v>
      </c>
      <c r="BT182" s="19"/>
      <c r="BU182" s="18">
        <v>1000</v>
      </c>
      <c r="BV182" s="18">
        <v>540.40404040404042</v>
      </c>
      <c r="BW182" s="18">
        <v>0</v>
      </c>
      <c r="BX182" s="18" t="s">
        <v>217</v>
      </c>
      <c r="BY182" s="18" t="s">
        <v>217</v>
      </c>
      <c r="BZ182" s="18" t="s">
        <v>217</v>
      </c>
      <c r="CA182" s="18" t="s">
        <v>217</v>
      </c>
      <c r="CB182" s="19"/>
      <c r="CC182" s="19">
        <v>0</v>
      </c>
      <c r="CD182" s="19">
        <v>0</v>
      </c>
      <c r="CE182" s="19">
        <v>0</v>
      </c>
      <c r="CF182" s="19">
        <v>0</v>
      </c>
      <c r="CG182" s="19">
        <v>0</v>
      </c>
      <c r="CH182" s="19">
        <v>0</v>
      </c>
      <c r="CI182" s="19">
        <v>0</v>
      </c>
      <c r="CJ182" s="19"/>
      <c r="CK182" s="19">
        <v>0</v>
      </c>
      <c r="CL182" s="19">
        <v>0</v>
      </c>
      <c r="CM182" s="19">
        <v>0</v>
      </c>
      <c r="CN182" s="19">
        <v>0</v>
      </c>
      <c r="CO182" s="19">
        <v>0</v>
      </c>
      <c r="CP182" s="19">
        <v>0</v>
      </c>
      <c r="CQ182" s="19">
        <v>0</v>
      </c>
      <c r="CR182" s="19">
        <v>0</v>
      </c>
      <c r="CS182" s="19">
        <v>0</v>
      </c>
      <c r="CT182" s="19">
        <v>0</v>
      </c>
      <c r="CU182" s="19">
        <v>0</v>
      </c>
      <c r="CV182" s="19">
        <v>0</v>
      </c>
      <c r="CW182" s="19">
        <v>0</v>
      </c>
      <c r="CX182" s="19">
        <v>0</v>
      </c>
      <c r="CY182" s="19">
        <v>0</v>
      </c>
      <c r="CZ182" s="19">
        <v>0</v>
      </c>
      <c r="DA182" s="19">
        <v>0</v>
      </c>
      <c r="DB182" s="19">
        <v>0</v>
      </c>
      <c r="DC182" s="19">
        <v>0</v>
      </c>
      <c r="DD182" s="19">
        <v>0</v>
      </c>
      <c r="DE182" s="19">
        <v>0</v>
      </c>
      <c r="DF182" s="23">
        <v>0</v>
      </c>
      <c r="DG182" s="23">
        <v>4000000</v>
      </c>
      <c r="DH182" s="23">
        <v>0</v>
      </c>
      <c r="DI182" s="19">
        <v>0</v>
      </c>
      <c r="DJ182" s="19">
        <v>0</v>
      </c>
      <c r="DK182" s="19">
        <v>0</v>
      </c>
      <c r="DL182" s="19">
        <v>0</v>
      </c>
      <c r="DM182" s="19">
        <v>0</v>
      </c>
      <c r="DN182" s="19">
        <v>0</v>
      </c>
      <c r="DO182" s="19">
        <v>0</v>
      </c>
      <c r="DP182" s="19">
        <v>0</v>
      </c>
      <c r="DQ182" s="19">
        <v>0</v>
      </c>
      <c r="DR182" s="19">
        <v>0</v>
      </c>
      <c r="DS182" s="19">
        <v>0</v>
      </c>
      <c r="DT182" s="19">
        <v>0</v>
      </c>
      <c r="DU182" s="19">
        <v>0</v>
      </c>
      <c r="DV182" s="19">
        <v>0</v>
      </c>
      <c r="DW182" s="17" t="s">
        <v>218</v>
      </c>
      <c r="DX182" s="22" t="s">
        <v>218</v>
      </c>
      <c r="DY182" s="22" t="s">
        <v>218</v>
      </c>
      <c r="DZ182" s="22" t="s">
        <v>218</v>
      </c>
      <c r="EA182" s="22" t="s">
        <v>218</v>
      </c>
      <c r="EB182" s="22" t="s">
        <v>218</v>
      </c>
      <c r="EC182" s="22" t="s">
        <v>218</v>
      </c>
      <c r="ED182" s="22" t="s">
        <v>218</v>
      </c>
      <c r="EE182" s="22" t="s">
        <v>218</v>
      </c>
      <c r="EF182" s="22" t="s">
        <v>218</v>
      </c>
      <c r="EG182" s="22" t="s">
        <v>218</v>
      </c>
      <c r="EH182" s="22" t="s">
        <v>218</v>
      </c>
      <c r="EI182" s="22" t="s">
        <v>218</v>
      </c>
      <c r="EJ182" s="22" t="s">
        <v>218</v>
      </c>
      <c r="EK182" s="22" t="s">
        <v>218</v>
      </c>
      <c r="EL182" s="22" t="s">
        <v>218</v>
      </c>
      <c r="EM182" s="22" t="s">
        <v>218</v>
      </c>
      <c r="EN182" s="22" t="s">
        <v>218</v>
      </c>
      <c r="EO182" s="22" t="s">
        <v>218</v>
      </c>
      <c r="EP182" s="22" t="s">
        <v>218</v>
      </c>
      <c r="EQ182" s="22" t="s">
        <v>218</v>
      </c>
      <c r="ER182" s="22" t="s">
        <v>218</v>
      </c>
      <c r="ES182" s="22" t="s">
        <v>218</v>
      </c>
      <c r="ET182" s="22" t="s">
        <v>218</v>
      </c>
      <c r="EU182" s="22" t="s">
        <v>218</v>
      </c>
      <c r="EV182" s="22" t="s">
        <v>218</v>
      </c>
      <c r="EW182" s="22" t="s">
        <v>218</v>
      </c>
      <c r="EX182" s="22" t="s">
        <v>218</v>
      </c>
      <c r="EY182" s="22" t="s">
        <v>218</v>
      </c>
      <c r="EZ182" s="22" t="s">
        <v>218</v>
      </c>
      <c r="FA182" s="22" t="s">
        <v>218</v>
      </c>
      <c r="FB182" s="22" t="s">
        <v>218</v>
      </c>
      <c r="FC182" s="22" t="s">
        <v>218</v>
      </c>
      <c r="FD182" s="22" t="s">
        <v>218</v>
      </c>
      <c r="FE182" s="22" t="s">
        <v>218</v>
      </c>
      <c r="FF182" s="22" t="s">
        <v>218</v>
      </c>
      <c r="FG182" s="22" t="s">
        <v>218</v>
      </c>
      <c r="FH182" s="22" t="s">
        <v>218</v>
      </c>
      <c r="FI182" s="22" t="s">
        <v>218</v>
      </c>
      <c r="FJ182" s="22" t="s">
        <v>218</v>
      </c>
      <c r="FK182" s="22" t="s">
        <v>218</v>
      </c>
      <c r="FL182" s="22" t="s">
        <v>218</v>
      </c>
      <c r="FM182" s="22" t="s">
        <v>218</v>
      </c>
      <c r="FN182" s="22" t="s">
        <v>218</v>
      </c>
      <c r="FO182" s="22" t="s">
        <v>218</v>
      </c>
      <c r="FP182" s="22" t="s">
        <v>218</v>
      </c>
      <c r="FQ182" s="22" t="s">
        <v>218</v>
      </c>
      <c r="FR182" s="22" t="s">
        <v>218</v>
      </c>
      <c r="FS182" s="22" t="s">
        <v>218</v>
      </c>
      <c r="FT182" s="22" t="s">
        <v>218</v>
      </c>
      <c r="FU182" s="22" t="s">
        <v>218</v>
      </c>
      <c r="FV182" s="22" t="s">
        <v>218</v>
      </c>
      <c r="FW182" s="22" t="s">
        <v>218</v>
      </c>
      <c r="FX182" s="22" t="s">
        <v>218</v>
      </c>
      <c r="FY182" s="22" t="s">
        <v>218</v>
      </c>
      <c r="FZ182" s="22" t="s">
        <v>218</v>
      </c>
      <c r="GA182" s="22" t="s">
        <v>218</v>
      </c>
      <c r="GB182" s="22" t="s">
        <v>218</v>
      </c>
      <c r="GC182" s="22" t="s">
        <v>218</v>
      </c>
      <c r="GD182" s="22" t="s">
        <v>218</v>
      </c>
      <c r="GE182" s="22" t="s">
        <v>218</v>
      </c>
      <c r="GF182" s="22" t="s">
        <v>218</v>
      </c>
      <c r="GG182" s="22" t="s">
        <v>218</v>
      </c>
      <c r="GH182" s="22" t="s">
        <v>218</v>
      </c>
      <c r="GI182" s="22" t="s">
        <v>218</v>
      </c>
      <c r="GJ182" s="22" t="s">
        <v>218</v>
      </c>
      <c r="GK182" s="22" t="s">
        <v>218</v>
      </c>
      <c r="GL182" s="22" t="s">
        <v>218</v>
      </c>
      <c r="GM182" s="22" t="s">
        <v>218</v>
      </c>
      <c r="GN182" s="22" t="s">
        <v>218</v>
      </c>
      <c r="GO182" s="22" t="s">
        <v>218</v>
      </c>
      <c r="GP182" s="22" t="s">
        <v>218</v>
      </c>
      <c r="GQ182" s="22" t="s">
        <v>218</v>
      </c>
      <c r="GR182" s="22" t="s">
        <v>218</v>
      </c>
      <c r="GS182" s="22" t="s">
        <v>218</v>
      </c>
      <c r="GT182" s="22" t="s">
        <v>218</v>
      </c>
      <c r="GU182" s="22" t="s">
        <v>218</v>
      </c>
      <c r="GV182" s="22" t="s">
        <v>218</v>
      </c>
      <c r="GW182" s="22" t="s">
        <v>218</v>
      </c>
      <c r="GX182" s="22" t="s">
        <v>218</v>
      </c>
      <c r="GY182" s="22" t="s">
        <v>218</v>
      </c>
      <c r="GZ182" s="22" t="s">
        <v>218</v>
      </c>
      <c r="HA182" s="22" t="s">
        <v>218</v>
      </c>
      <c r="HB182" s="22" t="s">
        <v>218</v>
      </c>
      <c r="HC182" s="22" t="s">
        <v>218</v>
      </c>
      <c r="HD182" s="22" t="s">
        <v>218</v>
      </c>
      <c r="HE182" s="22" t="s">
        <v>218</v>
      </c>
      <c r="HF182" s="22" t="s">
        <v>218</v>
      </c>
      <c r="HG182" s="22" t="s">
        <v>218</v>
      </c>
      <c r="HH182" s="22" t="s">
        <v>218</v>
      </c>
      <c r="HI182" s="22" t="s">
        <v>218</v>
      </c>
      <c r="HJ182" s="22" t="s">
        <v>218</v>
      </c>
      <c r="HK182" s="22" t="s">
        <v>218</v>
      </c>
      <c r="HL182" s="22" t="s">
        <v>218</v>
      </c>
      <c r="HM182" s="860"/>
      <c r="HN182" s="860"/>
      <c r="HO182" s="860"/>
      <c r="HP182" s="860"/>
      <c r="HQ182" s="860"/>
      <c r="HR182" s="860"/>
      <c r="HS182" s="860"/>
      <c r="HT182" s="145"/>
      <c r="HU182" s="145" t="s">
        <v>1809</v>
      </c>
      <c r="HV182" s="22" t="s">
        <v>1926</v>
      </c>
      <c r="HW182" s="22">
        <v>0</v>
      </c>
      <c r="HX182" s="22">
        <v>0</v>
      </c>
      <c r="HY182" s="22">
        <v>0</v>
      </c>
      <c r="HZ182" s="19"/>
      <c r="IA182" s="19"/>
      <c r="IB182" s="621">
        <f>'background data'!$G$10</f>
        <v>0.47300000000000003</v>
      </c>
      <c r="IC182" s="621">
        <f>'background data'!$H$10</f>
        <v>0.13</v>
      </c>
      <c r="ID182" s="621">
        <f>'background data'!$J$10</f>
        <v>0.39100000000000001</v>
      </c>
      <c r="IE182" s="621">
        <f>'background data'!$L$10</f>
        <v>5.5E-2</v>
      </c>
      <c r="IF182" s="621">
        <f>'background data'!$M$10</f>
        <v>3.97</v>
      </c>
      <c r="IG182" s="621">
        <f>'background data'!$N$10</f>
        <v>4.5999999999999999E-3</v>
      </c>
      <c r="IH182" s="621">
        <f>'background data'!$O$10</f>
        <v>2.73</v>
      </c>
      <c r="II182" s="145"/>
      <c r="IJ182" s="145"/>
      <c r="IK182" s="145"/>
      <c r="IL182" s="145"/>
      <c r="IM182" s="145"/>
      <c r="IN182" s="145"/>
      <c r="IO182" s="145"/>
      <c r="IP182" s="145"/>
      <c r="IQ182" s="145"/>
      <c r="IR182" s="145"/>
      <c r="IS182" s="145"/>
      <c r="IT182" s="145"/>
      <c r="IU182" s="145"/>
      <c r="IV182" s="145"/>
      <c r="IW182" s="145"/>
      <c r="IX182" s="145"/>
      <c r="IY182" s="145"/>
      <c r="IZ182" s="145"/>
      <c r="JA182" s="145"/>
      <c r="JB182" s="145"/>
      <c r="JC182" s="145"/>
      <c r="JD182" s="145"/>
      <c r="JE182" s="145"/>
      <c r="JF182" s="145"/>
      <c r="JG182" s="145"/>
      <c r="JH182" s="145"/>
      <c r="JI182" s="145"/>
      <c r="JJ182" s="145"/>
      <c r="JK182" s="145"/>
      <c r="JL182" s="145"/>
      <c r="JM182" s="145"/>
      <c r="JN182" s="145"/>
      <c r="JO182" s="145"/>
      <c r="JP182" s="145"/>
      <c r="JQ182" s="145"/>
      <c r="JR182" s="145"/>
      <c r="JS182" s="145"/>
      <c r="JT182" s="145"/>
      <c r="JU182" s="145"/>
      <c r="JV182" s="145"/>
      <c r="JW182" s="145"/>
      <c r="JX182" s="145"/>
      <c r="JY182" s="145"/>
      <c r="JZ182" s="145"/>
      <c r="KA182" s="145"/>
      <c r="KB182" s="145"/>
      <c r="KC182" s="145"/>
      <c r="KD182" s="145"/>
      <c r="KE182" s="145"/>
      <c r="KF182" s="145"/>
      <c r="KG182" s="145"/>
      <c r="KH182" s="145"/>
      <c r="KI182" s="145"/>
      <c r="KJ182" s="145"/>
      <c r="KK182" s="145"/>
      <c r="KL182" s="145"/>
      <c r="KM182" s="145"/>
      <c r="KN182" s="145"/>
      <c r="KO182" s="145"/>
      <c r="KP182" s="145"/>
      <c r="KQ182" s="145"/>
      <c r="KR182" s="145"/>
      <c r="KS182" s="145"/>
      <c r="KT182" s="145"/>
      <c r="KU182" s="145"/>
      <c r="KV182" s="145"/>
      <c r="KW182" s="145"/>
      <c r="KX182" s="145"/>
      <c r="KY182" s="145"/>
      <c r="KZ182" s="145"/>
      <c r="LA182" s="145"/>
      <c r="LB182" s="145"/>
      <c r="LC182" s="145"/>
      <c r="LD182" s="145"/>
      <c r="LE182" s="145"/>
      <c r="LF182" s="145"/>
      <c r="LG182" s="145"/>
      <c r="LH182" s="145"/>
      <c r="LI182" s="145"/>
      <c r="LJ182" s="145"/>
      <c r="LK182" s="145"/>
      <c r="LL182" s="145"/>
      <c r="LM182" s="145"/>
      <c r="LN182" s="145"/>
      <c r="LO182" s="145"/>
      <c r="LP182" s="145"/>
      <c r="LQ182" s="145"/>
      <c r="LR182" s="145"/>
      <c r="LS182" s="145"/>
      <c r="LT182" s="145"/>
      <c r="LU182" s="145"/>
      <c r="LV182" s="145"/>
      <c r="LW182" s="145"/>
      <c r="LX182" s="145"/>
      <c r="LY182" s="145"/>
      <c r="LZ182" s="145"/>
      <c r="MA182" s="145"/>
      <c r="MB182" s="145"/>
      <c r="MC182" s="145"/>
      <c r="MD182" s="145"/>
      <c r="ME182" s="145"/>
      <c r="MF182" s="145"/>
      <c r="MG182" s="145"/>
      <c r="MH182" s="145"/>
      <c r="MI182" s="145"/>
      <c r="MJ182" s="145"/>
      <c r="MK182" s="145"/>
      <c r="ML182" s="145"/>
      <c r="MM182" s="145"/>
      <c r="MN182" s="145"/>
      <c r="MO182" s="145"/>
      <c r="MP182" s="145"/>
      <c r="MQ182" s="145"/>
      <c r="MR182" s="145"/>
      <c r="MS182" s="145"/>
      <c r="MT182" s="145"/>
      <c r="MU182" s="145"/>
      <c r="MV182" s="145"/>
      <c r="MW182" s="145"/>
      <c r="MX182" s="145"/>
      <c r="MY182" s="145"/>
      <c r="MZ182" s="145"/>
      <c r="NA182" s="145"/>
      <c r="NB182" s="145"/>
      <c r="NC182" s="145"/>
      <c r="ND182" s="145"/>
      <c r="NE182" s="145"/>
      <c r="NF182" s="145"/>
      <c r="NG182" s="145"/>
      <c r="NH182" s="145"/>
      <c r="NI182" s="145"/>
      <c r="NJ182" s="145"/>
      <c r="NK182" s="145"/>
      <c r="NL182" s="145"/>
      <c r="NM182" s="145"/>
      <c r="NN182" s="145"/>
      <c r="NO182" s="145"/>
      <c r="NP182" s="145"/>
      <c r="NQ182" s="145"/>
      <c r="NR182" s="145"/>
      <c r="NS182" s="145"/>
    </row>
    <row r="183" spans="1:383" s="16" customFormat="1" ht="15" customHeight="1" x14ac:dyDescent="0.2">
      <c r="A183" s="15">
        <v>58000</v>
      </c>
      <c r="B183" s="25">
        <v>580</v>
      </c>
      <c r="C183" s="26">
        <v>0</v>
      </c>
      <c r="D183" s="20" t="s">
        <v>556</v>
      </c>
      <c r="E183" s="14">
        <v>42517</v>
      </c>
      <c r="F183" s="18">
        <v>2.0692902477739001</v>
      </c>
      <c r="G183" s="18">
        <v>2.0468762654916501</v>
      </c>
      <c r="H183" s="21">
        <v>89</v>
      </c>
      <c r="I183" s="21">
        <v>75.900000000000006</v>
      </c>
      <c r="J183" s="21">
        <v>84</v>
      </c>
      <c r="K183" s="18">
        <v>1</v>
      </c>
      <c r="L183" s="18">
        <v>92.5</v>
      </c>
      <c r="M183" s="18">
        <v>17.945</v>
      </c>
      <c r="N183" s="18">
        <v>46.435000000000002</v>
      </c>
      <c r="O183" s="18">
        <v>3.8849999999999998</v>
      </c>
      <c r="P183" s="18">
        <v>8.3724099499999998</v>
      </c>
      <c r="Q183" s="19"/>
      <c r="R183" s="18">
        <v>63</v>
      </c>
      <c r="S183" s="18">
        <v>27</v>
      </c>
      <c r="T183" s="18">
        <v>40</v>
      </c>
      <c r="U183" s="18">
        <v>45</v>
      </c>
      <c r="V183" s="18">
        <v>50</v>
      </c>
      <c r="W183" s="18">
        <v>53</v>
      </c>
      <c r="X183" s="18"/>
      <c r="Y183" s="18">
        <v>5.8</v>
      </c>
      <c r="Z183" s="18">
        <v>7.6</v>
      </c>
      <c r="AA183" s="18">
        <v>0.1</v>
      </c>
      <c r="AB183" s="18">
        <v>0</v>
      </c>
      <c r="AC183" s="18">
        <v>10</v>
      </c>
      <c r="AD183" s="18">
        <v>3.5</v>
      </c>
      <c r="AE183" s="18">
        <v>4.2</v>
      </c>
      <c r="AF183" s="18">
        <v>90</v>
      </c>
      <c r="AG183" s="18">
        <v>4.0999999999999996</v>
      </c>
      <c r="AH183" s="18">
        <v>42</v>
      </c>
      <c r="AI183" s="18">
        <v>42</v>
      </c>
      <c r="AJ183" s="18">
        <v>0</v>
      </c>
      <c r="AK183" s="18">
        <v>0</v>
      </c>
      <c r="AL183" s="18"/>
      <c r="AM183" s="18">
        <v>6</v>
      </c>
      <c r="AN183" s="18">
        <v>2</v>
      </c>
      <c r="AO183" s="18">
        <v>2.4</v>
      </c>
      <c r="AP183" s="18">
        <v>4.4000000000000004</v>
      </c>
      <c r="AQ183" s="18">
        <v>1.24</v>
      </c>
      <c r="AR183" s="18">
        <v>4.1900000000000004</v>
      </c>
      <c r="AS183" s="18">
        <v>6.86</v>
      </c>
      <c r="AT183" s="18">
        <v>2.74</v>
      </c>
      <c r="AU183" s="18">
        <v>4.01</v>
      </c>
      <c r="AV183" s="18">
        <v>3.12</v>
      </c>
      <c r="AW183" s="18">
        <v>5.39</v>
      </c>
      <c r="AX183" s="18"/>
      <c r="AY183" s="18">
        <v>1.1000000000000001</v>
      </c>
      <c r="AZ183" s="18">
        <v>1.1399999999999999</v>
      </c>
      <c r="BA183" s="18">
        <v>1.1000000000000001</v>
      </c>
      <c r="BB183" s="18">
        <v>1.05</v>
      </c>
      <c r="BC183" s="18">
        <v>1.1399999999999999</v>
      </c>
      <c r="BD183" s="18">
        <v>1.1000000000000001</v>
      </c>
      <c r="BE183" s="18">
        <v>1.08</v>
      </c>
      <c r="BF183" s="18">
        <v>1.08</v>
      </c>
      <c r="BG183" s="18">
        <v>1.17</v>
      </c>
      <c r="BH183" s="18">
        <v>0.97</v>
      </c>
      <c r="BI183" s="18">
        <v>1.1000000000000001</v>
      </c>
      <c r="BJ183" s="19"/>
      <c r="BK183" s="18">
        <v>19.399999999999999</v>
      </c>
      <c r="BL183" s="18">
        <v>50.2</v>
      </c>
      <c r="BM183" s="18">
        <v>4.2</v>
      </c>
      <c r="BN183" s="18">
        <v>9.0512540000000001</v>
      </c>
      <c r="BO183" s="18"/>
      <c r="BP183" s="18">
        <v>116</v>
      </c>
      <c r="BQ183" s="18">
        <v>582.31999999999994</v>
      </c>
      <c r="BR183" s="18">
        <v>2.2370705381339464</v>
      </c>
      <c r="BS183" s="18">
        <v>2.2128392059369189</v>
      </c>
      <c r="BT183" s="19"/>
      <c r="BU183" s="18">
        <v>958</v>
      </c>
      <c r="BV183" s="18">
        <v>9.8571428571429518</v>
      </c>
      <c r="BW183" s="18">
        <v>179.28285714285732</v>
      </c>
      <c r="BX183" s="18" t="s">
        <v>217</v>
      </c>
      <c r="BY183" s="18" t="s">
        <v>217</v>
      </c>
      <c r="BZ183" s="18">
        <v>38.043428571428535</v>
      </c>
      <c r="CA183" s="18">
        <v>215.57942857142811</v>
      </c>
      <c r="CB183" s="19"/>
      <c r="CC183" s="19">
        <v>5.3650000000000002</v>
      </c>
      <c r="CD183" s="19">
        <v>7.03</v>
      </c>
      <c r="CE183" s="19">
        <v>9.2500000000000013E-2</v>
      </c>
      <c r="CF183" s="19">
        <v>0</v>
      </c>
      <c r="CG183" s="19">
        <v>9.25</v>
      </c>
      <c r="CH183" s="19">
        <v>3.2375000000000003</v>
      </c>
      <c r="CI183" s="19">
        <v>3.8850000000000002</v>
      </c>
      <c r="CJ183" s="19"/>
      <c r="CK183" s="19">
        <v>83.25</v>
      </c>
      <c r="CL183" s="19">
        <v>3.7925</v>
      </c>
      <c r="CM183" s="19">
        <v>38.85</v>
      </c>
      <c r="CN183" s="19">
        <v>38.85</v>
      </c>
      <c r="CO183" s="19">
        <v>0</v>
      </c>
      <c r="CP183" s="19">
        <v>0</v>
      </c>
      <c r="CQ183" s="19">
        <v>113.0535</v>
      </c>
      <c r="CR183" s="19">
        <v>54.633950032684218</v>
      </c>
      <c r="CS183" s="19">
        <v>3.6058407021571584</v>
      </c>
      <c r="CT183" s="19">
        <v>1.2456540607452</v>
      </c>
      <c r="CU183" s="19">
        <v>1.4423362808628633</v>
      </c>
      <c r="CV183" s="19">
        <v>2.6879903416080637</v>
      </c>
      <c r="CW183" s="19">
        <v>2.5240884915100108</v>
      </c>
      <c r="CX183" s="19">
        <v>0.77230551766202415</v>
      </c>
      <c r="CY183" s="19">
        <v>2.5180787570064154</v>
      </c>
      <c r="CZ183" s="19">
        <v>4.0477200900215085</v>
      </c>
      <c r="DA183" s="19">
        <v>1.6167278493671913</v>
      </c>
      <c r="DB183" s="19">
        <v>2.5632610336834456</v>
      </c>
      <c r="DC183" s="19">
        <v>1.653441863789155</v>
      </c>
      <c r="DD183" s="19">
        <v>4.2167028974726009</v>
      </c>
      <c r="DE183" s="19">
        <v>3.2392468974378468</v>
      </c>
      <c r="DF183" s="23">
        <v>0</v>
      </c>
      <c r="DG183" s="23">
        <v>0</v>
      </c>
      <c r="DH183" s="23">
        <v>0</v>
      </c>
      <c r="DI183" s="19">
        <v>0</v>
      </c>
      <c r="DJ183" s="19">
        <v>0</v>
      </c>
      <c r="DK183" s="19">
        <v>0</v>
      </c>
      <c r="DL183" s="19">
        <v>0</v>
      </c>
      <c r="DM183" s="19">
        <v>0</v>
      </c>
      <c r="DN183" s="19">
        <v>0</v>
      </c>
      <c r="DO183" s="19">
        <v>0</v>
      </c>
      <c r="DP183" s="19">
        <v>0</v>
      </c>
      <c r="DQ183" s="19">
        <v>0</v>
      </c>
      <c r="DR183" s="19">
        <v>0</v>
      </c>
      <c r="DS183" s="19">
        <v>0</v>
      </c>
      <c r="DT183" s="19">
        <v>0</v>
      </c>
      <c r="DU183" s="19">
        <v>0</v>
      </c>
      <c r="DV183" s="19">
        <v>0</v>
      </c>
      <c r="DW183" s="17" t="s">
        <v>557</v>
      </c>
      <c r="DX183" s="22" t="s">
        <v>218</v>
      </c>
      <c r="DY183" s="22" t="s">
        <v>218</v>
      </c>
      <c r="DZ183" s="22">
        <v>5</v>
      </c>
      <c r="EA183" s="22">
        <v>5</v>
      </c>
      <c r="EB183" s="22" t="s">
        <v>218</v>
      </c>
      <c r="EC183" s="22" t="s">
        <v>218</v>
      </c>
      <c r="ED183" s="22">
        <v>2</v>
      </c>
      <c r="EE183" s="22" t="s">
        <v>218</v>
      </c>
      <c r="EF183" s="22" t="s">
        <v>218</v>
      </c>
      <c r="EG183" s="22" t="s">
        <v>218</v>
      </c>
      <c r="EH183" s="22" t="s">
        <v>218</v>
      </c>
      <c r="EI183" s="22" t="s">
        <v>218</v>
      </c>
      <c r="EJ183" s="22" t="s">
        <v>218</v>
      </c>
      <c r="EK183" s="22" t="s">
        <v>218</v>
      </c>
      <c r="EL183" s="22" t="s">
        <v>218</v>
      </c>
      <c r="EM183" s="22" t="s">
        <v>218</v>
      </c>
      <c r="EN183" s="22" t="s">
        <v>218</v>
      </c>
      <c r="EO183" s="22" t="s">
        <v>218</v>
      </c>
      <c r="EP183" s="22" t="s">
        <v>218</v>
      </c>
      <c r="EQ183" s="22" t="s">
        <v>218</v>
      </c>
      <c r="ER183" s="22" t="s">
        <v>218</v>
      </c>
      <c r="ES183" s="22">
        <v>5</v>
      </c>
      <c r="ET183" s="22">
        <v>6</v>
      </c>
      <c r="EU183" s="22">
        <v>5</v>
      </c>
      <c r="EV183" s="22" t="s">
        <v>218</v>
      </c>
      <c r="EW183" s="22">
        <v>5</v>
      </c>
      <c r="EX183" s="22">
        <v>5</v>
      </c>
      <c r="EY183" s="22">
        <v>5</v>
      </c>
      <c r="EZ183" s="22">
        <v>5</v>
      </c>
      <c r="FA183" s="22">
        <v>5</v>
      </c>
      <c r="FB183" s="22">
        <v>5</v>
      </c>
      <c r="FC183" s="22">
        <v>5</v>
      </c>
      <c r="FD183" s="22" t="s">
        <v>218</v>
      </c>
      <c r="FE183" s="22" t="s">
        <v>218</v>
      </c>
      <c r="FF183" s="22" t="s">
        <v>218</v>
      </c>
      <c r="FG183" s="22" t="s">
        <v>218</v>
      </c>
      <c r="FH183" s="22">
        <v>4</v>
      </c>
      <c r="FI183" s="22">
        <v>0.1</v>
      </c>
      <c r="FJ183" s="22" t="s">
        <v>218</v>
      </c>
      <c r="FK183" s="22" t="s">
        <v>218</v>
      </c>
      <c r="FL183" s="22">
        <v>0.2</v>
      </c>
      <c r="FM183" s="22" t="s">
        <v>218</v>
      </c>
      <c r="FN183" s="22" t="s">
        <v>218</v>
      </c>
      <c r="FO183" s="22" t="s">
        <v>218</v>
      </c>
      <c r="FP183" s="22" t="s">
        <v>218</v>
      </c>
      <c r="FQ183" s="22" t="s">
        <v>218</v>
      </c>
      <c r="FR183" s="22" t="s">
        <v>218</v>
      </c>
      <c r="FS183" s="22" t="s">
        <v>218</v>
      </c>
      <c r="FT183" s="22" t="s">
        <v>218</v>
      </c>
      <c r="FU183" s="22" t="s">
        <v>218</v>
      </c>
      <c r="FV183" s="22" t="s">
        <v>218</v>
      </c>
      <c r="FW183" s="22" t="s">
        <v>218</v>
      </c>
      <c r="FX183" s="22" t="s">
        <v>218</v>
      </c>
      <c r="FY183" s="22" t="s">
        <v>218</v>
      </c>
      <c r="FZ183" s="22" t="s">
        <v>218</v>
      </c>
      <c r="GA183" s="22">
        <v>0.79</v>
      </c>
      <c r="GB183" s="22">
        <v>1.0900000000000001</v>
      </c>
      <c r="GC183" s="22">
        <v>0.12</v>
      </c>
      <c r="GD183" s="22" t="s">
        <v>218</v>
      </c>
      <c r="GE183" s="22">
        <v>1.64</v>
      </c>
      <c r="GF183" s="22">
        <v>0.47</v>
      </c>
      <c r="GG183" s="22">
        <v>0.44</v>
      </c>
      <c r="GH183" s="22">
        <v>7.43</v>
      </c>
      <c r="GI183" s="22">
        <v>0.48</v>
      </c>
      <c r="GJ183" s="22">
        <v>6.2</v>
      </c>
      <c r="GK183" s="22">
        <v>4.37</v>
      </c>
      <c r="GL183" s="22" t="s">
        <v>218</v>
      </c>
      <c r="GM183" s="22" t="s">
        <v>218</v>
      </c>
      <c r="GN183" s="22" t="s">
        <v>218</v>
      </c>
      <c r="GO183" s="22" t="s">
        <v>218</v>
      </c>
      <c r="GP183" s="22">
        <v>2005</v>
      </c>
      <c r="GQ183" s="22">
        <v>2005</v>
      </c>
      <c r="GR183" s="22" t="s">
        <v>218</v>
      </c>
      <c r="GS183" s="22" t="s">
        <v>218</v>
      </c>
      <c r="GT183" s="22">
        <v>2005</v>
      </c>
      <c r="GU183" s="22" t="s">
        <v>218</v>
      </c>
      <c r="GV183" s="22" t="s">
        <v>218</v>
      </c>
      <c r="GW183" s="22" t="s">
        <v>218</v>
      </c>
      <c r="GX183" s="22" t="s">
        <v>218</v>
      </c>
      <c r="GY183" s="22" t="s">
        <v>218</v>
      </c>
      <c r="GZ183" s="22" t="s">
        <v>218</v>
      </c>
      <c r="HA183" s="22" t="s">
        <v>218</v>
      </c>
      <c r="HB183" s="22" t="s">
        <v>218</v>
      </c>
      <c r="HC183" s="22" t="s">
        <v>218</v>
      </c>
      <c r="HD183" s="22" t="s">
        <v>218</v>
      </c>
      <c r="HE183" s="22" t="s">
        <v>218</v>
      </c>
      <c r="HF183" s="22" t="s">
        <v>218</v>
      </c>
      <c r="HG183" s="22" t="s">
        <v>218</v>
      </c>
      <c r="HH183" s="22" t="s">
        <v>218</v>
      </c>
      <c r="HI183" s="22">
        <v>2005</v>
      </c>
      <c r="HJ183" s="22">
        <v>2005</v>
      </c>
      <c r="HK183" s="22">
        <v>2005</v>
      </c>
      <c r="HL183" s="22" t="s">
        <v>218</v>
      </c>
      <c r="HM183" s="622">
        <f>'background data'!$G$12</f>
        <v>0.51300000000000001</v>
      </c>
      <c r="HN183" s="622">
        <f>'background data'!$H$12</f>
        <v>8.9999999999999993E-3</v>
      </c>
      <c r="HO183" s="622">
        <f>'background data'!$J$12</f>
        <v>0.32600000000000001</v>
      </c>
      <c r="HP183" s="622">
        <f>'background data'!$L$12</f>
        <v>0.05</v>
      </c>
      <c r="HQ183" s="622">
        <f>'background data'!$M$12</f>
        <v>4</v>
      </c>
      <c r="HR183" s="622">
        <f>'background data'!$N$12</f>
        <v>3.8999999999999998E-3</v>
      </c>
      <c r="HS183" s="622">
        <f>'background data'!$O$12</f>
        <v>2.2799999999999998</v>
      </c>
      <c r="HT183" s="145" t="s">
        <v>1803</v>
      </c>
      <c r="HU183" s="145" t="s">
        <v>1809</v>
      </c>
      <c r="HV183" s="22" t="s">
        <v>1969</v>
      </c>
      <c r="HW183" s="22" t="s">
        <v>558</v>
      </c>
      <c r="HX183" s="22" t="s">
        <v>559</v>
      </c>
      <c r="HY183" s="22" t="s">
        <v>560</v>
      </c>
      <c r="HZ183" s="19"/>
      <c r="IA183" s="19"/>
      <c r="IB183" s="622">
        <f>'background data'!$G$12</f>
        <v>0.51300000000000001</v>
      </c>
      <c r="IC183" s="622">
        <f>'background data'!$H$12</f>
        <v>8.9999999999999993E-3</v>
      </c>
      <c r="ID183" s="622">
        <f>'background data'!$J$12</f>
        <v>0.32600000000000001</v>
      </c>
      <c r="IE183" s="622">
        <f>'background data'!$L$12</f>
        <v>0.05</v>
      </c>
      <c r="IF183" s="622">
        <f>'background data'!$M$12</f>
        <v>4</v>
      </c>
      <c r="IG183" s="622">
        <f>'background data'!$N$12</f>
        <v>3.8999999999999998E-3</v>
      </c>
      <c r="IH183" s="622">
        <f>'background data'!$O$12</f>
        <v>2.2799999999999998</v>
      </c>
      <c r="II183" s="145" t="s">
        <v>1803</v>
      </c>
      <c r="IJ183" s="145"/>
      <c r="IK183" s="145"/>
      <c r="IL183" s="145"/>
      <c r="IM183" s="145"/>
      <c r="IN183" s="145"/>
      <c r="IO183" s="145"/>
      <c r="IP183" s="145"/>
      <c r="IQ183" s="145"/>
      <c r="IR183" s="145"/>
      <c r="IS183" s="145"/>
      <c r="IT183" s="145"/>
      <c r="IU183" s="145"/>
      <c r="IV183" s="145"/>
      <c r="IW183" s="145"/>
      <c r="IX183" s="145"/>
      <c r="IY183" s="145"/>
      <c r="IZ183" s="145"/>
      <c r="JA183" s="145"/>
      <c r="JB183" s="145"/>
      <c r="JC183" s="145"/>
      <c r="JD183" s="145"/>
      <c r="JE183" s="145"/>
      <c r="JF183" s="145"/>
      <c r="JG183" s="145"/>
      <c r="JH183" s="145"/>
      <c r="JI183" s="145"/>
      <c r="JJ183" s="145"/>
      <c r="JK183" s="145"/>
      <c r="JL183" s="145"/>
      <c r="JM183" s="145"/>
      <c r="JN183" s="145"/>
      <c r="JO183" s="145"/>
      <c r="JP183" s="145"/>
      <c r="JQ183" s="145"/>
      <c r="JR183" s="145"/>
      <c r="JS183" s="145"/>
      <c r="JT183" s="145"/>
      <c r="JU183" s="145"/>
      <c r="JV183" s="145"/>
      <c r="JW183" s="145"/>
      <c r="JX183" s="145"/>
      <c r="JY183" s="145"/>
      <c r="JZ183" s="145"/>
      <c r="KA183" s="145"/>
      <c r="KB183" s="145"/>
      <c r="KC183" s="145"/>
      <c r="KD183" s="145"/>
      <c r="KE183" s="145"/>
      <c r="KF183" s="145"/>
      <c r="KG183" s="145"/>
      <c r="KH183" s="145"/>
      <c r="KI183" s="145"/>
      <c r="KJ183" s="145"/>
      <c r="KK183" s="145"/>
      <c r="KL183" s="145"/>
      <c r="KM183" s="145"/>
      <c r="KN183" s="145"/>
      <c r="KO183" s="145"/>
      <c r="KP183" s="145"/>
      <c r="KQ183" s="145"/>
      <c r="KR183" s="145"/>
      <c r="KS183" s="145"/>
      <c r="KT183" s="145"/>
      <c r="KU183" s="145"/>
      <c r="KV183" s="145"/>
      <c r="KW183" s="145"/>
      <c r="KX183" s="145"/>
      <c r="KY183" s="145"/>
      <c r="KZ183" s="145"/>
      <c r="LA183" s="145"/>
      <c r="LB183" s="145"/>
      <c r="LC183" s="145"/>
      <c r="LD183" s="145"/>
      <c r="LE183" s="145"/>
      <c r="LF183" s="145"/>
      <c r="LG183" s="145"/>
      <c r="LH183" s="145"/>
      <c r="LI183" s="145"/>
      <c r="LJ183" s="145"/>
      <c r="LK183" s="145"/>
      <c r="LL183" s="145"/>
      <c r="LM183" s="145"/>
      <c r="LN183" s="145"/>
      <c r="LO183" s="145"/>
      <c r="LP183" s="145"/>
      <c r="LQ183" s="145"/>
      <c r="LR183" s="145"/>
      <c r="LS183" s="145"/>
      <c r="LT183" s="145"/>
      <c r="LU183" s="145"/>
      <c r="LV183" s="145"/>
      <c r="LW183" s="145"/>
      <c r="LX183" s="145"/>
      <c r="LY183" s="145"/>
      <c r="LZ183" s="145"/>
      <c r="MA183" s="145"/>
      <c r="MB183" s="145"/>
      <c r="MC183" s="145"/>
      <c r="MD183" s="145"/>
      <c r="ME183" s="145"/>
      <c r="MF183" s="145"/>
      <c r="MG183" s="145"/>
      <c r="MH183" s="145"/>
      <c r="MI183" s="145"/>
      <c r="MJ183" s="145"/>
      <c r="MK183" s="145"/>
      <c r="ML183" s="145"/>
      <c r="MM183" s="145"/>
      <c r="MN183" s="145"/>
      <c r="MO183" s="145"/>
      <c r="MP183" s="145"/>
      <c r="MQ183" s="145"/>
      <c r="MR183" s="145"/>
      <c r="MS183" s="145"/>
      <c r="MT183" s="145"/>
      <c r="MU183" s="145"/>
      <c r="MV183" s="145"/>
      <c r="MW183" s="145"/>
      <c r="MX183" s="145"/>
      <c r="MY183" s="145"/>
      <c r="MZ183" s="145"/>
      <c r="NA183" s="145"/>
      <c r="NB183" s="145"/>
      <c r="NC183" s="145"/>
      <c r="ND183" s="145"/>
      <c r="NE183" s="145"/>
      <c r="NF183" s="145"/>
      <c r="NG183" s="145"/>
      <c r="NH183" s="145"/>
      <c r="NI183" s="145"/>
      <c r="NJ183" s="145"/>
      <c r="NK183" s="145"/>
      <c r="NL183" s="145"/>
      <c r="NM183" s="145"/>
      <c r="NN183" s="145"/>
      <c r="NO183" s="145"/>
      <c r="NP183" s="145"/>
      <c r="NQ183" s="145"/>
      <c r="NR183" s="145"/>
      <c r="NS183" s="145"/>
    </row>
    <row r="184" spans="1:383" s="16" customFormat="1" ht="15" customHeight="1" x14ac:dyDescent="0.2">
      <c r="A184" s="15">
        <v>58400</v>
      </c>
      <c r="B184" s="25">
        <v>584</v>
      </c>
      <c r="C184" s="26">
        <v>0</v>
      </c>
      <c r="D184" s="20" t="s">
        <v>561</v>
      </c>
      <c r="E184" s="14">
        <v>42695</v>
      </c>
      <c r="F184" s="18">
        <v>0.92038352055013495</v>
      </c>
      <c r="G184" s="18">
        <v>0.98072628546326901</v>
      </c>
      <c r="H184" s="21">
        <v>79.3</v>
      </c>
      <c r="I184" s="21">
        <v>58.999993000000003</v>
      </c>
      <c r="J184" s="21">
        <v>86</v>
      </c>
      <c r="K184" s="18">
        <v>1</v>
      </c>
      <c r="L184" s="18">
        <v>89.74</v>
      </c>
      <c r="M184" s="18">
        <v>28.662956000000001</v>
      </c>
      <c r="N184" s="18">
        <v>11.235448</v>
      </c>
      <c r="O184" s="18">
        <v>6.8022919999999996</v>
      </c>
      <c r="P184" s="18">
        <v>12.913586</v>
      </c>
      <c r="Q184" s="19"/>
      <c r="R184" s="18">
        <v>77</v>
      </c>
      <c r="S184" s="18">
        <v>27</v>
      </c>
      <c r="T184" s="18">
        <v>40</v>
      </c>
      <c r="U184" s="18">
        <v>45</v>
      </c>
      <c r="V184" s="18">
        <v>50</v>
      </c>
      <c r="W184" s="18">
        <v>53</v>
      </c>
      <c r="X184" s="18"/>
      <c r="Y184" s="18">
        <v>8.6300000000000008</v>
      </c>
      <c r="Z184" s="18">
        <v>11.840000000000002</v>
      </c>
      <c r="AA184" s="18">
        <v>0.1</v>
      </c>
      <c r="AB184" s="18">
        <v>0.5</v>
      </c>
      <c r="AC184" s="18">
        <v>13.5</v>
      </c>
      <c r="AD184" s="18">
        <v>4.7</v>
      </c>
      <c r="AE184" s="18">
        <v>6.7000000000000011</v>
      </c>
      <c r="AF184" s="18">
        <v>200</v>
      </c>
      <c r="AG184" s="18">
        <v>7.3</v>
      </c>
      <c r="AH184" s="18">
        <v>61</v>
      </c>
      <c r="AI184" s="18">
        <v>55</v>
      </c>
      <c r="AJ184" s="18">
        <v>0</v>
      </c>
      <c r="AK184" s="18">
        <v>0.11</v>
      </c>
      <c r="AL184" s="18"/>
      <c r="AM184" s="18">
        <v>5.5000000000000098</v>
      </c>
      <c r="AN184" s="18">
        <v>2</v>
      </c>
      <c r="AO184" s="18">
        <v>2.4900000000000002</v>
      </c>
      <c r="AP184" s="18">
        <v>4.4000000000000004</v>
      </c>
      <c r="AQ184" s="18">
        <v>1.27</v>
      </c>
      <c r="AR184" s="18">
        <v>3.9000000000000101</v>
      </c>
      <c r="AS184" s="18">
        <v>7.1</v>
      </c>
      <c r="AT184" s="18">
        <v>2.79</v>
      </c>
      <c r="AU184" s="18">
        <v>4</v>
      </c>
      <c r="AV184" s="18">
        <v>3.02</v>
      </c>
      <c r="AW184" s="18">
        <v>5.19</v>
      </c>
      <c r="AX184" s="18"/>
      <c r="AY184" s="18">
        <v>1.01</v>
      </c>
      <c r="AZ184" s="18">
        <v>1.1299999999999999</v>
      </c>
      <c r="BA184" s="18">
        <v>1.05</v>
      </c>
      <c r="BB184" s="18">
        <v>0.99</v>
      </c>
      <c r="BC184" s="18">
        <v>1.03</v>
      </c>
      <c r="BD184" s="18">
        <v>1.03</v>
      </c>
      <c r="BE184" s="18">
        <v>1.07</v>
      </c>
      <c r="BF184" s="18">
        <v>1.1000000000000001</v>
      </c>
      <c r="BG184" s="18">
        <v>1.07</v>
      </c>
      <c r="BH184" s="18">
        <v>1.03</v>
      </c>
      <c r="BI184" s="18">
        <v>1</v>
      </c>
      <c r="BJ184" s="19"/>
      <c r="BK184" s="18">
        <v>31.94</v>
      </c>
      <c r="BL184" s="18">
        <v>12.52</v>
      </c>
      <c r="BM184" s="18">
        <v>7.58</v>
      </c>
      <c r="BN184" s="18">
        <v>14.39</v>
      </c>
      <c r="BO184" s="18"/>
      <c r="BP184" s="18">
        <v>115</v>
      </c>
      <c r="BQ184" s="18">
        <v>143.98000000000002</v>
      </c>
      <c r="BR184" s="18">
        <v>1.0256112330623299</v>
      </c>
      <c r="BS184" s="18">
        <v>1.0928530036363595</v>
      </c>
      <c r="BT184" s="19"/>
      <c r="BU184" s="18">
        <v>924.2</v>
      </c>
      <c r="BV184" s="18">
        <v>52.774600000000007</v>
      </c>
      <c r="BW184" s="18">
        <v>268.01809242000002</v>
      </c>
      <c r="BX184" s="18" t="s">
        <v>217</v>
      </c>
      <c r="BY184" s="18" t="s">
        <v>217</v>
      </c>
      <c r="BZ184" s="18">
        <v>62.003909999999998</v>
      </c>
      <c r="CA184" s="18">
        <v>351.35549000000003</v>
      </c>
      <c r="CB184" s="19"/>
      <c r="CC184" s="19">
        <v>7.7445620000000002</v>
      </c>
      <c r="CD184" s="19">
        <v>10.625216000000002</v>
      </c>
      <c r="CE184" s="19">
        <v>8.974E-2</v>
      </c>
      <c r="CF184" s="19">
        <v>0.44869999999999999</v>
      </c>
      <c r="CG184" s="19">
        <v>12.1149</v>
      </c>
      <c r="CH184" s="19">
        <v>4.2177800000000003</v>
      </c>
      <c r="CI184" s="19">
        <v>6.0125800000000007</v>
      </c>
      <c r="CJ184" s="19"/>
      <c r="CK184" s="19">
        <v>179.48</v>
      </c>
      <c r="CL184" s="19">
        <v>6.5510199999999994</v>
      </c>
      <c r="CM184" s="19">
        <v>54.741399999999999</v>
      </c>
      <c r="CN184" s="19">
        <v>49.356999999999999</v>
      </c>
      <c r="CO184" s="19">
        <v>0</v>
      </c>
      <c r="CP184" s="19">
        <v>9.8713999999999996E-2</v>
      </c>
      <c r="CQ184" s="19">
        <v>220.70476120000001</v>
      </c>
      <c r="CR184" s="19">
        <v>239.79651555264653</v>
      </c>
      <c r="CS184" s="19">
        <v>13.320696438949515</v>
      </c>
      <c r="CT184" s="19">
        <v>5.4194012514898118</v>
      </c>
      <c r="CU184" s="19">
        <v>6.2694798991239429</v>
      </c>
      <c r="CV184" s="19">
        <v>11.688881150613755</v>
      </c>
      <c r="CW184" s="19">
        <v>10.445536217473283</v>
      </c>
      <c r="CX184" s="19">
        <v>3.1367782199441692</v>
      </c>
      <c r="CY184" s="19">
        <v>9.6326260297498436</v>
      </c>
      <c r="CZ184" s="19">
        <v>18.217341286534555</v>
      </c>
      <c r="DA184" s="19">
        <v>7.3593550623107218</v>
      </c>
      <c r="DB184" s="19">
        <v>10.263290865653273</v>
      </c>
      <c r="DC184" s="19">
        <v>7.4591104127806229</v>
      </c>
      <c r="DD184" s="19">
        <v>17.722401278433892</v>
      </c>
      <c r="DE184" s="19">
        <v>12.445439157182355</v>
      </c>
      <c r="DF184" s="23">
        <v>0</v>
      </c>
      <c r="DG184" s="23">
        <v>0</v>
      </c>
      <c r="DH184" s="23">
        <v>0</v>
      </c>
      <c r="DI184" s="19">
        <v>0</v>
      </c>
      <c r="DJ184" s="19">
        <v>0</v>
      </c>
      <c r="DK184" s="19">
        <v>0</v>
      </c>
      <c r="DL184" s="19">
        <v>0</v>
      </c>
      <c r="DM184" s="19">
        <v>0</v>
      </c>
      <c r="DN184" s="19">
        <v>0</v>
      </c>
      <c r="DO184" s="19">
        <v>0</v>
      </c>
      <c r="DP184" s="19">
        <v>0</v>
      </c>
      <c r="DQ184" s="19">
        <v>0</v>
      </c>
      <c r="DR184" s="19">
        <v>0</v>
      </c>
      <c r="DS184" s="19">
        <v>0</v>
      </c>
      <c r="DT184" s="19">
        <v>0</v>
      </c>
      <c r="DU184" s="19">
        <v>0</v>
      </c>
      <c r="DV184" s="19">
        <v>0</v>
      </c>
      <c r="DW184" s="17" t="s">
        <v>562</v>
      </c>
      <c r="DX184" s="22">
        <v>21</v>
      </c>
      <c r="DY184" s="22">
        <v>21</v>
      </c>
      <c r="DZ184" s="22">
        <v>21</v>
      </c>
      <c r="EA184" s="22">
        <v>21</v>
      </c>
      <c r="EB184" s="22">
        <v>21</v>
      </c>
      <c r="EC184" s="22">
        <v>21</v>
      </c>
      <c r="ED184" s="22">
        <v>21</v>
      </c>
      <c r="EE184" s="22" t="s">
        <v>218</v>
      </c>
      <c r="EF184" s="22">
        <v>21</v>
      </c>
      <c r="EG184" s="22">
        <v>21</v>
      </c>
      <c r="EH184" s="22" t="s">
        <v>218</v>
      </c>
      <c r="EI184" s="22" t="s">
        <v>218</v>
      </c>
      <c r="EJ184" s="22" t="s">
        <v>218</v>
      </c>
      <c r="EK184" s="22" t="s">
        <v>218</v>
      </c>
      <c r="EL184" s="22" t="s">
        <v>218</v>
      </c>
      <c r="EM184" s="22" t="s">
        <v>218</v>
      </c>
      <c r="EN184" s="22" t="s">
        <v>218</v>
      </c>
      <c r="EO184" s="22" t="s">
        <v>218</v>
      </c>
      <c r="EP184" s="22" t="s">
        <v>218</v>
      </c>
      <c r="EQ184" s="22" t="s">
        <v>218</v>
      </c>
      <c r="ER184" s="22" t="s">
        <v>218</v>
      </c>
      <c r="ES184" s="22">
        <v>7</v>
      </c>
      <c r="ET184" s="22">
        <v>7</v>
      </c>
      <c r="EU184" s="22" t="s">
        <v>218</v>
      </c>
      <c r="EV184" s="22" t="s">
        <v>218</v>
      </c>
      <c r="EW184" s="22" t="s">
        <v>218</v>
      </c>
      <c r="EX184" s="22" t="s">
        <v>218</v>
      </c>
      <c r="EY184" s="22" t="s">
        <v>218</v>
      </c>
      <c r="EZ184" s="22" t="s">
        <v>218</v>
      </c>
      <c r="FA184" s="22" t="s">
        <v>218</v>
      </c>
      <c r="FB184" s="22" t="s">
        <v>218</v>
      </c>
      <c r="FC184" s="22" t="s">
        <v>218</v>
      </c>
      <c r="FD184" s="22" t="s">
        <v>218</v>
      </c>
      <c r="FE184" s="22" t="s">
        <v>218</v>
      </c>
      <c r="FF184" s="22">
        <v>1</v>
      </c>
      <c r="FG184" s="22">
        <v>1</v>
      </c>
      <c r="FH184" s="22">
        <v>0.8</v>
      </c>
      <c r="FI184" s="22">
        <v>0.3</v>
      </c>
      <c r="FJ184" s="22">
        <v>1.2</v>
      </c>
      <c r="FK184" s="22">
        <v>0.85</v>
      </c>
      <c r="FL184" s="22">
        <v>1.92</v>
      </c>
      <c r="FM184" s="22" t="s">
        <v>218</v>
      </c>
      <c r="FN184" s="22">
        <v>2.7</v>
      </c>
      <c r="FO184" s="22">
        <v>2.2999999999999998</v>
      </c>
      <c r="FP184" s="22" t="s">
        <v>218</v>
      </c>
      <c r="FQ184" s="22" t="s">
        <v>218</v>
      </c>
      <c r="FR184" s="22" t="s">
        <v>218</v>
      </c>
      <c r="FS184" s="22" t="s">
        <v>218</v>
      </c>
      <c r="FT184" s="22" t="s">
        <v>218</v>
      </c>
      <c r="FU184" s="22" t="s">
        <v>218</v>
      </c>
      <c r="FV184" s="22" t="s">
        <v>218</v>
      </c>
      <c r="FW184" s="22" t="s">
        <v>218</v>
      </c>
      <c r="FX184" s="22" t="s">
        <v>218</v>
      </c>
      <c r="FY184" s="22" t="s">
        <v>218</v>
      </c>
      <c r="FZ184" s="22" t="s">
        <v>218</v>
      </c>
      <c r="GA184" s="22">
        <v>0.64</v>
      </c>
      <c r="GB184" s="22">
        <v>0.78</v>
      </c>
      <c r="GC184" s="22" t="s">
        <v>218</v>
      </c>
      <c r="GD184" s="22" t="s">
        <v>218</v>
      </c>
      <c r="GE184" s="22" t="s">
        <v>218</v>
      </c>
      <c r="GF184" s="22" t="s">
        <v>218</v>
      </c>
      <c r="GG184" s="22" t="s">
        <v>218</v>
      </c>
      <c r="GH184" s="22" t="s">
        <v>218</v>
      </c>
      <c r="GI184" s="22" t="s">
        <v>218</v>
      </c>
      <c r="GJ184" s="22" t="s">
        <v>218</v>
      </c>
      <c r="GK184" s="22" t="s">
        <v>218</v>
      </c>
      <c r="GL184" s="22" t="s">
        <v>218</v>
      </c>
      <c r="GM184" s="22" t="s">
        <v>218</v>
      </c>
      <c r="GN184" s="22">
        <v>2016</v>
      </c>
      <c r="GO184" s="22">
        <v>2016</v>
      </c>
      <c r="GP184" s="22">
        <v>2016</v>
      </c>
      <c r="GQ184" s="22">
        <v>2016</v>
      </c>
      <c r="GR184" s="22">
        <v>2016</v>
      </c>
      <c r="GS184" s="22">
        <v>2016</v>
      </c>
      <c r="GT184" s="22">
        <v>2016</v>
      </c>
      <c r="GU184" s="22" t="s">
        <v>218</v>
      </c>
      <c r="GV184" s="22">
        <v>2016</v>
      </c>
      <c r="GW184" s="22">
        <v>2016</v>
      </c>
      <c r="GX184" s="22" t="s">
        <v>218</v>
      </c>
      <c r="GY184" s="22" t="s">
        <v>218</v>
      </c>
      <c r="GZ184" s="22" t="s">
        <v>218</v>
      </c>
      <c r="HA184" s="22" t="s">
        <v>218</v>
      </c>
      <c r="HB184" s="22" t="s">
        <v>218</v>
      </c>
      <c r="HC184" s="22" t="s">
        <v>218</v>
      </c>
      <c r="HD184" s="22" t="s">
        <v>218</v>
      </c>
      <c r="HE184" s="22" t="s">
        <v>218</v>
      </c>
      <c r="HF184" s="22" t="s">
        <v>218</v>
      </c>
      <c r="HG184" s="22" t="s">
        <v>218</v>
      </c>
      <c r="HH184" s="22" t="s">
        <v>218</v>
      </c>
      <c r="HI184" s="22">
        <v>2016</v>
      </c>
      <c r="HJ184" s="22">
        <v>2016</v>
      </c>
      <c r="HK184" s="22" t="s">
        <v>218</v>
      </c>
      <c r="HL184" s="22" t="s">
        <v>218</v>
      </c>
      <c r="HM184" s="620">
        <f>'background data'!$G$12</f>
        <v>0.51300000000000001</v>
      </c>
      <c r="HN184" s="620">
        <f>'background data'!$H$12</f>
        <v>8.9999999999999993E-3</v>
      </c>
      <c r="HO184" s="620">
        <f>'background data'!$J$12</f>
        <v>0.32600000000000001</v>
      </c>
      <c r="HP184" s="620">
        <f>'background data'!$L$12</f>
        <v>0.05</v>
      </c>
      <c r="HQ184" s="620">
        <f>'background data'!$M$12</f>
        <v>4</v>
      </c>
      <c r="HR184" s="620">
        <f>'background data'!$N$12</f>
        <v>3.8999999999999998E-3</v>
      </c>
      <c r="HS184" s="620">
        <f>'background data'!$O$12</f>
        <v>2.2799999999999998</v>
      </c>
      <c r="HT184" s="145"/>
      <c r="HU184" s="145" t="s">
        <v>1809</v>
      </c>
      <c r="HV184" s="22" t="s">
        <v>1970</v>
      </c>
      <c r="HW184" s="22" t="s">
        <v>563</v>
      </c>
      <c r="HX184" s="22" t="s">
        <v>564</v>
      </c>
      <c r="HY184" s="22" t="s">
        <v>565</v>
      </c>
      <c r="HZ184" s="19"/>
      <c r="IA184" s="19"/>
      <c r="IB184" s="620">
        <f>'background data'!$G$12</f>
        <v>0.51300000000000001</v>
      </c>
      <c r="IC184" s="620">
        <f>'background data'!$H$12</f>
        <v>8.9999999999999993E-3</v>
      </c>
      <c r="ID184" s="620">
        <f>'background data'!$J$12</f>
        <v>0.32600000000000001</v>
      </c>
      <c r="IE184" s="620">
        <f>'background data'!$L$12</f>
        <v>0.05</v>
      </c>
      <c r="IF184" s="620">
        <f>'background data'!$M$12</f>
        <v>4</v>
      </c>
      <c r="IG184" s="620">
        <f>'background data'!$N$12</f>
        <v>3.8999999999999998E-3</v>
      </c>
      <c r="IH184" s="620">
        <f>'background data'!$O$12</f>
        <v>2.2799999999999998</v>
      </c>
      <c r="II184" s="145"/>
      <c r="IJ184" s="145"/>
      <c r="IK184" s="145"/>
      <c r="IL184" s="145"/>
      <c r="IM184" s="145"/>
      <c r="IN184" s="145"/>
      <c r="IO184" s="145"/>
      <c r="IP184" s="145"/>
      <c r="IQ184" s="145"/>
      <c r="IR184" s="145"/>
      <c r="IS184" s="145"/>
      <c r="IT184" s="145"/>
      <c r="IU184" s="145"/>
      <c r="IV184" s="145"/>
      <c r="IW184" s="145"/>
      <c r="IX184" s="145"/>
      <c r="IY184" s="145"/>
      <c r="IZ184" s="145"/>
      <c r="JA184" s="145"/>
      <c r="JB184" s="145"/>
      <c r="JC184" s="145"/>
      <c r="JD184" s="145"/>
      <c r="JE184" s="145"/>
      <c r="JF184" s="145"/>
      <c r="JG184" s="145"/>
      <c r="JH184" s="145"/>
      <c r="JI184" s="145"/>
      <c r="JJ184" s="145"/>
      <c r="JK184" s="145"/>
      <c r="JL184" s="145"/>
      <c r="JM184" s="145"/>
      <c r="JN184" s="145"/>
      <c r="JO184" s="145"/>
      <c r="JP184" s="145"/>
      <c r="JQ184" s="145"/>
      <c r="JR184" s="145"/>
      <c r="JS184" s="145"/>
      <c r="JT184" s="145"/>
      <c r="JU184" s="145"/>
      <c r="JV184" s="145"/>
      <c r="JW184" s="145"/>
      <c r="JX184" s="145"/>
      <c r="JY184" s="145"/>
      <c r="JZ184" s="145"/>
      <c r="KA184" s="145"/>
      <c r="KB184" s="145"/>
      <c r="KC184" s="145"/>
      <c r="KD184" s="145"/>
      <c r="KE184" s="145"/>
      <c r="KF184" s="145"/>
      <c r="KG184" s="145"/>
      <c r="KH184" s="145"/>
      <c r="KI184" s="145"/>
      <c r="KJ184" s="145"/>
      <c r="KK184" s="145"/>
      <c r="KL184" s="145"/>
      <c r="KM184" s="145"/>
      <c r="KN184" s="145"/>
      <c r="KO184" s="145"/>
      <c r="KP184" s="145"/>
      <c r="KQ184" s="145"/>
      <c r="KR184" s="145"/>
      <c r="KS184" s="145"/>
      <c r="KT184" s="145"/>
      <c r="KU184" s="145"/>
      <c r="KV184" s="145"/>
      <c r="KW184" s="145"/>
      <c r="KX184" s="145"/>
      <c r="KY184" s="145"/>
      <c r="KZ184" s="145"/>
      <c r="LA184" s="145"/>
      <c r="LB184" s="145"/>
      <c r="LC184" s="145"/>
      <c r="LD184" s="145"/>
      <c r="LE184" s="145"/>
      <c r="LF184" s="145"/>
      <c r="LG184" s="145"/>
      <c r="LH184" s="145"/>
      <c r="LI184" s="145"/>
      <c r="LJ184" s="145"/>
      <c r="LK184" s="145"/>
      <c r="LL184" s="145"/>
      <c r="LM184" s="145"/>
      <c r="LN184" s="145"/>
      <c r="LO184" s="145"/>
      <c r="LP184" s="145"/>
      <c r="LQ184" s="145"/>
      <c r="LR184" s="145"/>
      <c r="LS184" s="145"/>
      <c r="LT184" s="145"/>
      <c r="LU184" s="145"/>
      <c r="LV184" s="145"/>
      <c r="LW184" s="145"/>
      <c r="LX184" s="145"/>
      <c r="LY184" s="145"/>
      <c r="LZ184" s="145"/>
      <c r="MA184" s="145"/>
      <c r="MB184" s="145"/>
      <c r="MC184" s="145"/>
      <c r="MD184" s="145"/>
      <c r="ME184" s="145"/>
      <c r="MF184" s="145"/>
      <c r="MG184" s="145"/>
      <c r="MH184" s="145"/>
      <c r="MI184" s="145"/>
      <c r="MJ184" s="145"/>
      <c r="MK184" s="145"/>
      <c r="ML184" s="145"/>
      <c r="MM184" s="145"/>
      <c r="MN184" s="145"/>
      <c r="MO184" s="145"/>
      <c r="MP184" s="145"/>
      <c r="MQ184" s="145"/>
      <c r="MR184" s="145"/>
      <c r="MS184" s="145"/>
      <c r="MT184" s="145"/>
      <c r="MU184" s="145"/>
      <c r="MV184" s="145"/>
      <c r="MW184" s="145"/>
      <c r="MX184" s="145"/>
      <c r="MY184" s="145"/>
      <c r="MZ184" s="145"/>
      <c r="NA184" s="145"/>
      <c r="NB184" s="145"/>
      <c r="NC184" s="145"/>
      <c r="ND184" s="145"/>
      <c r="NE184" s="145"/>
      <c r="NF184" s="145"/>
      <c r="NG184" s="145"/>
      <c r="NH184" s="145"/>
      <c r="NI184" s="145"/>
      <c r="NJ184" s="145"/>
      <c r="NK184" s="145"/>
      <c r="NL184" s="145"/>
      <c r="NM184" s="145"/>
      <c r="NN184" s="145"/>
      <c r="NO184" s="145"/>
      <c r="NP184" s="145"/>
      <c r="NQ184" s="145"/>
      <c r="NR184" s="145"/>
      <c r="NS184" s="145"/>
    </row>
    <row r="185" spans="1:383" s="16" customFormat="1" ht="15" customHeight="1" x14ac:dyDescent="0.2">
      <c r="A185" s="15">
        <v>58200</v>
      </c>
      <c r="B185" s="25">
        <v>582</v>
      </c>
      <c r="C185" s="26">
        <v>0</v>
      </c>
      <c r="D185" s="20" t="s">
        <v>566</v>
      </c>
      <c r="E185" s="14">
        <v>42695</v>
      </c>
      <c r="F185" s="18">
        <v>0.80949159616724697</v>
      </c>
      <c r="G185" s="18">
        <v>0.86478308582560304</v>
      </c>
      <c r="H185" s="21">
        <v>80.099999999999994</v>
      </c>
      <c r="I185" s="21">
        <v>62.5</v>
      </c>
      <c r="J185" s="21">
        <v>85</v>
      </c>
      <c r="K185" s="18">
        <v>1</v>
      </c>
      <c r="L185" s="18">
        <v>90</v>
      </c>
      <c r="M185" s="18">
        <v>34.56</v>
      </c>
      <c r="N185" s="18">
        <v>5.0000400000000003</v>
      </c>
      <c r="O185" s="18">
        <v>7.02</v>
      </c>
      <c r="P185" s="18">
        <v>13.05</v>
      </c>
      <c r="Q185" s="19"/>
      <c r="R185" s="18">
        <v>76</v>
      </c>
      <c r="S185" s="18">
        <v>27</v>
      </c>
      <c r="T185" s="18">
        <v>40</v>
      </c>
      <c r="U185" s="18">
        <v>45</v>
      </c>
      <c r="V185" s="18">
        <v>50</v>
      </c>
      <c r="W185" s="18">
        <v>53</v>
      </c>
      <c r="X185" s="18"/>
      <c r="Y185" s="18">
        <v>9.6</v>
      </c>
      <c r="Z185" s="18">
        <v>12.9</v>
      </c>
      <c r="AA185" s="18">
        <v>0.4</v>
      </c>
      <c r="AB185" s="18">
        <v>0.5</v>
      </c>
      <c r="AC185" s="18">
        <v>15</v>
      </c>
      <c r="AD185" s="18">
        <v>5.2999999999999989</v>
      </c>
      <c r="AE185" s="18">
        <v>7.3</v>
      </c>
      <c r="AF185" s="18">
        <v>260</v>
      </c>
      <c r="AG185" s="18">
        <v>6.4</v>
      </c>
      <c r="AH185" s="18">
        <v>76.000000000000014</v>
      </c>
      <c r="AI185" s="18">
        <v>73</v>
      </c>
      <c r="AJ185" s="18">
        <v>0</v>
      </c>
      <c r="AK185" s="18">
        <v>0.11</v>
      </c>
      <c r="AL185" s="18"/>
      <c r="AM185" s="18">
        <v>5.5</v>
      </c>
      <c r="AN185" s="18">
        <v>2</v>
      </c>
      <c r="AO185" s="18">
        <v>2.4900000000000002</v>
      </c>
      <c r="AP185" s="18">
        <v>4.4000000000000004</v>
      </c>
      <c r="AQ185" s="18">
        <v>1.27</v>
      </c>
      <c r="AR185" s="18">
        <v>3.9000000000000101</v>
      </c>
      <c r="AS185" s="18">
        <v>7.1</v>
      </c>
      <c r="AT185" s="18">
        <v>2.79</v>
      </c>
      <c r="AU185" s="18">
        <v>4</v>
      </c>
      <c r="AV185" s="18">
        <v>3.02</v>
      </c>
      <c r="AW185" s="18">
        <v>5.19</v>
      </c>
      <c r="AX185" s="18"/>
      <c r="AY185" s="18">
        <v>1.01</v>
      </c>
      <c r="AZ185" s="18">
        <v>1.1399999999999999</v>
      </c>
      <c r="BA185" s="18">
        <v>1.07</v>
      </c>
      <c r="BB185" s="18">
        <v>1</v>
      </c>
      <c r="BC185" s="18">
        <v>0.99</v>
      </c>
      <c r="BD185" s="18">
        <v>1.03</v>
      </c>
      <c r="BE185" s="18">
        <v>1.07</v>
      </c>
      <c r="BF185" s="18">
        <v>1.0900000000000001</v>
      </c>
      <c r="BG185" s="18">
        <v>1.07</v>
      </c>
      <c r="BH185" s="18">
        <v>1.04</v>
      </c>
      <c r="BI185" s="18">
        <v>1.01</v>
      </c>
      <c r="BJ185" s="19"/>
      <c r="BK185" s="18">
        <v>38.4</v>
      </c>
      <c r="BL185" s="18">
        <v>5.5556000000000001</v>
      </c>
      <c r="BM185" s="18">
        <v>7.8</v>
      </c>
      <c r="BN185" s="18">
        <v>14.5</v>
      </c>
      <c r="BO185" s="18"/>
      <c r="BP185" s="18">
        <v>115</v>
      </c>
      <c r="BQ185" s="18">
        <v>63.889399999999995</v>
      </c>
      <c r="BR185" s="18">
        <v>0.89943510685249661</v>
      </c>
      <c r="BS185" s="18">
        <v>0.96087009536178114</v>
      </c>
      <c r="BT185" s="19"/>
      <c r="BU185" s="18">
        <v>922</v>
      </c>
      <c r="BV185" s="18">
        <v>103.375537142857</v>
      </c>
      <c r="BW185" s="18">
        <v>231.81714285714332</v>
      </c>
      <c r="BX185" s="18">
        <v>19.000000000000004</v>
      </c>
      <c r="BY185" s="18">
        <v>82</v>
      </c>
      <c r="BZ185" s="18">
        <v>53.487603428571553</v>
      </c>
      <c r="CA185" s="18">
        <v>303.09641942857223</v>
      </c>
      <c r="CB185" s="19"/>
      <c r="CC185" s="19">
        <v>8.64</v>
      </c>
      <c r="CD185" s="19">
        <v>11.610000000000001</v>
      </c>
      <c r="CE185" s="19">
        <v>0.36000000000000004</v>
      </c>
      <c r="CF185" s="19">
        <v>0.45</v>
      </c>
      <c r="CG185" s="19">
        <v>13.5</v>
      </c>
      <c r="CH185" s="19">
        <v>4.7699999999999996</v>
      </c>
      <c r="CI185" s="19">
        <v>6.57</v>
      </c>
      <c r="CJ185" s="19"/>
      <c r="CK185" s="19">
        <v>234</v>
      </c>
      <c r="CL185" s="19">
        <v>5.7600000000000007</v>
      </c>
      <c r="CM185" s="19">
        <v>68.40000000000002</v>
      </c>
      <c r="CN185" s="19">
        <v>65.7</v>
      </c>
      <c r="CO185" s="19">
        <v>0</v>
      </c>
      <c r="CP185" s="19">
        <v>9.9000000000000005E-2</v>
      </c>
      <c r="CQ185" s="19">
        <v>262.65600000000001</v>
      </c>
      <c r="CR185" s="19">
        <v>324.47032340250922</v>
      </c>
      <c r="CS185" s="19">
        <v>18.024326465009384</v>
      </c>
      <c r="CT185" s="19">
        <v>7.3979233735772087</v>
      </c>
      <c r="CU185" s="19">
        <v>8.6448628264130516</v>
      </c>
      <c r="CV185" s="19">
        <v>16.042786199990264</v>
      </c>
      <c r="CW185" s="19">
        <v>14.276694229710404</v>
      </c>
      <c r="CX185" s="19">
        <v>4.0795653761397483</v>
      </c>
      <c r="CY185" s="19">
        <v>13.033972891078795</v>
      </c>
      <c r="CZ185" s="19">
        <v>24.650010468888624</v>
      </c>
      <c r="DA185" s="19">
        <v>9.8674670049937063</v>
      </c>
      <c r="DB185" s="19">
        <v>13.887329841627395</v>
      </c>
      <c r="DC185" s="19">
        <v>10.190963917426009</v>
      </c>
      <c r="DD185" s="19">
        <v>24.078293759053405</v>
      </c>
      <c r="DE185" s="19">
        <v>17.00840988243613</v>
      </c>
      <c r="DF185" s="23">
        <v>0</v>
      </c>
      <c r="DG185" s="23">
        <v>0</v>
      </c>
      <c r="DH185" s="23">
        <v>0</v>
      </c>
      <c r="DI185" s="19">
        <v>0</v>
      </c>
      <c r="DJ185" s="19">
        <v>0</v>
      </c>
      <c r="DK185" s="19">
        <v>0</v>
      </c>
      <c r="DL185" s="19">
        <v>0</v>
      </c>
      <c r="DM185" s="19">
        <v>0</v>
      </c>
      <c r="DN185" s="19">
        <v>0</v>
      </c>
      <c r="DO185" s="19">
        <v>0</v>
      </c>
      <c r="DP185" s="19">
        <v>0</v>
      </c>
      <c r="DQ185" s="19">
        <v>0</v>
      </c>
      <c r="DR185" s="19">
        <v>0</v>
      </c>
      <c r="DS185" s="19">
        <v>0</v>
      </c>
      <c r="DT185" s="19">
        <v>0</v>
      </c>
      <c r="DU185" s="19">
        <v>0</v>
      </c>
      <c r="DV185" s="19">
        <v>0</v>
      </c>
      <c r="DW185" s="17" t="s">
        <v>562</v>
      </c>
      <c r="DX185" s="22" t="s">
        <v>218</v>
      </c>
      <c r="DY185" s="22" t="s">
        <v>218</v>
      </c>
      <c r="DZ185" s="22" t="s">
        <v>218</v>
      </c>
      <c r="EA185" s="22" t="s">
        <v>218</v>
      </c>
      <c r="EB185" s="22" t="s">
        <v>218</v>
      </c>
      <c r="EC185" s="22" t="s">
        <v>218</v>
      </c>
      <c r="ED185" s="22" t="s">
        <v>218</v>
      </c>
      <c r="EE185" s="22" t="s">
        <v>218</v>
      </c>
      <c r="EF185" s="22" t="s">
        <v>218</v>
      </c>
      <c r="EG185" s="22" t="s">
        <v>218</v>
      </c>
      <c r="EH185" s="22" t="s">
        <v>218</v>
      </c>
      <c r="EI185" s="22" t="s">
        <v>218</v>
      </c>
      <c r="EJ185" s="22" t="s">
        <v>218</v>
      </c>
      <c r="EK185" s="22" t="s">
        <v>218</v>
      </c>
      <c r="EL185" s="22" t="s">
        <v>218</v>
      </c>
      <c r="EM185" s="22" t="s">
        <v>218</v>
      </c>
      <c r="EN185" s="22" t="s">
        <v>218</v>
      </c>
      <c r="EO185" s="22" t="s">
        <v>218</v>
      </c>
      <c r="EP185" s="22" t="s">
        <v>218</v>
      </c>
      <c r="EQ185" s="22" t="s">
        <v>218</v>
      </c>
      <c r="ER185" s="22" t="s">
        <v>218</v>
      </c>
      <c r="ES185" s="22" t="s">
        <v>218</v>
      </c>
      <c r="ET185" s="22" t="s">
        <v>218</v>
      </c>
      <c r="EU185" s="22" t="s">
        <v>218</v>
      </c>
      <c r="EV185" s="22" t="s">
        <v>218</v>
      </c>
      <c r="EW185" s="22" t="s">
        <v>218</v>
      </c>
      <c r="EX185" s="22" t="s">
        <v>218</v>
      </c>
      <c r="EY185" s="22" t="s">
        <v>218</v>
      </c>
      <c r="EZ185" s="22" t="s">
        <v>218</v>
      </c>
      <c r="FA185" s="22" t="s">
        <v>218</v>
      </c>
      <c r="FB185" s="22" t="s">
        <v>218</v>
      </c>
      <c r="FC185" s="22" t="s">
        <v>218</v>
      </c>
      <c r="FD185" s="22" t="s">
        <v>218</v>
      </c>
      <c r="FE185" s="22" t="s">
        <v>218</v>
      </c>
      <c r="FF185" s="22" t="s">
        <v>218</v>
      </c>
      <c r="FG185" s="22" t="s">
        <v>218</v>
      </c>
      <c r="FH185" s="22" t="s">
        <v>218</v>
      </c>
      <c r="FI185" s="22" t="s">
        <v>218</v>
      </c>
      <c r="FJ185" s="22" t="s">
        <v>218</v>
      </c>
      <c r="FK185" s="22" t="s">
        <v>218</v>
      </c>
      <c r="FL185" s="22" t="s">
        <v>218</v>
      </c>
      <c r="FM185" s="22" t="s">
        <v>218</v>
      </c>
      <c r="FN185" s="22" t="s">
        <v>218</v>
      </c>
      <c r="FO185" s="22" t="s">
        <v>218</v>
      </c>
      <c r="FP185" s="22" t="s">
        <v>218</v>
      </c>
      <c r="FQ185" s="22" t="s">
        <v>218</v>
      </c>
      <c r="FR185" s="22" t="s">
        <v>218</v>
      </c>
      <c r="FS185" s="22" t="s">
        <v>218</v>
      </c>
      <c r="FT185" s="22" t="s">
        <v>218</v>
      </c>
      <c r="FU185" s="22" t="s">
        <v>218</v>
      </c>
      <c r="FV185" s="22" t="s">
        <v>218</v>
      </c>
      <c r="FW185" s="22" t="s">
        <v>218</v>
      </c>
      <c r="FX185" s="22" t="s">
        <v>218</v>
      </c>
      <c r="FY185" s="22" t="s">
        <v>218</v>
      </c>
      <c r="FZ185" s="22" t="s">
        <v>218</v>
      </c>
      <c r="GA185" s="22" t="s">
        <v>218</v>
      </c>
      <c r="GB185" s="22" t="s">
        <v>218</v>
      </c>
      <c r="GC185" s="22" t="s">
        <v>218</v>
      </c>
      <c r="GD185" s="22" t="s">
        <v>218</v>
      </c>
      <c r="GE185" s="22" t="s">
        <v>218</v>
      </c>
      <c r="GF185" s="22" t="s">
        <v>218</v>
      </c>
      <c r="GG185" s="22" t="s">
        <v>218</v>
      </c>
      <c r="GH185" s="22" t="s">
        <v>218</v>
      </c>
      <c r="GI185" s="22" t="s">
        <v>218</v>
      </c>
      <c r="GJ185" s="22" t="s">
        <v>218</v>
      </c>
      <c r="GK185" s="22" t="s">
        <v>218</v>
      </c>
      <c r="GL185" s="22" t="s">
        <v>218</v>
      </c>
      <c r="GM185" s="22" t="s">
        <v>218</v>
      </c>
      <c r="GN185" s="22" t="s">
        <v>218</v>
      </c>
      <c r="GO185" s="22" t="s">
        <v>218</v>
      </c>
      <c r="GP185" s="22" t="s">
        <v>218</v>
      </c>
      <c r="GQ185" s="22" t="s">
        <v>218</v>
      </c>
      <c r="GR185" s="22" t="s">
        <v>218</v>
      </c>
      <c r="GS185" s="22" t="s">
        <v>218</v>
      </c>
      <c r="GT185" s="22" t="s">
        <v>218</v>
      </c>
      <c r="GU185" s="22" t="s">
        <v>218</v>
      </c>
      <c r="GV185" s="22" t="s">
        <v>218</v>
      </c>
      <c r="GW185" s="22" t="s">
        <v>218</v>
      </c>
      <c r="GX185" s="22" t="s">
        <v>218</v>
      </c>
      <c r="GY185" s="22" t="s">
        <v>218</v>
      </c>
      <c r="GZ185" s="22" t="s">
        <v>218</v>
      </c>
      <c r="HA185" s="22" t="s">
        <v>218</v>
      </c>
      <c r="HB185" s="22" t="s">
        <v>218</v>
      </c>
      <c r="HC185" s="22" t="s">
        <v>218</v>
      </c>
      <c r="HD185" s="22" t="s">
        <v>218</v>
      </c>
      <c r="HE185" s="22" t="s">
        <v>218</v>
      </c>
      <c r="HF185" s="22" t="s">
        <v>218</v>
      </c>
      <c r="HG185" s="22" t="s">
        <v>218</v>
      </c>
      <c r="HH185" s="22" t="s">
        <v>218</v>
      </c>
      <c r="HI185" s="22" t="s">
        <v>218</v>
      </c>
      <c r="HJ185" s="22" t="s">
        <v>218</v>
      </c>
      <c r="HK185" s="22" t="s">
        <v>218</v>
      </c>
      <c r="HL185" s="22" t="s">
        <v>218</v>
      </c>
      <c r="HM185" s="620">
        <f>'background data'!$G$12</f>
        <v>0.51300000000000001</v>
      </c>
      <c r="HN185" s="620">
        <f>'background data'!$H$12</f>
        <v>8.9999999999999993E-3</v>
      </c>
      <c r="HO185" s="620">
        <f>'background data'!$J$12</f>
        <v>0.32600000000000001</v>
      </c>
      <c r="HP185" s="620">
        <f>'background data'!$L$12</f>
        <v>0.05</v>
      </c>
      <c r="HQ185" s="620">
        <f>'background data'!$M$12</f>
        <v>4</v>
      </c>
      <c r="HR185" s="620">
        <f>'background data'!$N$12</f>
        <v>3.8999999999999998E-3</v>
      </c>
      <c r="HS185" s="620">
        <f>'background data'!$O$12</f>
        <v>2.2799999999999998</v>
      </c>
      <c r="HT185" s="145"/>
      <c r="HU185" s="145" t="s">
        <v>1809</v>
      </c>
      <c r="HV185" s="22" t="s">
        <v>1970</v>
      </c>
      <c r="HW185" s="22" t="s">
        <v>563</v>
      </c>
      <c r="HX185" s="22" t="s">
        <v>564</v>
      </c>
      <c r="HY185" s="22" t="s">
        <v>565</v>
      </c>
      <c r="HZ185" s="19"/>
      <c r="IA185" s="19"/>
      <c r="IB185" s="620">
        <f>'background data'!$G$12</f>
        <v>0.51300000000000001</v>
      </c>
      <c r="IC185" s="620">
        <f>'background data'!$H$12</f>
        <v>8.9999999999999993E-3</v>
      </c>
      <c r="ID185" s="620">
        <f>'background data'!$J$12</f>
        <v>0.32600000000000001</v>
      </c>
      <c r="IE185" s="620">
        <f>'background data'!$L$12</f>
        <v>0.05</v>
      </c>
      <c r="IF185" s="620">
        <f>'background data'!$M$12</f>
        <v>4</v>
      </c>
      <c r="IG185" s="620">
        <f>'background data'!$N$12</f>
        <v>3.8999999999999998E-3</v>
      </c>
      <c r="IH185" s="620">
        <f>'background data'!$O$12</f>
        <v>2.2799999999999998</v>
      </c>
      <c r="II185" s="145"/>
      <c r="IJ185" s="145"/>
      <c r="IK185" s="145"/>
      <c r="IL185" s="145"/>
      <c r="IM185" s="145"/>
      <c r="IN185" s="145"/>
      <c r="IO185" s="145"/>
      <c r="IP185" s="145"/>
      <c r="IQ185" s="145"/>
      <c r="IR185" s="145"/>
      <c r="IS185" s="145"/>
      <c r="IT185" s="145"/>
      <c r="IU185" s="145"/>
      <c r="IV185" s="145"/>
      <c r="IW185" s="145"/>
      <c r="IX185" s="145"/>
      <c r="IY185" s="145"/>
      <c r="IZ185" s="145"/>
      <c r="JA185" s="145"/>
      <c r="JB185" s="145"/>
      <c r="JC185" s="145"/>
      <c r="JD185" s="145"/>
      <c r="JE185" s="145"/>
      <c r="JF185" s="145"/>
      <c r="JG185" s="145"/>
      <c r="JH185" s="145"/>
      <c r="JI185" s="145"/>
      <c r="JJ185" s="145"/>
      <c r="JK185" s="145"/>
      <c r="JL185" s="145"/>
      <c r="JM185" s="145"/>
      <c r="JN185" s="145"/>
      <c r="JO185" s="145"/>
      <c r="JP185" s="145"/>
      <c r="JQ185" s="145"/>
      <c r="JR185" s="145"/>
      <c r="JS185" s="145"/>
      <c r="JT185" s="145"/>
      <c r="JU185" s="145"/>
      <c r="JV185" s="145"/>
      <c r="JW185" s="145"/>
      <c r="JX185" s="145"/>
      <c r="JY185" s="145"/>
      <c r="JZ185" s="145"/>
      <c r="KA185" s="145"/>
      <c r="KB185" s="145"/>
      <c r="KC185" s="145"/>
      <c r="KD185" s="145"/>
      <c r="KE185" s="145"/>
      <c r="KF185" s="145"/>
      <c r="KG185" s="145"/>
      <c r="KH185" s="145"/>
      <c r="KI185" s="145"/>
      <c r="KJ185" s="145"/>
      <c r="KK185" s="145"/>
      <c r="KL185" s="145"/>
      <c r="KM185" s="145"/>
      <c r="KN185" s="145"/>
      <c r="KO185" s="145"/>
      <c r="KP185" s="145"/>
      <c r="KQ185" s="145"/>
      <c r="KR185" s="145"/>
      <c r="KS185" s="145"/>
      <c r="KT185" s="145"/>
      <c r="KU185" s="145"/>
      <c r="KV185" s="145"/>
      <c r="KW185" s="145"/>
      <c r="KX185" s="145"/>
      <c r="KY185" s="145"/>
      <c r="KZ185" s="145"/>
      <c r="LA185" s="145"/>
      <c r="LB185" s="145"/>
      <c r="LC185" s="145"/>
      <c r="LD185" s="145"/>
      <c r="LE185" s="145"/>
      <c r="LF185" s="145"/>
      <c r="LG185" s="145"/>
      <c r="LH185" s="145"/>
      <c r="LI185" s="145"/>
      <c r="LJ185" s="145"/>
      <c r="LK185" s="145"/>
      <c r="LL185" s="145"/>
      <c r="LM185" s="145"/>
      <c r="LN185" s="145"/>
      <c r="LO185" s="145"/>
      <c r="LP185" s="145"/>
      <c r="LQ185" s="145"/>
      <c r="LR185" s="145"/>
      <c r="LS185" s="145"/>
      <c r="LT185" s="145"/>
      <c r="LU185" s="145"/>
      <c r="LV185" s="145"/>
      <c r="LW185" s="145"/>
      <c r="LX185" s="145"/>
      <c r="LY185" s="145"/>
      <c r="LZ185" s="145"/>
      <c r="MA185" s="145"/>
      <c r="MB185" s="145"/>
      <c r="MC185" s="145"/>
      <c r="MD185" s="145"/>
      <c r="ME185" s="145"/>
      <c r="MF185" s="145"/>
      <c r="MG185" s="145"/>
      <c r="MH185" s="145"/>
      <c r="MI185" s="145"/>
      <c r="MJ185" s="145"/>
      <c r="MK185" s="145"/>
      <c r="ML185" s="145"/>
      <c r="MM185" s="145"/>
      <c r="MN185" s="145"/>
      <c r="MO185" s="145"/>
      <c r="MP185" s="145"/>
      <c r="MQ185" s="145"/>
      <c r="MR185" s="145"/>
      <c r="MS185" s="145"/>
      <c r="MT185" s="145"/>
      <c r="MU185" s="145"/>
      <c r="MV185" s="145"/>
      <c r="MW185" s="145"/>
      <c r="MX185" s="145"/>
      <c r="MY185" s="145"/>
      <c r="MZ185" s="145"/>
      <c r="NA185" s="145"/>
      <c r="NB185" s="145"/>
      <c r="NC185" s="145"/>
      <c r="ND185" s="145"/>
      <c r="NE185" s="145"/>
      <c r="NF185" s="145"/>
      <c r="NG185" s="145"/>
      <c r="NH185" s="145"/>
      <c r="NI185" s="145"/>
      <c r="NJ185" s="145"/>
      <c r="NK185" s="145"/>
      <c r="NL185" s="145"/>
      <c r="NM185" s="145"/>
      <c r="NN185" s="145"/>
      <c r="NO185" s="145"/>
      <c r="NP185" s="145"/>
      <c r="NQ185" s="145"/>
      <c r="NR185" s="145"/>
      <c r="NS185" s="145"/>
    </row>
    <row r="186" spans="1:383" s="16" customFormat="1" ht="15" customHeight="1" x14ac:dyDescent="0.2">
      <c r="A186" s="15">
        <v>58300</v>
      </c>
      <c r="B186" s="25">
        <v>583</v>
      </c>
      <c r="C186" s="26">
        <v>0</v>
      </c>
      <c r="D186" s="20" t="s">
        <v>567</v>
      </c>
      <c r="E186" s="14">
        <v>42695</v>
      </c>
      <c r="F186" s="18">
        <v>0.89144277100270997</v>
      </c>
      <c r="G186" s="18">
        <v>0.94997746662337601</v>
      </c>
      <c r="H186" s="21">
        <v>80.5</v>
      </c>
      <c r="I186" s="21">
        <v>60.4</v>
      </c>
      <c r="J186" s="21">
        <v>86</v>
      </c>
      <c r="K186" s="18">
        <v>1</v>
      </c>
      <c r="L186" s="18">
        <v>88.9</v>
      </c>
      <c r="M186" s="18">
        <v>31.114999999999998</v>
      </c>
      <c r="N186" s="18">
        <v>9.3345000000000002</v>
      </c>
      <c r="O186" s="18">
        <v>6.2229999999999999</v>
      </c>
      <c r="P186" s="18">
        <v>12.0015</v>
      </c>
      <c r="Q186" s="19"/>
      <c r="R186" s="18">
        <v>76</v>
      </c>
      <c r="S186" s="18">
        <v>27</v>
      </c>
      <c r="T186" s="18">
        <v>40</v>
      </c>
      <c r="U186" s="18">
        <v>45</v>
      </c>
      <c r="V186" s="18">
        <v>50</v>
      </c>
      <c r="W186" s="18">
        <v>53</v>
      </c>
      <c r="X186" s="18"/>
      <c r="Y186" s="18">
        <v>8.6</v>
      </c>
      <c r="Z186" s="18">
        <v>12.200000000000001</v>
      </c>
      <c r="AA186" s="18">
        <v>0.1</v>
      </c>
      <c r="AB186" s="18">
        <v>0.5</v>
      </c>
      <c r="AC186" s="18">
        <v>13.5</v>
      </c>
      <c r="AD186" s="18">
        <v>4.8999999999999995</v>
      </c>
      <c r="AE186" s="18">
        <v>6.7000000000000011</v>
      </c>
      <c r="AF186" s="18">
        <v>220</v>
      </c>
      <c r="AG186" s="18">
        <v>6.5</v>
      </c>
      <c r="AH186" s="18">
        <v>67</v>
      </c>
      <c r="AI186" s="18">
        <v>57.999999999999993</v>
      </c>
      <c r="AJ186" s="18">
        <v>0</v>
      </c>
      <c r="AK186" s="18">
        <v>0.10999999999999999</v>
      </c>
      <c r="AL186" s="18"/>
      <c r="AM186" s="18">
        <v>5.5000000000000098</v>
      </c>
      <c r="AN186" s="18">
        <v>2</v>
      </c>
      <c r="AO186" s="18">
        <v>2.4900000000000002</v>
      </c>
      <c r="AP186" s="18">
        <v>4.4000000000000004</v>
      </c>
      <c r="AQ186" s="18">
        <v>1.27</v>
      </c>
      <c r="AR186" s="18">
        <v>3.9000000000000101</v>
      </c>
      <c r="AS186" s="18">
        <v>7.1</v>
      </c>
      <c r="AT186" s="18">
        <v>2.79</v>
      </c>
      <c r="AU186" s="18">
        <v>4</v>
      </c>
      <c r="AV186" s="18">
        <v>3.02</v>
      </c>
      <c r="AW186" s="18">
        <v>5.19</v>
      </c>
      <c r="AX186" s="18"/>
      <c r="AY186" s="18">
        <v>1.01</v>
      </c>
      <c r="AZ186" s="18">
        <v>1.1399999999999999</v>
      </c>
      <c r="BA186" s="18">
        <v>1.07</v>
      </c>
      <c r="BB186" s="18">
        <v>1</v>
      </c>
      <c r="BC186" s="18">
        <v>0.99</v>
      </c>
      <c r="BD186" s="18">
        <v>1.03</v>
      </c>
      <c r="BE186" s="18">
        <v>1.07</v>
      </c>
      <c r="BF186" s="18">
        <v>1.0900000000000001</v>
      </c>
      <c r="BG186" s="18">
        <v>1.07</v>
      </c>
      <c r="BH186" s="18">
        <v>1.04</v>
      </c>
      <c r="BI186" s="18">
        <v>1.01</v>
      </c>
      <c r="BJ186" s="19"/>
      <c r="BK186" s="18">
        <v>35</v>
      </c>
      <c r="BL186" s="18">
        <v>10.5</v>
      </c>
      <c r="BM186" s="18">
        <v>6.9999999999999991</v>
      </c>
      <c r="BN186" s="18">
        <v>13.5</v>
      </c>
      <c r="BO186" s="18"/>
      <c r="BP186" s="18">
        <v>115</v>
      </c>
      <c r="BQ186" s="18">
        <v>120.74999999999999</v>
      </c>
      <c r="BR186" s="18">
        <v>1.0027477739063104</v>
      </c>
      <c r="BS186" s="18">
        <v>1.0685910760667896</v>
      </c>
      <c r="BT186" s="19"/>
      <c r="BU186" s="18">
        <v>929.99999999999989</v>
      </c>
      <c r="BV186" s="18">
        <v>61.257142857142853</v>
      </c>
      <c r="BW186" s="18">
        <v>267.04285714285714</v>
      </c>
      <c r="BX186" s="18" t="s">
        <v>217</v>
      </c>
      <c r="BY186" s="18" t="s">
        <v>217</v>
      </c>
      <c r="BZ186" s="18">
        <v>59.751428571428569</v>
      </c>
      <c r="CA186" s="18">
        <v>338.59142857142859</v>
      </c>
      <c r="CB186" s="19"/>
      <c r="CC186" s="19">
        <v>7.6453999999999995</v>
      </c>
      <c r="CD186" s="19">
        <v>10.845800000000001</v>
      </c>
      <c r="CE186" s="19">
        <v>8.8900000000000007E-2</v>
      </c>
      <c r="CF186" s="19">
        <v>0.44450000000000001</v>
      </c>
      <c r="CG186" s="19">
        <v>12.0015</v>
      </c>
      <c r="CH186" s="19">
        <v>4.3560999999999996</v>
      </c>
      <c r="CI186" s="19">
        <v>5.9563000000000006</v>
      </c>
      <c r="CJ186" s="19"/>
      <c r="CK186" s="19">
        <v>195.58</v>
      </c>
      <c r="CL186" s="19">
        <v>5.7785000000000002</v>
      </c>
      <c r="CM186" s="19">
        <v>59.563000000000002</v>
      </c>
      <c r="CN186" s="19">
        <v>51.561999999999998</v>
      </c>
      <c r="CO186" s="19">
        <v>0</v>
      </c>
      <c r="CP186" s="19">
        <v>9.7789999999999988E-2</v>
      </c>
      <c r="CQ186" s="19">
        <v>236.47399999999999</v>
      </c>
      <c r="CR186" s="19">
        <v>265.27109500704125</v>
      </c>
      <c r="CS186" s="19">
        <v>14.735809327641142</v>
      </c>
      <c r="CT186" s="19">
        <v>6.0481809661605412</v>
      </c>
      <c r="CU186" s="19">
        <v>7.0676177842726</v>
      </c>
      <c r="CV186" s="19">
        <v>13.115798750433141</v>
      </c>
      <c r="CW186" s="19">
        <v>11.671928180309816</v>
      </c>
      <c r="CX186" s="19">
        <v>3.3352534775235294</v>
      </c>
      <c r="CY186" s="19">
        <v>10.655939886432881</v>
      </c>
      <c r="CZ186" s="19">
        <v>20.152645087684924</v>
      </c>
      <c r="DA186" s="19">
        <v>8.0671592702591326</v>
      </c>
      <c r="DB186" s="19">
        <v>11.353602866301365</v>
      </c>
      <c r="DC186" s="19">
        <v>8.3316345519811517</v>
      </c>
      <c r="DD186" s="19">
        <v>19.685237418282519</v>
      </c>
      <c r="DE186" s="19">
        <v>13.905245529174097</v>
      </c>
      <c r="DF186" s="23">
        <v>0</v>
      </c>
      <c r="DG186" s="23">
        <v>0</v>
      </c>
      <c r="DH186" s="23">
        <v>0</v>
      </c>
      <c r="DI186" s="19">
        <v>0</v>
      </c>
      <c r="DJ186" s="19">
        <v>0</v>
      </c>
      <c r="DK186" s="19">
        <v>0</v>
      </c>
      <c r="DL186" s="19">
        <v>0</v>
      </c>
      <c r="DM186" s="19">
        <v>0</v>
      </c>
      <c r="DN186" s="19">
        <v>0</v>
      </c>
      <c r="DO186" s="19">
        <v>0</v>
      </c>
      <c r="DP186" s="19">
        <v>0</v>
      </c>
      <c r="DQ186" s="19">
        <v>0</v>
      </c>
      <c r="DR186" s="19">
        <v>0</v>
      </c>
      <c r="DS186" s="19">
        <v>0</v>
      </c>
      <c r="DT186" s="19">
        <v>0</v>
      </c>
      <c r="DU186" s="19">
        <v>0</v>
      </c>
      <c r="DV186" s="19">
        <v>0</v>
      </c>
      <c r="DW186" s="17" t="s">
        <v>562</v>
      </c>
      <c r="DX186" s="22" t="s">
        <v>218</v>
      </c>
      <c r="DY186" s="22" t="s">
        <v>218</v>
      </c>
      <c r="DZ186" s="22">
        <v>5</v>
      </c>
      <c r="EA186" s="22">
        <v>5</v>
      </c>
      <c r="EB186" s="22" t="s">
        <v>218</v>
      </c>
      <c r="EC186" s="22">
        <v>5</v>
      </c>
      <c r="ED186" s="22">
        <v>5</v>
      </c>
      <c r="EE186" s="22" t="s">
        <v>218</v>
      </c>
      <c r="EF186" s="22">
        <v>5</v>
      </c>
      <c r="EG186" s="22" t="s">
        <v>218</v>
      </c>
      <c r="EH186" s="22" t="s">
        <v>218</v>
      </c>
      <c r="EI186" s="22" t="s">
        <v>218</v>
      </c>
      <c r="EJ186" s="22" t="s">
        <v>218</v>
      </c>
      <c r="EK186" s="22" t="s">
        <v>218</v>
      </c>
      <c r="EL186" s="22" t="s">
        <v>218</v>
      </c>
      <c r="EM186" s="22" t="s">
        <v>218</v>
      </c>
      <c r="EN186" s="22" t="s">
        <v>218</v>
      </c>
      <c r="EO186" s="22" t="s">
        <v>218</v>
      </c>
      <c r="EP186" s="22" t="s">
        <v>218</v>
      </c>
      <c r="EQ186" s="22" t="s">
        <v>218</v>
      </c>
      <c r="ER186" s="22" t="s">
        <v>218</v>
      </c>
      <c r="ES186" s="22">
        <v>5</v>
      </c>
      <c r="ET186" s="22">
        <v>6</v>
      </c>
      <c r="EU186" s="22">
        <v>4</v>
      </c>
      <c r="EV186" s="22">
        <v>3</v>
      </c>
      <c r="EW186" s="22">
        <v>5</v>
      </c>
      <c r="EX186" s="22">
        <v>5</v>
      </c>
      <c r="EY186" s="22">
        <v>5</v>
      </c>
      <c r="EZ186" s="22">
        <v>5</v>
      </c>
      <c r="FA186" s="22">
        <v>5</v>
      </c>
      <c r="FB186" s="22">
        <v>5</v>
      </c>
      <c r="FC186" s="22">
        <v>5</v>
      </c>
      <c r="FD186" s="22" t="s">
        <v>218</v>
      </c>
      <c r="FE186" s="22" t="s">
        <v>218</v>
      </c>
      <c r="FF186" s="22" t="s">
        <v>218</v>
      </c>
      <c r="FG186" s="22" t="s">
        <v>218</v>
      </c>
      <c r="FH186" s="22">
        <v>0.8</v>
      </c>
      <c r="FI186" s="22">
        <v>0.1</v>
      </c>
      <c r="FJ186" s="22" t="s">
        <v>218</v>
      </c>
      <c r="FK186" s="22">
        <v>1.1000000000000001</v>
      </c>
      <c r="FL186" s="22">
        <v>3.4</v>
      </c>
      <c r="FM186" s="22" t="s">
        <v>218</v>
      </c>
      <c r="FN186" s="22">
        <v>4.5999999999999996</v>
      </c>
      <c r="FO186" s="22" t="s">
        <v>218</v>
      </c>
      <c r="FP186" s="22" t="s">
        <v>218</v>
      </c>
      <c r="FQ186" s="22" t="s">
        <v>218</v>
      </c>
      <c r="FR186" s="22" t="s">
        <v>218</v>
      </c>
      <c r="FS186" s="22" t="s">
        <v>218</v>
      </c>
      <c r="FT186" s="22" t="s">
        <v>218</v>
      </c>
      <c r="FU186" s="22" t="s">
        <v>218</v>
      </c>
      <c r="FV186" s="22" t="s">
        <v>218</v>
      </c>
      <c r="FW186" s="22" t="s">
        <v>218</v>
      </c>
      <c r="FX186" s="22" t="s">
        <v>218</v>
      </c>
      <c r="FY186" s="22" t="s">
        <v>218</v>
      </c>
      <c r="FZ186" s="22" t="s">
        <v>218</v>
      </c>
      <c r="GA186" s="22">
        <v>0.99</v>
      </c>
      <c r="GB186" s="22">
        <v>1.2</v>
      </c>
      <c r="GC186" s="22">
        <v>0.03</v>
      </c>
      <c r="GD186" s="22">
        <v>7.0000000000000007E-2</v>
      </c>
      <c r="GE186" s="22">
        <v>2.2599999999999998</v>
      </c>
      <c r="GF186" s="22">
        <v>0.85</v>
      </c>
      <c r="GG186" s="22">
        <v>0.53</v>
      </c>
      <c r="GH186" s="22">
        <v>94.73</v>
      </c>
      <c r="GI186" s="22">
        <v>1.49</v>
      </c>
      <c r="GJ186" s="22">
        <v>5.1100000000000003</v>
      </c>
      <c r="GK186" s="22">
        <v>7.45</v>
      </c>
      <c r="GL186" s="22" t="s">
        <v>218</v>
      </c>
      <c r="GM186" s="22" t="s">
        <v>218</v>
      </c>
      <c r="GN186" s="22" t="s">
        <v>218</v>
      </c>
      <c r="GO186" s="22" t="s">
        <v>218</v>
      </c>
      <c r="GP186" s="22">
        <v>2005</v>
      </c>
      <c r="GQ186" s="22">
        <v>2005</v>
      </c>
      <c r="GR186" s="22" t="s">
        <v>218</v>
      </c>
      <c r="GS186" s="22">
        <v>2005</v>
      </c>
      <c r="GT186" s="22">
        <v>2005</v>
      </c>
      <c r="GU186" s="22" t="s">
        <v>218</v>
      </c>
      <c r="GV186" s="22">
        <v>2005</v>
      </c>
      <c r="GW186" s="22" t="s">
        <v>218</v>
      </c>
      <c r="GX186" s="22" t="s">
        <v>218</v>
      </c>
      <c r="GY186" s="22" t="s">
        <v>218</v>
      </c>
      <c r="GZ186" s="22" t="s">
        <v>218</v>
      </c>
      <c r="HA186" s="22" t="s">
        <v>218</v>
      </c>
      <c r="HB186" s="22" t="s">
        <v>218</v>
      </c>
      <c r="HC186" s="22" t="s">
        <v>218</v>
      </c>
      <c r="HD186" s="22" t="s">
        <v>218</v>
      </c>
      <c r="HE186" s="22" t="s">
        <v>218</v>
      </c>
      <c r="HF186" s="22" t="s">
        <v>218</v>
      </c>
      <c r="HG186" s="22" t="s">
        <v>218</v>
      </c>
      <c r="HH186" s="22" t="s">
        <v>218</v>
      </c>
      <c r="HI186" s="22">
        <v>2005</v>
      </c>
      <c r="HJ186" s="22">
        <v>2005</v>
      </c>
      <c r="HK186" s="22">
        <v>2005</v>
      </c>
      <c r="HL186" s="22">
        <v>2005</v>
      </c>
      <c r="HM186" s="620">
        <f>'background data'!$G$12</f>
        <v>0.51300000000000001</v>
      </c>
      <c r="HN186" s="620">
        <f>'background data'!$H$12</f>
        <v>8.9999999999999993E-3</v>
      </c>
      <c r="HO186" s="620">
        <f>'background data'!$J$12</f>
        <v>0.32600000000000001</v>
      </c>
      <c r="HP186" s="620">
        <f>'background data'!$L$12</f>
        <v>0.05</v>
      </c>
      <c r="HQ186" s="620">
        <f>'background data'!$M$12</f>
        <v>4</v>
      </c>
      <c r="HR186" s="620">
        <f>'background data'!$N$12</f>
        <v>3.8999999999999998E-3</v>
      </c>
      <c r="HS186" s="620">
        <f>'background data'!$O$12</f>
        <v>2.2799999999999998</v>
      </c>
      <c r="HT186" s="145"/>
      <c r="HU186" s="145" t="s">
        <v>1809</v>
      </c>
      <c r="HV186" s="22" t="s">
        <v>1970</v>
      </c>
      <c r="HW186" s="22" t="s">
        <v>563</v>
      </c>
      <c r="HX186" s="22" t="s">
        <v>564</v>
      </c>
      <c r="HY186" s="22" t="s">
        <v>565</v>
      </c>
      <c r="HZ186" s="19"/>
      <c r="IA186" s="19"/>
      <c r="IB186" s="620">
        <f>'background data'!$G$12</f>
        <v>0.51300000000000001</v>
      </c>
      <c r="IC186" s="620">
        <f>'background data'!$H$12</f>
        <v>8.9999999999999993E-3</v>
      </c>
      <c r="ID186" s="620">
        <f>'background data'!$J$12</f>
        <v>0.32600000000000001</v>
      </c>
      <c r="IE186" s="620">
        <f>'background data'!$L$12</f>
        <v>0.05</v>
      </c>
      <c r="IF186" s="620">
        <f>'background data'!$M$12</f>
        <v>4</v>
      </c>
      <c r="IG186" s="620">
        <f>'background data'!$N$12</f>
        <v>3.8999999999999998E-3</v>
      </c>
      <c r="IH186" s="620">
        <f>'background data'!$O$12</f>
        <v>2.2799999999999998</v>
      </c>
      <c r="II186" s="145"/>
      <c r="IJ186" s="145"/>
      <c r="IK186" s="145"/>
      <c r="IL186" s="145"/>
      <c r="IM186" s="145"/>
      <c r="IN186" s="145"/>
      <c r="IO186" s="145"/>
      <c r="IP186" s="145"/>
      <c r="IQ186" s="145"/>
      <c r="IR186" s="145"/>
      <c r="IS186" s="145"/>
      <c r="IT186" s="145"/>
      <c r="IU186" s="145"/>
      <c r="IV186" s="145"/>
      <c r="IW186" s="145"/>
      <c r="IX186" s="145"/>
      <c r="IY186" s="145"/>
      <c r="IZ186" s="145"/>
      <c r="JA186" s="145"/>
      <c r="JB186" s="145"/>
      <c r="JC186" s="145"/>
      <c r="JD186" s="145"/>
      <c r="JE186" s="145"/>
      <c r="JF186" s="145"/>
      <c r="JG186" s="145"/>
      <c r="JH186" s="145"/>
      <c r="JI186" s="145"/>
      <c r="JJ186" s="145"/>
      <c r="JK186" s="145"/>
      <c r="JL186" s="145"/>
      <c r="JM186" s="145"/>
      <c r="JN186" s="145"/>
      <c r="JO186" s="145"/>
      <c r="JP186" s="145"/>
      <c r="JQ186" s="145"/>
      <c r="JR186" s="145"/>
      <c r="JS186" s="145"/>
      <c r="JT186" s="145"/>
      <c r="JU186" s="145"/>
      <c r="JV186" s="145"/>
      <c r="JW186" s="145"/>
      <c r="JX186" s="145"/>
      <c r="JY186" s="145"/>
      <c r="JZ186" s="145"/>
      <c r="KA186" s="145"/>
      <c r="KB186" s="145"/>
      <c r="KC186" s="145"/>
      <c r="KD186" s="145"/>
      <c r="KE186" s="145"/>
      <c r="KF186" s="145"/>
      <c r="KG186" s="145"/>
      <c r="KH186" s="145"/>
      <c r="KI186" s="145"/>
      <c r="KJ186" s="145"/>
      <c r="KK186" s="145"/>
      <c r="KL186" s="145"/>
      <c r="KM186" s="145"/>
      <c r="KN186" s="145"/>
      <c r="KO186" s="145"/>
      <c r="KP186" s="145"/>
      <c r="KQ186" s="145"/>
      <c r="KR186" s="145"/>
      <c r="KS186" s="145"/>
      <c r="KT186" s="145"/>
      <c r="KU186" s="145"/>
      <c r="KV186" s="145"/>
      <c r="KW186" s="145"/>
      <c r="KX186" s="145"/>
      <c r="KY186" s="145"/>
      <c r="KZ186" s="145"/>
      <c r="LA186" s="145"/>
      <c r="LB186" s="145"/>
      <c r="LC186" s="145"/>
      <c r="LD186" s="145"/>
      <c r="LE186" s="145"/>
      <c r="LF186" s="145"/>
      <c r="LG186" s="145"/>
      <c r="LH186" s="145"/>
      <c r="LI186" s="145"/>
      <c r="LJ186" s="145"/>
      <c r="LK186" s="145"/>
      <c r="LL186" s="145"/>
      <c r="LM186" s="145"/>
      <c r="LN186" s="145"/>
      <c r="LO186" s="145"/>
      <c r="LP186" s="145"/>
      <c r="LQ186" s="145"/>
      <c r="LR186" s="145"/>
      <c r="LS186" s="145"/>
      <c r="LT186" s="145"/>
      <c r="LU186" s="145"/>
      <c r="LV186" s="145"/>
      <c r="LW186" s="145"/>
      <c r="LX186" s="145"/>
      <c r="LY186" s="145"/>
      <c r="LZ186" s="145"/>
      <c r="MA186" s="145"/>
      <c r="MB186" s="145"/>
      <c r="MC186" s="145"/>
      <c r="MD186" s="145"/>
      <c r="ME186" s="145"/>
      <c r="MF186" s="145"/>
      <c r="MG186" s="145"/>
      <c r="MH186" s="145"/>
      <c r="MI186" s="145"/>
      <c r="MJ186" s="145"/>
      <c r="MK186" s="145"/>
      <c r="ML186" s="145"/>
      <c r="MM186" s="145"/>
      <c r="MN186" s="145"/>
      <c r="MO186" s="145"/>
      <c r="MP186" s="145"/>
      <c r="MQ186" s="145"/>
      <c r="MR186" s="145"/>
      <c r="MS186" s="145"/>
      <c r="MT186" s="145"/>
      <c r="MU186" s="145"/>
      <c r="MV186" s="145"/>
      <c r="MW186" s="145"/>
      <c r="MX186" s="145"/>
      <c r="MY186" s="145"/>
      <c r="MZ186" s="145"/>
      <c r="NA186" s="145"/>
      <c r="NB186" s="145"/>
      <c r="NC186" s="145"/>
      <c r="ND186" s="145"/>
      <c r="NE186" s="145"/>
      <c r="NF186" s="145"/>
      <c r="NG186" s="145"/>
      <c r="NH186" s="145"/>
      <c r="NI186" s="145"/>
      <c r="NJ186" s="145"/>
      <c r="NK186" s="145"/>
      <c r="NL186" s="145"/>
      <c r="NM186" s="145"/>
      <c r="NN186" s="145"/>
      <c r="NO186" s="145"/>
      <c r="NP186" s="145"/>
      <c r="NQ186" s="145"/>
      <c r="NR186" s="145"/>
      <c r="NS186" s="145"/>
    </row>
    <row r="187" spans="1:383" s="16" customFormat="1" ht="15" customHeight="1" x14ac:dyDescent="0.2">
      <c r="A187" s="15">
        <v>58100</v>
      </c>
      <c r="B187" s="25">
        <v>581</v>
      </c>
      <c r="C187" s="26">
        <v>0</v>
      </c>
      <c r="D187" s="20" t="s">
        <v>568</v>
      </c>
      <c r="E187" s="14">
        <v>42695</v>
      </c>
      <c r="F187" s="18">
        <v>0.73206973199574199</v>
      </c>
      <c r="G187" s="18">
        <v>0.79725024696185498</v>
      </c>
      <c r="H187" s="21">
        <v>79</v>
      </c>
      <c r="I187" s="21">
        <v>59.300007000000001</v>
      </c>
      <c r="J187" s="21">
        <v>86</v>
      </c>
      <c r="K187" s="18">
        <v>1</v>
      </c>
      <c r="L187" s="18">
        <v>88.78</v>
      </c>
      <c r="M187" s="18">
        <v>34.313470000000002</v>
      </c>
      <c r="N187" s="18">
        <v>4.0661240000000003</v>
      </c>
      <c r="O187" s="18">
        <v>7.2622039999999997</v>
      </c>
      <c r="P187" s="18">
        <v>13.547828000000001</v>
      </c>
      <c r="Q187" s="19"/>
      <c r="R187" s="18">
        <v>76</v>
      </c>
      <c r="S187" s="18">
        <v>27</v>
      </c>
      <c r="T187" s="18">
        <v>40</v>
      </c>
      <c r="U187" s="18">
        <v>45</v>
      </c>
      <c r="V187" s="18">
        <v>50</v>
      </c>
      <c r="W187" s="18">
        <v>53</v>
      </c>
      <c r="X187" s="18"/>
      <c r="Y187" s="18">
        <v>8.3352106330254561</v>
      </c>
      <c r="Z187" s="18">
        <v>11.826988060373958</v>
      </c>
      <c r="AA187" s="18">
        <v>0.4</v>
      </c>
      <c r="AB187" s="18">
        <v>0</v>
      </c>
      <c r="AC187" s="18">
        <v>15</v>
      </c>
      <c r="AD187" s="18">
        <v>5.3</v>
      </c>
      <c r="AE187" s="18">
        <v>7.2999999999999989</v>
      </c>
      <c r="AF187" s="18">
        <v>260</v>
      </c>
      <c r="AG187" s="18">
        <v>6.4</v>
      </c>
      <c r="AH187" s="18">
        <v>76</v>
      </c>
      <c r="AI187" s="18">
        <v>73</v>
      </c>
      <c r="AJ187" s="18">
        <v>0</v>
      </c>
      <c r="AK187" s="18">
        <v>0.09</v>
      </c>
      <c r="AL187" s="18"/>
      <c r="AM187" s="18">
        <v>5.5</v>
      </c>
      <c r="AN187" s="18">
        <v>2</v>
      </c>
      <c r="AO187" s="18">
        <v>2.4900000000000002</v>
      </c>
      <c r="AP187" s="18">
        <v>4.3999999999999897</v>
      </c>
      <c r="AQ187" s="18">
        <v>1.27</v>
      </c>
      <c r="AR187" s="18">
        <v>3.9</v>
      </c>
      <c r="AS187" s="18">
        <v>7.1</v>
      </c>
      <c r="AT187" s="18">
        <v>2.79</v>
      </c>
      <c r="AU187" s="18">
        <v>4</v>
      </c>
      <c r="AV187" s="18">
        <v>3.02</v>
      </c>
      <c r="AW187" s="18">
        <v>5.1899999999999897</v>
      </c>
      <c r="AX187" s="18"/>
      <c r="AY187" s="18">
        <v>1.01</v>
      </c>
      <c r="AZ187" s="18">
        <v>1.1399999999999999</v>
      </c>
      <c r="BA187" s="18">
        <v>1.07</v>
      </c>
      <c r="BB187" s="18">
        <v>1</v>
      </c>
      <c r="BC187" s="18">
        <v>0.99</v>
      </c>
      <c r="BD187" s="18">
        <v>1.03</v>
      </c>
      <c r="BE187" s="18">
        <v>1.07</v>
      </c>
      <c r="BF187" s="18">
        <v>1.0900000000000001</v>
      </c>
      <c r="BG187" s="18">
        <v>1.07</v>
      </c>
      <c r="BH187" s="18">
        <v>1.04</v>
      </c>
      <c r="BI187" s="18">
        <v>1.01</v>
      </c>
      <c r="BJ187" s="19"/>
      <c r="BK187" s="18">
        <v>38.65</v>
      </c>
      <c r="BL187" s="18">
        <v>4.58</v>
      </c>
      <c r="BM187" s="18">
        <v>8.18</v>
      </c>
      <c r="BN187" s="18">
        <v>15.260000000000002</v>
      </c>
      <c r="BO187" s="18"/>
      <c r="BP187" s="18">
        <v>116</v>
      </c>
      <c r="BQ187" s="18">
        <v>53.128</v>
      </c>
      <c r="BR187" s="18">
        <v>0.82458856949283843</v>
      </c>
      <c r="BS187" s="18">
        <v>0.89800658589981408</v>
      </c>
      <c r="BT187" s="19"/>
      <c r="BU187" s="18">
        <v>918.2</v>
      </c>
      <c r="BV187" s="18">
        <v>70.82928571428566</v>
      </c>
      <c r="BW187" s="18">
        <v>258.40762246571416</v>
      </c>
      <c r="BX187" s="18" t="s">
        <v>217</v>
      </c>
      <c r="BY187" s="18" t="s">
        <v>217</v>
      </c>
      <c r="BZ187" s="18">
        <v>59.361857142857055</v>
      </c>
      <c r="CA187" s="18">
        <v>336.38385714285647</v>
      </c>
      <c r="CB187" s="19"/>
      <c r="CC187" s="19">
        <v>7.4</v>
      </c>
      <c r="CD187" s="19">
        <v>10.5</v>
      </c>
      <c r="CE187" s="19">
        <v>0.35512000000000005</v>
      </c>
      <c r="CF187" s="19">
        <v>0</v>
      </c>
      <c r="CG187" s="19">
        <v>13.317</v>
      </c>
      <c r="CH187" s="19">
        <v>4.7053399999999996</v>
      </c>
      <c r="CI187" s="19">
        <v>6.4809399999999995</v>
      </c>
      <c r="CJ187" s="19"/>
      <c r="CK187" s="19">
        <v>230.828</v>
      </c>
      <c r="CL187" s="19">
        <v>5.6819200000000007</v>
      </c>
      <c r="CM187" s="19">
        <v>67.472800000000007</v>
      </c>
      <c r="CN187" s="19">
        <v>64.809399999999997</v>
      </c>
      <c r="CO187" s="19">
        <v>0</v>
      </c>
      <c r="CP187" s="19">
        <v>7.9902000000000001E-2</v>
      </c>
      <c r="CQ187" s="19">
        <v>260.78237200000001</v>
      </c>
      <c r="CR187" s="19">
        <v>356.22613612102845</v>
      </c>
      <c r="CS187" s="19">
        <v>19.788361861523132</v>
      </c>
      <c r="CT187" s="19">
        <v>8.1219559035594475</v>
      </c>
      <c r="CU187" s="19">
        <v>9.4909329446725597</v>
      </c>
      <c r="CV187" s="19">
        <v>17.612888848232011</v>
      </c>
      <c r="CW187" s="19">
        <v>15.673949989325251</v>
      </c>
      <c r="CX187" s="19">
        <v>4.4788312094496909</v>
      </c>
      <c r="CY187" s="19">
        <v>14.309603887981712</v>
      </c>
      <c r="CZ187" s="19">
        <v>27.062499561114528</v>
      </c>
      <c r="DA187" s="19">
        <v>10.833193025576596</v>
      </c>
      <c r="DB187" s="19">
        <v>15.246478625980016</v>
      </c>
      <c r="DC187" s="19">
        <v>11.188350483289263</v>
      </c>
      <c r="DD187" s="19">
        <v>26.434829109269277</v>
      </c>
      <c r="DE187" s="19">
        <v>18.673017829328192</v>
      </c>
      <c r="DF187" s="23">
        <v>0</v>
      </c>
      <c r="DG187" s="23">
        <v>0</v>
      </c>
      <c r="DH187" s="23">
        <v>0</v>
      </c>
      <c r="DI187" s="19">
        <v>0</v>
      </c>
      <c r="DJ187" s="19">
        <v>0</v>
      </c>
      <c r="DK187" s="19">
        <v>0</v>
      </c>
      <c r="DL187" s="19">
        <v>0</v>
      </c>
      <c r="DM187" s="19">
        <v>0</v>
      </c>
      <c r="DN187" s="19">
        <v>0</v>
      </c>
      <c r="DO187" s="19">
        <v>0</v>
      </c>
      <c r="DP187" s="19">
        <v>0</v>
      </c>
      <c r="DQ187" s="19">
        <v>0</v>
      </c>
      <c r="DR187" s="19">
        <v>0</v>
      </c>
      <c r="DS187" s="19">
        <v>0</v>
      </c>
      <c r="DT187" s="19">
        <v>0</v>
      </c>
      <c r="DU187" s="19">
        <v>0</v>
      </c>
      <c r="DV187" s="19">
        <v>0</v>
      </c>
      <c r="DW187" s="17" t="s">
        <v>569</v>
      </c>
      <c r="DX187" s="22">
        <v>20</v>
      </c>
      <c r="DY187" s="22">
        <v>20</v>
      </c>
      <c r="DZ187" s="22">
        <v>20</v>
      </c>
      <c r="EA187" s="22">
        <v>20</v>
      </c>
      <c r="EB187" s="22">
        <v>20</v>
      </c>
      <c r="EC187" s="22">
        <v>20</v>
      </c>
      <c r="ED187" s="22">
        <v>20</v>
      </c>
      <c r="EE187" s="22" t="s">
        <v>218</v>
      </c>
      <c r="EF187" s="22">
        <v>20</v>
      </c>
      <c r="EG187" s="22">
        <v>20</v>
      </c>
      <c r="EH187" s="22" t="s">
        <v>218</v>
      </c>
      <c r="EI187" s="22" t="s">
        <v>218</v>
      </c>
      <c r="EJ187" s="22" t="s">
        <v>218</v>
      </c>
      <c r="EK187" s="22" t="s">
        <v>218</v>
      </c>
      <c r="EL187" s="22" t="s">
        <v>218</v>
      </c>
      <c r="EM187" s="22" t="s">
        <v>218</v>
      </c>
      <c r="EN187" s="22" t="s">
        <v>218</v>
      </c>
      <c r="EO187" s="22" t="s">
        <v>218</v>
      </c>
      <c r="EP187" s="22" t="s">
        <v>218</v>
      </c>
      <c r="EQ187" s="22" t="s">
        <v>218</v>
      </c>
      <c r="ER187" s="22" t="s">
        <v>218</v>
      </c>
      <c r="ES187" s="22">
        <v>14</v>
      </c>
      <c r="ET187" s="22">
        <v>14</v>
      </c>
      <c r="EU187" s="22">
        <v>6</v>
      </c>
      <c r="EV187" s="22" t="s">
        <v>218</v>
      </c>
      <c r="EW187" s="22">
        <v>7</v>
      </c>
      <c r="EX187" s="22">
        <v>4</v>
      </c>
      <c r="EY187" s="22">
        <v>7</v>
      </c>
      <c r="EZ187" s="22">
        <v>7</v>
      </c>
      <c r="FA187" s="22">
        <v>7</v>
      </c>
      <c r="FB187" s="22">
        <v>7</v>
      </c>
      <c r="FC187" s="22">
        <v>7</v>
      </c>
      <c r="FD187" s="22" t="s">
        <v>218</v>
      </c>
      <c r="FE187" s="22" t="s">
        <v>218</v>
      </c>
      <c r="FF187" s="22">
        <v>0.3</v>
      </c>
      <c r="FG187" s="22">
        <v>1</v>
      </c>
      <c r="FH187" s="22">
        <v>0.8</v>
      </c>
      <c r="FI187" s="22">
        <v>0.6</v>
      </c>
      <c r="FJ187" s="22">
        <v>8.1</v>
      </c>
      <c r="FK187" s="22">
        <v>2.37</v>
      </c>
      <c r="FL187" s="22">
        <v>2.4300000000000002</v>
      </c>
      <c r="FM187" s="22" t="s">
        <v>218</v>
      </c>
      <c r="FN187" s="22">
        <v>4.7</v>
      </c>
      <c r="FO187" s="22">
        <v>7.1</v>
      </c>
      <c r="FP187" s="22" t="s">
        <v>218</v>
      </c>
      <c r="FQ187" s="22" t="s">
        <v>218</v>
      </c>
      <c r="FR187" s="22" t="s">
        <v>218</v>
      </c>
      <c r="FS187" s="22" t="s">
        <v>218</v>
      </c>
      <c r="FT187" s="22" t="s">
        <v>218</v>
      </c>
      <c r="FU187" s="22" t="s">
        <v>218</v>
      </c>
      <c r="FV187" s="22" t="s">
        <v>218</v>
      </c>
      <c r="FW187" s="22" t="s">
        <v>218</v>
      </c>
      <c r="FX187" s="22" t="s">
        <v>218</v>
      </c>
      <c r="FY187" s="22" t="s">
        <v>218</v>
      </c>
      <c r="FZ187" s="22" t="s">
        <v>218</v>
      </c>
      <c r="GA187" s="22">
        <v>0.39</v>
      </c>
      <c r="GB187" s="22">
        <v>0.66</v>
      </c>
      <c r="GC187" s="22">
        <v>0.19</v>
      </c>
      <c r="GD187" s="22" t="s">
        <v>218</v>
      </c>
      <c r="GE187" s="22">
        <v>1.21</v>
      </c>
      <c r="GF187" s="22">
        <v>0.61</v>
      </c>
      <c r="GG187" s="22">
        <v>0.52</v>
      </c>
      <c r="GH187" s="22">
        <v>81.92</v>
      </c>
      <c r="GI187" s="22">
        <v>1.03</v>
      </c>
      <c r="GJ187" s="22">
        <v>9.02</v>
      </c>
      <c r="GK187" s="22">
        <v>6.24</v>
      </c>
      <c r="GL187" s="22" t="s">
        <v>218</v>
      </c>
      <c r="GM187" s="22" t="s">
        <v>218</v>
      </c>
      <c r="GN187" s="22">
        <v>2016</v>
      </c>
      <c r="GO187" s="22">
        <v>2016</v>
      </c>
      <c r="GP187" s="22">
        <v>2016</v>
      </c>
      <c r="GQ187" s="22">
        <v>2016</v>
      </c>
      <c r="GR187" s="22">
        <v>2016</v>
      </c>
      <c r="GS187" s="22">
        <v>2016</v>
      </c>
      <c r="GT187" s="22">
        <v>2016</v>
      </c>
      <c r="GU187" s="22" t="s">
        <v>218</v>
      </c>
      <c r="GV187" s="22">
        <v>2016</v>
      </c>
      <c r="GW187" s="22">
        <v>2016</v>
      </c>
      <c r="GX187" s="22" t="s">
        <v>218</v>
      </c>
      <c r="GY187" s="22" t="s">
        <v>218</v>
      </c>
      <c r="GZ187" s="22" t="s">
        <v>218</v>
      </c>
      <c r="HA187" s="22" t="s">
        <v>218</v>
      </c>
      <c r="HB187" s="22" t="s">
        <v>218</v>
      </c>
      <c r="HC187" s="22" t="s">
        <v>218</v>
      </c>
      <c r="HD187" s="22" t="s">
        <v>218</v>
      </c>
      <c r="HE187" s="22" t="s">
        <v>218</v>
      </c>
      <c r="HF187" s="22" t="s">
        <v>218</v>
      </c>
      <c r="HG187" s="22" t="s">
        <v>218</v>
      </c>
      <c r="HH187" s="22" t="s">
        <v>218</v>
      </c>
      <c r="HI187" s="22">
        <v>2016</v>
      </c>
      <c r="HJ187" s="22">
        <v>2016</v>
      </c>
      <c r="HK187" s="22">
        <v>2005</v>
      </c>
      <c r="HL187" s="22" t="s">
        <v>218</v>
      </c>
      <c r="HM187" s="620">
        <f>'background data'!$G$12</f>
        <v>0.51300000000000001</v>
      </c>
      <c r="HN187" s="620">
        <f>'background data'!$H$12</f>
        <v>8.9999999999999993E-3</v>
      </c>
      <c r="HO187" s="620">
        <f>'background data'!$J$12</f>
        <v>0.32600000000000001</v>
      </c>
      <c r="HP187" s="620">
        <f>'background data'!$L$12</f>
        <v>0.05</v>
      </c>
      <c r="HQ187" s="620">
        <f>'background data'!$M$12</f>
        <v>4</v>
      </c>
      <c r="HR187" s="620">
        <f>'background data'!$N$12</f>
        <v>3.8999999999999998E-3</v>
      </c>
      <c r="HS187" s="620">
        <f>'background data'!$O$12</f>
        <v>2.2799999999999998</v>
      </c>
      <c r="HT187" s="145"/>
      <c r="HU187" s="145" t="s">
        <v>1809</v>
      </c>
      <c r="HV187" s="22" t="s">
        <v>1970</v>
      </c>
      <c r="HW187" s="22" t="s">
        <v>570</v>
      </c>
      <c r="HX187" s="22" t="s">
        <v>571</v>
      </c>
      <c r="HY187" s="22" t="s">
        <v>572</v>
      </c>
      <c r="HZ187" s="19"/>
      <c r="IA187" s="19"/>
      <c r="IB187" s="620">
        <f>'background data'!$G$12</f>
        <v>0.51300000000000001</v>
      </c>
      <c r="IC187" s="620">
        <f>'background data'!$H$12</f>
        <v>8.9999999999999993E-3</v>
      </c>
      <c r="ID187" s="620">
        <f>'background data'!$J$12</f>
        <v>0.32600000000000001</v>
      </c>
      <c r="IE187" s="620">
        <f>'background data'!$L$12</f>
        <v>0.05</v>
      </c>
      <c r="IF187" s="620">
        <f>'background data'!$M$12</f>
        <v>4</v>
      </c>
      <c r="IG187" s="620">
        <f>'background data'!$N$12</f>
        <v>3.8999999999999998E-3</v>
      </c>
      <c r="IH187" s="620">
        <f>'background data'!$O$12</f>
        <v>2.2799999999999998</v>
      </c>
      <c r="II187" s="145"/>
      <c r="IJ187" s="145"/>
      <c r="IK187" s="145"/>
      <c r="IL187" s="145"/>
      <c r="IM187" s="145"/>
      <c r="IN187" s="145"/>
      <c r="IO187" s="145"/>
      <c r="IP187" s="145"/>
      <c r="IQ187" s="145"/>
      <c r="IR187" s="145"/>
      <c r="IS187" s="145"/>
      <c r="IT187" s="145"/>
      <c r="IU187" s="145"/>
      <c r="IV187" s="145"/>
      <c r="IW187" s="145"/>
      <c r="IX187" s="145"/>
      <c r="IY187" s="145"/>
      <c r="IZ187" s="145"/>
      <c r="JA187" s="145"/>
      <c r="JB187" s="145"/>
      <c r="JC187" s="145"/>
      <c r="JD187" s="145"/>
      <c r="JE187" s="145"/>
      <c r="JF187" s="145"/>
      <c r="JG187" s="145"/>
      <c r="JH187" s="145"/>
      <c r="JI187" s="145"/>
      <c r="JJ187" s="145"/>
      <c r="JK187" s="145"/>
      <c r="JL187" s="145"/>
      <c r="JM187" s="145"/>
      <c r="JN187" s="145"/>
      <c r="JO187" s="145"/>
      <c r="JP187" s="145"/>
      <c r="JQ187" s="145"/>
      <c r="JR187" s="145"/>
      <c r="JS187" s="145"/>
      <c r="JT187" s="145"/>
      <c r="JU187" s="145"/>
      <c r="JV187" s="145"/>
      <c r="JW187" s="145"/>
      <c r="JX187" s="145"/>
      <c r="JY187" s="145"/>
      <c r="JZ187" s="145"/>
      <c r="KA187" s="145"/>
      <c r="KB187" s="145"/>
      <c r="KC187" s="145"/>
      <c r="KD187" s="145"/>
      <c r="KE187" s="145"/>
      <c r="KF187" s="145"/>
      <c r="KG187" s="145"/>
      <c r="KH187" s="145"/>
      <c r="KI187" s="145"/>
      <c r="KJ187" s="145"/>
      <c r="KK187" s="145"/>
      <c r="KL187" s="145"/>
      <c r="KM187" s="145"/>
      <c r="KN187" s="145"/>
      <c r="KO187" s="145"/>
      <c r="KP187" s="145"/>
      <c r="KQ187" s="145"/>
      <c r="KR187" s="145"/>
      <c r="KS187" s="145"/>
      <c r="KT187" s="145"/>
      <c r="KU187" s="145"/>
      <c r="KV187" s="145"/>
      <c r="KW187" s="145"/>
      <c r="KX187" s="145"/>
      <c r="KY187" s="145"/>
      <c r="KZ187" s="145"/>
      <c r="LA187" s="145"/>
      <c r="LB187" s="145"/>
      <c r="LC187" s="145"/>
      <c r="LD187" s="145"/>
      <c r="LE187" s="145"/>
      <c r="LF187" s="145"/>
      <c r="LG187" s="145"/>
      <c r="LH187" s="145"/>
      <c r="LI187" s="145"/>
      <c r="LJ187" s="145"/>
      <c r="LK187" s="145"/>
      <c r="LL187" s="145"/>
      <c r="LM187" s="145"/>
      <c r="LN187" s="145"/>
      <c r="LO187" s="145"/>
      <c r="LP187" s="145"/>
      <c r="LQ187" s="145"/>
      <c r="LR187" s="145"/>
      <c r="LS187" s="145"/>
      <c r="LT187" s="145"/>
      <c r="LU187" s="145"/>
      <c r="LV187" s="145"/>
      <c r="LW187" s="145"/>
      <c r="LX187" s="145"/>
      <c r="LY187" s="145"/>
      <c r="LZ187" s="145"/>
      <c r="MA187" s="145"/>
      <c r="MB187" s="145"/>
      <c r="MC187" s="145"/>
      <c r="MD187" s="145"/>
      <c r="ME187" s="145"/>
      <c r="MF187" s="145"/>
      <c r="MG187" s="145"/>
      <c r="MH187" s="145"/>
      <c r="MI187" s="145"/>
      <c r="MJ187" s="145"/>
      <c r="MK187" s="145"/>
      <c r="ML187" s="145"/>
      <c r="MM187" s="145"/>
      <c r="MN187" s="145"/>
      <c r="MO187" s="145"/>
      <c r="MP187" s="145"/>
      <c r="MQ187" s="145"/>
      <c r="MR187" s="145"/>
      <c r="MS187" s="145"/>
      <c r="MT187" s="145"/>
      <c r="MU187" s="145"/>
      <c r="MV187" s="145"/>
      <c r="MW187" s="145"/>
      <c r="MX187" s="145"/>
      <c r="MY187" s="145"/>
      <c r="MZ187" s="145"/>
      <c r="NA187" s="145"/>
      <c r="NB187" s="145"/>
      <c r="NC187" s="145"/>
      <c r="ND187" s="145"/>
      <c r="NE187" s="145"/>
      <c r="NF187" s="145"/>
      <c r="NG187" s="145"/>
      <c r="NH187" s="145"/>
      <c r="NI187" s="145"/>
      <c r="NJ187" s="145"/>
      <c r="NK187" s="145"/>
      <c r="NL187" s="145"/>
      <c r="NM187" s="145"/>
      <c r="NN187" s="145"/>
      <c r="NO187" s="145"/>
      <c r="NP187" s="145"/>
      <c r="NQ187" s="145"/>
      <c r="NR187" s="145"/>
      <c r="NS187" s="145"/>
    </row>
    <row r="188" spans="1:383" s="16" customFormat="1" ht="15" customHeight="1" x14ac:dyDescent="0.2">
      <c r="A188" s="15">
        <v>76700</v>
      </c>
      <c r="B188" s="25">
        <v>767</v>
      </c>
      <c r="C188" s="26">
        <v>0</v>
      </c>
      <c r="D188" s="20" t="s">
        <v>573</v>
      </c>
      <c r="E188" s="14">
        <v>42694</v>
      </c>
      <c r="F188" s="18">
        <v>8.8104758240325001E-2</v>
      </c>
      <c r="G188" s="18">
        <v>8.4706997112623E-2</v>
      </c>
      <c r="H188" s="21">
        <v>99</v>
      </c>
      <c r="I188" s="21">
        <v>98</v>
      </c>
      <c r="J188" s="21">
        <v>98.981374793096293</v>
      </c>
      <c r="K188" s="18">
        <v>0.99046698256273802</v>
      </c>
      <c r="L188" s="18">
        <v>5</v>
      </c>
      <c r="M188" s="18">
        <v>1.72</v>
      </c>
      <c r="N188" s="18">
        <v>0.96499999999999997</v>
      </c>
      <c r="O188" s="18">
        <v>0.42049999999999998</v>
      </c>
      <c r="P188" s="18">
        <v>0</v>
      </c>
      <c r="Q188" s="19"/>
      <c r="R188" s="18">
        <v>89.5</v>
      </c>
      <c r="S188" s="18">
        <v>54</v>
      </c>
      <c r="T188" s="18">
        <v>54</v>
      </c>
      <c r="U188" s="18">
        <v>54</v>
      </c>
      <c r="V188" s="18">
        <v>54</v>
      </c>
      <c r="W188" s="18">
        <v>54</v>
      </c>
      <c r="X188" s="18"/>
      <c r="Y188" s="18">
        <v>9.4</v>
      </c>
      <c r="Z188" s="18">
        <v>7.5</v>
      </c>
      <c r="AA188" s="18">
        <v>3.4</v>
      </c>
      <c r="AB188" s="18">
        <v>0.85007331539028996</v>
      </c>
      <c r="AC188" s="18">
        <v>10.4</v>
      </c>
      <c r="AD188" s="18">
        <v>0.9</v>
      </c>
      <c r="AE188" s="18">
        <v>3.2262606865684398</v>
      </c>
      <c r="AF188" s="18">
        <v>8.4967822299933609</v>
      </c>
      <c r="AG188" s="18">
        <v>3.9708961632940203</v>
      </c>
      <c r="AH188" s="18">
        <v>2.0510997980681198</v>
      </c>
      <c r="AI188" s="18">
        <v>42.620305452160999</v>
      </c>
      <c r="AJ188" s="18">
        <v>0</v>
      </c>
      <c r="AK188" s="18">
        <v>0.125912016154552</v>
      </c>
      <c r="AL188" s="18"/>
      <c r="AM188" s="18">
        <v>7.8424772440414801</v>
      </c>
      <c r="AN188" s="18">
        <v>2.4507238025786902</v>
      </c>
      <c r="AO188" s="18">
        <v>0.872159635435106</v>
      </c>
      <c r="AP188" s="18">
        <v>4.4670890731962096</v>
      </c>
      <c r="AQ188" s="18">
        <v>1.2980895787062801</v>
      </c>
      <c r="AR188" s="18">
        <v>5.7098137479309603</v>
      </c>
      <c r="AS188" s="18">
        <v>9.9646121068829103</v>
      </c>
      <c r="AT188" s="18">
        <v>2.83889590447076</v>
      </c>
      <c r="AU188" s="18">
        <v>4.78846578860467</v>
      </c>
      <c r="AV188" s="18">
        <v>4.8558006479101303</v>
      </c>
      <c r="AW188" s="18">
        <v>6.6879646441255796</v>
      </c>
      <c r="AX188" s="18"/>
      <c r="AY188" s="18">
        <v>0.96</v>
      </c>
      <c r="AZ188" s="18">
        <v>1.04</v>
      </c>
      <c r="BA188" s="18">
        <v>1.04</v>
      </c>
      <c r="BB188" s="18">
        <v>1.02</v>
      </c>
      <c r="BC188" s="18">
        <v>1.04</v>
      </c>
      <c r="BD188" s="18">
        <v>1.03</v>
      </c>
      <c r="BE188" s="18">
        <v>1.06</v>
      </c>
      <c r="BF188" s="18">
        <v>1.03</v>
      </c>
      <c r="BG188" s="18">
        <v>1.03</v>
      </c>
      <c r="BH188" s="18">
        <v>1.03</v>
      </c>
      <c r="BI188" s="18">
        <v>1.02</v>
      </c>
      <c r="BJ188" s="19"/>
      <c r="BK188" s="18">
        <v>34.4</v>
      </c>
      <c r="BL188" s="18">
        <v>19.3</v>
      </c>
      <c r="BM188" s="18">
        <v>8.41</v>
      </c>
      <c r="BN188" s="18">
        <v>0</v>
      </c>
      <c r="BO188" s="18"/>
      <c r="BP188" s="18">
        <v>34</v>
      </c>
      <c r="BQ188" s="18">
        <v>65.62</v>
      </c>
      <c r="BR188" s="18">
        <v>1.7620951648065</v>
      </c>
      <c r="BS188" s="18">
        <v>1.6941399422524601</v>
      </c>
      <c r="BT188" s="19"/>
      <c r="BU188" s="18">
        <v>915.9</v>
      </c>
      <c r="BV188" s="18">
        <v>393.40671428571397</v>
      </c>
      <c r="BW188" s="18">
        <v>13.084285714285699</v>
      </c>
      <c r="BX188" s="18">
        <v>0</v>
      </c>
      <c r="BY188" s="18">
        <v>478.24570177367394</v>
      </c>
      <c r="BZ188" s="18">
        <v>0</v>
      </c>
      <c r="CA188" s="18">
        <v>0</v>
      </c>
      <c r="CB188" s="19"/>
      <c r="CC188" s="19">
        <v>0.47000000000000003</v>
      </c>
      <c r="CD188" s="19">
        <v>0.375</v>
      </c>
      <c r="CE188" s="19">
        <v>0.17</v>
      </c>
      <c r="CF188" s="19">
        <v>4.2503665769514504E-2</v>
      </c>
      <c r="CG188" s="19">
        <v>0.52</v>
      </c>
      <c r="CH188" s="19">
        <v>4.5000000000000005E-2</v>
      </c>
      <c r="CI188" s="19">
        <v>0.16131303432842201</v>
      </c>
      <c r="CJ188" s="19"/>
      <c r="CK188" s="19">
        <v>0.42483911149966808</v>
      </c>
      <c r="CL188" s="19">
        <v>0.19854480816470102</v>
      </c>
      <c r="CM188" s="19">
        <v>0.102554989903406</v>
      </c>
      <c r="CN188" s="19">
        <v>2.13101527260805</v>
      </c>
      <c r="CO188" s="19">
        <v>0</v>
      </c>
      <c r="CP188" s="19">
        <v>6.2956008077276002E-3</v>
      </c>
      <c r="CQ188" s="19">
        <v>15.394</v>
      </c>
      <c r="CR188" s="19">
        <v>174.72382090884918</v>
      </c>
      <c r="CS188" s="19">
        <v>13.154568858908485</v>
      </c>
      <c r="CT188" s="19">
        <v>4.4532781984996417</v>
      </c>
      <c r="CU188" s="19">
        <v>1.5848254650351778</v>
      </c>
      <c r="CV188" s="19">
        <v>6.038103663534832</v>
      </c>
      <c r="CW188" s="19">
        <v>7.9611700863319186</v>
      </c>
      <c r="CX188" s="19">
        <v>2.3587945791646083</v>
      </c>
      <c r="CY188" s="19">
        <v>10.275696889578654</v>
      </c>
      <c r="CZ188" s="19">
        <v>18.455184072605114</v>
      </c>
      <c r="DA188" s="19">
        <v>5.1090342177936332</v>
      </c>
      <c r="DB188" s="19">
        <v>8.6175881004260422</v>
      </c>
      <c r="DC188" s="19">
        <v>8.7387676405775796</v>
      </c>
      <c r="DD188" s="19">
        <v>17.356355741003611</v>
      </c>
      <c r="DE188" s="19">
        <v>11.919176714594164</v>
      </c>
      <c r="DF188" s="23">
        <v>0</v>
      </c>
      <c r="DG188" s="23">
        <v>0</v>
      </c>
      <c r="DH188" s="23">
        <v>0</v>
      </c>
      <c r="DI188" s="19">
        <v>0</v>
      </c>
      <c r="DJ188" s="19">
        <v>0</v>
      </c>
      <c r="DK188" s="19">
        <v>0</v>
      </c>
      <c r="DL188" s="19">
        <v>0</v>
      </c>
      <c r="DM188" s="19">
        <v>0</v>
      </c>
      <c r="DN188" s="19">
        <v>0</v>
      </c>
      <c r="DO188" s="19">
        <v>0</v>
      </c>
      <c r="DP188" s="19">
        <v>0</v>
      </c>
      <c r="DQ188" s="19">
        <v>0</v>
      </c>
      <c r="DR188" s="19">
        <v>0</v>
      </c>
      <c r="DS188" s="19">
        <v>0</v>
      </c>
      <c r="DT188" s="19">
        <v>0</v>
      </c>
      <c r="DU188" s="19">
        <v>0</v>
      </c>
      <c r="DV188" s="19">
        <v>0</v>
      </c>
      <c r="DW188" s="17" t="s">
        <v>218</v>
      </c>
      <c r="DX188" s="22">
        <v>5</v>
      </c>
      <c r="DY188" s="22">
        <v>5</v>
      </c>
      <c r="DZ188" s="22">
        <v>5</v>
      </c>
      <c r="EA188" s="22" t="s">
        <v>218</v>
      </c>
      <c r="EB188" s="22" t="s">
        <v>218</v>
      </c>
      <c r="EC188" s="22" t="s">
        <v>218</v>
      </c>
      <c r="ED188" s="22" t="s">
        <v>218</v>
      </c>
      <c r="EE188" s="22" t="s">
        <v>218</v>
      </c>
      <c r="EF188" s="22" t="s">
        <v>218</v>
      </c>
      <c r="EG188" s="22" t="s">
        <v>218</v>
      </c>
      <c r="EH188" s="22" t="s">
        <v>218</v>
      </c>
      <c r="EI188" s="22" t="s">
        <v>218</v>
      </c>
      <c r="EJ188" s="22" t="s">
        <v>218</v>
      </c>
      <c r="EK188" s="22" t="s">
        <v>218</v>
      </c>
      <c r="EL188" s="22" t="s">
        <v>218</v>
      </c>
      <c r="EM188" s="22" t="s">
        <v>218</v>
      </c>
      <c r="EN188" s="22" t="s">
        <v>218</v>
      </c>
      <c r="EO188" s="22" t="s">
        <v>218</v>
      </c>
      <c r="EP188" s="22" t="s">
        <v>218</v>
      </c>
      <c r="EQ188" s="22" t="s">
        <v>218</v>
      </c>
      <c r="ER188" s="22" t="s">
        <v>218</v>
      </c>
      <c r="ES188" s="22">
        <v>5</v>
      </c>
      <c r="ET188" s="22">
        <v>5</v>
      </c>
      <c r="EU188" s="22">
        <v>5</v>
      </c>
      <c r="EV188" s="22">
        <v>5</v>
      </c>
      <c r="EW188" s="22">
        <v>5</v>
      </c>
      <c r="EX188" s="22">
        <v>5</v>
      </c>
      <c r="EY188" s="22" t="s">
        <v>218</v>
      </c>
      <c r="EZ188" s="22" t="s">
        <v>218</v>
      </c>
      <c r="FA188" s="22" t="s">
        <v>218</v>
      </c>
      <c r="FB188" s="22" t="s">
        <v>218</v>
      </c>
      <c r="FC188" s="22" t="s">
        <v>218</v>
      </c>
      <c r="FD188" s="22" t="s">
        <v>218</v>
      </c>
      <c r="FE188" s="22" t="s">
        <v>218</v>
      </c>
      <c r="FF188" s="22">
        <v>0.8</v>
      </c>
      <c r="FG188" s="22">
        <v>6.9</v>
      </c>
      <c r="FH188" s="22">
        <v>6.9</v>
      </c>
      <c r="FI188" s="22" t="s">
        <v>218</v>
      </c>
      <c r="FJ188" s="22" t="s">
        <v>218</v>
      </c>
      <c r="FK188" s="22" t="s">
        <v>218</v>
      </c>
      <c r="FL188" s="22" t="s">
        <v>218</v>
      </c>
      <c r="FM188" s="22" t="s">
        <v>218</v>
      </c>
      <c r="FN188" s="22" t="s">
        <v>218</v>
      </c>
      <c r="FO188" s="22" t="s">
        <v>218</v>
      </c>
      <c r="FP188" s="22" t="s">
        <v>218</v>
      </c>
      <c r="FQ188" s="22" t="s">
        <v>218</v>
      </c>
      <c r="FR188" s="22" t="s">
        <v>218</v>
      </c>
      <c r="FS188" s="22" t="s">
        <v>218</v>
      </c>
      <c r="FT188" s="22" t="s">
        <v>218</v>
      </c>
      <c r="FU188" s="22" t="s">
        <v>218</v>
      </c>
      <c r="FV188" s="22" t="s">
        <v>218</v>
      </c>
      <c r="FW188" s="22" t="s">
        <v>218</v>
      </c>
      <c r="FX188" s="22" t="s">
        <v>218</v>
      </c>
      <c r="FY188" s="22" t="s">
        <v>218</v>
      </c>
      <c r="FZ188" s="22" t="s">
        <v>218</v>
      </c>
      <c r="GA188" s="22">
        <v>1.2</v>
      </c>
      <c r="GB188" s="22">
        <v>0.7</v>
      </c>
      <c r="GC188" s="22">
        <v>0.4</v>
      </c>
      <c r="GD188" s="22" t="s">
        <v>218</v>
      </c>
      <c r="GE188" s="22">
        <v>0.6</v>
      </c>
      <c r="GF188" s="22">
        <v>0.05</v>
      </c>
      <c r="GG188" s="22" t="s">
        <v>218</v>
      </c>
      <c r="GH188" s="22" t="s">
        <v>218</v>
      </c>
      <c r="GI188" s="22" t="s">
        <v>218</v>
      </c>
      <c r="GJ188" s="22" t="s">
        <v>218</v>
      </c>
      <c r="GK188" s="22" t="s">
        <v>218</v>
      </c>
      <c r="GL188" s="22" t="s">
        <v>218</v>
      </c>
      <c r="GM188" s="22" t="s">
        <v>218</v>
      </c>
      <c r="GN188" s="22">
        <v>2013</v>
      </c>
      <c r="GO188" s="22">
        <v>2013</v>
      </c>
      <c r="GP188" s="22">
        <v>2013</v>
      </c>
      <c r="GQ188" s="22" t="s">
        <v>218</v>
      </c>
      <c r="GR188" s="22" t="s">
        <v>218</v>
      </c>
      <c r="GS188" s="22" t="s">
        <v>218</v>
      </c>
      <c r="GT188" s="22" t="s">
        <v>218</v>
      </c>
      <c r="GU188" s="22" t="s">
        <v>218</v>
      </c>
      <c r="GV188" s="22" t="s">
        <v>218</v>
      </c>
      <c r="GW188" s="22" t="s">
        <v>218</v>
      </c>
      <c r="GX188" s="22" t="s">
        <v>218</v>
      </c>
      <c r="GY188" s="22" t="s">
        <v>218</v>
      </c>
      <c r="GZ188" s="22" t="s">
        <v>218</v>
      </c>
      <c r="HA188" s="22" t="s">
        <v>218</v>
      </c>
      <c r="HB188" s="22" t="s">
        <v>218</v>
      </c>
      <c r="HC188" s="22" t="s">
        <v>218</v>
      </c>
      <c r="HD188" s="22" t="s">
        <v>218</v>
      </c>
      <c r="HE188" s="22" t="s">
        <v>218</v>
      </c>
      <c r="HF188" s="22" t="s">
        <v>218</v>
      </c>
      <c r="HG188" s="22" t="s">
        <v>218</v>
      </c>
      <c r="HH188" s="22" t="s">
        <v>218</v>
      </c>
      <c r="HI188" s="22">
        <v>2013</v>
      </c>
      <c r="HJ188" s="22">
        <v>2013</v>
      </c>
      <c r="HK188" s="22">
        <v>2013</v>
      </c>
      <c r="HL188" s="22" t="s">
        <v>218</v>
      </c>
      <c r="HM188" s="860"/>
      <c r="HN188" s="860"/>
      <c r="HO188" s="860"/>
      <c r="HP188" s="860"/>
      <c r="HQ188" s="860"/>
      <c r="HR188" s="860"/>
      <c r="HS188" s="860"/>
      <c r="HT188" s="145"/>
      <c r="HU188" s="145" t="s">
        <v>1809</v>
      </c>
      <c r="HV188" s="22" t="s">
        <v>1971</v>
      </c>
      <c r="HW188" s="22" t="s">
        <v>574</v>
      </c>
      <c r="HX188" s="22">
        <v>0</v>
      </c>
      <c r="HY188" s="22">
        <v>0</v>
      </c>
      <c r="HZ188" s="19"/>
      <c r="IA188" s="19"/>
      <c r="IB188" s="621">
        <f>'background data'!$G$10</f>
        <v>0.47300000000000003</v>
      </c>
      <c r="IC188" s="621">
        <f>'background data'!$H$10</f>
        <v>0.13</v>
      </c>
      <c r="ID188" s="621">
        <f>'background data'!$J$10</f>
        <v>0.39100000000000001</v>
      </c>
      <c r="IE188" s="621">
        <f>'background data'!$L$10</f>
        <v>5.5E-2</v>
      </c>
      <c r="IF188" s="621">
        <f>'background data'!$M$10</f>
        <v>3.97</v>
      </c>
      <c r="IG188" s="621">
        <f>'background data'!$N$10</f>
        <v>4.5999999999999999E-3</v>
      </c>
      <c r="IH188" s="621">
        <f>'background data'!$O$10</f>
        <v>2.73</v>
      </c>
      <c r="II188" s="145"/>
      <c r="IJ188" s="145"/>
      <c r="IK188" s="145"/>
      <c r="IL188" s="145"/>
      <c r="IM188" s="145"/>
      <c r="IN188" s="145"/>
      <c r="IO188" s="145"/>
      <c r="IP188" s="145"/>
      <c r="IQ188" s="145"/>
      <c r="IR188" s="145"/>
      <c r="IS188" s="145"/>
      <c r="IT188" s="145"/>
      <c r="IU188" s="145"/>
      <c r="IV188" s="145"/>
      <c r="IW188" s="145"/>
      <c r="IX188" s="145"/>
      <c r="IY188" s="145"/>
      <c r="IZ188" s="145"/>
      <c r="JA188" s="145"/>
      <c r="JB188" s="145"/>
      <c r="JC188" s="145"/>
      <c r="JD188" s="145"/>
      <c r="JE188" s="145"/>
      <c r="JF188" s="145"/>
      <c r="JG188" s="145"/>
      <c r="JH188" s="145"/>
      <c r="JI188" s="145"/>
      <c r="JJ188" s="145"/>
      <c r="JK188" s="145"/>
      <c r="JL188" s="145"/>
      <c r="JM188" s="145"/>
      <c r="JN188" s="145"/>
      <c r="JO188" s="145"/>
      <c r="JP188" s="145"/>
      <c r="JQ188" s="145"/>
      <c r="JR188" s="145"/>
      <c r="JS188" s="145"/>
      <c r="JT188" s="145"/>
      <c r="JU188" s="145"/>
      <c r="JV188" s="145"/>
      <c r="JW188" s="145"/>
      <c r="JX188" s="145"/>
      <c r="JY188" s="145"/>
      <c r="JZ188" s="145"/>
      <c r="KA188" s="145"/>
      <c r="KB188" s="145"/>
      <c r="KC188" s="145"/>
      <c r="KD188" s="145"/>
      <c r="KE188" s="145"/>
      <c r="KF188" s="145"/>
      <c r="KG188" s="145"/>
      <c r="KH188" s="145"/>
      <c r="KI188" s="145"/>
      <c r="KJ188" s="145"/>
      <c r="KK188" s="145"/>
      <c r="KL188" s="145"/>
      <c r="KM188" s="145"/>
      <c r="KN188" s="145"/>
      <c r="KO188" s="145"/>
      <c r="KP188" s="145"/>
      <c r="KQ188" s="145"/>
      <c r="KR188" s="145"/>
      <c r="KS188" s="145"/>
      <c r="KT188" s="145"/>
      <c r="KU188" s="145"/>
      <c r="KV188" s="145"/>
      <c r="KW188" s="145"/>
      <c r="KX188" s="145"/>
      <c r="KY188" s="145"/>
      <c r="KZ188" s="145"/>
      <c r="LA188" s="145"/>
      <c r="LB188" s="145"/>
      <c r="LC188" s="145"/>
      <c r="LD188" s="145"/>
      <c r="LE188" s="145"/>
      <c r="LF188" s="145"/>
      <c r="LG188" s="145"/>
      <c r="LH188" s="145"/>
      <c r="LI188" s="145"/>
      <c r="LJ188" s="145"/>
      <c r="LK188" s="145"/>
      <c r="LL188" s="145"/>
      <c r="LM188" s="145"/>
      <c r="LN188" s="145"/>
      <c r="LO188" s="145"/>
      <c r="LP188" s="145"/>
      <c r="LQ188" s="145"/>
      <c r="LR188" s="145"/>
      <c r="LS188" s="145"/>
      <c r="LT188" s="145"/>
      <c r="LU188" s="145"/>
      <c r="LV188" s="145"/>
      <c r="LW188" s="145"/>
      <c r="LX188" s="145"/>
      <c r="LY188" s="145"/>
      <c r="LZ188" s="145"/>
      <c r="MA188" s="145"/>
      <c r="MB188" s="145"/>
      <c r="MC188" s="145"/>
      <c r="MD188" s="145"/>
      <c r="ME188" s="145"/>
      <c r="MF188" s="145"/>
      <c r="MG188" s="145"/>
      <c r="MH188" s="145"/>
      <c r="MI188" s="145"/>
      <c r="MJ188" s="145"/>
      <c r="MK188" s="145"/>
      <c r="ML188" s="145"/>
      <c r="MM188" s="145"/>
      <c r="MN188" s="145"/>
      <c r="MO188" s="145"/>
      <c r="MP188" s="145"/>
      <c r="MQ188" s="145"/>
      <c r="MR188" s="145"/>
      <c r="MS188" s="145"/>
      <c r="MT188" s="145"/>
      <c r="MU188" s="145"/>
      <c r="MV188" s="145"/>
      <c r="MW188" s="145"/>
      <c r="MX188" s="145"/>
      <c r="MY188" s="145"/>
      <c r="MZ188" s="145"/>
      <c r="NA188" s="145"/>
      <c r="NB188" s="145"/>
      <c r="NC188" s="145"/>
      <c r="ND188" s="145"/>
      <c r="NE188" s="145"/>
      <c r="NF188" s="145"/>
      <c r="NG188" s="145"/>
      <c r="NH188" s="145"/>
      <c r="NI188" s="145"/>
      <c r="NJ188" s="145"/>
      <c r="NK188" s="145"/>
      <c r="NL188" s="145"/>
      <c r="NM188" s="145"/>
      <c r="NN188" s="145"/>
      <c r="NO188" s="145"/>
      <c r="NP188" s="145"/>
      <c r="NQ188" s="145"/>
      <c r="NR188" s="145"/>
      <c r="NS188" s="145"/>
    </row>
    <row r="189" spans="1:383" s="16" customFormat="1" ht="15" customHeight="1" x14ac:dyDescent="0.2">
      <c r="A189" s="15">
        <v>55800</v>
      </c>
      <c r="B189" s="25">
        <v>558</v>
      </c>
      <c r="C189" s="26">
        <v>0</v>
      </c>
      <c r="D189" s="20" t="s">
        <v>575</v>
      </c>
      <c r="E189" s="14">
        <v>40310</v>
      </c>
      <c r="F189" s="18" t="s">
        <v>217</v>
      </c>
      <c r="G189" s="18" t="s">
        <v>217</v>
      </c>
      <c r="H189" s="21" t="s">
        <v>217</v>
      </c>
      <c r="I189" s="21" t="s">
        <v>217</v>
      </c>
      <c r="J189" s="21">
        <v>90</v>
      </c>
      <c r="K189" s="18">
        <v>1</v>
      </c>
      <c r="L189" s="18">
        <v>88</v>
      </c>
      <c r="M189" s="18">
        <v>11.89999976</v>
      </c>
      <c r="N189" s="18">
        <v>12.90000008</v>
      </c>
      <c r="O189" s="18">
        <v>7.1000001599999996</v>
      </c>
      <c r="P189" s="18">
        <v>4.1000000800000098</v>
      </c>
      <c r="Q189" s="19"/>
      <c r="R189" s="18" t="s">
        <v>217</v>
      </c>
      <c r="S189" s="18" t="s">
        <v>217</v>
      </c>
      <c r="T189" s="18" t="s">
        <v>217</v>
      </c>
      <c r="U189" s="18" t="s">
        <v>217</v>
      </c>
      <c r="V189" s="18" t="s">
        <v>217</v>
      </c>
      <c r="W189" s="18" t="s">
        <v>217</v>
      </c>
      <c r="X189" s="18"/>
      <c r="Y189" s="18">
        <v>0.34090999999999888</v>
      </c>
      <c r="Z189" s="18">
        <v>1.25</v>
      </c>
      <c r="AA189" s="18">
        <v>0</v>
      </c>
      <c r="AB189" s="18">
        <v>0</v>
      </c>
      <c r="AC189" s="18">
        <v>1.0227299999999999</v>
      </c>
      <c r="AD189" s="18">
        <v>0</v>
      </c>
      <c r="AE189" s="18">
        <v>0</v>
      </c>
      <c r="AF189" s="18">
        <v>0</v>
      </c>
      <c r="AG189" s="18">
        <v>0</v>
      </c>
      <c r="AH189" s="18">
        <v>0</v>
      </c>
      <c r="AI189" s="18">
        <v>0</v>
      </c>
      <c r="AJ189" s="18">
        <v>0</v>
      </c>
      <c r="AK189" s="18">
        <v>0</v>
      </c>
      <c r="AL189" s="18"/>
      <c r="AM189" s="18">
        <v>3.63</v>
      </c>
      <c r="AN189" s="18">
        <v>2.67</v>
      </c>
      <c r="AO189" s="18">
        <v>2</v>
      </c>
      <c r="AP189" s="18">
        <v>3.19</v>
      </c>
      <c r="AQ189" s="18">
        <v>1.33</v>
      </c>
      <c r="AR189" s="18">
        <v>4</v>
      </c>
      <c r="AS189" s="18">
        <v>7.93</v>
      </c>
      <c r="AT189" s="18">
        <v>2.37</v>
      </c>
      <c r="AU189" s="18">
        <v>5.1100000000000003</v>
      </c>
      <c r="AV189" s="18">
        <v>4.8099999999999996</v>
      </c>
      <c r="AW189" s="18">
        <v>5.9300000000000104</v>
      </c>
      <c r="AX189" s="18"/>
      <c r="AY189" s="18">
        <v>1</v>
      </c>
      <c r="AZ189" s="18">
        <v>1</v>
      </c>
      <c r="BA189" s="18">
        <v>1</v>
      </c>
      <c r="BB189" s="18">
        <v>1</v>
      </c>
      <c r="BC189" s="18">
        <v>1</v>
      </c>
      <c r="BD189" s="18">
        <v>1</v>
      </c>
      <c r="BE189" s="18">
        <v>1</v>
      </c>
      <c r="BF189" s="18">
        <v>1</v>
      </c>
      <c r="BG189" s="18">
        <v>1</v>
      </c>
      <c r="BH189" s="18">
        <v>1</v>
      </c>
      <c r="BI189" s="18">
        <v>1</v>
      </c>
      <c r="BJ189" s="19"/>
      <c r="BK189" s="18">
        <v>13.522727</v>
      </c>
      <c r="BL189" s="18">
        <v>14.659091</v>
      </c>
      <c r="BM189" s="18">
        <v>8.0681820000000002</v>
      </c>
      <c r="BN189" s="18">
        <v>4.6590910000000108</v>
      </c>
      <c r="BO189" s="18"/>
      <c r="BP189" s="18">
        <v>92</v>
      </c>
      <c r="BQ189" s="18">
        <v>134.8636372</v>
      </c>
      <c r="BR189" s="18" t="s">
        <v>217</v>
      </c>
      <c r="BS189" s="18" t="s">
        <v>217</v>
      </c>
      <c r="BT189" s="19"/>
      <c r="BU189" s="18">
        <v>919.31817999999998</v>
      </c>
      <c r="BV189" s="18" t="s">
        <v>217</v>
      </c>
      <c r="BW189" s="18" t="s">
        <v>217</v>
      </c>
      <c r="BX189" s="18" t="s">
        <v>217</v>
      </c>
      <c r="BY189" s="18" t="s">
        <v>217</v>
      </c>
      <c r="BZ189" s="18" t="s">
        <v>217</v>
      </c>
      <c r="CA189" s="18" t="s">
        <v>217</v>
      </c>
      <c r="CB189" s="19"/>
      <c r="CC189" s="19">
        <v>0.30000079999999901</v>
      </c>
      <c r="CD189" s="19">
        <v>1.1000000000000001</v>
      </c>
      <c r="CE189" s="19">
        <v>0</v>
      </c>
      <c r="CF189" s="19">
        <v>0</v>
      </c>
      <c r="CG189" s="19">
        <v>0.90000239999999998</v>
      </c>
      <c r="CH189" s="19">
        <v>0</v>
      </c>
      <c r="CI189" s="19">
        <v>0</v>
      </c>
      <c r="CJ189" s="19"/>
      <c r="CK189" s="19">
        <v>0</v>
      </c>
      <c r="CL189" s="19">
        <v>0</v>
      </c>
      <c r="CM189" s="19">
        <v>0</v>
      </c>
      <c r="CN189" s="19">
        <v>0</v>
      </c>
      <c r="CO189" s="19">
        <v>0</v>
      </c>
      <c r="CP189" s="19">
        <v>0</v>
      </c>
      <c r="CQ189" s="19">
        <v>0</v>
      </c>
      <c r="CR189" s="19" t="s">
        <v>217</v>
      </c>
      <c r="CS189" s="19" t="s">
        <v>217</v>
      </c>
      <c r="CT189" s="19" t="s">
        <v>217</v>
      </c>
      <c r="CU189" s="19" t="s">
        <v>217</v>
      </c>
      <c r="CV189" s="19" t="s">
        <v>217</v>
      </c>
      <c r="CW189" s="19" t="s">
        <v>217</v>
      </c>
      <c r="CX189" s="19" t="s">
        <v>217</v>
      </c>
      <c r="CY189" s="19" t="s">
        <v>217</v>
      </c>
      <c r="CZ189" s="19" t="s">
        <v>217</v>
      </c>
      <c r="DA189" s="19" t="s">
        <v>217</v>
      </c>
      <c r="DB189" s="19" t="s">
        <v>217</v>
      </c>
      <c r="DC189" s="19" t="s">
        <v>217</v>
      </c>
      <c r="DD189" s="19" t="s">
        <v>217</v>
      </c>
      <c r="DE189" s="19" t="s">
        <v>217</v>
      </c>
      <c r="DF189" s="23">
        <v>0</v>
      </c>
      <c r="DG189" s="23">
        <v>0</v>
      </c>
      <c r="DH189" s="23">
        <v>0</v>
      </c>
      <c r="DI189" s="19">
        <v>0</v>
      </c>
      <c r="DJ189" s="19">
        <v>0</v>
      </c>
      <c r="DK189" s="19">
        <v>0</v>
      </c>
      <c r="DL189" s="19">
        <v>0</v>
      </c>
      <c r="DM189" s="19">
        <v>0</v>
      </c>
      <c r="DN189" s="19">
        <v>0</v>
      </c>
      <c r="DO189" s="19">
        <v>0</v>
      </c>
      <c r="DP189" s="19">
        <v>0</v>
      </c>
      <c r="DQ189" s="19">
        <v>0</v>
      </c>
      <c r="DR189" s="19">
        <v>0</v>
      </c>
      <c r="DS189" s="19">
        <v>0</v>
      </c>
      <c r="DT189" s="19">
        <v>0</v>
      </c>
      <c r="DU189" s="19">
        <v>0</v>
      </c>
      <c r="DV189" s="19">
        <v>0</v>
      </c>
      <c r="DW189" s="17" t="s">
        <v>576</v>
      </c>
      <c r="DX189" s="22" t="s">
        <v>218</v>
      </c>
      <c r="DY189" s="22" t="s">
        <v>218</v>
      </c>
      <c r="DZ189" s="22" t="s">
        <v>218</v>
      </c>
      <c r="EA189" s="22" t="s">
        <v>218</v>
      </c>
      <c r="EB189" s="22" t="s">
        <v>218</v>
      </c>
      <c r="EC189" s="22" t="s">
        <v>218</v>
      </c>
      <c r="ED189" s="22" t="s">
        <v>218</v>
      </c>
      <c r="EE189" s="22" t="s">
        <v>218</v>
      </c>
      <c r="EF189" s="22" t="s">
        <v>218</v>
      </c>
      <c r="EG189" s="22" t="s">
        <v>218</v>
      </c>
      <c r="EH189" s="22" t="s">
        <v>218</v>
      </c>
      <c r="EI189" s="22" t="s">
        <v>218</v>
      </c>
      <c r="EJ189" s="22" t="s">
        <v>218</v>
      </c>
      <c r="EK189" s="22" t="s">
        <v>218</v>
      </c>
      <c r="EL189" s="22" t="s">
        <v>218</v>
      </c>
      <c r="EM189" s="22" t="s">
        <v>218</v>
      </c>
      <c r="EN189" s="22" t="s">
        <v>218</v>
      </c>
      <c r="EO189" s="22" t="s">
        <v>218</v>
      </c>
      <c r="EP189" s="22" t="s">
        <v>218</v>
      </c>
      <c r="EQ189" s="22" t="s">
        <v>218</v>
      </c>
      <c r="ER189" s="22" t="s">
        <v>218</v>
      </c>
      <c r="ES189" s="22" t="s">
        <v>218</v>
      </c>
      <c r="ET189" s="22" t="s">
        <v>218</v>
      </c>
      <c r="EU189" s="22" t="s">
        <v>218</v>
      </c>
      <c r="EV189" s="22" t="s">
        <v>218</v>
      </c>
      <c r="EW189" s="22" t="s">
        <v>218</v>
      </c>
      <c r="EX189" s="22" t="s">
        <v>218</v>
      </c>
      <c r="EY189" s="22" t="s">
        <v>218</v>
      </c>
      <c r="EZ189" s="22" t="s">
        <v>218</v>
      </c>
      <c r="FA189" s="22" t="s">
        <v>218</v>
      </c>
      <c r="FB189" s="22" t="s">
        <v>218</v>
      </c>
      <c r="FC189" s="22" t="s">
        <v>218</v>
      </c>
      <c r="FD189" s="22" t="s">
        <v>218</v>
      </c>
      <c r="FE189" s="22" t="s">
        <v>218</v>
      </c>
      <c r="FF189" s="22" t="s">
        <v>218</v>
      </c>
      <c r="FG189" s="22" t="s">
        <v>218</v>
      </c>
      <c r="FH189" s="22" t="s">
        <v>218</v>
      </c>
      <c r="FI189" s="22" t="s">
        <v>218</v>
      </c>
      <c r="FJ189" s="22" t="s">
        <v>218</v>
      </c>
      <c r="FK189" s="22" t="s">
        <v>218</v>
      </c>
      <c r="FL189" s="22" t="s">
        <v>218</v>
      </c>
      <c r="FM189" s="22" t="s">
        <v>218</v>
      </c>
      <c r="FN189" s="22" t="s">
        <v>218</v>
      </c>
      <c r="FO189" s="22" t="s">
        <v>218</v>
      </c>
      <c r="FP189" s="22" t="s">
        <v>218</v>
      </c>
      <c r="FQ189" s="22" t="s">
        <v>218</v>
      </c>
      <c r="FR189" s="22" t="s">
        <v>218</v>
      </c>
      <c r="FS189" s="22" t="s">
        <v>218</v>
      </c>
      <c r="FT189" s="22" t="s">
        <v>218</v>
      </c>
      <c r="FU189" s="22" t="s">
        <v>218</v>
      </c>
      <c r="FV189" s="22" t="s">
        <v>218</v>
      </c>
      <c r="FW189" s="22" t="s">
        <v>218</v>
      </c>
      <c r="FX189" s="22" t="s">
        <v>218</v>
      </c>
      <c r="FY189" s="22" t="s">
        <v>218</v>
      </c>
      <c r="FZ189" s="22" t="s">
        <v>218</v>
      </c>
      <c r="GA189" s="22" t="s">
        <v>218</v>
      </c>
      <c r="GB189" s="22" t="s">
        <v>218</v>
      </c>
      <c r="GC189" s="22" t="s">
        <v>218</v>
      </c>
      <c r="GD189" s="22" t="s">
        <v>218</v>
      </c>
      <c r="GE189" s="22" t="s">
        <v>218</v>
      </c>
      <c r="GF189" s="22" t="s">
        <v>218</v>
      </c>
      <c r="GG189" s="22" t="s">
        <v>218</v>
      </c>
      <c r="GH189" s="22" t="s">
        <v>218</v>
      </c>
      <c r="GI189" s="22" t="s">
        <v>218</v>
      </c>
      <c r="GJ189" s="22" t="s">
        <v>218</v>
      </c>
      <c r="GK189" s="22" t="s">
        <v>218</v>
      </c>
      <c r="GL189" s="22" t="s">
        <v>218</v>
      </c>
      <c r="GM189" s="22" t="s">
        <v>218</v>
      </c>
      <c r="GN189" s="22" t="s">
        <v>218</v>
      </c>
      <c r="GO189" s="22" t="s">
        <v>218</v>
      </c>
      <c r="GP189" s="22" t="s">
        <v>218</v>
      </c>
      <c r="GQ189" s="22" t="s">
        <v>218</v>
      </c>
      <c r="GR189" s="22" t="s">
        <v>218</v>
      </c>
      <c r="GS189" s="22" t="s">
        <v>218</v>
      </c>
      <c r="GT189" s="22" t="s">
        <v>218</v>
      </c>
      <c r="GU189" s="22" t="s">
        <v>218</v>
      </c>
      <c r="GV189" s="22" t="s">
        <v>218</v>
      </c>
      <c r="GW189" s="22" t="s">
        <v>218</v>
      </c>
      <c r="GX189" s="22" t="s">
        <v>218</v>
      </c>
      <c r="GY189" s="22" t="s">
        <v>218</v>
      </c>
      <c r="GZ189" s="22" t="s">
        <v>218</v>
      </c>
      <c r="HA189" s="22" t="s">
        <v>218</v>
      </c>
      <c r="HB189" s="22" t="s">
        <v>218</v>
      </c>
      <c r="HC189" s="22" t="s">
        <v>218</v>
      </c>
      <c r="HD189" s="22" t="s">
        <v>218</v>
      </c>
      <c r="HE189" s="22" t="s">
        <v>218</v>
      </c>
      <c r="HF189" s="22" t="s">
        <v>218</v>
      </c>
      <c r="HG189" s="22" t="s">
        <v>218</v>
      </c>
      <c r="HH189" s="22" t="s">
        <v>218</v>
      </c>
      <c r="HI189" s="22" t="s">
        <v>218</v>
      </c>
      <c r="HJ189" s="22" t="s">
        <v>218</v>
      </c>
      <c r="HK189" s="22" t="s">
        <v>218</v>
      </c>
      <c r="HL189" s="22" t="s">
        <v>218</v>
      </c>
      <c r="HM189" s="622">
        <f>'background data'!$G$10</f>
        <v>0.47300000000000003</v>
      </c>
      <c r="HN189" s="622">
        <f>'background data'!$H$10</f>
        <v>0.13</v>
      </c>
      <c r="HO189" s="622">
        <f>'background data'!$J$10</f>
        <v>0.39100000000000001</v>
      </c>
      <c r="HP189" s="622">
        <f>'background data'!$L$10</f>
        <v>5.5E-2</v>
      </c>
      <c r="HQ189" s="622">
        <f>'background data'!$M$10</f>
        <v>3.97</v>
      </c>
      <c r="HR189" s="622">
        <f>'background data'!$N$10</f>
        <v>4.5999999999999999E-3</v>
      </c>
      <c r="HS189" s="622">
        <f>'background data'!$O$10</f>
        <v>2.73</v>
      </c>
      <c r="HT189" s="145" t="s">
        <v>1797</v>
      </c>
      <c r="HU189" s="145" t="s">
        <v>1809</v>
      </c>
      <c r="HV189" s="22" t="s">
        <v>1972</v>
      </c>
      <c r="HW189" s="22" t="s">
        <v>577</v>
      </c>
      <c r="HX189" s="22" t="s">
        <v>578</v>
      </c>
      <c r="HY189" s="22" t="s">
        <v>579</v>
      </c>
      <c r="HZ189" s="19"/>
      <c r="IA189" s="19"/>
      <c r="IB189" s="622">
        <f>'background data'!$G$10</f>
        <v>0.47300000000000003</v>
      </c>
      <c r="IC189" s="622">
        <f>'background data'!$H$10</f>
        <v>0.13</v>
      </c>
      <c r="ID189" s="622">
        <f>'background data'!$J$10</f>
        <v>0.39100000000000001</v>
      </c>
      <c r="IE189" s="622">
        <f>'background data'!$L$10</f>
        <v>5.5E-2</v>
      </c>
      <c r="IF189" s="622">
        <f>'background data'!$M$10</f>
        <v>3.97</v>
      </c>
      <c r="IG189" s="622">
        <f>'background data'!$N$10</f>
        <v>4.5999999999999999E-3</v>
      </c>
      <c r="IH189" s="622">
        <f>'background data'!$O$10</f>
        <v>2.73</v>
      </c>
      <c r="II189" s="145" t="s">
        <v>1797</v>
      </c>
      <c r="IJ189" s="145"/>
      <c r="IK189" s="145"/>
      <c r="IL189" s="145"/>
      <c r="IM189" s="145"/>
      <c r="IN189" s="145"/>
      <c r="IO189" s="145"/>
      <c r="IP189" s="145"/>
      <c r="IQ189" s="145"/>
      <c r="IR189" s="145"/>
      <c r="IS189" s="145"/>
      <c r="IT189" s="145"/>
      <c r="IU189" s="145"/>
      <c r="IV189" s="145"/>
      <c r="IW189" s="145"/>
      <c r="IX189" s="145"/>
      <c r="IY189" s="145"/>
      <c r="IZ189" s="145"/>
      <c r="JA189" s="145"/>
      <c r="JB189" s="145"/>
      <c r="JC189" s="145"/>
      <c r="JD189" s="145"/>
      <c r="JE189" s="145"/>
      <c r="JF189" s="145"/>
      <c r="JG189" s="145"/>
      <c r="JH189" s="145"/>
      <c r="JI189" s="145"/>
      <c r="JJ189" s="145"/>
      <c r="JK189" s="145"/>
      <c r="JL189" s="145"/>
      <c r="JM189" s="145"/>
      <c r="JN189" s="145"/>
      <c r="JO189" s="145"/>
      <c r="JP189" s="145"/>
      <c r="JQ189" s="145"/>
      <c r="JR189" s="145"/>
      <c r="JS189" s="145"/>
      <c r="JT189" s="145"/>
      <c r="JU189" s="145"/>
      <c r="JV189" s="145"/>
      <c r="JW189" s="145"/>
      <c r="JX189" s="145"/>
      <c r="JY189" s="145"/>
      <c r="JZ189" s="145"/>
      <c r="KA189" s="145"/>
      <c r="KB189" s="145"/>
      <c r="KC189" s="145"/>
      <c r="KD189" s="145"/>
      <c r="KE189" s="145"/>
      <c r="KF189" s="145"/>
      <c r="KG189" s="145"/>
      <c r="KH189" s="145"/>
      <c r="KI189" s="145"/>
      <c r="KJ189" s="145"/>
      <c r="KK189" s="145"/>
      <c r="KL189" s="145"/>
      <c r="KM189" s="145"/>
      <c r="KN189" s="145"/>
      <c r="KO189" s="145"/>
      <c r="KP189" s="145"/>
      <c r="KQ189" s="145"/>
      <c r="KR189" s="145"/>
      <c r="KS189" s="145"/>
      <c r="KT189" s="145"/>
      <c r="KU189" s="145"/>
      <c r="KV189" s="145"/>
      <c r="KW189" s="145"/>
      <c r="KX189" s="145"/>
      <c r="KY189" s="145"/>
      <c r="KZ189" s="145"/>
      <c r="LA189" s="145"/>
      <c r="LB189" s="145"/>
      <c r="LC189" s="145"/>
      <c r="LD189" s="145"/>
      <c r="LE189" s="145"/>
      <c r="LF189" s="145"/>
      <c r="LG189" s="145"/>
      <c r="LH189" s="145"/>
      <c r="LI189" s="145"/>
      <c r="LJ189" s="145"/>
      <c r="LK189" s="145"/>
      <c r="LL189" s="145"/>
      <c r="LM189" s="145"/>
      <c r="LN189" s="145"/>
      <c r="LO189" s="145"/>
      <c r="LP189" s="145"/>
      <c r="LQ189" s="145"/>
      <c r="LR189" s="145"/>
      <c r="LS189" s="145"/>
      <c r="LT189" s="145"/>
      <c r="LU189" s="145"/>
      <c r="LV189" s="145"/>
      <c r="LW189" s="145"/>
      <c r="LX189" s="145"/>
      <c r="LY189" s="145"/>
      <c r="LZ189" s="145"/>
      <c r="MA189" s="145"/>
      <c r="MB189" s="145"/>
      <c r="MC189" s="145"/>
      <c r="MD189" s="145"/>
      <c r="ME189" s="145"/>
      <c r="MF189" s="145"/>
      <c r="MG189" s="145"/>
      <c r="MH189" s="145"/>
      <c r="MI189" s="145"/>
      <c r="MJ189" s="145"/>
      <c r="MK189" s="145"/>
      <c r="ML189" s="145"/>
      <c r="MM189" s="145"/>
      <c r="MN189" s="145"/>
      <c r="MO189" s="145"/>
      <c r="MP189" s="145"/>
      <c r="MQ189" s="145"/>
      <c r="MR189" s="145"/>
      <c r="MS189" s="145"/>
      <c r="MT189" s="145"/>
      <c r="MU189" s="145"/>
      <c r="MV189" s="145"/>
      <c r="MW189" s="145"/>
      <c r="MX189" s="145"/>
      <c r="MY189" s="145"/>
      <c r="MZ189" s="145"/>
      <c r="NA189" s="145"/>
      <c r="NB189" s="145"/>
      <c r="NC189" s="145"/>
      <c r="ND189" s="145"/>
      <c r="NE189" s="145"/>
      <c r="NF189" s="145"/>
      <c r="NG189" s="145"/>
      <c r="NH189" s="145"/>
      <c r="NI189" s="145"/>
      <c r="NJ189" s="145"/>
      <c r="NK189" s="145"/>
      <c r="NL189" s="145"/>
      <c r="NM189" s="145"/>
      <c r="NN189" s="145"/>
      <c r="NO189" s="145"/>
      <c r="NP189" s="145"/>
      <c r="NQ189" s="145"/>
      <c r="NR189" s="145"/>
      <c r="NS189" s="145"/>
    </row>
    <row r="190" spans="1:383" s="16" customFormat="1" ht="15" customHeight="1" x14ac:dyDescent="0.2">
      <c r="A190" s="15">
        <v>52000</v>
      </c>
      <c r="B190" s="25">
        <v>520</v>
      </c>
      <c r="C190" s="26">
        <v>0</v>
      </c>
      <c r="D190" s="20" t="s">
        <v>580</v>
      </c>
      <c r="E190" s="14">
        <v>42683</v>
      </c>
      <c r="F190" s="18">
        <v>1.09173033294618</v>
      </c>
      <c r="G190" s="18">
        <v>1.08569860111317</v>
      </c>
      <c r="H190" s="21">
        <v>89.6</v>
      </c>
      <c r="I190" s="21">
        <v>82.8</v>
      </c>
      <c r="J190" s="21">
        <v>90</v>
      </c>
      <c r="K190" s="18">
        <v>1</v>
      </c>
      <c r="L190" s="18">
        <v>85</v>
      </c>
      <c r="M190" s="18">
        <v>7.4</v>
      </c>
      <c r="N190" s="18">
        <v>1.7</v>
      </c>
      <c r="O190" s="18">
        <v>1.5</v>
      </c>
      <c r="P190" s="18">
        <v>2.2999999999999998</v>
      </c>
      <c r="Q190" s="19"/>
      <c r="R190" s="18">
        <v>77</v>
      </c>
      <c r="S190" s="18">
        <v>50</v>
      </c>
      <c r="T190" s="18">
        <v>53</v>
      </c>
      <c r="U190" s="18">
        <v>54</v>
      </c>
      <c r="V190" s="18">
        <v>55</v>
      </c>
      <c r="W190" s="18">
        <v>56</v>
      </c>
      <c r="X190" s="18"/>
      <c r="Y190" s="18">
        <v>0.47058823529411764</v>
      </c>
      <c r="Z190" s="18">
        <v>3.0588235294117645</v>
      </c>
      <c r="AA190" s="18">
        <v>0.1</v>
      </c>
      <c r="AB190" s="18">
        <v>0</v>
      </c>
      <c r="AC190" s="18">
        <v>5.6</v>
      </c>
      <c r="AD190" s="18">
        <v>1.1000000000000001</v>
      </c>
      <c r="AE190" s="18">
        <v>1.3</v>
      </c>
      <c r="AF190" s="18">
        <v>34</v>
      </c>
      <c r="AG190" s="18">
        <v>3.5</v>
      </c>
      <c r="AH190" s="18">
        <v>28</v>
      </c>
      <c r="AI190" s="18">
        <v>34</v>
      </c>
      <c r="AJ190" s="18">
        <v>0</v>
      </c>
      <c r="AK190" s="18">
        <v>0.03</v>
      </c>
      <c r="AL190" s="18"/>
      <c r="AM190" s="18">
        <v>3.7</v>
      </c>
      <c r="AN190" s="18">
        <v>1.7</v>
      </c>
      <c r="AO190" s="18">
        <v>2.35</v>
      </c>
      <c r="AP190" s="18">
        <v>3.29</v>
      </c>
      <c r="AQ190" s="18">
        <v>1.07</v>
      </c>
      <c r="AR190" s="18">
        <v>3.48</v>
      </c>
      <c r="AS190" s="18">
        <v>6.28</v>
      </c>
      <c r="AT190" s="18">
        <v>2.2799999999999998</v>
      </c>
      <c r="AU190" s="18">
        <v>4.49</v>
      </c>
      <c r="AV190" s="18">
        <v>2.7</v>
      </c>
      <c r="AW190" s="18">
        <v>4.67</v>
      </c>
      <c r="AX190" s="18"/>
      <c r="AY190" s="18">
        <v>0.97</v>
      </c>
      <c r="AZ190" s="18">
        <v>1.04</v>
      </c>
      <c r="BA190" s="18">
        <v>1.01</v>
      </c>
      <c r="BB190" s="18">
        <v>0.88</v>
      </c>
      <c r="BC190" s="18">
        <v>0.99</v>
      </c>
      <c r="BD190" s="18">
        <v>1</v>
      </c>
      <c r="BE190" s="18">
        <v>1.03</v>
      </c>
      <c r="BF190" s="18">
        <v>1.03</v>
      </c>
      <c r="BG190" s="18">
        <v>1.06</v>
      </c>
      <c r="BH190" s="18">
        <v>1</v>
      </c>
      <c r="BI190" s="18">
        <v>0.99</v>
      </c>
      <c r="BJ190" s="19"/>
      <c r="BK190" s="18">
        <v>8.7058823529411757</v>
      </c>
      <c r="BL190" s="18">
        <v>2</v>
      </c>
      <c r="BM190" s="18">
        <v>1.7647058823529411</v>
      </c>
      <c r="BN190" s="18">
        <v>2.7058823529411762</v>
      </c>
      <c r="BO190" s="18"/>
      <c r="BP190" s="18">
        <v>105</v>
      </c>
      <c r="BQ190" s="18">
        <v>21.000000000000004</v>
      </c>
      <c r="BR190" s="18">
        <v>1.284388626995506</v>
      </c>
      <c r="BS190" s="18">
        <v>1.2772924718978471</v>
      </c>
      <c r="BT190" s="19"/>
      <c r="BU190" s="18">
        <v>982.35294117647061</v>
      </c>
      <c r="BV190" s="18">
        <v>686.13613445378223</v>
      </c>
      <c r="BW190" s="18">
        <v>95.428571428571402</v>
      </c>
      <c r="BX190" s="18">
        <v>612.99999999999989</v>
      </c>
      <c r="BY190" s="18">
        <v>32</v>
      </c>
      <c r="BZ190" s="18">
        <v>39</v>
      </c>
      <c r="CA190" s="18">
        <v>129</v>
      </c>
      <c r="CB190" s="19"/>
      <c r="CC190" s="19">
        <v>0.39999999999999997</v>
      </c>
      <c r="CD190" s="19">
        <v>2.5999999999999996</v>
      </c>
      <c r="CE190" s="19">
        <v>8.5000000000000006E-2</v>
      </c>
      <c r="CF190" s="19">
        <v>0</v>
      </c>
      <c r="CG190" s="19">
        <v>4.76</v>
      </c>
      <c r="CH190" s="19">
        <v>0.93500000000000005</v>
      </c>
      <c r="CI190" s="19">
        <v>1.105</v>
      </c>
      <c r="CJ190" s="19"/>
      <c r="CK190" s="19">
        <v>28.9</v>
      </c>
      <c r="CL190" s="19">
        <v>2.9750000000000001</v>
      </c>
      <c r="CM190" s="19">
        <v>23.8</v>
      </c>
      <c r="CN190" s="19">
        <v>28.9</v>
      </c>
      <c r="CO190" s="19">
        <v>0</v>
      </c>
      <c r="CP190" s="19">
        <v>2.5499999999999998E-2</v>
      </c>
      <c r="CQ190" s="19">
        <v>56.98</v>
      </c>
      <c r="CR190" s="19">
        <v>52.192375974597923</v>
      </c>
      <c r="CS190" s="19">
        <v>1.8731843737283194</v>
      </c>
      <c r="CT190" s="19">
        <v>0.92276120723089128</v>
      </c>
      <c r="CU190" s="19">
        <v>1.2387860437570817</v>
      </c>
      <c r="CV190" s="19">
        <v>2.1615472509879732</v>
      </c>
      <c r="CW190" s="19">
        <v>1.5110736692165592</v>
      </c>
      <c r="CX190" s="19">
        <v>0.55287383869891582</v>
      </c>
      <c r="CY190" s="19">
        <v>1.8162946839160077</v>
      </c>
      <c r="CZ190" s="19">
        <v>3.3760116475408921</v>
      </c>
      <c r="DA190" s="19">
        <v>1.2256857573874576</v>
      </c>
      <c r="DB190" s="19">
        <v>2.4840439421350138</v>
      </c>
      <c r="DC190" s="19">
        <v>1.4091941513141439</v>
      </c>
      <c r="DD190" s="19">
        <v>3.8932380934491575</v>
      </c>
      <c r="DE190" s="19">
        <v>2.4130101184335859</v>
      </c>
      <c r="DF190" s="23">
        <v>0</v>
      </c>
      <c r="DG190" s="23">
        <v>0</v>
      </c>
      <c r="DH190" s="23">
        <v>0</v>
      </c>
      <c r="DI190" s="19">
        <v>0</v>
      </c>
      <c r="DJ190" s="19">
        <v>0</v>
      </c>
      <c r="DK190" s="19">
        <v>0</v>
      </c>
      <c r="DL190" s="19">
        <v>0</v>
      </c>
      <c r="DM190" s="19">
        <v>0</v>
      </c>
      <c r="DN190" s="19">
        <v>0</v>
      </c>
      <c r="DO190" s="19">
        <v>0</v>
      </c>
      <c r="DP190" s="19">
        <v>0</v>
      </c>
      <c r="DQ190" s="19">
        <v>0</v>
      </c>
      <c r="DR190" s="19">
        <v>0</v>
      </c>
      <c r="DS190" s="19">
        <v>0</v>
      </c>
      <c r="DT190" s="19">
        <v>0</v>
      </c>
      <c r="DU190" s="19">
        <v>0</v>
      </c>
      <c r="DV190" s="19">
        <v>0</v>
      </c>
      <c r="DW190" s="17" t="s">
        <v>581</v>
      </c>
      <c r="DX190" s="22" t="s">
        <v>218</v>
      </c>
      <c r="DY190" s="22">
        <v>48</v>
      </c>
      <c r="DZ190" s="22">
        <v>24</v>
      </c>
      <c r="EA190" s="22">
        <v>24</v>
      </c>
      <c r="EB190" s="22" t="s">
        <v>218</v>
      </c>
      <c r="EC190" s="22">
        <v>24</v>
      </c>
      <c r="ED190" s="22">
        <v>24</v>
      </c>
      <c r="EE190" s="22" t="s">
        <v>218</v>
      </c>
      <c r="EF190" s="22">
        <v>24</v>
      </c>
      <c r="EG190" s="22">
        <v>24</v>
      </c>
      <c r="EH190" s="22" t="s">
        <v>218</v>
      </c>
      <c r="EI190" s="22" t="s">
        <v>218</v>
      </c>
      <c r="EJ190" s="22" t="s">
        <v>218</v>
      </c>
      <c r="EK190" s="22" t="s">
        <v>218</v>
      </c>
      <c r="EL190" s="22" t="s">
        <v>218</v>
      </c>
      <c r="EM190" s="22" t="s">
        <v>218</v>
      </c>
      <c r="EN190" s="22" t="s">
        <v>218</v>
      </c>
      <c r="EO190" s="22" t="s">
        <v>218</v>
      </c>
      <c r="EP190" s="22" t="s">
        <v>218</v>
      </c>
      <c r="EQ190" s="22" t="s">
        <v>218</v>
      </c>
      <c r="ER190" s="22" t="s">
        <v>218</v>
      </c>
      <c r="ES190" s="22">
        <v>24</v>
      </c>
      <c r="ET190" s="22">
        <v>48</v>
      </c>
      <c r="EU190" s="22" t="s">
        <v>218</v>
      </c>
      <c r="EV190" s="22" t="s">
        <v>218</v>
      </c>
      <c r="EW190" s="22" t="s">
        <v>218</v>
      </c>
      <c r="EX190" s="22" t="s">
        <v>218</v>
      </c>
      <c r="EY190" s="22" t="s">
        <v>218</v>
      </c>
      <c r="EZ190" s="22" t="s">
        <v>218</v>
      </c>
      <c r="FA190" s="22" t="s">
        <v>218</v>
      </c>
      <c r="FB190" s="22" t="s">
        <v>218</v>
      </c>
      <c r="FC190" s="22" t="s">
        <v>218</v>
      </c>
      <c r="FD190" s="22" t="s">
        <v>218</v>
      </c>
      <c r="FE190" s="22" t="s">
        <v>218</v>
      </c>
      <c r="FF190" s="22" t="s">
        <v>218</v>
      </c>
      <c r="FG190" s="22">
        <v>0.74</v>
      </c>
      <c r="FH190" s="22">
        <v>0.36</v>
      </c>
      <c r="FI190" s="22">
        <v>0.12</v>
      </c>
      <c r="FJ190" s="22" t="s">
        <v>218</v>
      </c>
      <c r="FK190" s="22">
        <v>1.29</v>
      </c>
      <c r="FL190" s="22">
        <v>1.43</v>
      </c>
      <c r="FM190" s="22" t="s">
        <v>218</v>
      </c>
      <c r="FN190" s="22">
        <v>2.33</v>
      </c>
      <c r="FO190" s="22">
        <v>1.89</v>
      </c>
      <c r="FP190" s="22" t="s">
        <v>218</v>
      </c>
      <c r="FQ190" s="22" t="s">
        <v>218</v>
      </c>
      <c r="FR190" s="22" t="s">
        <v>218</v>
      </c>
      <c r="FS190" s="22" t="s">
        <v>218</v>
      </c>
      <c r="FT190" s="22" t="s">
        <v>218</v>
      </c>
      <c r="FU190" s="22" t="s">
        <v>218</v>
      </c>
      <c r="FV190" s="22" t="s">
        <v>218</v>
      </c>
      <c r="FW190" s="22" t="s">
        <v>218</v>
      </c>
      <c r="FX190" s="22" t="s">
        <v>218</v>
      </c>
      <c r="FY190" s="22" t="s">
        <v>218</v>
      </c>
      <c r="FZ190" s="22" t="s">
        <v>218</v>
      </c>
      <c r="GA190" s="22">
        <v>0.1</v>
      </c>
      <c r="GB190" s="22">
        <v>0.31</v>
      </c>
      <c r="GC190" s="22" t="s">
        <v>218</v>
      </c>
      <c r="GD190" s="22" t="s">
        <v>218</v>
      </c>
      <c r="GE190" s="22" t="s">
        <v>218</v>
      </c>
      <c r="GF190" s="22" t="s">
        <v>218</v>
      </c>
      <c r="GG190" s="22" t="s">
        <v>218</v>
      </c>
      <c r="GH190" s="22" t="s">
        <v>218</v>
      </c>
      <c r="GI190" s="22" t="s">
        <v>218</v>
      </c>
      <c r="GJ190" s="22" t="s">
        <v>218</v>
      </c>
      <c r="GK190" s="22" t="s">
        <v>218</v>
      </c>
      <c r="GL190" s="22" t="s">
        <v>218</v>
      </c>
      <c r="GM190" s="22" t="s">
        <v>218</v>
      </c>
      <c r="GN190" s="22" t="s">
        <v>218</v>
      </c>
      <c r="GO190" s="22" t="s">
        <v>238</v>
      </c>
      <c r="GP190" s="22" t="s">
        <v>238</v>
      </c>
      <c r="GQ190" s="22" t="s">
        <v>238</v>
      </c>
      <c r="GR190" s="22" t="s">
        <v>218</v>
      </c>
      <c r="GS190" s="22" t="s">
        <v>238</v>
      </c>
      <c r="GT190" s="22" t="s">
        <v>238</v>
      </c>
      <c r="GU190" s="22" t="s">
        <v>218</v>
      </c>
      <c r="GV190" s="22" t="s">
        <v>238</v>
      </c>
      <c r="GW190" s="22" t="s">
        <v>238</v>
      </c>
      <c r="GX190" s="22" t="s">
        <v>218</v>
      </c>
      <c r="GY190" s="22" t="s">
        <v>218</v>
      </c>
      <c r="GZ190" s="22" t="s">
        <v>218</v>
      </c>
      <c r="HA190" s="22" t="s">
        <v>218</v>
      </c>
      <c r="HB190" s="22" t="s">
        <v>218</v>
      </c>
      <c r="HC190" s="22" t="s">
        <v>218</v>
      </c>
      <c r="HD190" s="22" t="s">
        <v>218</v>
      </c>
      <c r="HE190" s="22" t="s">
        <v>218</v>
      </c>
      <c r="HF190" s="22" t="s">
        <v>218</v>
      </c>
      <c r="HG190" s="22" t="s">
        <v>218</v>
      </c>
      <c r="HH190" s="22" t="s">
        <v>218</v>
      </c>
      <c r="HI190" s="22" t="s">
        <v>238</v>
      </c>
      <c r="HJ190" s="22" t="s">
        <v>238</v>
      </c>
      <c r="HK190" s="22" t="s">
        <v>218</v>
      </c>
      <c r="HL190" s="22" t="s">
        <v>218</v>
      </c>
      <c r="HM190" s="622">
        <f>'background data'!$G$10</f>
        <v>0.47300000000000003</v>
      </c>
      <c r="HN190" s="622">
        <f>'background data'!$H$10</f>
        <v>0.13</v>
      </c>
      <c r="HO190" s="622">
        <f>'background data'!$J$10</f>
        <v>0.39100000000000001</v>
      </c>
      <c r="HP190" s="622">
        <f>'background data'!$L$10</f>
        <v>5.5E-2</v>
      </c>
      <c r="HQ190" s="622">
        <f>'background data'!$M$10</f>
        <v>3.97</v>
      </c>
      <c r="HR190" s="622">
        <f>'background data'!$N$10</f>
        <v>4.5999999999999999E-3</v>
      </c>
      <c r="HS190" s="622">
        <f>'background data'!$O$10</f>
        <v>2.73</v>
      </c>
      <c r="HT190" s="145" t="s">
        <v>1797</v>
      </c>
      <c r="HU190" s="145" t="s">
        <v>1809</v>
      </c>
      <c r="HV190" s="22" t="s">
        <v>1398</v>
      </c>
      <c r="HW190" s="22" t="s">
        <v>582</v>
      </c>
      <c r="HX190" s="22">
        <v>0</v>
      </c>
      <c r="HY190" s="22" t="s">
        <v>583</v>
      </c>
      <c r="HZ190" s="19"/>
      <c r="IA190" s="19"/>
      <c r="IB190" s="622">
        <f>'background data'!$G$10</f>
        <v>0.47300000000000003</v>
      </c>
      <c r="IC190" s="622">
        <f>'background data'!$H$10</f>
        <v>0.13</v>
      </c>
      <c r="ID190" s="622">
        <f>'background data'!$J$10</f>
        <v>0.39100000000000001</v>
      </c>
      <c r="IE190" s="622">
        <f>'background data'!$L$10</f>
        <v>5.5E-2</v>
      </c>
      <c r="IF190" s="622">
        <f>'background data'!$M$10</f>
        <v>3.97</v>
      </c>
      <c r="IG190" s="622">
        <f>'background data'!$N$10</f>
        <v>4.5999999999999999E-3</v>
      </c>
      <c r="IH190" s="622">
        <f>'background data'!$O$10</f>
        <v>2.73</v>
      </c>
      <c r="II190" s="145" t="s">
        <v>1797</v>
      </c>
      <c r="IJ190" s="145" t="s">
        <v>1398</v>
      </c>
      <c r="IK190" s="145"/>
      <c r="IL190" s="145"/>
      <c r="IM190" s="145"/>
      <c r="IN190" s="145"/>
      <c r="IO190" s="145"/>
      <c r="IP190" s="145"/>
      <c r="IQ190" s="145"/>
      <c r="IR190" s="145"/>
      <c r="IS190" s="145"/>
      <c r="IT190" s="145"/>
      <c r="IU190" s="145"/>
      <c r="IV190" s="145"/>
      <c r="IW190" s="145"/>
      <c r="IX190" s="145"/>
      <c r="IY190" s="145"/>
      <c r="IZ190" s="145"/>
      <c r="JA190" s="145"/>
      <c r="JB190" s="145"/>
      <c r="JC190" s="145"/>
      <c r="JD190" s="145"/>
      <c r="JE190" s="145"/>
      <c r="JF190" s="145"/>
      <c r="JG190" s="145"/>
      <c r="JH190" s="145"/>
      <c r="JI190" s="145"/>
      <c r="JJ190" s="145"/>
      <c r="JK190" s="145"/>
      <c r="JL190" s="145"/>
      <c r="JM190" s="145"/>
      <c r="JN190" s="145"/>
      <c r="JO190" s="145"/>
      <c r="JP190" s="145"/>
      <c r="JQ190" s="145"/>
      <c r="JR190" s="145"/>
      <c r="JS190" s="145"/>
      <c r="JT190" s="145"/>
      <c r="JU190" s="145"/>
      <c r="JV190" s="145"/>
      <c r="JW190" s="145"/>
      <c r="JX190" s="145"/>
      <c r="JY190" s="145"/>
      <c r="JZ190" s="145"/>
      <c r="KA190" s="145"/>
      <c r="KB190" s="145"/>
      <c r="KC190" s="145"/>
      <c r="KD190" s="145"/>
      <c r="KE190" s="145"/>
      <c r="KF190" s="145"/>
      <c r="KG190" s="145"/>
      <c r="KH190" s="145"/>
      <c r="KI190" s="145"/>
      <c r="KJ190" s="145"/>
      <c r="KK190" s="145"/>
      <c r="KL190" s="145"/>
      <c r="KM190" s="145"/>
      <c r="KN190" s="145"/>
      <c r="KO190" s="145"/>
      <c r="KP190" s="145"/>
      <c r="KQ190" s="145"/>
      <c r="KR190" s="145"/>
      <c r="KS190" s="145"/>
      <c r="KT190" s="145"/>
      <c r="KU190" s="145"/>
      <c r="KV190" s="145"/>
      <c r="KW190" s="145"/>
      <c r="KX190" s="145"/>
      <c r="KY190" s="145"/>
      <c r="KZ190" s="145"/>
      <c r="LA190" s="145"/>
      <c r="LB190" s="145"/>
      <c r="LC190" s="145"/>
      <c r="LD190" s="145"/>
      <c r="LE190" s="145"/>
      <c r="LF190" s="145"/>
      <c r="LG190" s="145"/>
      <c r="LH190" s="145"/>
      <c r="LI190" s="145"/>
      <c r="LJ190" s="145"/>
      <c r="LK190" s="145"/>
      <c r="LL190" s="145"/>
      <c r="LM190" s="145"/>
      <c r="LN190" s="145"/>
      <c r="LO190" s="145"/>
      <c r="LP190" s="145"/>
      <c r="LQ190" s="145"/>
      <c r="LR190" s="145"/>
      <c r="LS190" s="145"/>
      <c r="LT190" s="145"/>
      <c r="LU190" s="145"/>
      <c r="LV190" s="145"/>
      <c r="LW190" s="145"/>
      <c r="LX190" s="145"/>
      <c r="LY190" s="145"/>
      <c r="LZ190" s="145"/>
      <c r="MA190" s="145"/>
      <c r="MB190" s="145"/>
      <c r="MC190" s="145"/>
      <c r="MD190" s="145"/>
      <c r="ME190" s="145"/>
      <c r="MF190" s="145"/>
      <c r="MG190" s="145"/>
      <c r="MH190" s="145"/>
      <c r="MI190" s="145"/>
      <c r="MJ190" s="145"/>
      <c r="MK190" s="145"/>
      <c r="ML190" s="145"/>
      <c r="MM190" s="145"/>
      <c r="MN190" s="145"/>
      <c r="MO190" s="145"/>
      <c r="MP190" s="145"/>
      <c r="MQ190" s="145"/>
      <c r="MR190" s="145"/>
      <c r="MS190" s="145"/>
      <c r="MT190" s="145"/>
      <c r="MU190" s="145"/>
      <c r="MV190" s="145"/>
      <c r="MW190" s="145"/>
      <c r="MX190" s="145"/>
      <c r="MY190" s="145"/>
      <c r="MZ190" s="145"/>
      <c r="NA190" s="145"/>
      <c r="NB190" s="145"/>
      <c r="NC190" s="145"/>
      <c r="ND190" s="145"/>
      <c r="NE190" s="145"/>
      <c r="NF190" s="145"/>
      <c r="NG190" s="145"/>
      <c r="NH190" s="145"/>
      <c r="NI190" s="145"/>
      <c r="NJ190" s="145"/>
      <c r="NK190" s="145"/>
      <c r="NL190" s="145"/>
      <c r="NM190" s="145"/>
      <c r="NN190" s="145"/>
      <c r="NO190" s="145"/>
      <c r="NP190" s="145"/>
      <c r="NQ190" s="145"/>
      <c r="NR190" s="145"/>
      <c r="NS190" s="145"/>
    </row>
    <row r="191" spans="1:383" s="16" customFormat="1" ht="15" customHeight="1" x14ac:dyDescent="0.2">
      <c r="A191" s="15">
        <v>52001</v>
      </c>
      <c r="B191" s="25">
        <v>520</v>
      </c>
      <c r="C191" s="26">
        <v>1</v>
      </c>
      <c r="D191" s="20" t="s">
        <v>584</v>
      </c>
      <c r="E191" s="14">
        <v>42683</v>
      </c>
      <c r="F191" s="18">
        <v>1.1002161053039099</v>
      </c>
      <c r="G191" s="18">
        <v>1.09166288682746</v>
      </c>
      <c r="H191" s="21">
        <v>89.6</v>
      </c>
      <c r="I191" s="21">
        <v>83.5</v>
      </c>
      <c r="J191" s="21">
        <v>90</v>
      </c>
      <c r="K191" s="18">
        <v>1</v>
      </c>
      <c r="L191" s="18">
        <v>85</v>
      </c>
      <c r="M191" s="18">
        <v>7.4</v>
      </c>
      <c r="N191" s="18">
        <v>1.7</v>
      </c>
      <c r="O191" s="18">
        <v>1.5</v>
      </c>
      <c r="P191" s="18">
        <v>2.2999999999999998</v>
      </c>
      <c r="Q191" s="19"/>
      <c r="R191" s="18">
        <v>77</v>
      </c>
      <c r="S191" s="18">
        <v>50</v>
      </c>
      <c r="T191" s="18">
        <v>53</v>
      </c>
      <c r="U191" s="18">
        <v>54</v>
      </c>
      <c r="V191" s="18">
        <v>55</v>
      </c>
      <c r="W191" s="18">
        <v>56</v>
      </c>
      <c r="X191" s="18"/>
      <c r="Y191" s="18">
        <v>0.47058823529411764</v>
      </c>
      <c r="Z191" s="18">
        <v>3.0588235294117645</v>
      </c>
      <c r="AA191" s="18">
        <v>0.1</v>
      </c>
      <c r="AB191" s="18">
        <v>0</v>
      </c>
      <c r="AC191" s="18">
        <v>5.6</v>
      </c>
      <c r="AD191" s="18">
        <v>1.1000000000000001</v>
      </c>
      <c r="AE191" s="18">
        <v>1.3</v>
      </c>
      <c r="AF191" s="18">
        <v>34</v>
      </c>
      <c r="AG191" s="18">
        <v>3.5</v>
      </c>
      <c r="AH191" s="18">
        <v>28</v>
      </c>
      <c r="AI191" s="18">
        <v>34</v>
      </c>
      <c r="AJ191" s="18">
        <v>0</v>
      </c>
      <c r="AK191" s="18">
        <v>0.03</v>
      </c>
      <c r="AL191" s="18"/>
      <c r="AM191" s="18">
        <v>3.7</v>
      </c>
      <c r="AN191" s="18">
        <v>1.7</v>
      </c>
      <c r="AO191" s="18">
        <v>2.35</v>
      </c>
      <c r="AP191" s="18">
        <v>3.29</v>
      </c>
      <c r="AQ191" s="18">
        <v>1.07</v>
      </c>
      <c r="AR191" s="18">
        <v>3.48</v>
      </c>
      <c r="AS191" s="18">
        <v>6.28</v>
      </c>
      <c r="AT191" s="18">
        <v>2.2799999999999998</v>
      </c>
      <c r="AU191" s="18">
        <v>4.49</v>
      </c>
      <c r="AV191" s="18">
        <v>2.7</v>
      </c>
      <c r="AW191" s="18">
        <v>4.67</v>
      </c>
      <c r="AX191" s="18"/>
      <c r="AY191" s="18">
        <v>0.97</v>
      </c>
      <c r="AZ191" s="18">
        <v>1.04</v>
      </c>
      <c r="BA191" s="18">
        <v>1.01</v>
      </c>
      <c r="BB191" s="18">
        <v>0.88</v>
      </c>
      <c r="BC191" s="18">
        <v>0.99</v>
      </c>
      <c r="BD191" s="18">
        <v>1</v>
      </c>
      <c r="BE191" s="18">
        <v>1.03</v>
      </c>
      <c r="BF191" s="18">
        <v>1.03</v>
      </c>
      <c r="BG191" s="18">
        <v>1.06</v>
      </c>
      <c r="BH191" s="18">
        <v>1</v>
      </c>
      <c r="BI191" s="18">
        <v>0.99</v>
      </c>
      <c r="BJ191" s="19"/>
      <c r="BK191" s="18">
        <v>8.7058823529411757</v>
      </c>
      <c r="BL191" s="18">
        <v>2</v>
      </c>
      <c r="BM191" s="18">
        <v>1.7647058823529411</v>
      </c>
      <c r="BN191" s="18">
        <v>2.7058823529411762</v>
      </c>
      <c r="BO191" s="18"/>
      <c r="BP191" s="18">
        <v>105</v>
      </c>
      <c r="BQ191" s="18">
        <v>21.000000000000004</v>
      </c>
      <c r="BR191" s="18">
        <v>1.2943718885928353</v>
      </c>
      <c r="BS191" s="18">
        <v>1.2843092786205412</v>
      </c>
      <c r="BT191" s="19"/>
      <c r="BU191" s="18">
        <v>982.35294117647061</v>
      </c>
      <c r="BV191" s="18">
        <v>695.95966386554585</v>
      </c>
      <c r="BW191" s="18">
        <v>85.605042016806593</v>
      </c>
      <c r="BX191" s="18">
        <v>612.99999999999989</v>
      </c>
      <c r="BY191" s="18">
        <v>32</v>
      </c>
      <c r="BZ191" s="18">
        <v>39</v>
      </c>
      <c r="CA191" s="18">
        <v>129</v>
      </c>
      <c r="CB191" s="19"/>
      <c r="CC191" s="19">
        <v>0.39999999999999997</v>
      </c>
      <c r="CD191" s="19">
        <v>2.5999999999999996</v>
      </c>
      <c r="CE191" s="19">
        <v>8.5000000000000006E-2</v>
      </c>
      <c r="CF191" s="19">
        <v>0</v>
      </c>
      <c r="CG191" s="19">
        <v>4.76</v>
      </c>
      <c r="CH191" s="19">
        <v>0.93500000000000005</v>
      </c>
      <c r="CI191" s="19">
        <v>1.105</v>
      </c>
      <c r="CJ191" s="19"/>
      <c r="CK191" s="19">
        <v>28.9</v>
      </c>
      <c r="CL191" s="19">
        <v>2.9750000000000001</v>
      </c>
      <c r="CM191" s="19">
        <v>23.8</v>
      </c>
      <c r="CN191" s="19">
        <v>28.9</v>
      </c>
      <c r="CO191" s="19">
        <v>0</v>
      </c>
      <c r="CP191" s="19">
        <v>2.5499999999999998E-2</v>
      </c>
      <c r="CQ191" s="19">
        <v>56.98</v>
      </c>
      <c r="CR191" s="19">
        <v>51.789825403674271</v>
      </c>
      <c r="CS191" s="19">
        <v>1.8587368337378696</v>
      </c>
      <c r="CT191" s="19">
        <v>0.91564411313696115</v>
      </c>
      <c r="CU191" s="19">
        <v>1.2292315059562087</v>
      </c>
      <c r="CV191" s="19">
        <v>2.1448756190931699</v>
      </c>
      <c r="CW191" s="19">
        <v>1.4994190250871775</v>
      </c>
      <c r="CX191" s="19">
        <v>0.5486096205011215</v>
      </c>
      <c r="CY191" s="19">
        <v>1.8022859240478646</v>
      </c>
      <c r="CZ191" s="19">
        <v>3.3499730664112666</v>
      </c>
      <c r="DA191" s="19">
        <v>1.2162322597798865</v>
      </c>
      <c r="DB191" s="19">
        <v>2.4648849502624732</v>
      </c>
      <c r="DC191" s="19">
        <v>1.3983252858992052</v>
      </c>
      <c r="DD191" s="19">
        <v>3.8632102361616782</v>
      </c>
      <c r="DE191" s="19">
        <v>2.3943989978880729</v>
      </c>
      <c r="DF191" s="23">
        <v>0</v>
      </c>
      <c r="DG191" s="23">
        <v>0</v>
      </c>
      <c r="DH191" s="23">
        <v>0</v>
      </c>
      <c r="DI191" s="19">
        <v>0</v>
      </c>
      <c r="DJ191" s="19">
        <v>0</v>
      </c>
      <c r="DK191" s="19">
        <v>0</v>
      </c>
      <c r="DL191" s="19">
        <v>0</v>
      </c>
      <c r="DM191" s="19">
        <v>0</v>
      </c>
      <c r="DN191" s="19">
        <v>0</v>
      </c>
      <c r="DO191" s="19">
        <v>0</v>
      </c>
      <c r="DP191" s="19">
        <v>0</v>
      </c>
      <c r="DQ191" s="19">
        <v>0</v>
      </c>
      <c r="DR191" s="19">
        <v>0</v>
      </c>
      <c r="DS191" s="19">
        <v>0</v>
      </c>
      <c r="DT191" s="19">
        <v>0</v>
      </c>
      <c r="DU191" s="19">
        <v>0</v>
      </c>
      <c r="DV191" s="19">
        <v>0</v>
      </c>
      <c r="DW191" s="17" t="s">
        <v>581</v>
      </c>
      <c r="DX191" s="22" t="s">
        <v>218</v>
      </c>
      <c r="DY191" s="22">
        <v>48</v>
      </c>
      <c r="DZ191" s="22">
        <v>24</v>
      </c>
      <c r="EA191" s="22">
        <v>24</v>
      </c>
      <c r="EB191" s="22" t="s">
        <v>218</v>
      </c>
      <c r="EC191" s="22">
        <v>24</v>
      </c>
      <c r="ED191" s="22">
        <v>24</v>
      </c>
      <c r="EE191" s="22" t="s">
        <v>218</v>
      </c>
      <c r="EF191" s="22">
        <v>24</v>
      </c>
      <c r="EG191" s="22">
        <v>24</v>
      </c>
      <c r="EH191" s="22" t="s">
        <v>218</v>
      </c>
      <c r="EI191" s="22" t="s">
        <v>218</v>
      </c>
      <c r="EJ191" s="22" t="s">
        <v>218</v>
      </c>
      <c r="EK191" s="22" t="s">
        <v>218</v>
      </c>
      <c r="EL191" s="22" t="s">
        <v>218</v>
      </c>
      <c r="EM191" s="22" t="s">
        <v>218</v>
      </c>
      <c r="EN191" s="22" t="s">
        <v>218</v>
      </c>
      <c r="EO191" s="22" t="s">
        <v>218</v>
      </c>
      <c r="EP191" s="22" t="s">
        <v>218</v>
      </c>
      <c r="EQ191" s="22" t="s">
        <v>218</v>
      </c>
      <c r="ER191" s="22" t="s">
        <v>218</v>
      </c>
      <c r="ES191" s="22">
        <v>24</v>
      </c>
      <c r="ET191" s="22">
        <v>48</v>
      </c>
      <c r="EU191" s="22" t="s">
        <v>218</v>
      </c>
      <c r="EV191" s="22" t="s">
        <v>218</v>
      </c>
      <c r="EW191" s="22" t="s">
        <v>218</v>
      </c>
      <c r="EX191" s="22" t="s">
        <v>218</v>
      </c>
      <c r="EY191" s="22" t="s">
        <v>218</v>
      </c>
      <c r="EZ191" s="22" t="s">
        <v>218</v>
      </c>
      <c r="FA191" s="22" t="s">
        <v>218</v>
      </c>
      <c r="FB191" s="22" t="s">
        <v>218</v>
      </c>
      <c r="FC191" s="22" t="s">
        <v>218</v>
      </c>
      <c r="FD191" s="22" t="s">
        <v>218</v>
      </c>
      <c r="FE191" s="22" t="s">
        <v>218</v>
      </c>
      <c r="FF191" s="22" t="s">
        <v>218</v>
      </c>
      <c r="FG191" s="22">
        <v>0.74</v>
      </c>
      <c r="FH191" s="22">
        <v>0.36</v>
      </c>
      <c r="FI191" s="22">
        <v>0.12</v>
      </c>
      <c r="FJ191" s="22" t="s">
        <v>218</v>
      </c>
      <c r="FK191" s="22">
        <v>1.29</v>
      </c>
      <c r="FL191" s="22">
        <v>1.43</v>
      </c>
      <c r="FM191" s="22" t="s">
        <v>218</v>
      </c>
      <c r="FN191" s="22">
        <v>2.33</v>
      </c>
      <c r="FO191" s="22">
        <v>1.89</v>
      </c>
      <c r="FP191" s="22" t="s">
        <v>218</v>
      </c>
      <c r="FQ191" s="22" t="s">
        <v>218</v>
      </c>
      <c r="FR191" s="22" t="s">
        <v>218</v>
      </c>
      <c r="FS191" s="22" t="s">
        <v>218</v>
      </c>
      <c r="FT191" s="22" t="s">
        <v>218</v>
      </c>
      <c r="FU191" s="22" t="s">
        <v>218</v>
      </c>
      <c r="FV191" s="22" t="s">
        <v>218</v>
      </c>
      <c r="FW191" s="22" t="s">
        <v>218</v>
      </c>
      <c r="FX191" s="22" t="s">
        <v>218</v>
      </c>
      <c r="FY191" s="22" t="s">
        <v>218</v>
      </c>
      <c r="FZ191" s="22" t="s">
        <v>218</v>
      </c>
      <c r="GA191" s="22">
        <v>0.1</v>
      </c>
      <c r="GB191" s="22">
        <v>0.31</v>
      </c>
      <c r="GC191" s="22" t="s">
        <v>218</v>
      </c>
      <c r="GD191" s="22" t="s">
        <v>218</v>
      </c>
      <c r="GE191" s="22" t="s">
        <v>218</v>
      </c>
      <c r="GF191" s="22" t="s">
        <v>218</v>
      </c>
      <c r="GG191" s="22" t="s">
        <v>218</v>
      </c>
      <c r="GH191" s="22" t="s">
        <v>218</v>
      </c>
      <c r="GI191" s="22" t="s">
        <v>218</v>
      </c>
      <c r="GJ191" s="22" t="s">
        <v>218</v>
      </c>
      <c r="GK191" s="22" t="s">
        <v>218</v>
      </c>
      <c r="GL191" s="22" t="s">
        <v>218</v>
      </c>
      <c r="GM191" s="22" t="s">
        <v>218</v>
      </c>
      <c r="GN191" s="22" t="s">
        <v>218</v>
      </c>
      <c r="GO191" s="22" t="s">
        <v>238</v>
      </c>
      <c r="GP191" s="22" t="s">
        <v>238</v>
      </c>
      <c r="GQ191" s="22" t="s">
        <v>238</v>
      </c>
      <c r="GR191" s="22" t="s">
        <v>218</v>
      </c>
      <c r="GS191" s="22" t="s">
        <v>238</v>
      </c>
      <c r="GT191" s="22" t="s">
        <v>238</v>
      </c>
      <c r="GU191" s="22" t="s">
        <v>218</v>
      </c>
      <c r="GV191" s="22" t="s">
        <v>238</v>
      </c>
      <c r="GW191" s="22" t="s">
        <v>238</v>
      </c>
      <c r="GX191" s="22" t="s">
        <v>218</v>
      </c>
      <c r="GY191" s="22" t="s">
        <v>218</v>
      </c>
      <c r="GZ191" s="22" t="s">
        <v>218</v>
      </c>
      <c r="HA191" s="22" t="s">
        <v>218</v>
      </c>
      <c r="HB191" s="22" t="s">
        <v>218</v>
      </c>
      <c r="HC191" s="22" t="s">
        <v>218</v>
      </c>
      <c r="HD191" s="22" t="s">
        <v>218</v>
      </c>
      <c r="HE191" s="22" t="s">
        <v>218</v>
      </c>
      <c r="HF191" s="22" t="s">
        <v>218</v>
      </c>
      <c r="HG191" s="22" t="s">
        <v>218</v>
      </c>
      <c r="HH191" s="22" t="s">
        <v>218</v>
      </c>
      <c r="HI191" s="22" t="s">
        <v>238</v>
      </c>
      <c r="HJ191" s="22" t="s">
        <v>238</v>
      </c>
      <c r="HK191" s="22" t="s">
        <v>218</v>
      </c>
      <c r="HL191" s="22" t="s">
        <v>218</v>
      </c>
      <c r="HM191" s="622">
        <f>'background data'!$G$10</f>
        <v>0.47300000000000003</v>
      </c>
      <c r="HN191" s="622">
        <f>'background data'!$H$10</f>
        <v>0.13</v>
      </c>
      <c r="HO191" s="622">
        <f>'background data'!$J$10</f>
        <v>0.39100000000000001</v>
      </c>
      <c r="HP191" s="622">
        <f>'background data'!$L$10</f>
        <v>5.5E-2</v>
      </c>
      <c r="HQ191" s="622">
        <f>'background data'!$M$10</f>
        <v>3.97</v>
      </c>
      <c r="HR191" s="622">
        <f>'background data'!$N$10</f>
        <v>4.5999999999999999E-3</v>
      </c>
      <c r="HS191" s="622">
        <f>'background data'!$O$10</f>
        <v>2.73</v>
      </c>
      <c r="HT191" s="145" t="s">
        <v>1797</v>
      </c>
      <c r="HU191" s="145" t="s">
        <v>1809</v>
      </c>
      <c r="HV191" s="22" t="s">
        <v>1398</v>
      </c>
      <c r="HW191" s="22" t="s">
        <v>582</v>
      </c>
      <c r="HX191" s="22">
        <v>0</v>
      </c>
      <c r="HY191" s="22" t="s">
        <v>583</v>
      </c>
      <c r="HZ191" s="19"/>
      <c r="IA191" s="19"/>
      <c r="IB191" s="622">
        <f>'background data'!$G$10</f>
        <v>0.47300000000000003</v>
      </c>
      <c r="IC191" s="622">
        <f>'background data'!$H$10</f>
        <v>0.13</v>
      </c>
      <c r="ID191" s="622">
        <f>'background data'!$J$10</f>
        <v>0.39100000000000001</v>
      </c>
      <c r="IE191" s="622">
        <f>'background data'!$L$10</f>
        <v>5.5E-2</v>
      </c>
      <c r="IF191" s="622">
        <f>'background data'!$M$10</f>
        <v>3.97</v>
      </c>
      <c r="IG191" s="622">
        <f>'background data'!$N$10</f>
        <v>4.5999999999999999E-3</v>
      </c>
      <c r="IH191" s="622">
        <f>'background data'!$O$10</f>
        <v>2.73</v>
      </c>
      <c r="II191" s="145" t="s">
        <v>1797</v>
      </c>
      <c r="IJ191" s="145" t="s">
        <v>1398</v>
      </c>
      <c r="IK191" s="145"/>
      <c r="IL191" s="145"/>
      <c r="IM191" s="145"/>
      <c r="IN191" s="145"/>
      <c r="IO191" s="145"/>
      <c r="IP191" s="145"/>
      <c r="IQ191" s="145"/>
      <c r="IR191" s="145"/>
      <c r="IS191" s="145"/>
      <c r="IT191" s="145"/>
      <c r="IU191" s="145"/>
      <c r="IV191" s="145"/>
      <c r="IW191" s="145"/>
      <c r="IX191" s="145"/>
      <c r="IY191" s="145"/>
      <c r="IZ191" s="145"/>
      <c r="JA191" s="145"/>
      <c r="JB191" s="145"/>
      <c r="JC191" s="145"/>
      <c r="JD191" s="145"/>
      <c r="JE191" s="145"/>
      <c r="JF191" s="145"/>
      <c r="JG191" s="145"/>
      <c r="JH191" s="145"/>
      <c r="JI191" s="145"/>
      <c r="JJ191" s="145"/>
      <c r="JK191" s="145"/>
      <c r="JL191" s="145"/>
      <c r="JM191" s="145"/>
      <c r="JN191" s="145"/>
      <c r="JO191" s="145"/>
      <c r="JP191" s="145"/>
      <c r="JQ191" s="145"/>
      <c r="JR191" s="145"/>
      <c r="JS191" s="145"/>
      <c r="JT191" s="145"/>
      <c r="JU191" s="145"/>
      <c r="JV191" s="145"/>
      <c r="JW191" s="145"/>
      <c r="JX191" s="145"/>
      <c r="JY191" s="145"/>
      <c r="JZ191" s="145"/>
      <c r="KA191" s="145"/>
      <c r="KB191" s="145"/>
      <c r="KC191" s="145"/>
      <c r="KD191" s="145"/>
      <c r="KE191" s="145"/>
      <c r="KF191" s="145"/>
      <c r="KG191" s="145"/>
      <c r="KH191" s="145"/>
      <c r="KI191" s="145"/>
      <c r="KJ191" s="145"/>
      <c r="KK191" s="145"/>
      <c r="KL191" s="145"/>
      <c r="KM191" s="145"/>
      <c r="KN191" s="145"/>
      <c r="KO191" s="145"/>
      <c r="KP191" s="145"/>
      <c r="KQ191" s="145"/>
      <c r="KR191" s="145"/>
      <c r="KS191" s="145"/>
      <c r="KT191" s="145"/>
      <c r="KU191" s="145"/>
      <c r="KV191" s="145"/>
      <c r="KW191" s="145"/>
      <c r="KX191" s="145"/>
      <c r="KY191" s="145"/>
      <c r="KZ191" s="145"/>
      <c r="LA191" s="145"/>
      <c r="LB191" s="145"/>
      <c r="LC191" s="145"/>
      <c r="LD191" s="145"/>
      <c r="LE191" s="145"/>
      <c r="LF191" s="145"/>
      <c r="LG191" s="145"/>
      <c r="LH191" s="145"/>
      <c r="LI191" s="145"/>
      <c r="LJ191" s="145"/>
      <c r="LK191" s="145"/>
      <c r="LL191" s="145"/>
      <c r="LM191" s="145"/>
      <c r="LN191" s="145"/>
      <c r="LO191" s="145"/>
      <c r="LP191" s="145"/>
      <c r="LQ191" s="145"/>
      <c r="LR191" s="145"/>
      <c r="LS191" s="145"/>
      <c r="LT191" s="145"/>
      <c r="LU191" s="145"/>
      <c r="LV191" s="145"/>
      <c r="LW191" s="145"/>
      <c r="LX191" s="145"/>
      <c r="LY191" s="145"/>
      <c r="LZ191" s="145"/>
      <c r="MA191" s="145"/>
      <c r="MB191" s="145"/>
      <c r="MC191" s="145"/>
      <c r="MD191" s="145"/>
      <c r="ME191" s="145"/>
      <c r="MF191" s="145"/>
      <c r="MG191" s="145"/>
      <c r="MH191" s="145"/>
      <c r="MI191" s="145"/>
      <c r="MJ191" s="145"/>
      <c r="MK191" s="145"/>
      <c r="ML191" s="145"/>
      <c r="MM191" s="145"/>
      <c r="MN191" s="145"/>
      <c r="MO191" s="145"/>
      <c r="MP191" s="145"/>
      <c r="MQ191" s="145"/>
      <c r="MR191" s="145"/>
      <c r="MS191" s="145"/>
      <c r="MT191" s="145"/>
      <c r="MU191" s="145"/>
      <c r="MV191" s="145"/>
      <c r="MW191" s="145"/>
      <c r="MX191" s="145"/>
      <c r="MY191" s="145"/>
      <c r="MZ191" s="145"/>
      <c r="NA191" s="145"/>
      <c r="NB191" s="145"/>
      <c r="NC191" s="145"/>
      <c r="ND191" s="145"/>
      <c r="NE191" s="145"/>
      <c r="NF191" s="145"/>
      <c r="NG191" s="145"/>
      <c r="NH191" s="145"/>
      <c r="NI191" s="145"/>
      <c r="NJ191" s="145"/>
      <c r="NK191" s="145"/>
      <c r="NL191" s="145"/>
      <c r="NM191" s="145"/>
      <c r="NN191" s="145"/>
      <c r="NO191" s="145"/>
      <c r="NP191" s="145"/>
      <c r="NQ191" s="145"/>
      <c r="NR191" s="145"/>
      <c r="NS191" s="145"/>
    </row>
    <row r="192" spans="1:383" s="16" customFormat="1" ht="15" customHeight="1" x14ac:dyDescent="0.2">
      <c r="A192" s="15">
        <v>52010</v>
      </c>
      <c r="B192" s="25">
        <v>520</v>
      </c>
      <c r="C192" s="26">
        <v>10</v>
      </c>
      <c r="D192" s="20" t="s">
        <v>585</v>
      </c>
      <c r="E192" s="14">
        <v>42683</v>
      </c>
      <c r="F192" s="18">
        <v>1.09173033294618</v>
      </c>
      <c r="G192" s="18">
        <v>1.08569860111317</v>
      </c>
      <c r="H192" s="21">
        <v>89.6</v>
      </c>
      <c r="I192" s="21">
        <v>82.8</v>
      </c>
      <c r="J192" s="21">
        <v>90</v>
      </c>
      <c r="K192" s="18">
        <v>1</v>
      </c>
      <c r="L192" s="18">
        <v>85</v>
      </c>
      <c r="M192" s="18">
        <v>7.4</v>
      </c>
      <c r="N192" s="18">
        <v>1.7</v>
      </c>
      <c r="O192" s="18">
        <v>1.5</v>
      </c>
      <c r="P192" s="18">
        <v>2.2999999999999998</v>
      </c>
      <c r="Q192" s="19"/>
      <c r="R192" s="18">
        <v>77</v>
      </c>
      <c r="S192" s="18">
        <v>28</v>
      </c>
      <c r="T192" s="18">
        <v>42</v>
      </c>
      <c r="U192" s="18">
        <v>47</v>
      </c>
      <c r="V192" s="18">
        <v>52</v>
      </c>
      <c r="W192" s="18">
        <v>55</v>
      </c>
      <c r="X192" s="18"/>
      <c r="Y192" s="18">
        <v>0.47058823529411764</v>
      </c>
      <c r="Z192" s="18">
        <v>3.0588235294117645</v>
      </c>
      <c r="AA192" s="18">
        <v>0.1</v>
      </c>
      <c r="AB192" s="18">
        <v>0</v>
      </c>
      <c r="AC192" s="18">
        <v>4.9411800000000001</v>
      </c>
      <c r="AD192" s="18">
        <v>1.2</v>
      </c>
      <c r="AE192" s="18">
        <v>0</v>
      </c>
      <c r="AF192" s="18">
        <v>71</v>
      </c>
      <c r="AG192" s="18">
        <v>4.9999999999999885</v>
      </c>
      <c r="AH192" s="18">
        <v>30</v>
      </c>
      <c r="AI192" s="18">
        <v>31</v>
      </c>
      <c r="AJ192" s="18">
        <v>0</v>
      </c>
      <c r="AK192" s="18">
        <v>0.03</v>
      </c>
      <c r="AL192" s="18"/>
      <c r="AM192" s="18">
        <v>3.7</v>
      </c>
      <c r="AN192" s="18">
        <v>1.7</v>
      </c>
      <c r="AO192" s="18">
        <v>2.35</v>
      </c>
      <c r="AP192" s="18">
        <v>3.29</v>
      </c>
      <c r="AQ192" s="18">
        <v>1.07</v>
      </c>
      <c r="AR192" s="18">
        <v>3.48</v>
      </c>
      <c r="AS192" s="18">
        <v>6.28</v>
      </c>
      <c r="AT192" s="18">
        <v>2.2799999999999998</v>
      </c>
      <c r="AU192" s="18">
        <v>4.49</v>
      </c>
      <c r="AV192" s="18">
        <v>2.7</v>
      </c>
      <c r="AW192" s="18">
        <v>4.67</v>
      </c>
      <c r="AX192" s="18"/>
      <c r="AY192" s="18">
        <v>0.97</v>
      </c>
      <c r="AZ192" s="18">
        <v>1.04</v>
      </c>
      <c r="BA192" s="18">
        <v>1.01</v>
      </c>
      <c r="BB192" s="18">
        <v>0.88</v>
      </c>
      <c r="BC192" s="18">
        <v>0.99</v>
      </c>
      <c r="BD192" s="18">
        <v>1</v>
      </c>
      <c r="BE192" s="18">
        <v>1.03</v>
      </c>
      <c r="BF192" s="18">
        <v>1.03</v>
      </c>
      <c r="BG192" s="18">
        <v>1.06</v>
      </c>
      <c r="BH192" s="18">
        <v>1</v>
      </c>
      <c r="BI192" s="18">
        <v>0.99</v>
      </c>
      <c r="BJ192" s="19"/>
      <c r="BK192" s="18">
        <v>8.7058823529411757</v>
      </c>
      <c r="BL192" s="18">
        <v>2</v>
      </c>
      <c r="BM192" s="18">
        <v>1.7647058823529411</v>
      </c>
      <c r="BN192" s="18">
        <v>2.7058823529411762</v>
      </c>
      <c r="BO192" s="18"/>
      <c r="BP192" s="18">
        <v>105</v>
      </c>
      <c r="BQ192" s="18">
        <v>21.000000000000004</v>
      </c>
      <c r="BR192" s="18">
        <v>1.284388626995506</v>
      </c>
      <c r="BS192" s="18">
        <v>1.2772924718978471</v>
      </c>
      <c r="BT192" s="19"/>
      <c r="BU192" s="18">
        <v>982.35294117647061</v>
      </c>
      <c r="BV192" s="18">
        <v>686.13613445378223</v>
      </c>
      <c r="BW192" s="18">
        <v>95.428571428571402</v>
      </c>
      <c r="BX192" s="18">
        <v>612.99999999999989</v>
      </c>
      <c r="BY192" s="18">
        <v>32</v>
      </c>
      <c r="BZ192" s="18">
        <v>39</v>
      </c>
      <c r="CA192" s="18">
        <v>129</v>
      </c>
      <c r="CB192" s="19"/>
      <c r="CC192" s="19">
        <v>0.39999999999999997</v>
      </c>
      <c r="CD192" s="19">
        <v>2.5999999999999996</v>
      </c>
      <c r="CE192" s="19">
        <v>8.5000000000000006E-2</v>
      </c>
      <c r="CF192" s="19">
        <v>0</v>
      </c>
      <c r="CG192" s="19">
        <v>4.2000029999999997</v>
      </c>
      <c r="CH192" s="19">
        <v>1.02</v>
      </c>
      <c r="CI192" s="19">
        <v>0</v>
      </c>
      <c r="CJ192" s="19"/>
      <c r="CK192" s="19">
        <v>60.35</v>
      </c>
      <c r="CL192" s="19">
        <v>4.2499999999999902</v>
      </c>
      <c r="CM192" s="19">
        <v>25.5</v>
      </c>
      <c r="CN192" s="19">
        <v>26.349999999999998</v>
      </c>
      <c r="CO192" s="19">
        <v>0</v>
      </c>
      <c r="CP192" s="19">
        <v>2.5499999999999998E-2</v>
      </c>
      <c r="CQ192" s="19">
        <v>56.98</v>
      </c>
      <c r="CR192" s="19">
        <v>52.192375974597923</v>
      </c>
      <c r="CS192" s="19">
        <v>1.8731843737283194</v>
      </c>
      <c r="CT192" s="19">
        <v>0.92276120723089128</v>
      </c>
      <c r="CU192" s="19">
        <v>1.2387860437570817</v>
      </c>
      <c r="CV192" s="19">
        <v>2.1615472509879732</v>
      </c>
      <c r="CW192" s="19">
        <v>1.5110736692165592</v>
      </c>
      <c r="CX192" s="19">
        <v>0.55287383869891582</v>
      </c>
      <c r="CY192" s="19">
        <v>1.8162946839160077</v>
      </c>
      <c r="CZ192" s="19">
        <v>3.3760116475408921</v>
      </c>
      <c r="DA192" s="19">
        <v>1.2256857573874576</v>
      </c>
      <c r="DB192" s="19">
        <v>2.4840439421350138</v>
      </c>
      <c r="DC192" s="19">
        <v>1.4091941513141439</v>
      </c>
      <c r="DD192" s="19">
        <v>3.8932380934491575</v>
      </c>
      <c r="DE192" s="19">
        <v>2.4130101184335859</v>
      </c>
      <c r="DF192" s="23">
        <v>0</v>
      </c>
      <c r="DG192" s="23">
        <v>0</v>
      </c>
      <c r="DH192" s="23">
        <v>0</v>
      </c>
      <c r="DI192" s="19">
        <v>0</v>
      </c>
      <c r="DJ192" s="19">
        <v>0</v>
      </c>
      <c r="DK192" s="19">
        <v>0</v>
      </c>
      <c r="DL192" s="19">
        <v>0</v>
      </c>
      <c r="DM192" s="19">
        <v>0</v>
      </c>
      <c r="DN192" s="19">
        <v>0</v>
      </c>
      <c r="DO192" s="19">
        <v>0</v>
      </c>
      <c r="DP192" s="19">
        <v>0</v>
      </c>
      <c r="DQ192" s="19">
        <v>0</v>
      </c>
      <c r="DR192" s="19">
        <v>0</v>
      </c>
      <c r="DS192" s="19">
        <v>0</v>
      </c>
      <c r="DT192" s="19">
        <v>0</v>
      </c>
      <c r="DU192" s="19">
        <v>0</v>
      </c>
      <c r="DV192" s="19">
        <v>0</v>
      </c>
      <c r="DW192" s="17" t="s">
        <v>581</v>
      </c>
      <c r="DX192" s="22" t="s">
        <v>218</v>
      </c>
      <c r="DY192" s="22">
        <v>48</v>
      </c>
      <c r="DZ192" s="22">
        <v>24</v>
      </c>
      <c r="EA192" s="22">
        <v>24</v>
      </c>
      <c r="EB192" s="22" t="s">
        <v>218</v>
      </c>
      <c r="EC192" s="22">
        <v>24</v>
      </c>
      <c r="ED192" s="22">
        <v>24</v>
      </c>
      <c r="EE192" s="22" t="s">
        <v>218</v>
      </c>
      <c r="EF192" s="22">
        <v>24</v>
      </c>
      <c r="EG192" s="22">
        <v>24</v>
      </c>
      <c r="EH192" s="22" t="s">
        <v>218</v>
      </c>
      <c r="EI192" s="22" t="s">
        <v>218</v>
      </c>
      <c r="EJ192" s="22" t="s">
        <v>218</v>
      </c>
      <c r="EK192" s="22" t="s">
        <v>218</v>
      </c>
      <c r="EL192" s="22" t="s">
        <v>218</v>
      </c>
      <c r="EM192" s="22" t="s">
        <v>218</v>
      </c>
      <c r="EN192" s="22" t="s">
        <v>218</v>
      </c>
      <c r="EO192" s="22" t="s">
        <v>218</v>
      </c>
      <c r="EP192" s="22" t="s">
        <v>218</v>
      </c>
      <c r="EQ192" s="22" t="s">
        <v>218</v>
      </c>
      <c r="ER192" s="22" t="s">
        <v>218</v>
      </c>
      <c r="ES192" s="22">
        <v>24</v>
      </c>
      <c r="ET192" s="22">
        <v>48</v>
      </c>
      <c r="EU192" s="22" t="s">
        <v>218</v>
      </c>
      <c r="EV192" s="22" t="s">
        <v>218</v>
      </c>
      <c r="EW192" s="22" t="s">
        <v>218</v>
      </c>
      <c r="EX192" s="22" t="s">
        <v>218</v>
      </c>
      <c r="EY192" s="22" t="s">
        <v>218</v>
      </c>
      <c r="EZ192" s="22" t="s">
        <v>218</v>
      </c>
      <c r="FA192" s="22" t="s">
        <v>218</v>
      </c>
      <c r="FB192" s="22" t="s">
        <v>218</v>
      </c>
      <c r="FC192" s="22" t="s">
        <v>218</v>
      </c>
      <c r="FD192" s="22" t="s">
        <v>218</v>
      </c>
      <c r="FE192" s="22" t="s">
        <v>218</v>
      </c>
      <c r="FF192" s="22" t="s">
        <v>218</v>
      </c>
      <c r="FG192" s="22">
        <v>0.74</v>
      </c>
      <c r="FH192" s="22">
        <v>0.36</v>
      </c>
      <c r="FI192" s="22">
        <v>0.12</v>
      </c>
      <c r="FJ192" s="22" t="s">
        <v>218</v>
      </c>
      <c r="FK192" s="22">
        <v>1.29</v>
      </c>
      <c r="FL192" s="22">
        <v>1.43</v>
      </c>
      <c r="FM192" s="22" t="s">
        <v>218</v>
      </c>
      <c r="FN192" s="22">
        <v>2.33</v>
      </c>
      <c r="FO192" s="22">
        <v>1.89</v>
      </c>
      <c r="FP192" s="22" t="s">
        <v>218</v>
      </c>
      <c r="FQ192" s="22" t="s">
        <v>218</v>
      </c>
      <c r="FR192" s="22" t="s">
        <v>218</v>
      </c>
      <c r="FS192" s="22" t="s">
        <v>218</v>
      </c>
      <c r="FT192" s="22" t="s">
        <v>218</v>
      </c>
      <c r="FU192" s="22" t="s">
        <v>218</v>
      </c>
      <c r="FV192" s="22" t="s">
        <v>218</v>
      </c>
      <c r="FW192" s="22" t="s">
        <v>218</v>
      </c>
      <c r="FX192" s="22" t="s">
        <v>218</v>
      </c>
      <c r="FY192" s="22" t="s">
        <v>218</v>
      </c>
      <c r="FZ192" s="22" t="s">
        <v>218</v>
      </c>
      <c r="GA192" s="22">
        <v>0.1</v>
      </c>
      <c r="GB192" s="22">
        <v>0.31</v>
      </c>
      <c r="GC192" s="22" t="s">
        <v>218</v>
      </c>
      <c r="GD192" s="22" t="s">
        <v>218</v>
      </c>
      <c r="GE192" s="22" t="s">
        <v>218</v>
      </c>
      <c r="GF192" s="22" t="s">
        <v>218</v>
      </c>
      <c r="GG192" s="22" t="s">
        <v>218</v>
      </c>
      <c r="GH192" s="22" t="s">
        <v>218</v>
      </c>
      <c r="GI192" s="22" t="s">
        <v>218</v>
      </c>
      <c r="GJ192" s="22" t="s">
        <v>218</v>
      </c>
      <c r="GK192" s="22" t="s">
        <v>218</v>
      </c>
      <c r="GL192" s="22" t="s">
        <v>218</v>
      </c>
      <c r="GM192" s="22" t="s">
        <v>218</v>
      </c>
      <c r="GN192" s="22" t="s">
        <v>218</v>
      </c>
      <c r="GO192" s="22" t="s">
        <v>238</v>
      </c>
      <c r="GP192" s="22" t="s">
        <v>238</v>
      </c>
      <c r="GQ192" s="22" t="s">
        <v>238</v>
      </c>
      <c r="GR192" s="22" t="s">
        <v>218</v>
      </c>
      <c r="GS192" s="22" t="s">
        <v>238</v>
      </c>
      <c r="GT192" s="22" t="s">
        <v>238</v>
      </c>
      <c r="GU192" s="22" t="s">
        <v>218</v>
      </c>
      <c r="GV192" s="22" t="s">
        <v>238</v>
      </c>
      <c r="GW192" s="22" t="s">
        <v>238</v>
      </c>
      <c r="GX192" s="22" t="s">
        <v>218</v>
      </c>
      <c r="GY192" s="22" t="s">
        <v>218</v>
      </c>
      <c r="GZ192" s="22" t="s">
        <v>218</v>
      </c>
      <c r="HA192" s="22" t="s">
        <v>218</v>
      </c>
      <c r="HB192" s="22" t="s">
        <v>218</v>
      </c>
      <c r="HC192" s="22" t="s">
        <v>218</v>
      </c>
      <c r="HD192" s="22" t="s">
        <v>218</v>
      </c>
      <c r="HE192" s="22" t="s">
        <v>218</v>
      </c>
      <c r="HF192" s="22" t="s">
        <v>218</v>
      </c>
      <c r="HG192" s="22" t="s">
        <v>218</v>
      </c>
      <c r="HH192" s="22" t="s">
        <v>218</v>
      </c>
      <c r="HI192" s="22" t="s">
        <v>238</v>
      </c>
      <c r="HJ192" s="22" t="s">
        <v>238</v>
      </c>
      <c r="HK192" s="22" t="s">
        <v>218</v>
      </c>
      <c r="HL192" s="22" t="s">
        <v>218</v>
      </c>
      <c r="HM192" s="622">
        <f>'background data'!$G$10</f>
        <v>0.47300000000000003</v>
      </c>
      <c r="HN192" s="622">
        <f>'background data'!$H$10</f>
        <v>0.13</v>
      </c>
      <c r="HO192" s="622">
        <f>'background data'!$J$10</f>
        <v>0.39100000000000001</v>
      </c>
      <c r="HP192" s="622">
        <f>'background data'!$L$10</f>
        <v>5.5E-2</v>
      </c>
      <c r="HQ192" s="622">
        <f>'background data'!$M$10</f>
        <v>3.97</v>
      </c>
      <c r="HR192" s="622">
        <f>'background data'!$N$10</f>
        <v>4.5999999999999999E-3</v>
      </c>
      <c r="HS192" s="622">
        <f>'background data'!$O$10</f>
        <v>2.73</v>
      </c>
      <c r="HT192" s="145" t="s">
        <v>1797</v>
      </c>
      <c r="HU192" s="145" t="s">
        <v>1809</v>
      </c>
      <c r="HV192" s="22" t="s">
        <v>1398</v>
      </c>
      <c r="HW192" s="22" t="s">
        <v>582</v>
      </c>
      <c r="HX192" s="22">
        <v>0</v>
      </c>
      <c r="HY192" s="22" t="s">
        <v>583</v>
      </c>
      <c r="HZ192" s="19"/>
      <c r="IA192" s="19"/>
      <c r="IB192" s="622">
        <f>'background data'!$G$10</f>
        <v>0.47300000000000003</v>
      </c>
      <c r="IC192" s="622">
        <f>'background data'!$H$10</f>
        <v>0.13</v>
      </c>
      <c r="ID192" s="622">
        <f>'background data'!$J$10</f>
        <v>0.39100000000000001</v>
      </c>
      <c r="IE192" s="622">
        <f>'background data'!$L$10</f>
        <v>5.5E-2</v>
      </c>
      <c r="IF192" s="622">
        <f>'background data'!$M$10</f>
        <v>3.97</v>
      </c>
      <c r="IG192" s="622">
        <f>'background data'!$N$10</f>
        <v>4.5999999999999999E-3</v>
      </c>
      <c r="IH192" s="622">
        <f>'background data'!$O$10</f>
        <v>2.73</v>
      </c>
      <c r="II192" s="145" t="s">
        <v>1797</v>
      </c>
      <c r="IJ192" s="145" t="s">
        <v>1398</v>
      </c>
      <c r="IK192" s="145"/>
      <c r="IL192" s="145"/>
      <c r="IM192" s="145"/>
      <c r="IN192" s="145"/>
      <c r="IO192" s="145"/>
      <c r="IP192" s="145"/>
      <c r="IQ192" s="145"/>
      <c r="IR192" s="145"/>
      <c r="IS192" s="145"/>
      <c r="IT192" s="145"/>
      <c r="IU192" s="145"/>
      <c r="IV192" s="145"/>
      <c r="IW192" s="145"/>
      <c r="IX192" s="145"/>
      <c r="IY192" s="145"/>
      <c r="IZ192" s="145"/>
      <c r="JA192" s="145"/>
      <c r="JB192" s="145"/>
      <c r="JC192" s="145"/>
      <c r="JD192" s="145"/>
      <c r="JE192" s="145"/>
      <c r="JF192" s="145"/>
      <c r="JG192" s="145"/>
      <c r="JH192" s="145"/>
      <c r="JI192" s="145"/>
      <c r="JJ192" s="145"/>
      <c r="JK192" s="145"/>
      <c r="JL192" s="145"/>
      <c r="JM192" s="145"/>
      <c r="JN192" s="145"/>
      <c r="JO192" s="145"/>
      <c r="JP192" s="145"/>
      <c r="JQ192" s="145"/>
      <c r="JR192" s="145"/>
      <c r="JS192" s="145"/>
      <c r="JT192" s="145"/>
      <c r="JU192" s="145"/>
      <c r="JV192" s="145"/>
      <c r="JW192" s="145"/>
      <c r="JX192" s="145"/>
      <c r="JY192" s="145"/>
      <c r="JZ192" s="145"/>
      <c r="KA192" s="145"/>
      <c r="KB192" s="145"/>
      <c r="KC192" s="145"/>
      <c r="KD192" s="145"/>
      <c r="KE192" s="145"/>
      <c r="KF192" s="145"/>
      <c r="KG192" s="145"/>
      <c r="KH192" s="145"/>
      <c r="KI192" s="145"/>
      <c r="KJ192" s="145"/>
      <c r="KK192" s="145"/>
      <c r="KL192" s="145"/>
      <c r="KM192" s="145"/>
      <c r="KN192" s="145"/>
      <c r="KO192" s="145"/>
      <c r="KP192" s="145"/>
      <c r="KQ192" s="145"/>
      <c r="KR192" s="145"/>
      <c r="KS192" s="145"/>
      <c r="KT192" s="145"/>
      <c r="KU192" s="145"/>
      <c r="KV192" s="145"/>
      <c r="KW192" s="145"/>
      <c r="KX192" s="145"/>
      <c r="KY192" s="145"/>
      <c r="KZ192" s="145"/>
      <c r="LA192" s="145"/>
      <c r="LB192" s="145"/>
      <c r="LC192" s="145"/>
      <c r="LD192" s="145"/>
      <c r="LE192" s="145"/>
      <c r="LF192" s="145"/>
      <c r="LG192" s="145"/>
      <c r="LH192" s="145"/>
      <c r="LI192" s="145"/>
      <c r="LJ192" s="145"/>
      <c r="LK192" s="145"/>
      <c r="LL192" s="145"/>
      <c r="LM192" s="145"/>
      <c r="LN192" s="145"/>
      <c r="LO192" s="145"/>
      <c r="LP192" s="145"/>
      <c r="LQ192" s="145"/>
      <c r="LR192" s="145"/>
      <c r="LS192" s="145"/>
      <c r="LT192" s="145"/>
      <c r="LU192" s="145"/>
      <c r="LV192" s="145"/>
      <c r="LW192" s="145"/>
      <c r="LX192" s="145"/>
      <c r="LY192" s="145"/>
      <c r="LZ192" s="145"/>
      <c r="MA192" s="145"/>
      <c r="MB192" s="145"/>
      <c r="MC192" s="145"/>
      <c r="MD192" s="145"/>
      <c r="ME192" s="145"/>
      <c r="MF192" s="145"/>
      <c r="MG192" s="145"/>
      <c r="MH192" s="145"/>
      <c r="MI192" s="145"/>
      <c r="MJ192" s="145"/>
      <c r="MK192" s="145"/>
      <c r="ML192" s="145"/>
      <c r="MM192" s="145"/>
      <c r="MN192" s="145"/>
      <c r="MO192" s="145"/>
      <c r="MP192" s="145"/>
      <c r="MQ192" s="145"/>
      <c r="MR192" s="145"/>
      <c r="MS192" s="145"/>
      <c r="MT192" s="145"/>
      <c r="MU192" s="145"/>
      <c r="MV192" s="145"/>
      <c r="MW192" s="145"/>
      <c r="MX192" s="145"/>
      <c r="MY192" s="145"/>
      <c r="MZ192" s="145"/>
      <c r="NA192" s="145"/>
      <c r="NB192" s="145"/>
      <c r="NC192" s="145"/>
      <c r="ND192" s="145"/>
      <c r="NE192" s="145"/>
      <c r="NF192" s="145"/>
      <c r="NG192" s="145"/>
      <c r="NH192" s="145"/>
      <c r="NI192" s="145"/>
      <c r="NJ192" s="145"/>
      <c r="NK192" s="145"/>
      <c r="NL192" s="145"/>
      <c r="NM192" s="145"/>
      <c r="NN192" s="145"/>
      <c r="NO192" s="145"/>
      <c r="NP192" s="145"/>
      <c r="NQ192" s="145"/>
      <c r="NR192" s="145"/>
      <c r="NS192" s="145"/>
    </row>
    <row r="193" spans="1:383" s="16" customFormat="1" ht="15" customHeight="1" x14ac:dyDescent="0.2">
      <c r="A193" s="15">
        <v>52011</v>
      </c>
      <c r="B193" s="25">
        <v>520</v>
      </c>
      <c r="C193" s="26">
        <v>11</v>
      </c>
      <c r="D193" s="20" t="s">
        <v>586</v>
      </c>
      <c r="E193" s="14">
        <v>42683</v>
      </c>
      <c r="F193" s="18">
        <v>1.1002161053039099</v>
      </c>
      <c r="G193" s="18">
        <v>1.09166288682746</v>
      </c>
      <c r="H193" s="21">
        <v>89.6</v>
      </c>
      <c r="I193" s="21">
        <v>83.5</v>
      </c>
      <c r="J193" s="21">
        <v>90</v>
      </c>
      <c r="K193" s="18">
        <v>1</v>
      </c>
      <c r="L193" s="18">
        <v>85</v>
      </c>
      <c r="M193" s="18">
        <v>7.4</v>
      </c>
      <c r="N193" s="18">
        <v>1.7</v>
      </c>
      <c r="O193" s="18">
        <v>1.5</v>
      </c>
      <c r="P193" s="18">
        <v>2.2999999999999998</v>
      </c>
      <c r="Q193" s="19"/>
      <c r="R193" s="18">
        <v>77</v>
      </c>
      <c r="S193" s="18">
        <v>28</v>
      </c>
      <c r="T193" s="18">
        <v>42</v>
      </c>
      <c r="U193" s="18">
        <v>47</v>
      </c>
      <c r="V193" s="18">
        <v>52</v>
      </c>
      <c r="W193" s="18">
        <v>55</v>
      </c>
      <c r="X193" s="18"/>
      <c r="Y193" s="18">
        <v>0.47058823529411764</v>
      </c>
      <c r="Z193" s="18">
        <v>3.0588235294117645</v>
      </c>
      <c r="AA193" s="18">
        <v>0.1</v>
      </c>
      <c r="AB193" s="18">
        <v>0</v>
      </c>
      <c r="AC193" s="18">
        <v>4.9411800000000001</v>
      </c>
      <c r="AD193" s="18">
        <v>1.2</v>
      </c>
      <c r="AE193" s="18">
        <v>0</v>
      </c>
      <c r="AF193" s="18">
        <v>71</v>
      </c>
      <c r="AG193" s="18">
        <v>4.9999999999999885</v>
      </c>
      <c r="AH193" s="18">
        <v>30</v>
      </c>
      <c r="AI193" s="18">
        <v>31</v>
      </c>
      <c r="AJ193" s="18">
        <v>0</v>
      </c>
      <c r="AK193" s="18">
        <v>0.03</v>
      </c>
      <c r="AL193" s="18"/>
      <c r="AM193" s="18">
        <v>3.7</v>
      </c>
      <c r="AN193" s="18">
        <v>1.7</v>
      </c>
      <c r="AO193" s="18">
        <v>2.35</v>
      </c>
      <c r="AP193" s="18">
        <v>3.29</v>
      </c>
      <c r="AQ193" s="18">
        <v>1.07</v>
      </c>
      <c r="AR193" s="18">
        <v>3.48</v>
      </c>
      <c r="AS193" s="18">
        <v>6.28</v>
      </c>
      <c r="AT193" s="18">
        <v>2.2799999999999998</v>
      </c>
      <c r="AU193" s="18">
        <v>4.49</v>
      </c>
      <c r="AV193" s="18">
        <v>2.7</v>
      </c>
      <c r="AW193" s="18">
        <v>4.67</v>
      </c>
      <c r="AX193" s="18"/>
      <c r="AY193" s="18">
        <v>0.97</v>
      </c>
      <c r="AZ193" s="18">
        <v>1.04</v>
      </c>
      <c r="BA193" s="18">
        <v>1.01</v>
      </c>
      <c r="BB193" s="18">
        <v>0.88</v>
      </c>
      <c r="BC193" s="18">
        <v>0.99</v>
      </c>
      <c r="BD193" s="18">
        <v>1</v>
      </c>
      <c r="BE193" s="18">
        <v>1.03</v>
      </c>
      <c r="BF193" s="18">
        <v>1.03</v>
      </c>
      <c r="BG193" s="18">
        <v>1.06</v>
      </c>
      <c r="BH193" s="18">
        <v>1</v>
      </c>
      <c r="BI193" s="18">
        <v>0.99</v>
      </c>
      <c r="BJ193" s="19"/>
      <c r="BK193" s="18">
        <v>8.7058823529411757</v>
      </c>
      <c r="BL193" s="18">
        <v>2</v>
      </c>
      <c r="BM193" s="18">
        <v>1.7647058823529411</v>
      </c>
      <c r="BN193" s="18">
        <v>2.7058823529411762</v>
      </c>
      <c r="BO193" s="18"/>
      <c r="BP193" s="18">
        <v>105</v>
      </c>
      <c r="BQ193" s="18">
        <v>21.000000000000004</v>
      </c>
      <c r="BR193" s="18">
        <v>1.2943718885928353</v>
      </c>
      <c r="BS193" s="18">
        <v>1.2843092786205412</v>
      </c>
      <c r="BT193" s="19"/>
      <c r="BU193" s="18">
        <v>982.35294117647061</v>
      </c>
      <c r="BV193" s="18">
        <v>695.95966386554585</v>
      </c>
      <c r="BW193" s="18">
        <v>85.605042016806593</v>
      </c>
      <c r="BX193" s="18">
        <v>612.99999999999989</v>
      </c>
      <c r="BY193" s="18">
        <v>32</v>
      </c>
      <c r="BZ193" s="18">
        <v>39</v>
      </c>
      <c r="CA193" s="18">
        <v>129</v>
      </c>
      <c r="CB193" s="19"/>
      <c r="CC193" s="19">
        <v>0.39999999999999997</v>
      </c>
      <c r="CD193" s="19">
        <v>2.5999999999999996</v>
      </c>
      <c r="CE193" s="19">
        <v>8.5000000000000006E-2</v>
      </c>
      <c r="CF193" s="19">
        <v>0</v>
      </c>
      <c r="CG193" s="19">
        <v>4.2000029999999997</v>
      </c>
      <c r="CH193" s="19">
        <v>1.02</v>
      </c>
      <c r="CI193" s="19">
        <v>0</v>
      </c>
      <c r="CJ193" s="19"/>
      <c r="CK193" s="19">
        <v>60.35</v>
      </c>
      <c r="CL193" s="19">
        <v>4.2499999999999902</v>
      </c>
      <c r="CM193" s="19">
        <v>25.5</v>
      </c>
      <c r="CN193" s="19">
        <v>26.349999999999998</v>
      </c>
      <c r="CO193" s="19">
        <v>0</v>
      </c>
      <c r="CP193" s="19">
        <v>2.5499999999999998E-2</v>
      </c>
      <c r="CQ193" s="19">
        <v>56.98</v>
      </c>
      <c r="CR193" s="19">
        <v>51.789825403674271</v>
      </c>
      <c r="CS193" s="19">
        <v>1.8587368337378696</v>
      </c>
      <c r="CT193" s="19">
        <v>0.91564411313696115</v>
      </c>
      <c r="CU193" s="19">
        <v>1.2292315059562087</v>
      </c>
      <c r="CV193" s="19">
        <v>2.1448756190931699</v>
      </c>
      <c r="CW193" s="19">
        <v>1.4994190250871775</v>
      </c>
      <c r="CX193" s="19">
        <v>0.5486096205011215</v>
      </c>
      <c r="CY193" s="19">
        <v>1.8022859240478646</v>
      </c>
      <c r="CZ193" s="19">
        <v>3.3499730664112666</v>
      </c>
      <c r="DA193" s="19">
        <v>1.2162322597798865</v>
      </c>
      <c r="DB193" s="19">
        <v>2.4648849502624732</v>
      </c>
      <c r="DC193" s="19">
        <v>1.3983252858992052</v>
      </c>
      <c r="DD193" s="19">
        <v>3.8632102361616782</v>
      </c>
      <c r="DE193" s="19">
        <v>2.3943989978880729</v>
      </c>
      <c r="DF193" s="23">
        <v>0</v>
      </c>
      <c r="DG193" s="23">
        <v>0</v>
      </c>
      <c r="DH193" s="23">
        <v>0</v>
      </c>
      <c r="DI193" s="19">
        <v>0</v>
      </c>
      <c r="DJ193" s="19">
        <v>0</v>
      </c>
      <c r="DK193" s="19">
        <v>0</v>
      </c>
      <c r="DL193" s="19">
        <v>0</v>
      </c>
      <c r="DM193" s="19">
        <v>0</v>
      </c>
      <c r="DN193" s="19">
        <v>0</v>
      </c>
      <c r="DO193" s="19">
        <v>0</v>
      </c>
      <c r="DP193" s="19">
        <v>0</v>
      </c>
      <c r="DQ193" s="19">
        <v>0</v>
      </c>
      <c r="DR193" s="19">
        <v>0</v>
      </c>
      <c r="DS193" s="19">
        <v>0</v>
      </c>
      <c r="DT193" s="19">
        <v>0</v>
      </c>
      <c r="DU193" s="19">
        <v>0</v>
      </c>
      <c r="DV193" s="19">
        <v>0</v>
      </c>
      <c r="DW193" s="17" t="s">
        <v>581</v>
      </c>
      <c r="DX193" s="22" t="s">
        <v>218</v>
      </c>
      <c r="DY193" s="22">
        <v>48</v>
      </c>
      <c r="DZ193" s="22">
        <v>24</v>
      </c>
      <c r="EA193" s="22">
        <v>24</v>
      </c>
      <c r="EB193" s="22" t="s">
        <v>218</v>
      </c>
      <c r="EC193" s="22">
        <v>24</v>
      </c>
      <c r="ED193" s="22">
        <v>24</v>
      </c>
      <c r="EE193" s="22" t="s">
        <v>218</v>
      </c>
      <c r="EF193" s="22">
        <v>24</v>
      </c>
      <c r="EG193" s="22">
        <v>24</v>
      </c>
      <c r="EH193" s="22" t="s">
        <v>218</v>
      </c>
      <c r="EI193" s="22" t="s">
        <v>218</v>
      </c>
      <c r="EJ193" s="22" t="s">
        <v>218</v>
      </c>
      <c r="EK193" s="22" t="s">
        <v>218</v>
      </c>
      <c r="EL193" s="22" t="s">
        <v>218</v>
      </c>
      <c r="EM193" s="22" t="s">
        <v>218</v>
      </c>
      <c r="EN193" s="22" t="s">
        <v>218</v>
      </c>
      <c r="EO193" s="22" t="s">
        <v>218</v>
      </c>
      <c r="EP193" s="22" t="s">
        <v>218</v>
      </c>
      <c r="EQ193" s="22" t="s">
        <v>218</v>
      </c>
      <c r="ER193" s="22" t="s">
        <v>218</v>
      </c>
      <c r="ES193" s="22">
        <v>24</v>
      </c>
      <c r="ET193" s="22">
        <v>48</v>
      </c>
      <c r="EU193" s="22" t="s">
        <v>218</v>
      </c>
      <c r="EV193" s="22" t="s">
        <v>218</v>
      </c>
      <c r="EW193" s="22" t="s">
        <v>218</v>
      </c>
      <c r="EX193" s="22" t="s">
        <v>218</v>
      </c>
      <c r="EY193" s="22" t="s">
        <v>218</v>
      </c>
      <c r="EZ193" s="22" t="s">
        <v>218</v>
      </c>
      <c r="FA193" s="22" t="s">
        <v>218</v>
      </c>
      <c r="FB193" s="22" t="s">
        <v>218</v>
      </c>
      <c r="FC193" s="22" t="s">
        <v>218</v>
      </c>
      <c r="FD193" s="22" t="s">
        <v>218</v>
      </c>
      <c r="FE193" s="22" t="s">
        <v>218</v>
      </c>
      <c r="FF193" s="22" t="s">
        <v>218</v>
      </c>
      <c r="FG193" s="22">
        <v>0.74</v>
      </c>
      <c r="FH193" s="22">
        <v>0.36</v>
      </c>
      <c r="FI193" s="22">
        <v>0.12</v>
      </c>
      <c r="FJ193" s="22" t="s">
        <v>218</v>
      </c>
      <c r="FK193" s="22">
        <v>1.29</v>
      </c>
      <c r="FL193" s="22">
        <v>1.43</v>
      </c>
      <c r="FM193" s="22" t="s">
        <v>218</v>
      </c>
      <c r="FN193" s="22">
        <v>2.33</v>
      </c>
      <c r="FO193" s="22">
        <v>1.89</v>
      </c>
      <c r="FP193" s="22" t="s">
        <v>218</v>
      </c>
      <c r="FQ193" s="22" t="s">
        <v>218</v>
      </c>
      <c r="FR193" s="22" t="s">
        <v>218</v>
      </c>
      <c r="FS193" s="22" t="s">
        <v>218</v>
      </c>
      <c r="FT193" s="22" t="s">
        <v>218</v>
      </c>
      <c r="FU193" s="22" t="s">
        <v>218</v>
      </c>
      <c r="FV193" s="22" t="s">
        <v>218</v>
      </c>
      <c r="FW193" s="22" t="s">
        <v>218</v>
      </c>
      <c r="FX193" s="22" t="s">
        <v>218</v>
      </c>
      <c r="FY193" s="22" t="s">
        <v>218</v>
      </c>
      <c r="FZ193" s="22" t="s">
        <v>218</v>
      </c>
      <c r="GA193" s="22">
        <v>0.1</v>
      </c>
      <c r="GB193" s="22">
        <v>0.31</v>
      </c>
      <c r="GC193" s="22" t="s">
        <v>218</v>
      </c>
      <c r="GD193" s="22" t="s">
        <v>218</v>
      </c>
      <c r="GE193" s="22" t="s">
        <v>218</v>
      </c>
      <c r="GF193" s="22" t="s">
        <v>218</v>
      </c>
      <c r="GG193" s="22" t="s">
        <v>218</v>
      </c>
      <c r="GH193" s="22" t="s">
        <v>218</v>
      </c>
      <c r="GI193" s="22" t="s">
        <v>218</v>
      </c>
      <c r="GJ193" s="22" t="s">
        <v>218</v>
      </c>
      <c r="GK193" s="22" t="s">
        <v>218</v>
      </c>
      <c r="GL193" s="22" t="s">
        <v>218</v>
      </c>
      <c r="GM193" s="22" t="s">
        <v>218</v>
      </c>
      <c r="GN193" s="22" t="s">
        <v>218</v>
      </c>
      <c r="GO193" s="22" t="s">
        <v>238</v>
      </c>
      <c r="GP193" s="22" t="s">
        <v>238</v>
      </c>
      <c r="GQ193" s="22" t="s">
        <v>238</v>
      </c>
      <c r="GR193" s="22" t="s">
        <v>218</v>
      </c>
      <c r="GS193" s="22" t="s">
        <v>238</v>
      </c>
      <c r="GT193" s="22" t="s">
        <v>238</v>
      </c>
      <c r="GU193" s="22" t="s">
        <v>218</v>
      </c>
      <c r="GV193" s="22" t="s">
        <v>238</v>
      </c>
      <c r="GW193" s="22" t="s">
        <v>238</v>
      </c>
      <c r="GX193" s="22" t="s">
        <v>218</v>
      </c>
      <c r="GY193" s="22" t="s">
        <v>218</v>
      </c>
      <c r="GZ193" s="22" t="s">
        <v>218</v>
      </c>
      <c r="HA193" s="22" t="s">
        <v>218</v>
      </c>
      <c r="HB193" s="22" t="s">
        <v>218</v>
      </c>
      <c r="HC193" s="22" t="s">
        <v>218</v>
      </c>
      <c r="HD193" s="22" t="s">
        <v>218</v>
      </c>
      <c r="HE193" s="22" t="s">
        <v>218</v>
      </c>
      <c r="HF193" s="22" t="s">
        <v>218</v>
      </c>
      <c r="HG193" s="22" t="s">
        <v>218</v>
      </c>
      <c r="HH193" s="22" t="s">
        <v>218</v>
      </c>
      <c r="HI193" s="22" t="s">
        <v>238</v>
      </c>
      <c r="HJ193" s="22" t="s">
        <v>238</v>
      </c>
      <c r="HK193" s="22" t="s">
        <v>218</v>
      </c>
      <c r="HL193" s="22" t="s">
        <v>218</v>
      </c>
      <c r="HM193" s="622">
        <f>'background data'!$G$10</f>
        <v>0.47300000000000003</v>
      </c>
      <c r="HN193" s="622">
        <f>'background data'!$H$10</f>
        <v>0.13</v>
      </c>
      <c r="HO193" s="622">
        <f>'background data'!$J$10</f>
        <v>0.39100000000000001</v>
      </c>
      <c r="HP193" s="622">
        <f>'background data'!$L$10</f>
        <v>5.5E-2</v>
      </c>
      <c r="HQ193" s="622">
        <f>'background data'!$M$10</f>
        <v>3.97</v>
      </c>
      <c r="HR193" s="622">
        <f>'background data'!$N$10</f>
        <v>4.5999999999999999E-3</v>
      </c>
      <c r="HS193" s="622">
        <f>'background data'!$O$10</f>
        <v>2.73</v>
      </c>
      <c r="HT193" s="145" t="s">
        <v>1797</v>
      </c>
      <c r="HU193" s="145" t="s">
        <v>1809</v>
      </c>
      <c r="HV193" s="22" t="s">
        <v>1398</v>
      </c>
      <c r="HW193" s="22" t="s">
        <v>582</v>
      </c>
      <c r="HX193" s="22">
        <v>0</v>
      </c>
      <c r="HY193" s="22" t="s">
        <v>583</v>
      </c>
      <c r="HZ193" s="19"/>
      <c r="IA193" s="19"/>
      <c r="IB193" s="622">
        <f>'background data'!$G$10</f>
        <v>0.47300000000000003</v>
      </c>
      <c r="IC193" s="622">
        <f>'background data'!$H$10</f>
        <v>0.13</v>
      </c>
      <c r="ID193" s="622">
        <f>'background data'!$J$10</f>
        <v>0.39100000000000001</v>
      </c>
      <c r="IE193" s="622">
        <f>'background data'!$L$10</f>
        <v>5.5E-2</v>
      </c>
      <c r="IF193" s="622">
        <f>'background data'!$M$10</f>
        <v>3.97</v>
      </c>
      <c r="IG193" s="622">
        <f>'background data'!$N$10</f>
        <v>4.5999999999999999E-3</v>
      </c>
      <c r="IH193" s="622">
        <f>'background data'!$O$10</f>
        <v>2.73</v>
      </c>
      <c r="II193" s="145" t="s">
        <v>1797</v>
      </c>
      <c r="IJ193" s="145" t="s">
        <v>1398</v>
      </c>
      <c r="IK193" s="145"/>
      <c r="IL193" s="145"/>
      <c r="IM193" s="145"/>
      <c r="IN193" s="145"/>
      <c r="IO193" s="145"/>
      <c r="IP193" s="145"/>
      <c r="IQ193" s="145"/>
      <c r="IR193" s="145"/>
      <c r="IS193" s="145"/>
      <c r="IT193" s="145"/>
      <c r="IU193" s="145"/>
      <c r="IV193" s="145"/>
      <c r="IW193" s="145"/>
      <c r="IX193" s="145"/>
      <c r="IY193" s="145"/>
      <c r="IZ193" s="145"/>
      <c r="JA193" s="145"/>
      <c r="JB193" s="145"/>
      <c r="JC193" s="145"/>
      <c r="JD193" s="145"/>
      <c r="JE193" s="145"/>
      <c r="JF193" s="145"/>
      <c r="JG193" s="145"/>
      <c r="JH193" s="145"/>
      <c r="JI193" s="145"/>
      <c r="JJ193" s="145"/>
      <c r="JK193" s="145"/>
      <c r="JL193" s="145"/>
      <c r="JM193" s="145"/>
      <c r="JN193" s="145"/>
      <c r="JO193" s="145"/>
      <c r="JP193" s="145"/>
      <c r="JQ193" s="145"/>
      <c r="JR193" s="145"/>
      <c r="JS193" s="145"/>
      <c r="JT193" s="145"/>
      <c r="JU193" s="145"/>
      <c r="JV193" s="145"/>
      <c r="JW193" s="145"/>
      <c r="JX193" s="145"/>
      <c r="JY193" s="145"/>
      <c r="JZ193" s="145"/>
      <c r="KA193" s="145"/>
      <c r="KB193" s="145"/>
      <c r="KC193" s="145"/>
      <c r="KD193" s="145"/>
      <c r="KE193" s="145"/>
      <c r="KF193" s="145"/>
      <c r="KG193" s="145"/>
      <c r="KH193" s="145"/>
      <c r="KI193" s="145"/>
      <c r="KJ193" s="145"/>
      <c r="KK193" s="145"/>
      <c r="KL193" s="145"/>
      <c r="KM193" s="145"/>
      <c r="KN193" s="145"/>
      <c r="KO193" s="145"/>
      <c r="KP193" s="145"/>
      <c r="KQ193" s="145"/>
      <c r="KR193" s="145"/>
      <c r="KS193" s="145"/>
      <c r="KT193" s="145"/>
      <c r="KU193" s="145"/>
      <c r="KV193" s="145"/>
      <c r="KW193" s="145"/>
      <c r="KX193" s="145"/>
      <c r="KY193" s="145"/>
      <c r="KZ193" s="145"/>
      <c r="LA193" s="145"/>
      <c r="LB193" s="145"/>
      <c r="LC193" s="145"/>
      <c r="LD193" s="145"/>
      <c r="LE193" s="145"/>
      <c r="LF193" s="145"/>
      <c r="LG193" s="145"/>
      <c r="LH193" s="145"/>
      <c r="LI193" s="145"/>
      <c r="LJ193" s="145"/>
      <c r="LK193" s="145"/>
      <c r="LL193" s="145"/>
      <c r="LM193" s="145"/>
      <c r="LN193" s="145"/>
      <c r="LO193" s="145"/>
      <c r="LP193" s="145"/>
      <c r="LQ193" s="145"/>
      <c r="LR193" s="145"/>
      <c r="LS193" s="145"/>
      <c r="LT193" s="145"/>
      <c r="LU193" s="145"/>
      <c r="LV193" s="145"/>
      <c r="LW193" s="145"/>
      <c r="LX193" s="145"/>
      <c r="LY193" s="145"/>
      <c r="LZ193" s="145"/>
      <c r="MA193" s="145"/>
      <c r="MB193" s="145"/>
      <c r="MC193" s="145"/>
      <c r="MD193" s="145"/>
      <c r="ME193" s="145"/>
      <c r="MF193" s="145"/>
      <c r="MG193" s="145"/>
      <c r="MH193" s="145"/>
      <c r="MI193" s="145"/>
      <c r="MJ193" s="145"/>
      <c r="MK193" s="145"/>
      <c r="ML193" s="145"/>
      <c r="MM193" s="145"/>
      <c r="MN193" s="145"/>
      <c r="MO193" s="145"/>
      <c r="MP193" s="145"/>
      <c r="MQ193" s="145"/>
      <c r="MR193" s="145"/>
      <c r="MS193" s="145"/>
      <c r="MT193" s="145"/>
      <c r="MU193" s="145"/>
      <c r="MV193" s="145"/>
      <c r="MW193" s="145"/>
      <c r="MX193" s="145"/>
      <c r="MY193" s="145"/>
      <c r="MZ193" s="145"/>
      <c r="NA193" s="145"/>
      <c r="NB193" s="145"/>
      <c r="NC193" s="145"/>
      <c r="ND193" s="145"/>
      <c r="NE193" s="145"/>
      <c r="NF193" s="145"/>
      <c r="NG193" s="145"/>
      <c r="NH193" s="145"/>
      <c r="NI193" s="145"/>
      <c r="NJ193" s="145"/>
      <c r="NK193" s="145"/>
      <c r="NL193" s="145"/>
      <c r="NM193" s="145"/>
      <c r="NN193" s="145"/>
      <c r="NO193" s="145"/>
      <c r="NP193" s="145"/>
      <c r="NQ193" s="145"/>
      <c r="NR193" s="145"/>
      <c r="NS193" s="145"/>
    </row>
    <row r="194" spans="1:383" s="16" customFormat="1" ht="15" customHeight="1" x14ac:dyDescent="0.2">
      <c r="A194" s="15">
        <v>52100</v>
      </c>
      <c r="B194" s="25">
        <v>521</v>
      </c>
      <c r="C194" s="26">
        <v>0</v>
      </c>
      <c r="D194" s="20" t="s">
        <v>587</v>
      </c>
      <c r="E194" s="14">
        <v>42683</v>
      </c>
      <c r="F194" s="18">
        <v>1.0915497193186201</v>
      </c>
      <c r="G194" s="18">
        <v>1.08454487198516</v>
      </c>
      <c r="H194" s="21">
        <v>89.1</v>
      </c>
      <c r="I194" s="21">
        <v>82.9</v>
      </c>
      <c r="J194" s="21">
        <v>90</v>
      </c>
      <c r="K194" s="18">
        <v>1</v>
      </c>
      <c r="L194" s="18">
        <v>85</v>
      </c>
      <c r="M194" s="18">
        <v>8.1</v>
      </c>
      <c r="N194" s="18">
        <v>1.8</v>
      </c>
      <c r="O194" s="18">
        <v>1.5</v>
      </c>
      <c r="P194" s="18">
        <v>2.2999999999999998</v>
      </c>
      <c r="Q194" s="19"/>
      <c r="R194" s="18">
        <v>77</v>
      </c>
      <c r="S194" s="18">
        <v>50</v>
      </c>
      <c r="T194" s="18">
        <v>53</v>
      </c>
      <c r="U194" s="18">
        <v>54</v>
      </c>
      <c r="V194" s="18">
        <v>55</v>
      </c>
      <c r="W194" s="18">
        <v>56</v>
      </c>
      <c r="X194" s="18"/>
      <c r="Y194" s="18">
        <v>0.50588235294117645</v>
      </c>
      <c r="Z194" s="18">
        <v>3.0588235294117645</v>
      </c>
      <c r="AA194" s="18">
        <v>0.1</v>
      </c>
      <c r="AB194" s="18">
        <v>0</v>
      </c>
      <c r="AC194" s="18">
        <v>4.9411800000000001</v>
      </c>
      <c r="AD194" s="18">
        <v>1.2</v>
      </c>
      <c r="AE194" s="18">
        <v>0</v>
      </c>
      <c r="AF194" s="18">
        <v>71</v>
      </c>
      <c r="AG194" s="18">
        <v>4.9999999999999885</v>
      </c>
      <c r="AH194" s="18">
        <v>30</v>
      </c>
      <c r="AI194" s="18">
        <v>31</v>
      </c>
      <c r="AJ194" s="18">
        <v>0</v>
      </c>
      <c r="AK194" s="18">
        <v>0.03</v>
      </c>
      <c r="AL194" s="18"/>
      <c r="AM194" s="18">
        <v>3.7</v>
      </c>
      <c r="AN194" s="18">
        <v>1.7</v>
      </c>
      <c r="AO194" s="18">
        <v>2.35</v>
      </c>
      <c r="AP194" s="18">
        <v>3.29</v>
      </c>
      <c r="AQ194" s="18">
        <v>1.07</v>
      </c>
      <c r="AR194" s="18">
        <v>3.48</v>
      </c>
      <c r="AS194" s="18">
        <v>6.28</v>
      </c>
      <c r="AT194" s="18">
        <v>2.2799999999999998</v>
      </c>
      <c r="AU194" s="18">
        <v>4.49</v>
      </c>
      <c r="AV194" s="18">
        <v>2.7</v>
      </c>
      <c r="AW194" s="18">
        <v>4.67</v>
      </c>
      <c r="AX194" s="18"/>
      <c r="AY194" s="18">
        <v>0.97</v>
      </c>
      <c r="AZ194" s="18">
        <v>1.04</v>
      </c>
      <c r="BA194" s="18">
        <v>1.01</v>
      </c>
      <c r="BB194" s="18">
        <v>0.88</v>
      </c>
      <c r="BC194" s="18">
        <v>0.99</v>
      </c>
      <c r="BD194" s="18">
        <v>1</v>
      </c>
      <c r="BE194" s="18">
        <v>1.03</v>
      </c>
      <c r="BF194" s="18">
        <v>1.03</v>
      </c>
      <c r="BG194" s="18">
        <v>1.06</v>
      </c>
      <c r="BH194" s="18">
        <v>1</v>
      </c>
      <c r="BI194" s="18">
        <v>0.99</v>
      </c>
      <c r="BJ194" s="19"/>
      <c r="BK194" s="18">
        <v>9.5294117647058822</v>
      </c>
      <c r="BL194" s="18">
        <v>2.1176470588235294</v>
      </c>
      <c r="BM194" s="18">
        <v>1.7647058823529411</v>
      </c>
      <c r="BN194" s="18">
        <v>2.7058823529411762</v>
      </c>
      <c r="BO194" s="18"/>
      <c r="BP194" s="18">
        <v>105</v>
      </c>
      <c r="BQ194" s="18">
        <v>22.235294117647054</v>
      </c>
      <c r="BR194" s="18">
        <v>1.2841761403748471</v>
      </c>
      <c r="BS194" s="18">
        <v>1.275935143511953</v>
      </c>
      <c r="BT194" s="19"/>
      <c r="BU194" s="18">
        <v>982.35294117647061</v>
      </c>
      <c r="BV194" s="18">
        <v>681.00924369747884</v>
      </c>
      <c r="BW194" s="18">
        <v>87.008403361344349</v>
      </c>
      <c r="BX194" s="18">
        <v>612.99999999999989</v>
      </c>
      <c r="BY194" s="18">
        <v>32</v>
      </c>
      <c r="BZ194" s="18">
        <v>39</v>
      </c>
      <c r="CA194" s="18">
        <v>129</v>
      </c>
      <c r="CB194" s="19"/>
      <c r="CC194" s="19">
        <v>0.43</v>
      </c>
      <c r="CD194" s="19">
        <v>2.5999999999999996</v>
      </c>
      <c r="CE194" s="19">
        <v>8.5000000000000006E-2</v>
      </c>
      <c r="CF194" s="19">
        <v>0</v>
      </c>
      <c r="CG194" s="19">
        <v>4.2000029999999997</v>
      </c>
      <c r="CH194" s="19">
        <v>1.02</v>
      </c>
      <c r="CI194" s="19">
        <v>0</v>
      </c>
      <c r="CJ194" s="19"/>
      <c r="CK194" s="19">
        <v>60.35</v>
      </c>
      <c r="CL194" s="19">
        <v>4.2499999999999902</v>
      </c>
      <c r="CM194" s="19">
        <v>25.5</v>
      </c>
      <c r="CN194" s="19">
        <v>26.349999999999998</v>
      </c>
      <c r="CO194" s="19">
        <v>0</v>
      </c>
      <c r="CP194" s="19">
        <v>2.5499999999999998E-2</v>
      </c>
      <c r="CQ194" s="19">
        <v>62.37</v>
      </c>
      <c r="CR194" s="19">
        <v>57.138945570828717</v>
      </c>
      <c r="CS194" s="19">
        <v>2.0507167565370428</v>
      </c>
      <c r="CT194" s="19">
        <v>1.0102165576922517</v>
      </c>
      <c r="CU194" s="19">
        <v>1.3561928731236197</v>
      </c>
      <c r="CV194" s="19">
        <v>2.3664094308158714</v>
      </c>
      <c r="CW194" s="19">
        <v>1.6542867521666331</v>
      </c>
      <c r="CX194" s="19">
        <v>0.60527285043178869</v>
      </c>
      <c r="CY194" s="19">
        <v>1.9884353058648392</v>
      </c>
      <c r="CZ194" s="19">
        <v>3.6959755553034848</v>
      </c>
      <c r="DA194" s="19">
        <v>1.3418509977853417</v>
      </c>
      <c r="DB194" s="19">
        <v>2.7194709754980222</v>
      </c>
      <c r="DC194" s="19">
        <v>1.5427515304123756</v>
      </c>
      <c r="DD194" s="19">
        <v>4.2622225059103975</v>
      </c>
      <c r="DE194" s="19">
        <v>2.6417048705761244</v>
      </c>
      <c r="DF194" s="23">
        <v>0</v>
      </c>
      <c r="DG194" s="23">
        <v>0</v>
      </c>
      <c r="DH194" s="23">
        <v>0</v>
      </c>
      <c r="DI194" s="19">
        <v>0</v>
      </c>
      <c r="DJ194" s="19">
        <v>0</v>
      </c>
      <c r="DK194" s="19">
        <v>0</v>
      </c>
      <c r="DL194" s="19">
        <v>0</v>
      </c>
      <c r="DM194" s="19">
        <v>0</v>
      </c>
      <c r="DN194" s="19">
        <v>0</v>
      </c>
      <c r="DO194" s="19">
        <v>0</v>
      </c>
      <c r="DP194" s="19">
        <v>0</v>
      </c>
      <c r="DQ194" s="19">
        <v>0</v>
      </c>
      <c r="DR194" s="19">
        <v>0</v>
      </c>
      <c r="DS194" s="19">
        <v>0</v>
      </c>
      <c r="DT194" s="19">
        <v>0</v>
      </c>
      <c r="DU194" s="19">
        <v>0</v>
      </c>
      <c r="DV194" s="19">
        <v>0</v>
      </c>
      <c r="DW194" s="17" t="s">
        <v>581</v>
      </c>
      <c r="DX194" s="22" t="s">
        <v>218</v>
      </c>
      <c r="DY194" s="22">
        <v>16</v>
      </c>
      <c r="DZ194" s="22">
        <v>8</v>
      </c>
      <c r="EA194" s="22">
        <v>8</v>
      </c>
      <c r="EB194" s="22" t="s">
        <v>218</v>
      </c>
      <c r="EC194" s="22">
        <v>8</v>
      </c>
      <c r="ED194" s="22">
        <v>8</v>
      </c>
      <c r="EE194" s="22" t="s">
        <v>218</v>
      </c>
      <c r="EF194" s="22">
        <v>8</v>
      </c>
      <c r="EG194" s="22">
        <v>8</v>
      </c>
      <c r="EH194" s="22" t="s">
        <v>218</v>
      </c>
      <c r="EI194" s="22" t="s">
        <v>218</v>
      </c>
      <c r="EJ194" s="22" t="s">
        <v>218</v>
      </c>
      <c r="EK194" s="22" t="s">
        <v>218</v>
      </c>
      <c r="EL194" s="22" t="s">
        <v>218</v>
      </c>
      <c r="EM194" s="22" t="s">
        <v>218</v>
      </c>
      <c r="EN194" s="22" t="s">
        <v>218</v>
      </c>
      <c r="EO194" s="22" t="s">
        <v>218</v>
      </c>
      <c r="EP194" s="22" t="s">
        <v>218</v>
      </c>
      <c r="EQ194" s="22" t="s">
        <v>218</v>
      </c>
      <c r="ER194" s="22" t="s">
        <v>218</v>
      </c>
      <c r="ES194" s="22">
        <v>8</v>
      </c>
      <c r="ET194" s="22">
        <v>16</v>
      </c>
      <c r="EU194" s="22" t="s">
        <v>218</v>
      </c>
      <c r="EV194" s="22" t="s">
        <v>218</v>
      </c>
      <c r="EW194" s="22" t="s">
        <v>218</v>
      </c>
      <c r="EX194" s="22" t="s">
        <v>218</v>
      </c>
      <c r="EY194" s="22" t="s">
        <v>218</v>
      </c>
      <c r="EZ194" s="22" t="s">
        <v>218</v>
      </c>
      <c r="FA194" s="22" t="s">
        <v>218</v>
      </c>
      <c r="FB194" s="22" t="s">
        <v>218</v>
      </c>
      <c r="FC194" s="22" t="s">
        <v>218</v>
      </c>
      <c r="FD194" s="22" t="s">
        <v>218</v>
      </c>
      <c r="FE194" s="22" t="s">
        <v>218</v>
      </c>
      <c r="FF194" s="22" t="s">
        <v>218</v>
      </c>
      <c r="FG194" s="22">
        <v>0.4</v>
      </c>
      <c r="FH194" s="22">
        <v>0.34</v>
      </c>
      <c r="FI194" s="22">
        <v>0.11</v>
      </c>
      <c r="FJ194" s="22" t="s">
        <v>218</v>
      </c>
      <c r="FK194" s="22">
        <v>1.5</v>
      </c>
      <c r="FL194" s="22">
        <v>1.45</v>
      </c>
      <c r="FM194" s="22" t="s">
        <v>218</v>
      </c>
      <c r="FN194" s="22">
        <v>4.04</v>
      </c>
      <c r="FO194" s="22">
        <v>3.79</v>
      </c>
      <c r="FP194" s="22" t="s">
        <v>218</v>
      </c>
      <c r="FQ194" s="22" t="s">
        <v>218</v>
      </c>
      <c r="FR194" s="22" t="s">
        <v>218</v>
      </c>
      <c r="FS194" s="22" t="s">
        <v>218</v>
      </c>
      <c r="FT194" s="22" t="s">
        <v>218</v>
      </c>
      <c r="FU194" s="22" t="s">
        <v>218</v>
      </c>
      <c r="FV194" s="22" t="s">
        <v>218</v>
      </c>
      <c r="FW194" s="22" t="s">
        <v>218</v>
      </c>
      <c r="FX194" s="22" t="s">
        <v>218</v>
      </c>
      <c r="FY194" s="22" t="s">
        <v>218</v>
      </c>
      <c r="FZ194" s="22" t="s">
        <v>218</v>
      </c>
      <c r="GA194" s="22">
        <v>0.08</v>
      </c>
      <c r="GB194" s="22">
        <v>0.2</v>
      </c>
      <c r="GC194" s="22" t="s">
        <v>218</v>
      </c>
      <c r="GD194" s="22" t="s">
        <v>218</v>
      </c>
      <c r="GE194" s="22" t="s">
        <v>218</v>
      </c>
      <c r="GF194" s="22" t="s">
        <v>218</v>
      </c>
      <c r="GG194" s="22" t="s">
        <v>218</v>
      </c>
      <c r="GH194" s="22" t="s">
        <v>218</v>
      </c>
      <c r="GI194" s="22" t="s">
        <v>218</v>
      </c>
      <c r="GJ194" s="22" t="s">
        <v>218</v>
      </c>
      <c r="GK194" s="22" t="s">
        <v>218</v>
      </c>
      <c r="GL194" s="22" t="s">
        <v>218</v>
      </c>
      <c r="GM194" s="22" t="s">
        <v>218</v>
      </c>
      <c r="GN194" s="22" t="s">
        <v>218</v>
      </c>
      <c r="GO194" s="22">
        <v>2016</v>
      </c>
      <c r="GP194" s="22">
        <v>2016</v>
      </c>
      <c r="GQ194" s="22">
        <v>2016</v>
      </c>
      <c r="GR194" s="22" t="s">
        <v>218</v>
      </c>
      <c r="GS194" s="22">
        <v>2016</v>
      </c>
      <c r="GT194" s="22">
        <v>2016</v>
      </c>
      <c r="GU194" s="22" t="s">
        <v>218</v>
      </c>
      <c r="GV194" s="22">
        <v>2016</v>
      </c>
      <c r="GW194" s="22">
        <v>2016</v>
      </c>
      <c r="GX194" s="22" t="s">
        <v>218</v>
      </c>
      <c r="GY194" s="22" t="s">
        <v>218</v>
      </c>
      <c r="GZ194" s="22" t="s">
        <v>218</v>
      </c>
      <c r="HA194" s="22" t="s">
        <v>218</v>
      </c>
      <c r="HB194" s="22" t="s">
        <v>218</v>
      </c>
      <c r="HC194" s="22" t="s">
        <v>218</v>
      </c>
      <c r="HD194" s="22" t="s">
        <v>218</v>
      </c>
      <c r="HE194" s="22" t="s">
        <v>218</v>
      </c>
      <c r="HF194" s="22" t="s">
        <v>218</v>
      </c>
      <c r="HG194" s="22" t="s">
        <v>218</v>
      </c>
      <c r="HH194" s="22" t="s">
        <v>218</v>
      </c>
      <c r="HI194" s="22">
        <v>2016</v>
      </c>
      <c r="HJ194" s="22">
        <v>2016</v>
      </c>
      <c r="HK194" s="22" t="s">
        <v>218</v>
      </c>
      <c r="HL194" s="22" t="s">
        <v>218</v>
      </c>
      <c r="HM194" s="622">
        <f>'background data'!$G$10</f>
        <v>0.47300000000000003</v>
      </c>
      <c r="HN194" s="622">
        <f>'background data'!$H$10</f>
        <v>0.13</v>
      </c>
      <c r="HO194" s="622">
        <f>'background data'!$J$10</f>
        <v>0.39100000000000001</v>
      </c>
      <c r="HP194" s="622">
        <f>'background data'!$L$10</f>
        <v>5.5E-2</v>
      </c>
      <c r="HQ194" s="622">
        <f>'background data'!$M$10</f>
        <v>3.97</v>
      </c>
      <c r="HR194" s="622">
        <f>'background data'!$N$10</f>
        <v>4.5999999999999999E-3</v>
      </c>
      <c r="HS194" s="622">
        <f>'background data'!$O$10</f>
        <v>2.73</v>
      </c>
      <c r="HT194" s="145" t="s">
        <v>1797</v>
      </c>
      <c r="HU194" s="145" t="s">
        <v>1809</v>
      </c>
      <c r="HV194" s="22" t="s">
        <v>1398</v>
      </c>
      <c r="HW194" s="22" t="s">
        <v>582</v>
      </c>
      <c r="HX194" s="22">
        <v>0</v>
      </c>
      <c r="HY194" s="22" t="s">
        <v>583</v>
      </c>
      <c r="HZ194" s="19"/>
      <c r="IA194" s="19"/>
      <c r="IB194" s="622">
        <f>'background data'!$G$10</f>
        <v>0.47300000000000003</v>
      </c>
      <c r="IC194" s="622">
        <f>'background data'!$H$10</f>
        <v>0.13</v>
      </c>
      <c r="ID194" s="622">
        <f>'background data'!$J$10</f>
        <v>0.39100000000000001</v>
      </c>
      <c r="IE194" s="622">
        <f>'background data'!$L$10</f>
        <v>5.5E-2</v>
      </c>
      <c r="IF194" s="622">
        <f>'background data'!$M$10</f>
        <v>3.97</v>
      </c>
      <c r="IG194" s="622">
        <f>'background data'!$N$10</f>
        <v>4.5999999999999999E-3</v>
      </c>
      <c r="IH194" s="622">
        <f>'background data'!$O$10</f>
        <v>2.73</v>
      </c>
      <c r="II194" s="145" t="s">
        <v>1797</v>
      </c>
      <c r="IJ194" s="145" t="s">
        <v>1398</v>
      </c>
      <c r="IK194" s="145"/>
      <c r="IL194" s="145"/>
      <c r="IM194" s="145"/>
      <c r="IN194" s="145"/>
      <c r="IO194" s="145"/>
      <c r="IP194" s="145"/>
      <c r="IQ194" s="145"/>
      <c r="IR194" s="145"/>
      <c r="IS194" s="145"/>
      <c r="IT194" s="145"/>
      <c r="IU194" s="145"/>
      <c r="IV194" s="145"/>
      <c r="IW194" s="145"/>
      <c r="IX194" s="145"/>
      <c r="IY194" s="145"/>
      <c r="IZ194" s="145"/>
      <c r="JA194" s="145"/>
      <c r="JB194" s="145"/>
      <c r="JC194" s="145"/>
      <c r="JD194" s="145"/>
      <c r="JE194" s="145"/>
      <c r="JF194" s="145"/>
      <c r="JG194" s="145"/>
      <c r="JH194" s="145"/>
      <c r="JI194" s="145"/>
      <c r="JJ194" s="145"/>
      <c r="JK194" s="145"/>
      <c r="JL194" s="145"/>
      <c r="JM194" s="145"/>
      <c r="JN194" s="145"/>
      <c r="JO194" s="145"/>
      <c r="JP194" s="145"/>
      <c r="JQ194" s="145"/>
      <c r="JR194" s="145"/>
      <c r="JS194" s="145"/>
      <c r="JT194" s="145"/>
      <c r="JU194" s="145"/>
      <c r="JV194" s="145"/>
      <c r="JW194" s="145"/>
      <c r="JX194" s="145"/>
      <c r="JY194" s="145"/>
      <c r="JZ194" s="145"/>
      <c r="KA194" s="145"/>
      <c r="KB194" s="145"/>
      <c r="KC194" s="145"/>
      <c r="KD194" s="145"/>
      <c r="KE194" s="145"/>
      <c r="KF194" s="145"/>
      <c r="KG194" s="145"/>
      <c r="KH194" s="145"/>
      <c r="KI194" s="145"/>
      <c r="KJ194" s="145"/>
      <c r="KK194" s="145"/>
      <c r="KL194" s="145"/>
      <c r="KM194" s="145"/>
      <c r="KN194" s="145"/>
      <c r="KO194" s="145"/>
      <c r="KP194" s="145"/>
      <c r="KQ194" s="145"/>
      <c r="KR194" s="145"/>
      <c r="KS194" s="145"/>
      <c r="KT194" s="145"/>
      <c r="KU194" s="145"/>
      <c r="KV194" s="145"/>
      <c r="KW194" s="145"/>
      <c r="KX194" s="145"/>
      <c r="KY194" s="145"/>
      <c r="KZ194" s="145"/>
      <c r="LA194" s="145"/>
      <c r="LB194" s="145"/>
      <c r="LC194" s="145"/>
      <c r="LD194" s="145"/>
      <c r="LE194" s="145"/>
      <c r="LF194" s="145"/>
      <c r="LG194" s="145"/>
      <c r="LH194" s="145"/>
      <c r="LI194" s="145"/>
      <c r="LJ194" s="145"/>
      <c r="LK194" s="145"/>
      <c r="LL194" s="145"/>
      <c r="LM194" s="145"/>
      <c r="LN194" s="145"/>
      <c r="LO194" s="145"/>
      <c r="LP194" s="145"/>
      <c r="LQ194" s="145"/>
      <c r="LR194" s="145"/>
      <c r="LS194" s="145"/>
      <c r="LT194" s="145"/>
      <c r="LU194" s="145"/>
      <c r="LV194" s="145"/>
      <c r="LW194" s="145"/>
      <c r="LX194" s="145"/>
      <c r="LY194" s="145"/>
      <c r="LZ194" s="145"/>
      <c r="MA194" s="145"/>
      <c r="MB194" s="145"/>
      <c r="MC194" s="145"/>
      <c r="MD194" s="145"/>
      <c r="ME194" s="145"/>
      <c r="MF194" s="145"/>
      <c r="MG194" s="145"/>
      <c r="MH194" s="145"/>
      <c r="MI194" s="145"/>
      <c r="MJ194" s="145"/>
      <c r="MK194" s="145"/>
      <c r="ML194" s="145"/>
      <c r="MM194" s="145"/>
      <c r="MN194" s="145"/>
      <c r="MO194" s="145"/>
      <c r="MP194" s="145"/>
      <c r="MQ194" s="145"/>
      <c r="MR194" s="145"/>
      <c r="MS194" s="145"/>
      <c r="MT194" s="145"/>
      <c r="MU194" s="145"/>
      <c r="MV194" s="145"/>
      <c r="MW194" s="145"/>
      <c r="MX194" s="145"/>
      <c r="MY194" s="145"/>
      <c r="MZ194" s="145"/>
      <c r="NA194" s="145"/>
      <c r="NB194" s="145"/>
      <c r="NC194" s="145"/>
      <c r="ND194" s="145"/>
      <c r="NE194" s="145"/>
      <c r="NF194" s="145"/>
      <c r="NG194" s="145"/>
      <c r="NH194" s="145"/>
      <c r="NI194" s="145"/>
      <c r="NJ194" s="145"/>
      <c r="NK194" s="145"/>
      <c r="NL194" s="145"/>
      <c r="NM194" s="145"/>
      <c r="NN194" s="145"/>
      <c r="NO194" s="145"/>
      <c r="NP194" s="145"/>
      <c r="NQ194" s="145"/>
      <c r="NR194" s="145"/>
      <c r="NS194" s="145"/>
    </row>
    <row r="195" spans="1:383" s="16" customFormat="1" ht="15" customHeight="1" x14ac:dyDescent="0.2">
      <c r="A195" s="15">
        <v>52101</v>
      </c>
      <c r="B195" s="25">
        <v>521</v>
      </c>
      <c r="C195" s="26">
        <v>1</v>
      </c>
      <c r="D195" s="20" t="s">
        <v>588</v>
      </c>
      <c r="E195" s="14">
        <v>42683</v>
      </c>
      <c r="F195" s="18">
        <v>1.10003549167634</v>
      </c>
      <c r="G195" s="18">
        <v>1.0905091576994399</v>
      </c>
      <c r="H195" s="21">
        <v>89.1</v>
      </c>
      <c r="I195" s="21">
        <v>83.6</v>
      </c>
      <c r="J195" s="21">
        <v>90</v>
      </c>
      <c r="K195" s="18">
        <v>1</v>
      </c>
      <c r="L195" s="18">
        <v>85</v>
      </c>
      <c r="M195" s="18">
        <v>8.1</v>
      </c>
      <c r="N195" s="18">
        <v>1.8</v>
      </c>
      <c r="O195" s="18">
        <v>1.5</v>
      </c>
      <c r="P195" s="18">
        <v>2.2999999999999998</v>
      </c>
      <c r="Q195" s="19"/>
      <c r="R195" s="18">
        <v>77</v>
      </c>
      <c r="S195" s="18">
        <v>50</v>
      </c>
      <c r="T195" s="18">
        <v>53</v>
      </c>
      <c r="U195" s="18">
        <v>54</v>
      </c>
      <c r="V195" s="18">
        <v>55</v>
      </c>
      <c r="W195" s="18">
        <v>56</v>
      </c>
      <c r="X195" s="18"/>
      <c r="Y195" s="18">
        <v>0.50588235294117645</v>
      </c>
      <c r="Z195" s="18">
        <v>3.0588235294117645</v>
      </c>
      <c r="AA195" s="18">
        <v>0.1</v>
      </c>
      <c r="AB195" s="18">
        <v>0</v>
      </c>
      <c r="AC195" s="18">
        <v>4.9411800000000001</v>
      </c>
      <c r="AD195" s="18">
        <v>1.2</v>
      </c>
      <c r="AE195" s="18">
        <v>0</v>
      </c>
      <c r="AF195" s="18">
        <v>71</v>
      </c>
      <c r="AG195" s="18">
        <v>4.9999999999999885</v>
      </c>
      <c r="AH195" s="18">
        <v>30</v>
      </c>
      <c r="AI195" s="18">
        <v>31</v>
      </c>
      <c r="AJ195" s="18">
        <v>0</v>
      </c>
      <c r="AK195" s="18">
        <v>0.03</v>
      </c>
      <c r="AL195" s="18"/>
      <c r="AM195" s="18">
        <v>3.7</v>
      </c>
      <c r="AN195" s="18">
        <v>1.7</v>
      </c>
      <c r="AO195" s="18">
        <v>2.35</v>
      </c>
      <c r="AP195" s="18">
        <v>3.29</v>
      </c>
      <c r="AQ195" s="18">
        <v>1.07</v>
      </c>
      <c r="AR195" s="18">
        <v>3.48</v>
      </c>
      <c r="AS195" s="18">
        <v>6.28</v>
      </c>
      <c r="AT195" s="18">
        <v>2.2799999999999998</v>
      </c>
      <c r="AU195" s="18">
        <v>4.49</v>
      </c>
      <c r="AV195" s="18">
        <v>2.7</v>
      </c>
      <c r="AW195" s="18">
        <v>4.67</v>
      </c>
      <c r="AX195" s="18"/>
      <c r="AY195" s="18">
        <v>0.97</v>
      </c>
      <c r="AZ195" s="18">
        <v>1.04</v>
      </c>
      <c r="BA195" s="18">
        <v>1.01</v>
      </c>
      <c r="BB195" s="18">
        <v>0.88</v>
      </c>
      <c r="BC195" s="18">
        <v>0.99</v>
      </c>
      <c r="BD195" s="18">
        <v>1</v>
      </c>
      <c r="BE195" s="18">
        <v>1.03</v>
      </c>
      <c r="BF195" s="18">
        <v>1.03</v>
      </c>
      <c r="BG195" s="18">
        <v>1.06</v>
      </c>
      <c r="BH195" s="18">
        <v>1</v>
      </c>
      <c r="BI195" s="18">
        <v>0.99</v>
      </c>
      <c r="BJ195" s="19"/>
      <c r="BK195" s="18">
        <v>9.5294117647058822</v>
      </c>
      <c r="BL195" s="18">
        <v>2.1176470588235294</v>
      </c>
      <c r="BM195" s="18">
        <v>1.7647058823529411</v>
      </c>
      <c r="BN195" s="18">
        <v>2.7058823529411762</v>
      </c>
      <c r="BO195" s="18"/>
      <c r="BP195" s="18">
        <v>105</v>
      </c>
      <c r="BQ195" s="18">
        <v>22.235294117647054</v>
      </c>
      <c r="BR195" s="18">
        <v>1.2941594019721645</v>
      </c>
      <c r="BS195" s="18">
        <v>1.2829519502346352</v>
      </c>
      <c r="BT195" s="19"/>
      <c r="BU195" s="18">
        <v>982.35294117647061</v>
      </c>
      <c r="BV195" s="18">
        <v>690.83277310924473</v>
      </c>
      <c r="BW195" s="18">
        <v>77.184873949579767</v>
      </c>
      <c r="BX195" s="18">
        <v>612.99999999999989</v>
      </c>
      <c r="BY195" s="18">
        <v>32</v>
      </c>
      <c r="BZ195" s="18">
        <v>39</v>
      </c>
      <c r="CA195" s="18">
        <v>129</v>
      </c>
      <c r="CB195" s="19"/>
      <c r="CC195" s="19">
        <v>0.43</v>
      </c>
      <c r="CD195" s="19">
        <v>2.5999999999999996</v>
      </c>
      <c r="CE195" s="19">
        <v>8.5000000000000006E-2</v>
      </c>
      <c r="CF195" s="19">
        <v>0</v>
      </c>
      <c r="CG195" s="19">
        <v>4.2000029999999997</v>
      </c>
      <c r="CH195" s="19">
        <v>1.02</v>
      </c>
      <c r="CI195" s="19">
        <v>0</v>
      </c>
      <c r="CJ195" s="19"/>
      <c r="CK195" s="19">
        <v>60.35</v>
      </c>
      <c r="CL195" s="19">
        <v>4.2499999999999902</v>
      </c>
      <c r="CM195" s="19">
        <v>25.5</v>
      </c>
      <c r="CN195" s="19">
        <v>26.349999999999998</v>
      </c>
      <c r="CO195" s="19">
        <v>0</v>
      </c>
      <c r="CP195" s="19">
        <v>2.5499999999999998E-2</v>
      </c>
      <c r="CQ195" s="19">
        <v>62.37</v>
      </c>
      <c r="CR195" s="19">
        <v>56.698170624435569</v>
      </c>
      <c r="CS195" s="19">
        <v>2.034897343710993</v>
      </c>
      <c r="CT195" s="19">
        <v>1.0024236566400209</v>
      </c>
      <c r="CU195" s="19">
        <v>1.3457310797709783</v>
      </c>
      <c r="CV195" s="19">
        <v>2.3481547364109989</v>
      </c>
      <c r="CW195" s="19">
        <v>1.6415254359186588</v>
      </c>
      <c r="CX195" s="19">
        <v>0.60060372142464602</v>
      </c>
      <c r="CY195" s="19">
        <v>1.9730963377303579</v>
      </c>
      <c r="CZ195" s="19">
        <v>3.6674644686709903</v>
      </c>
      <c r="DA195" s="19">
        <v>1.3314998389442452</v>
      </c>
      <c r="DB195" s="19">
        <v>2.6984927326993864</v>
      </c>
      <c r="DC195" s="19">
        <v>1.5308506068597605</v>
      </c>
      <c r="DD195" s="19">
        <v>4.2293433395591471</v>
      </c>
      <c r="DE195" s="19">
        <v>2.6213265224795297</v>
      </c>
      <c r="DF195" s="23">
        <v>0</v>
      </c>
      <c r="DG195" s="23">
        <v>0</v>
      </c>
      <c r="DH195" s="23">
        <v>0</v>
      </c>
      <c r="DI195" s="19">
        <v>0</v>
      </c>
      <c r="DJ195" s="19">
        <v>0</v>
      </c>
      <c r="DK195" s="19">
        <v>0</v>
      </c>
      <c r="DL195" s="19">
        <v>0</v>
      </c>
      <c r="DM195" s="19">
        <v>0</v>
      </c>
      <c r="DN195" s="19">
        <v>0</v>
      </c>
      <c r="DO195" s="19">
        <v>0</v>
      </c>
      <c r="DP195" s="19">
        <v>0</v>
      </c>
      <c r="DQ195" s="19">
        <v>0</v>
      </c>
      <c r="DR195" s="19">
        <v>0</v>
      </c>
      <c r="DS195" s="19">
        <v>0</v>
      </c>
      <c r="DT195" s="19">
        <v>0</v>
      </c>
      <c r="DU195" s="19">
        <v>0</v>
      </c>
      <c r="DV195" s="19">
        <v>0</v>
      </c>
      <c r="DW195" s="17" t="s">
        <v>581</v>
      </c>
      <c r="DX195" s="22" t="s">
        <v>218</v>
      </c>
      <c r="DY195" s="22">
        <v>16</v>
      </c>
      <c r="DZ195" s="22">
        <v>8</v>
      </c>
      <c r="EA195" s="22">
        <v>8</v>
      </c>
      <c r="EB195" s="22" t="s">
        <v>218</v>
      </c>
      <c r="EC195" s="22">
        <v>8</v>
      </c>
      <c r="ED195" s="22">
        <v>8</v>
      </c>
      <c r="EE195" s="22" t="s">
        <v>218</v>
      </c>
      <c r="EF195" s="22">
        <v>8</v>
      </c>
      <c r="EG195" s="22">
        <v>8</v>
      </c>
      <c r="EH195" s="22" t="s">
        <v>218</v>
      </c>
      <c r="EI195" s="22" t="s">
        <v>218</v>
      </c>
      <c r="EJ195" s="22" t="s">
        <v>218</v>
      </c>
      <c r="EK195" s="22" t="s">
        <v>218</v>
      </c>
      <c r="EL195" s="22" t="s">
        <v>218</v>
      </c>
      <c r="EM195" s="22" t="s">
        <v>218</v>
      </c>
      <c r="EN195" s="22" t="s">
        <v>218</v>
      </c>
      <c r="EO195" s="22" t="s">
        <v>218</v>
      </c>
      <c r="EP195" s="22" t="s">
        <v>218</v>
      </c>
      <c r="EQ195" s="22" t="s">
        <v>218</v>
      </c>
      <c r="ER195" s="22" t="s">
        <v>218</v>
      </c>
      <c r="ES195" s="22">
        <v>8</v>
      </c>
      <c r="ET195" s="22">
        <v>16</v>
      </c>
      <c r="EU195" s="22" t="s">
        <v>218</v>
      </c>
      <c r="EV195" s="22" t="s">
        <v>218</v>
      </c>
      <c r="EW195" s="22" t="s">
        <v>218</v>
      </c>
      <c r="EX195" s="22" t="s">
        <v>218</v>
      </c>
      <c r="EY195" s="22" t="s">
        <v>218</v>
      </c>
      <c r="EZ195" s="22" t="s">
        <v>218</v>
      </c>
      <c r="FA195" s="22" t="s">
        <v>218</v>
      </c>
      <c r="FB195" s="22" t="s">
        <v>218</v>
      </c>
      <c r="FC195" s="22" t="s">
        <v>218</v>
      </c>
      <c r="FD195" s="22" t="s">
        <v>218</v>
      </c>
      <c r="FE195" s="22" t="s">
        <v>218</v>
      </c>
      <c r="FF195" s="22" t="s">
        <v>218</v>
      </c>
      <c r="FG195" s="22">
        <v>0.4</v>
      </c>
      <c r="FH195" s="22">
        <v>0.34</v>
      </c>
      <c r="FI195" s="22">
        <v>0.11</v>
      </c>
      <c r="FJ195" s="22" t="s">
        <v>218</v>
      </c>
      <c r="FK195" s="22">
        <v>1.5</v>
      </c>
      <c r="FL195" s="22">
        <v>1.45</v>
      </c>
      <c r="FM195" s="22" t="s">
        <v>218</v>
      </c>
      <c r="FN195" s="22">
        <v>4.04</v>
      </c>
      <c r="FO195" s="22">
        <v>3.79</v>
      </c>
      <c r="FP195" s="22" t="s">
        <v>218</v>
      </c>
      <c r="FQ195" s="22" t="s">
        <v>218</v>
      </c>
      <c r="FR195" s="22" t="s">
        <v>218</v>
      </c>
      <c r="FS195" s="22" t="s">
        <v>218</v>
      </c>
      <c r="FT195" s="22" t="s">
        <v>218</v>
      </c>
      <c r="FU195" s="22" t="s">
        <v>218</v>
      </c>
      <c r="FV195" s="22" t="s">
        <v>218</v>
      </c>
      <c r="FW195" s="22" t="s">
        <v>218</v>
      </c>
      <c r="FX195" s="22" t="s">
        <v>218</v>
      </c>
      <c r="FY195" s="22" t="s">
        <v>218</v>
      </c>
      <c r="FZ195" s="22" t="s">
        <v>218</v>
      </c>
      <c r="GA195" s="22">
        <v>0.08</v>
      </c>
      <c r="GB195" s="22">
        <v>0.2</v>
      </c>
      <c r="GC195" s="22" t="s">
        <v>218</v>
      </c>
      <c r="GD195" s="22" t="s">
        <v>218</v>
      </c>
      <c r="GE195" s="22" t="s">
        <v>218</v>
      </c>
      <c r="GF195" s="22" t="s">
        <v>218</v>
      </c>
      <c r="GG195" s="22" t="s">
        <v>218</v>
      </c>
      <c r="GH195" s="22" t="s">
        <v>218</v>
      </c>
      <c r="GI195" s="22" t="s">
        <v>218</v>
      </c>
      <c r="GJ195" s="22" t="s">
        <v>218</v>
      </c>
      <c r="GK195" s="22" t="s">
        <v>218</v>
      </c>
      <c r="GL195" s="22" t="s">
        <v>218</v>
      </c>
      <c r="GM195" s="22" t="s">
        <v>218</v>
      </c>
      <c r="GN195" s="22" t="s">
        <v>218</v>
      </c>
      <c r="GO195" s="22">
        <v>2016</v>
      </c>
      <c r="GP195" s="22">
        <v>2016</v>
      </c>
      <c r="GQ195" s="22">
        <v>2016</v>
      </c>
      <c r="GR195" s="22" t="s">
        <v>218</v>
      </c>
      <c r="GS195" s="22">
        <v>2016</v>
      </c>
      <c r="GT195" s="22">
        <v>2016</v>
      </c>
      <c r="GU195" s="22" t="s">
        <v>218</v>
      </c>
      <c r="GV195" s="22">
        <v>2016</v>
      </c>
      <c r="GW195" s="22">
        <v>2016</v>
      </c>
      <c r="GX195" s="22" t="s">
        <v>218</v>
      </c>
      <c r="GY195" s="22" t="s">
        <v>218</v>
      </c>
      <c r="GZ195" s="22" t="s">
        <v>218</v>
      </c>
      <c r="HA195" s="22" t="s">
        <v>218</v>
      </c>
      <c r="HB195" s="22" t="s">
        <v>218</v>
      </c>
      <c r="HC195" s="22" t="s">
        <v>218</v>
      </c>
      <c r="HD195" s="22" t="s">
        <v>218</v>
      </c>
      <c r="HE195" s="22" t="s">
        <v>218</v>
      </c>
      <c r="HF195" s="22" t="s">
        <v>218</v>
      </c>
      <c r="HG195" s="22" t="s">
        <v>218</v>
      </c>
      <c r="HH195" s="22" t="s">
        <v>218</v>
      </c>
      <c r="HI195" s="22">
        <v>2016</v>
      </c>
      <c r="HJ195" s="22">
        <v>2016</v>
      </c>
      <c r="HK195" s="22" t="s">
        <v>218</v>
      </c>
      <c r="HL195" s="22" t="s">
        <v>218</v>
      </c>
      <c r="HM195" s="622">
        <f>'background data'!$G$10</f>
        <v>0.47300000000000003</v>
      </c>
      <c r="HN195" s="622">
        <f>'background data'!$H$10</f>
        <v>0.13</v>
      </c>
      <c r="HO195" s="622">
        <f>'background data'!$J$10</f>
        <v>0.39100000000000001</v>
      </c>
      <c r="HP195" s="622">
        <f>'background data'!$L$10</f>
        <v>5.5E-2</v>
      </c>
      <c r="HQ195" s="622">
        <f>'background data'!$M$10</f>
        <v>3.97</v>
      </c>
      <c r="HR195" s="622">
        <f>'background data'!$N$10</f>
        <v>4.5999999999999999E-3</v>
      </c>
      <c r="HS195" s="622">
        <f>'background data'!$O$10</f>
        <v>2.73</v>
      </c>
      <c r="HT195" s="145" t="s">
        <v>1797</v>
      </c>
      <c r="HU195" s="145" t="s">
        <v>1809</v>
      </c>
      <c r="HV195" s="22" t="s">
        <v>1398</v>
      </c>
      <c r="HW195" s="22" t="s">
        <v>582</v>
      </c>
      <c r="HX195" s="22">
        <v>0</v>
      </c>
      <c r="HY195" s="22" t="s">
        <v>583</v>
      </c>
      <c r="HZ195" s="19"/>
      <c r="IA195" s="19"/>
      <c r="IB195" s="622">
        <f>'background data'!$G$10</f>
        <v>0.47300000000000003</v>
      </c>
      <c r="IC195" s="622">
        <f>'background data'!$H$10</f>
        <v>0.13</v>
      </c>
      <c r="ID195" s="622">
        <f>'background data'!$J$10</f>
        <v>0.39100000000000001</v>
      </c>
      <c r="IE195" s="622">
        <f>'background data'!$L$10</f>
        <v>5.5E-2</v>
      </c>
      <c r="IF195" s="622">
        <f>'background data'!$M$10</f>
        <v>3.97</v>
      </c>
      <c r="IG195" s="622">
        <f>'background data'!$N$10</f>
        <v>4.5999999999999999E-3</v>
      </c>
      <c r="IH195" s="622">
        <f>'background data'!$O$10</f>
        <v>2.73</v>
      </c>
      <c r="II195" s="145" t="s">
        <v>1797</v>
      </c>
      <c r="IJ195" s="145" t="s">
        <v>1398</v>
      </c>
      <c r="IK195" s="145"/>
      <c r="IL195" s="145"/>
      <c r="IM195" s="145"/>
      <c r="IN195" s="145"/>
      <c r="IO195" s="145"/>
      <c r="IP195" s="145"/>
      <c r="IQ195" s="145"/>
      <c r="IR195" s="145"/>
      <c r="IS195" s="145"/>
      <c r="IT195" s="145"/>
      <c r="IU195" s="145"/>
      <c r="IV195" s="145"/>
      <c r="IW195" s="145"/>
      <c r="IX195" s="145"/>
      <c r="IY195" s="145"/>
      <c r="IZ195" s="145"/>
      <c r="JA195" s="145"/>
      <c r="JB195" s="145"/>
      <c r="JC195" s="145"/>
      <c r="JD195" s="145"/>
      <c r="JE195" s="145"/>
      <c r="JF195" s="145"/>
      <c r="JG195" s="145"/>
      <c r="JH195" s="145"/>
      <c r="JI195" s="145"/>
      <c r="JJ195" s="145"/>
      <c r="JK195" s="145"/>
      <c r="JL195" s="145"/>
      <c r="JM195" s="145"/>
      <c r="JN195" s="145"/>
      <c r="JO195" s="145"/>
      <c r="JP195" s="145"/>
      <c r="JQ195" s="145"/>
      <c r="JR195" s="145"/>
      <c r="JS195" s="145"/>
      <c r="JT195" s="145"/>
      <c r="JU195" s="145"/>
      <c r="JV195" s="145"/>
      <c r="JW195" s="145"/>
      <c r="JX195" s="145"/>
      <c r="JY195" s="145"/>
      <c r="JZ195" s="145"/>
      <c r="KA195" s="145"/>
      <c r="KB195" s="145"/>
      <c r="KC195" s="145"/>
      <c r="KD195" s="145"/>
      <c r="KE195" s="145"/>
      <c r="KF195" s="145"/>
      <c r="KG195" s="145"/>
      <c r="KH195" s="145"/>
      <c r="KI195" s="145"/>
      <c r="KJ195" s="145"/>
      <c r="KK195" s="145"/>
      <c r="KL195" s="145"/>
      <c r="KM195" s="145"/>
      <c r="KN195" s="145"/>
      <c r="KO195" s="145"/>
      <c r="KP195" s="145"/>
      <c r="KQ195" s="145"/>
      <c r="KR195" s="145"/>
      <c r="KS195" s="145"/>
      <c r="KT195" s="145"/>
      <c r="KU195" s="145"/>
      <c r="KV195" s="145"/>
      <c r="KW195" s="145"/>
      <c r="KX195" s="145"/>
      <c r="KY195" s="145"/>
      <c r="KZ195" s="145"/>
      <c r="LA195" s="145"/>
      <c r="LB195" s="145"/>
      <c r="LC195" s="145"/>
      <c r="LD195" s="145"/>
      <c r="LE195" s="145"/>
      <c r="LF195" s="145"/>
      <c r="LG195" s="145"/>
      <c r="LH195" s="145"/>
      <c r="LI195" s="145"/>
      <c r="LJ195" s="145"/>
      <c r="LK195" s="145"/>
      <c r="LL195" s="145"/>
      <c r="LM195" s="145"/>
      <c r="LN195" s="145"/>
      <c r="LO195" s="145"/>
      <c r="LP195" s="145"/>
      <c r="LQ195" s="145"/>
      <c r="LR195" s="145"/>
      <c r="LS195" s="145"/>
      <c r="LT195" s="145"/>
      <c r="LU195" s="145"/>
      <c r="LV195" s="145"/>
      <c r="LW195" s="145"/>
      <c r="LX195" s="145"/>
      <c r="LY195" s="145"/>
      <c r="LZ195" s="145"/>
      <c r="MA195" s="145"/>
      <c r="MB195" s="145"/>
      <c r="MC195" s="145"/>
      <c r="MD195" s="145"/>
      <c r="ME195" s="145"/>
      <c r="MF195" s="145"/>
      <c r="MG195" s="145"/>
      <c r="MH195" s="145"/>
      <c r="MI195" s="145"/>
      <c r="MJ195" s="145"/>
      <c r="MK195" s="145"/>
      <c r="ML195" s="145"/>
      <c r="MM195" s="145"/>
      <c r="MN195" s="145"/>
      <c r="MO195" s="145"/>
      <c r="MP195" s="145"/>
      <c r="MQ195" s="145"/>
      <c r="MR195" s="145"/>
      <c r="MS195" s="145"/>
      <c r="MT195" s="145"/>
      <c r="MU195" s="145"/>
      <c r="MV195" s="145"/>
      <c r="MW195" s="145"/>
      <c r="MX195" s="145"/>
      <c r="MY195" s="145"/>
      <c r="MZ195" s="145"/>
      <c r="NA195" s="145"/>
      <c r="NB195" s="145"/>
      <c r="NC195" s="145"/>
      <c r="ND195" s="145"/>
      <c r="NE195" s="145"/>
      <c r="NF195" s="145"/>
      <c r="NG195" s="145"/>
      <c r="NH195" s="145"/>
      <c r="NI195" s="145"/>
      <c r="NJ195" s="145"/>
      <c r="NK195" s="145"/>
      <c r="NL195" s="145"/>
      <c r="NM195" s="145"/>
      <c r="NN195" s="145"/>
      <c r="NO195" s="145"/>
      <c r="NP195" s="145"/>
      <c r="NQ195" s="145"/>
      <c r="NR195" s="145"/>
      <c r="NS195" s="145"/>
    </row>
    <row r="196" spans="1:383" s="16" customFormat="1" ht="15" customHeight="1" x14ac:dyDescent="0.2">
      <c r="A196" s="15">
        <v>52110</v>
      </c>
      <c r="B196" s="25">
        <v>521</v>
      </c>
      <c r="C196" s="26">
        <v>10</v>
      </c>
      <c r="D196" s="20" t="s">
        <v>589</v>
      </c>
      <c r="E196" s="14">
        <v>42683</v>
      </c>
      <c r="F196" s="18">
        <v>1.0915497193186201</v>
      </c>
      <c r="G196" s="18">
        <v>1.08454487198516</v>
      </c>
      <c r="H196" s="21">
        <v>89.1</v>
      </c>
      <c r="I196" s="21">
        <v>82.9</v>
      </c>
      <c r="J196" s="21">
        <v>90</v>
      </c>
      <c r="K196" s="18">
        <v>1</v>
      </c>
      <c r="L196" s="18">
        <v>85</v>
      </c>
      <c r="M196" s="18">
        <v>8.1</v>
      </c>
      <c r="N196" s="18">
        <v>1.8</v>
      </c>
      <c r="O196" s="18">
        <v>1.5</v>
      </c>
      <c r="P196" s="18">
        <v>2.2999999999999998</v>
      </c>
      <c r="Q196" s="19"/>
      <c r="R196" s="18">
        <v>77</v>
      </c>
      <c r="S196" s="18">
        <v>28</v>
      </c>
      <c r="T196" s="18">
        <v>42</v>
      </c>
      <c r="U196" s="18">
        <v>47</v>
      </c>
      <c r="V196" s="18">
        <v>52</v>
      </c>
      <c r="W196" s="18">
        <v>55</v>
      </c>
      <c r="X196" s="18"/>
      <c r="Y196" s="18">
        <v>0.50588235294117645</v>
      </c>
      <c r="Z196" s="18">
        <v>3.0588235294117645</v>
      </c>
      <c r="AA196" s="18">
        <v>0.1</v>
      </c>
      <c r="AB196" s="18">
        <v>0</v>
      </c>
      <c r="AC196" s="18">
        <v>4.9411800000000001</v>
      </c>
      <c r="AD196" s="18">
        <v>1.2</v>
      </c>
      <c r="AE196" s="18">
        <v>0</v>
      </c>
      <c r="AF196" s="18">
        <v>71</v>
      </c>
      <c r="AG196" s="18">
        <v>4.9999999999999885</v>
      </c>
      <c r="AH196" s="18">
        <v>30</v>
      </c>
      <c r="AI196" s="18">
        <v>31</v>
      </c>
      <c r="AJ196" s="18">
        <v>0</v>
      </c>
      <c r="AK196" s="18">
        <v>0.03</v>
      </c>
      <c r="AL196" s="18"/>
      <c r="AM196" s="18">
        <v>3.7</v>
      </c>
      <c r="AN196" s="18">
        <v>1.7</v>
      </c>
      <c r="AO196" s="18">
        <v>2.35</v>
      </c>
      <c r="AP196" s="18">
        <v>3.29</v>
      </c>
      <c r="AQ196" s="18">
        <v>1.07</v>
      </c>
      <c r="AR196" s="18">
        <v>3.48</v>
      </c>
      <c r="AS196" s="18">
        <v>6.28</v>
      </c>
      <c r="AT196" s="18">
        <v>2.2799999999999998</v>
      </c>
      <c r="AU196" s="18">
        <v>4.49</v>
      </c>
      <c r="AV196" s="18">
        <v>2.7</v>
      </c>
      <c r="AW196" s="18">
        <v>4.67</v>
      </c>
      <c r="AX196" s="18"/>
      <c r="AY196" s="18">
        <v>0.97</v>
      </c>
      <c r="AZ196" s="18">
        <v>1.04</v>
      </c>
      <c r="BA196" s="18">
        <v>1.01</v>
      </c>
      <c r="BB196" s="18">
        <v>0.88</v>
      </c>
      <c r="BC196" s="18">
        <v>0.99</v>
      </c>
      <c r="BD196" s="18">
        <v>1</v>
      </c>
      <c r="BE196" s="18">
        <v>1.03</v>
      </c>
      <c r="BF196" s="18">
        <v>1.03</v>
      </c>
      <c r="BG196" s="18">
        <v>1.06</v>
      </c>
      <c r="BH196" s="18">
        <v>1</v>
      </c>
      <c r="BI196" s="18">
        <v>0.99</v>
      </c>
      <c r="BJ196" s="19"/>
      <c r="BK196" s="18">
        <v>9.5294117647058822</v>
      </c>
      <c r="BL196" s="18">
        <v>2.1176470588235294</v>
      </c>
      <c r="BM196" s="18">
        <v>1.7647058823529411</v>
      </c>
      <c r="BN196" s="18">
        <v>2.7058823529411762</v>
      </c>
      <c r="BO196" s="18"/>
      <c r="BP196" s="18">
        <v>105</v>
      </c>
      <c r="BQ196" s="18">
        <v>22.235294117647054</v>
      </c>
      <c r="BR196" s="18">
        <v>1.2841761403748471</v>
      </c>
      <c r="BS196" s="18">
        <v>1.275935143511953</v>
      </c>
      <c r="BT196" s="19"/>
      <c r="BU196" s="18">
        <v>982.35294117647061</v>
      </c>
      <c r="BV196" s="18">
        <v>681.00924369747884</v>
      </c>
      <c r="BW196" s="18">
        <v>87.008403361344349</v>
      </c>
      <c r="BX196" s="18">
        <v>612.99999999999989</v>
      </c>
      <c r="BY196" s="18">
        <v>32</v>
      </c>
      <c r="BZ196" s="18">
        <v>39</v>
      </c>
      <c r="CA196" s="18">
        <v>129</v>
      </c>
      <c r="CB196" s="19"/>
      <c r="CC196" s="19">
        <v>0.43</v>
      </c>
      <c r="CD196" s="19">
        <v>2.5999999999999996</v>
      </c>
      <c r="CE196" s="19">
        <v>8.5000000000000006E-2</v>
      </c>
      <c r="CF196" s="19">
        <v>0</v>
      </c>
      <c r="CG196" s="19">
        <v>4.2000029999999997</v>
      </c>
      <c r="CH196" s="19">
        <v>1.02</v>
      </c>
      <c r="CI196" s="19">
        <v>0</v>
      </c>
      <c r="CJ196" s="19"/>
      <c r="CK196" s="19">
        <v>60.35</v>
      </c>
      <c r="CL196" s="19">
        <v>4.2499999999999902</v>
      </c>
      <c r="CM196" s="19">
        <v>25.5</v>
      </c>
      <c r="CN196" s="19">
        <v>26.349999999999998</v>
      </c>
      <c r="CO196" s="19">
        <v>0</v>
      </c>
      <c r="CP196" s="19">
        <v>2.5499999999999998E-2</v>
      </c>
      <c r="CQ196" s="19">
        <v>62.37</v>
      </c>
      <c r="CR196" s="19">
        <v>57.138945570828717</v>
      </c>
      <c r="CS196" s="19">
        <v>2.0507167565370428</v>
      </c>
      <c r="CT196" s="19">
        <v>1.0102165576922517</v>
      </c>
      <c r="CU196" s="19">
        <v>1.3561928731236197</v>
      </c>
      <c r="CV196" s="19">
        <v>2.3664094308158714</v>
      </c>
      <c r="CW196" s="19">
        <v>1.6542867521666331</v>
      </c>
      <c r="CX196" s="19">
        <v>0.60527285043178869</v>
      </c>
      <c r="CY196" s="19">
        <v>1.9884353058648392</v>
      </c>
      <c r="CZ196" s="19">
        <v>3.6959755553034848</v>
      </c>
      <c r="DA196" s="19">
        <v>1.3418509977853417</v>
      </c>
      <c r="DB196" s="19">
        <v>2.7194709754980222</v>
      </c>
      <c r="DC196" s="19">
        <v>1.5427515304123756</v>
      </c>
      <c r="DD196" s="19">
        <v>4.2622225059103975</v>
      </c>
      <c r="DE196" s="19">
        <v>2.6417048705761244</v>
      </c>
      <c r="DF196" s="23">
        <v>0</v>
      </c>
      <c r="DG196" s="23">
        <v>0</v>
      </c>
      <c r="DH196" s="23">
        <v>0</v>
      </c>
      <c r="DI196" s="19">
        <v>0</v>
      </c>
      <c r="DJ196" s="19">
        <v>0</v>
      </c>
      <c r="DK196" s="19">
        <v>0</v>
      </c>
      <c r="DL196" s="19">
        <v>0</v>
      </c>
      <c r="DM196" s="19">
        <v>0</v>
      </c>
      <c r="DN196" s="19">
        <v>0</v>
      </c>
      <c r="DO196" s="19">
        <v>0</v>
      </c>
      <c r="DP196" s="19">
        <v>0</v>
      </c>
      <c r="DQ196" s="19">
        <v>0</v>
      </c>
      <c r="DR196" s="19">
        <v>0</v>
      </c>
      <c r="DS196" s="19">
        <v>0</v>
      </c>
      <c r="DT196" s="19">
        <v>0</v>
      </c>
      <c r="DU196" s="19">
        <v>0</v>
      </c>
      <c r="DV196" s="19">
        <v>0</v>
      </c>
      <c r="DW196" s="17" t="s">
        <v>581</v>
      </c>
      <c r="DX196" s="22" t="s">
        <v>218</v>
      </c>
      <c r="DY196" s="22">
        <v>16</v>
      </c>
      <c r="DZ196" s="22">
        <v>8</v>
      </c>
      <c r="EA196" s="22">
        <v>8</v>
      </c>
      <c r="EB196" s="22" t="s">
        <v>218</v>
      </c>
      <c r="EC196" s="22">
        <v>8</v>
      </c>
      <c r="ED196" s="22">
        <v>8</v>
      </c>
      <c r="EE196" s="22" t="s">
        <v>218</v>
      </c>
      <c r="EF196" s="22">
        <v>8</v>
      </c>
      <c r="EG196" s="22">
        <v>8</v>
      </c>
      <c r="EH196" s="22" t="s">
        <v>218</v>
      </c>
      <c r="EI196" s="22" t="s">
        <v>218</v>
      </c>
      <c r="EJ196" s="22" t="s">
        <v>218</v>
      </c>
      <c r="EK196" s="22" t="s">
        <v>218</v>
      </c>
      <c r="EL196" s="22" t="s">
        <v>218</v>
      </c>
      <c r="EM196" s="22" t="s">
        <v>218</v>
      </c>
      <c r="EN196" s="22" t="s">
        <v>218</v>
      </c>
      <c r="EO196" s="22" t="s">
        <v>218</v>
      </c>
      <c r="EP196" s="22" t="s">
        <v>218</v>
      </c>
      <c r="EQ196" s="22" t="s">
        <v>218</v>
      </c>
      <c r="ER196" s="22" t="s">
        <v>218</v>
      </c>
      <c r="ES196" s="22">
        <v>8</v>
      </c>
      <c r="ET196" s="22">
        <v>16</v>
      </c>
      <c r="EU196" s="22" t="s">
        <v>218</v>
      </c>
      <c r="EV196" s="22" t="s">
        <v>218</v>
      </c>
      <c r="EW196" s="22" t="s">
        <v>218</v>
      </c>
      <c r="EX196" s="22" t="s">
        <v>218</v>
      </c>
      <c r="EY196" s="22" t="s">
        <v>218</v>
      </c>
      <c r="EZ196" s="22" t="s">
        <v>218</v>
      </c>
      <c r="FA196" s="22" t="s">
        <v>218</v>
      </c>
      <c r="FB196" s="22" t="s">
        <v>218</v>
      </c>
      <c r="FC196" s="22" t="s">
        <v>218</v>
      </c>
      <c r="FD196" s="22" t="s">
        <v>218</v>
      </c>
      <c r="FE196" s="22" t="s">
        <v>218</v>
      </c>
      <c r="FF196" s="22" t="s">
        <v>218</v>
      </c>
      <c r="FG196" s="22">
        <v>0.4</v>
      </c>
      <c r="FH196" s="22">
        <v>0.34</v>
      </c>
      <c r="FI196" s="22">
        <v>0.11</v>
      </c>
      <c r="FJ196" s="22" t="s">
        <v>218</v>
      </c>
      <c r="FK196" s="22">
        <v>1.5</v>
      </c>
      <c r="FL196" s="22">
        <v>1.45</v>
      </c>
      <c r="FM196" s="22" t="s">
        <v>218</v>
      </c>
      <c r="FN196" s="22">
        <v>4.04</v>
      </c>
      <c r="FO196" s="22">
        <v>3.79</v>
      </c>
      <c r="FP196" s="22" t="s">
        <v>218</v>
      </c>
      <c r="FQ196" s="22" t="s">
        <v>218</v>
      </c>
      <c r="FR196" s="22" t="s">
        <v>218</v>
      </c>
      <c r="FS196" s="22" t="s">
        <v>218</v>
      </c>
      <c r="FT196" s="22" t="s">
        <v>218</v>
      </c>
      <c r="FU196" s="22" t="s">
        <v>218</v>
      </c>
      <c r="FV196" s="22" t="s">
        <v>218</v>
      </c>
      <c r="FW196" s="22" t="s">
        <v>218</v>
      </c>
      <c r="FX196" s="22" t="s">
        <v>218</v>
      </c>
      <c r="FY196" s="22" t="s">
        <v>218</v>
      </c>
      <c r="FZ196" s="22" t="s">
        <v>218</v>
      </c>
      <c r="GA196" s="22">
        <v>0.08</v>
      </c>
      <c r="GB196" s="22">
        <v>0.2</v>
      </c>
      <c r="GC196" s="22" t="s">
        <v>218</v>
      </c>
      <c r="GD196" s="22" t="s">
        <v>218</v>
      </c>
      <c r="GE196" s="22" t="s">
        <v>218</v>
      </c>
      <c r="GF196" s="22" t="s">
        <v>218</v>
      </c>
      <c r="GG196" s="22" t="s">
        <v>218</v>
      </c>
      <c r="GH196" s="22" t="s">
        <v>218</v>
      </c>
      <c r="GI196" s="22" t="s">
        <v>218</v>
      </c>
      <c r="GJ196" s="22" t="s">
        <v>218</v>
      </c>
      <c r="GK196" s="22" t="s">
        <v>218</v>
      </c>
      <c r="GL196" s="22" t="s">
        <v>218</v>
      </c>
      <c r="GM196" s="22" t="s">
        <v>218</v>
      </c>
      <c r="GN196" s="22" t="s">
        <v>218</v>
      </c>
      <c r="GO196" s="22">
        <v>2016</v>
      </c>
      <c r="GP196" s="22">
        <v>2016</v>
      </c>
      <c r="GQ196" s="22">
        <v>2016</v>
      </c>
      <c r="GR196" s="22" t="s">
        <v>218</v>
      </c>
      <c r="GS196" s="22">
        <v>2016</v>
      </c>
      <c r="GT196" s="22">
        <v>2016</v>
      </c>
      <c r="GU196" s="22" t="s">
        <v>218</v>
      </c>
      <c r="GV196" s="22">
        <v>2016</v>
      </c>
      <c r="GW196" s="22">
        <v>2016</v>
      </c>
      <c r="GX196" s="22" t="s">
        <v>218</v>
      </c>
      <c r="GY196" s="22" t="s">
        <v>218</v>
      </c>
      <c r="GZ196" s="22" t="s">
        <v>218</v>
      </c>
      <c r="HA196" s="22" t="s">
        <v>218</v>
      </c>
      <c r="HB196" s="22" t="s">
        <v>218</v>
      </c>
      <c r="HC196" s="22" t="s">
        <v>218</v>
      </c>
      <c r="HD196" s="22" t="s">
        <v>218</v>
      </c>
      <c r="HE196" s="22" t="s">
        <v>218</v>
      </c>
      <c r="HF196" s="22" t="s">
        <v>218</v>
      </c>
      <c r="HG196" s="22" t="s">
        <v>218</v>
      </c>
      <c r="HH196" s="22" t="s">
        <v>218</v>
      </c>
      <c r="HI196" s="22">
        <v>2016</v>
      </c>
      <c r="HJ196" s="22">
        <v>2016</v>
      </c>
      <c r="HK196" s="22" t="s">
        <v>218</v>
      </c>
      <c r="HL196" s="22" t="s">
        <v>218</v>
      </c>
      <c r="HM196" s="622">
        <f>'background data'!$G$10</f>
        <v>0.47300000000000003</v>
      </c>
      <c r="HN196" s="622">
        <f>'background data'!$H$10</f>
        <v>0.13</v>
      </c>
      <c r="HO196" s="622">
        <f>'background data'!$J$10</f>
        <v>0.39100000000000001</v>
      </c>
      <c r="HP196" s="622">
        <f>'background data'!$L$10</f>
        <v>5.5E-2</v>
      </c>
      <c r="HQ196" s="622">
        <f>'background data'!$M$10</f>
        <v>3.97</v>
      </c>
      <c r="HR196" s="622">
        <f>'background data'!$N$10</f>
        <v>4.5999999999999999E-3</v>
      </c>
      <c r="HS196" s="622">
        <f>'background data'!$O$10</f>
        <v>2.73</v>
      </c>
      <c r="HT196" s="145" t="s">
        <v>1797</v>
      </c>
      <c r="HU196" s="145" t="s">
        <v>1809</v>
      </c>
      <c r="HV196" s="22" t="s">
        <v>1398</v>
      </c>
      <c r="HW196" s="22" t="s">
        <v>582</v>
      </c>
      <c r="HX196" s="22">
        <v>0</v>
      </c>
      <c r="HY196" s="22" t="s">
        <v>583</v>
      </c>
      <c r="HZ196" s="19"/>
      <c r="IA196" s="19"/>
      <c r="IB196" s="622">
        <f>'background data'!$G$10</f>
        <v>0.47300000000000003</v>
      </c>
      <c r="IC196" s="622">
        <f>'background data'!$H$10</f>
        <v>0.13</v>
      </c>
      <c r="ID196" s="622">
        <f>'background data'!$J$10</f>
        <v>0.39100000000000001</v>
      </c>
      <c r="IE196" s="622">
        <f>'background data'!$L$10</f>
        <v>5.5E-2</v>
      </c>
      <c r="IF196" s="622">
        <f>'background data'!$M$10</f>
        <v>3.97</v>
      </c>
      <c r="IG196" s="622">
        <f>'background data'!$N$10</f>
        <v>4.5999999999999999E-3</v>
      </c>
      <c r="IH196" s="622">
        <f>'background data'!$O$10</f>
        <v>2.73</v>
      </c>
      <c r="II196" s="145" t="s">
        <v>1797</v>
      </c>
      <c r="IJ196" s="145" t="s">
        <v>1398</v>
      </c>
      <c r="IK196" s="145"/>
      <c r="IL196" s="145"/>
      <c r="IM196" s="145"/>
      <c r="IN196" s="145"/>
      <c r="IO196" s="145"/>
      <c r="IP196" s="145"/>
      <c r="IQ196" s="145"/>
      <c r="IR196" s="145"/>
      <c r="IS196" s="145"/>
      <c r="IT196" s="145"/>
      <c r="IU196" s="145"/>
      <c r="IV196" s="145"/>
      <c r="IW196" s="145"/>
      <c r="IX196" s="145"/>
      <c r="IY196" s="145"/>
      <c r="IZ196" s="145"/>
      <c r="JA196" s="145"/>
      <c r="JB196" s="145"/>
      <c r="JC196" s="145"/>
      <c r="JD196" s="145"/>
      <c r="JE196" s="145"/>
      <c r="JF196" s="145"/>
      <c r="JG196" s="145"/>
      <c r="JH196" s="145"/>
      <c r="JI196" s="145"/>
      <c r="JJ196" s="145"/>
      <c r="JK196" s="145"/>
      <c r="JL196" s="145"/>
      <c r="JM196" s="145"/>
      <c r="JN196" s="145"/>
      <c r="JO196" s="145"/>
      <c r="JP196" s="145"/>
      <c r="JQ196" s="145"/>
      <c r="JR196" s="145"/>
      <c r="JS196" s="145"/>
      <c r="JT196" s="145"/>
      <c r="JU196" s="145"/>
      <c r="JV196" s="145"/>
      <c r="JW196" s="145"/>
      <c r="JX196" s="145"/>
      <c r="JY196" s="145"/>
      <c r="JZ196" s="145"/>
      <c r="KA196" s="145"/>
      <c r="KB196" s="145"/>
      <c r="KC196" s="145"/>
      <c r="KD196" s="145"/>
      <c r="KE196" s="145"/>
      <c r="KF196" s="145"/>
      <c r="KG196" s="145"/>
      <c r="KH196" s="145"/>
      <c r="KI196" s="145"/>
      <c r="KJ196" s="145"/>
      <c r="KK196" s="145"/>
      <c r="KL196" s="145"/>
      <c r="KM196" s="145"/>
      <c r="KN196" s="145"/>
      <c r="KO196" s="145"/>
      <c r="KP196" s="145"/>
      <c r="KQ196" s="145"/>
      <c r="KR196" s="145"/>
      <c r="KS196" s="145"/>
      <c r="KT196" s="145"/>
      <c r="KU196" s="145"/>
      <c r="KV196" s="145"/>
      <c r="KW196" s="145"/>
      <c r="KX196" s="145"/>
      <c r="KY196" s="145"/>
      <c r="KZ196" s="145"/>
      <c r="LA196" s="145"/>
      <c r="LB196" s="145"/>
      <c r="LC196" s="145"/>
      <c r="LD196" s="145"/>
      <c r="LE196" s="145"/>
      <c r="LF196" s="145"/>
      <c r="LG196" s="145"/>
      <c r="LH196" s="145"/>
      <c r="LI196" s="145"/>
      <c r="LJ196" s="145"/>
      <c r="LK196" s="145"/>
      <c r="LL196" s="145"/>
      <c r="LM196" s="145"/>
      <c r="LN196" s="145"/>
      <c r="LO196" s="145"/>
      <c r="LP196" s="145"/>
      <c r="LQ196" s="145"/>
      <c r="LR196" s="145"/>
      <c r="LS196" s="145"/>
      <c r="LT196" s="145"/>
      <c r="LU196" s="145"/>
      <c r="LV196" s="145"/>
      <c r="LW196" s="145"/>
      <c r="LX196" s="145"/>
      <c r="LY196" s="145"/>
      <c r="LZ196" s="145"/>
      <c r="MA196" s="145"/>
      <c r="MB196" s="145"/>
      <c r="MC196" s="145"/>
      <c r="MD196" s="145"/>
      <c r="ME196" s="145"/>
      <c r="MF196" s="145"/>
      <c r="MG196" s="145"/>
      <c r="MH196" s="145"/>
      <c r="MI196" s="145"/>
      <c r="MJ196" s="145"/>
      <c r="MK196" s="145"/>
      <c r="ML196" s="145"/>
      <c r="MM196" s="145"/>
      <c r="MN196" s="145"/>
      <c r="MO196" s="145"/>
      <c r="MP196" s="145"/>
      <c r="MQ196" s="145"/>
      <c r="MR196" s="145"/>
      <c r="MS196" s="145"/>
      <c r="MT196" s="145"/>
      <c r="MU196" s="145"/>
      <c r="MV196" s="145"/>
      <c r="MW196" s="145"/>
      <c r="MX196" s="145"/>
      <c r="MY196" s="145"/>
      <c r="MZ196" s="145"/>
      <c r="NA196" s="145"/>
      <c r="NB196" s="145"/>
      <c r="NC196" s="145"/>
      <c r="ND196" s="145"/>
      <c r="NE196" s="145"/>
      <c r="NF196" s="145"/>
      <c r="NG196" s="145"/>
      <c r="NH196" s="145"/>
      <c r="NI196" s="145"/>
      <c r="NJ196" s="145"/>
      <c r="NK196" s="145"/>
      <c r="NL196" s="145"/>
      <c r="NM196" s="145"/>
      <c r="NN196" s="145"/>
      <c r="NO196" s="145"/>
      <c r="NP196" s="145"/>
      <c r="NQ196" s="145"/>
      <c r="NR196" s="145"/>
      <c r="NS196" s="145"/>
    </row>
    <row r="197" spans="1:383" s="16" customFormat="1" ht="15" customHeight="1" x14ac:dyDescent="0.2">
      <c r="A197" s="15">
        <v>52111</v>
      </c>
      <c r="B197" s="25">
        <v>521</v>
      </c>
      <c r="C197" s="26">
        <v>11</v>
      </c>
      <c r="D197" s="20" t="s">
        <v>590</v>
      </c>
      <c r="E197" s="14">
        <v>42683</v>
      </c>
      <c r="F197" s="18">
        <v>1.10003549167634</v>
      </c>
      <c r="G197" s="18">
        <v>1.0905091576994399</v>
      </c>
      <c r="H197" s="21">
        <v>89.1</v>
      </c>
      <c r="I197" s="21">
        <v>83.6</v>
      </c>
      <c r="J197" s="21">
        <v>90</v>
      </c>
      <c r="K197" s="18">
        <v>1</v>
      </c>
      <c r="L197" s="18">
        <v>85</v>
      </c>
      <c r="M197" s="18">
        <v>8.1</v>
      </c>
      <c r="N197" s="18">
        <v>1.8</v>
      </c>
      <c r="O197" s="18">
        <v>1.5</v>
      </c>
      <c r="P197" s="18">
        <v>2.2999999999999998</v>
      </c>
      <c r="Q197" s="19"/>
      <c r="R197" s="18">
        <v>77</v>
      </c>
      <c r="S197" s="18">
        <v>28</v>
      </c>
      <c r="T197" s="18">
        <v>42</v>
      </c>
      <c r="U197" s="18">
        <v>47</v>
      </c>
      <c r="V197" s="18">
        <v>52</v>
      </c>
      <c r="W197" s="18">
        <v>55</v>
      </c>
      <c r="X197" s="18"/>
      <c r="Y197" s="18">
        <v>0.50588235294117645</v>
      </c>
      <c r="Z197" s="18">
        <v>3.0588235294117645</v>
      </c>
      <c r="AA197" s="18">
        <v>0.1</v>
      </c>
      <c r="AB197" s="18">
        <v>0</v>
      </c>
      <c r="AC197" s="18">
        <v>4.9411800000000001</v>
      </c>
      <c r="AD197" s="18">
        <v>1.2</v>
      </c>
      <c r="AE197" s="18">
        <v>0</v>
      </c>
      <c r="AF197" s="18">
        <v>71</v>
      </c>
      <c r="AG197" s="18">
        <v>4.9999999999999885</v>
      </c>
      <c r="AH197" s="18">
        <v>30</v>
      </c>
      <c r="AI197" s="18">
        <v>31</v>
      </c>
      <c r="AJ197" s="18">
        <v>0</v>
      </c>
      <c r="AK197" s="18">
        <v>0.03</v>
      </c>
      <c r="AL197" s="18"/>
      <c r="AM197" s="18">
        <v>3.7</v>
      </c>
      <c r="AN197" s="18">
        <v>1.7</v>
      </c>
      <c r="AO197" s="18">
        <v>2.35</v>
      </c>
      <c r="AP197" s="18">
        <v>3.29</v>
      </c>
      <c r="AQ197" s="18">
        <v>1.07</v>
      </c>
      <c r="AR197" s="18">
        <v>3.48</v>
      </c>
      <c r="AS197" s="18">
        <v>6.28</v>
      </c>
      <c r="AT197" s="18">
        <v>2.2799999999999998</v>
      </c>
      <c r="AU197" s="18">
        <v>4.49</v>
      </c>
      <c r="AV197" s="18">
        <v>2.7</v>
      </c>
      <c r="AW197" s="18">
        <v>4.67</v>
      </c>
      <c r="AX197" s="18"/>
      <c r="AY197" s="18">
        <v>0.97</v>
      </c>
      <c r="AZ197" s="18">
        <v>1.04</v>
      </c>
      <c r="BA197" s="18">
        <v>1.01</v>
      </c>
      <c r="BB197" s="18">
        <v>0.88</v>
      </c>
      <c r="BC197" s="18">
        <v>0.99</v>
      </c>
      <c r="BD197" s="18">
        <v>1</v>
      </c>
      <c r="BE197" s="18">
        <v>1.03</v>
      </c>
      <c r="BF197" s="18">
        <v>1.03</v>
      </c>
      <c r="BG197" s="18">
        <v>1.06</v>
      </c>
      <c r="BH197" s="18">
        <v>1</v>
      </c>
      <c r="BI197" s="18">
        <v>0.99</v>
      </c>
      <c r="BJ197" s="19"/>
      <c r="BK197" s="18">
        <v>9.5294117647058822</v>
      </c>
      <c r="BL197" s="18">
        <v>2.1176470588235294</v>
      </c>
      <c r="BM197" s="18">
        <v>1.7647058823529411</v>
      </c>
      <c r="BN197" s="18">
        <v>2.7058823529411762</v>
      </c>
      <c r="BO197" s="18"/>
      <c r="BP197" s="18">
        <v>105</v>
      </c>
      <c r="BQ197" s="18">
        <v>22.235294117647054</v>
      </c>
      <c r="BR197" s="18">
        <v>1.2941594019721645</v>
      </c>
      <c r="BS197" s="18">
        <v>1.2829519502346352</v>
      </c>
      <c r="BT197" s="19"/>
      <c r="BU197" s="18">
        <v>982.35294117647061</v>
      </c>
      <c r="BV197" s="18">
        <v>690.83277310924473</v>
      </c>
      <c r="BW197" s="18">
        <v>77.184873949579767</v>
      </c>
      <c r="BX197" s="18">
        <v>612.99999999999989</v>
      </c>
      <c r="BY197" s="18">
        <v>32</v>
      </c>
      <c r="BZ197" s="18">
        <v>39</v>
      </c>
      <c r="CA197" s="18">
        <v>129</v>
      </c>
      <c r="CB197" s="19"/>
      <c r="CC197" s="19">
        <v>0.43</v>
      </c>
      <c r="CD197" s="19">
        <v>2.5999999999999996</v>
      </c>
      <c r="CE197" s="19">
        <v>8.5000000000000006E-2</v>
      </c>
      <c r="CF197" s="19">
        <v>0</v>
      </c>
      <c r="CG197" s="19">
        <v>4.2000029999999997</v>
      </c>
      <c r="CH197" s="19">
        <v>1.02</v>
      </c>
      <c r="CI197" s="19">
        <v>0</v>
      </c>
      <c r="CJ197" s="19"/>
      <c r="CK197" s="19">
        <v>60.35</v>
      </c>
      <c r="CL197" s="19">
        <v>4.2499999999999902</v>
      </c>
      <c r="CM197" s="19">
        <v>25.5</v>
      </c>
      <c r="CN197" s="19">
        <v>26.349999999999998</v>
      </c>
      <c r="CO197" s="19">
        <v>0</v>
      </c>
      <c r="CP197" s="19">
        <v>2.5499999999999998E-2</v>
      </c>
      <c r="CQ197" s="19">
        <v>62.37</v>
      </c>
      <c r="CR197" s="19">
        <v>56.698170624435569</v>
      </c>
      <c r="CS197" s="19">
        <v>2.034897343710993</v>
      </c>
      <c r="CT197" s="19">
        <v>1.0024236566400209</v>
      </c>
      <c r="CU197" s="19">
        <v>1.3457310797709783</v>
      </c>
      <c r="CV197" s="19">
        <v>2.3481547364109989</v>
      </c>
      <c r="CW197" s="19">
        <v>1.6415254359186588</v>
      </c>
      <c r="CX197" s="19">
        <v>0.60060372142464602</v>
      </c>
      <c r="CY197" s="19">
        <v>1.9730963377303579</v>
      </c>
      <c r="CZ197" s="19">
        <v>3.6674644686709903</v>
      </c>
      <c r="DA197" s="19">
        <v>1.3314998389442452</v>
      </c>
      <c r="DB197" s="19">
        <v>2.6984927326993864</v>
      </c>
      <c r="DC197" s="19">
        <v>1.5308506068597605</v>
      </c>
      <c r="DD197" s="19">
        <v>4.2293433395591471</v>
      </c>
      <c r="DE197" s="19">
        <v>2.6213265224795297</v>
      </c>
      <c r="DF197" s="23">
        <v>0</v>
      </c>
      <c r="DG197" s="23">
        <v>0</v>
      </c>
      <c r="DH197" s="23">
        <v>0</v>
      </c>
      <c r="DI197" s="19">
        <v>0</v>
      </c>
      <c r="DJ197" s="19">
        <v>0</v>
      </c>
      <c r="DK197" s="19">
        <v>0</v>
      </c>
      <c r="DL197" s="19">
        <v>0</v>
      </c>
      <c r="DM197" s="19">
        <v>0</v>
      </c>
      <c r="DN197" s="19">
        <v>0</v>
      </c>
      <c r="DO197" s="19">
        <v>0</v>
      </c>
      <c r="DP197" s="19">
        <v>0</v>
      </c>
      <c r="DQ197" s="19">
        <v>0</v>
      </c>
      <c r="DR197" s="19">
        <v>0</v>
      </c>
      <c r="DS197" s="19">
        <v>0</v>
      </c>
      <c r="DT197" s="19">
        <v>0</v>
      </c>
      <c r="DU197" s="19">
        <v>0</v>
      </c>
      <c r="DV197" s="19">
        <v>0</v>
      </c>
      <c r="DW197" s="17" t="s">
        <v>581</v>
      </c>
      <c r="DX197" s="22" t="s">
        <v>218</v>
      </c>
      <c r="DY197" s="22">
        <v>16</v>
      </c>
      <c r="DZ197" s="22">
        <v>8</v>
      </c>
      <c r="EA197" s="22">
        <v>8</v>
      </c>
      <c r="EB197" s="22" t="s">
        <v>218</v>
      </c>
      <c r="EC197" s="22">
        <v>8</v>
      </c>
      <c r="ED197" s="22">
        <v>8</v>
      </c>
      <c r="EE197" s="22" t="s">
        <v>218</v>
      </c>
      <c r="EF197" s="22">
        <v>8</v>
      </c>
      <c r="EG197" s="22">
        <v>8</v>
      </c>
      <c r="EH197" s="22" t="s">
        <v>218</v>
      </c>
      <c r="EI197" s="22" t="s">
        <v>218</v>
      </c>
      <c r="EJ197" s="22" t="s">
        <v>218</v>
      </c>
      <c r="EK197" s="22" t="s">
        <v>218</v>
      </c>
      <c r="EL197" s="22" t="s">
        <v>218</v>
      </c>
      <c r="EM197" s="22" t="s">
        <v>218</v>
      </c>
      <c r="EN197" s="22" t="s">
        <v>218</v>
      </c>
      <c r="EO197" s="22" t="s">
        <v>218</v>
      </c>
      <c r="EP197" s="22" t="s">
        <v>218</v>
      </c>
      <c r="EQ197" s="22" t="s">
        <v>218</v>
      </c>
      <c r="ER197" s="22" t="s">
        <v>218</v>
      </c>
      <c r="ES197" s="22">
        <v>8</v>
      </c>
      <c r="ET197" s="22">
        <v>16</v>
      </c>
      <c r="EU197" s="22" t="s">
        <v>218</v>
      </c>
      <c r="EV197" s="22" t="s">
        <v>218</v>
      </c>
      <c r="EW197" s="22" t="s">
        <v>218</v>
      </c>
      <c r="EX197" s="22" t="s">
        <v>218</v>
      </c>
      <c r="EY197" s="22" t="s">
        <v>218</v>
      </c>
      <c r="EZ197" s="22" t="s">
        <v>218</v>
      </c>
      <c r="FA197" s="22" t="s">
        <v>218</v>
      </c>
      <c r="FB197" s="22" t="s">
        <v>218</v>
      </c>
      <c r="FC197" s="22" t="s">
        <v>218</v>
      </c>
      <c r="FD197" s="22" t="s">
        <v>218</v>
      </c>
      <c r="FE197" s="22" t="s">
        <v>218</v>
      </c>
      <c r="FF197" s="22" t="s">
        <v>218</v>
      </c>
      <c r="FG197" s="22">
        <v>0.4</v>
      </c>
      <c r="FH197" s="22">
        <v>0.34</v>
      </c>
      <c r="FI197" s="22">
        <v>0.11</v>
      </c>
      <c r="FJ197" s="22" t="s">
        <v>218</v>
      </c>
      <c r="FK197" s="22">
        <v>1.5</v>
      </c>
      <c r="FL197" s="22">
        <v>1.45</v>
      </c>
      <c r="FM197" s="22" t="s">
        <v>218</v>
      </c>
      <c r="FN197" s="22">
        <v>4.04</v>
      </c>
      <c r="FO197" s="22">
        <v>3.79</v>
      </c>
      <c r="FP197" s="22" t="s">
        <v>218</v>
      </c>
      <c r="FQ197" s="22" t="s">
        <v>218</v>
      </c>
      <c r="FR197" s="22" t="s">
        <v>218</v>
      </c>
      <c r="FS197" s="22" t="s">
        <v>218</v>
      </c>
      <c r="FT197" s="22" t="s">
        <v>218</v>
      </c>
      <c r="FU197" s="22" t="s">
        <v>218</v>
      </c>
      <c r="FV197" s="22" t="s">
        <v>218</v>
      </c>
      <c r="FW197" s="22" t="s">
        <v>218</v>
      </c>
      <c r="FX197" s="22" t="s">
        <v>218</v>
      </c>
      <c r="FY197" s="22" t="s">
        <v>218</v>
      </c>
      <c r="FZ197" s="22" t="s">
        <v>218</v>
      </c>
      <c r="GA197" s="22">
        <v>0.08</v>
      </c>
      <c r="GB197" s="22">
        <v>0.2</v>
      </c>
      <c r="GC197" s="22" t="s">
        <v>218</v>
      </c>
      <c r="GD197" s="22" t="s">
        <v>218</v>
      </c>
      <c r="GE197" s="22" t="s">
        <v>218</v>
      </c>
      <c r="GF197" s="22" t="s">
        <v>218</v>
      </c>
      <c r="GG197" s="22" t="s">
        <v>218</v>
      </c>
      <c r="GH197" s="22" t="s">
        <v>218</v>
      </c>
      <c r="GI197" s="22" t="s">
        <v>218</v>
      </c>
      <c r="GJ197" s="22" t="s">
        <v>218</v>
      </c>
      <c r="GK197" s="22" t="s">
        <v>218</v>
      </c>
      <c r="GL197" s="22" t="s">
        <v>218</v>
      </c>
      <c r="GM197" s="22" t="s">
        <v>218</v>
      </c>
      <c r="GN197" s="22" t="s">
        <v>218</v>
      </c>
      <c r="GO197" s="22">
        <v>2016</v>
      </c>
      <c r="GP197" s="22">
        <v>2016</v>
      </c>
      <c r="GQ197" s="22">
        <v>2016</v>
      </c>
      <c r="GR197" s="22" t="s">
        <v>218</v>
      </c>
      <c r="GS197" s="22">
        <v>2016</v>
      </c>
      <c r="GT197" s="22">
        <v>2016</v>
      </c>
      <c r="GU197" s="22" t="s">
        <v>218</v>
      </c>
      <c r="GV197" s="22">
        <v>2016</v>
      </c>
      <c r="GW197" s="22">
        <v>2016</v>
      </c>
      <c r="GX197" s="22" t="s">
        <v>218</v>
      </c>
      <c r="GY197" s="22" t="s">
        <v>218</v>
      </c>
      <c r="GZ197" s="22" t="s">
        <v>218</v>
      </c>
      <c r="HA197" s="22" t="s">
        <v>218</v>
      </c>
      <c r="HB197" s="22" t="s">
        <v>218</v>
      </c>
      <c r="HC197" s="22" t="s">
        <v>218</v>
      </c>
      <c r="HD197" s="22" t="s">
        <v>218</v>
      </c>
      <c r="HE197" s="22" t="s">
        <v>218</v>
      </c>
      <c r="HF197" s="22" t="s">
        <v>218</v>
      </c>
      <c r="HG197" s="22" t="s">
        <v>218</v>
      </c>
      <c r="HH197" s="22" t="s">
        <v>218</v>
      </c>
      <c r="HI197" s="22">
        <v>2016</v>
      </c>
      <c r="HJ197" s="22">
        <v>2016</v>
      </c>
      <c r="HK197" s="22" t="s">
        <v>218</v>
      </c>
      <c r="HL197" s="22" t="s">
        <v>218</v>
      </c>
      <c r="HM197" s="622">
        <f>'background data'!$G$10</f>
        <v>0.47300000000000003</v>
      </c>
      <c r="HN197" s="622">
        <f>'background data'!$H$10</f>
        <v>0.13</v>
      </c>
      <c r="HO197" s="622">
        <f>'background data'!$J$10</f>
        <v>0.39100000000000001</v>
      </c>
      <c r="HP197" s="622">
        <f>'background data'!$L$10</f>
        <v>5.5E-2</v>
      </c>
      <c r="HQ197" s="622">
        <f>'background data'!$M$10</f>
        <v>3.97</v>
      </c>
      <c r="HR197" s="622">
        <f>'background data'!$N$10</f>
        <v>4.5999999999999999E-3</v>
      </c>
      <c r="HS197" s="622">
        <f>'background data'!$O$10</f>
        <v>2.73</v>
      </c>
      <c r="HT197" s="145" t="s">
        <v>1797</v>
      </c>
      <c r="HU197" s="145" t="s">
        <v>1809</v>
      </c>
      <c r="HV197" s="22" t="s">
        <v>1398</v>
      </c>
      <c r="HW197" s="22" t="s">
        <v>582</v>
      </c>
      <c r="HX197" s="22">
        <v>0</v>
      </c>
      <c r="HY197" s="22" t="s">
        <v>583</v>
      </c>
      <c r="HZ197" s="19"/>
      <c r="IA197" s="19"/>
      <c r="IB197" s="622">
        <f>'background data'!$G$10</f>
        <v>0.47300000000000003</v>
      </c>
      <c r="IC197" s="622">
        <f>'background data'!$H$10</f>
        <v>0.13</v>
      </c>
      <c r="ID197" s="622">
        <f>'background data'!$J$10</f>
        <v>0.39100000000000001</v>
      </c>
      <c r="IE197" s="622">
        <f>'background data'!$L$10</f>
        <v>5.5E-2</v>
      </c>
      <c r="IF197" s="622">
        <f>'background data'!$M$10</f>
        <v>3.97</v>
      </c>
      <c r="IG197" s="622">
        <f>'background data'!$N$10</f>
        <v>4.5999999999999999E-3</v>
      </c>
      <c r="IH197" s="622">
        <f>'background data'!$O$10</f>
        <v>2.73</v>
      </c>
      <c r="II197" s="145" t="s">
        <v>1797</v>
      </c>
      <c r="IJ197" s="145" t="s">
        <v>1398</v>
      </c>
      <c r="IK197" s="145"/>
      <c r="IL197" s="145"/>
      <c r="IM197" s="145"/>
      <c r="IN197" s="145"/>
      <c r="IO197" s="145"/>
      <c r="IP197" s="145"/>
      <c r="IQ197" s="145"/>
      <c r="IR197" s="145"/>
      <c r="IS197" s="145"/>
      <c r="IT197" s="145"/>
      <c r="IU197" s="145"/>
      <c r="IV197" s="145"/>
      <c r="IW197" s="145"/>
      <c r="IX197" s="145"/>
      <c r="IY197" s="145"/>
      <c r="IZ197" s="145"/>
      <c r="JA197" s="145"/>
      <c r="JB197" s="145"/>
      <c r="JC197" s="145"/>
      <c r="JD197" s="145"/>
      <c r="JE197" s="145"/>
      <c r="JF197" s="145"/>
      <c r="JG197" s="145"/>
      <c r="JH197" s="145"/>
      <c r="JI197" s="145"/>
      <c r="JJ197" s="145"/>
      <c r="JK197" s="145"/>
      <c r="JL197" s="145"/>
      <c r="JM197" s="145"/>
      <c r="JN197" s="145"/>
      <c r="JO197" s="145"/>
      <c r="JP197" s="145"/>
      <c r="JQ197" s="145"/>
      <c r="JR197" s="145"/>
      <c r="JS197" s="145"/>
      <c r="JT197" s="145"/>
      <c r="JU197" s="145"/>
      <c r="JV197" s="145"/>
      <c r="JW197" s="145"/>
      <c r="JX197" s="145"/>
      <c r="JY197" s="145"/>
      <c r="JZ197" s="145"/>
      <c r="KA197" s="145"/>
      <c r="KB197" s="145"/>
      <c r="KC197" s="145"/>
      <c r="KD197" s="145"/>
      <c r="KE197" s="145"/>
      <c r="KF197" s="145"/>
      <c r="KG197" s="145"/>
      <c r="KH197" s="145"/>
      <c r="KI197" s="145"/>
      <c r="KJ197" s="145"/>
      <c r="KK197" s="145"/>
      <c r="KL197" s="145"/>
      <c r="KM197" s="145"/>
      <c r="KN197" s="145"/>
      <c r="KO197" s="145"/>
      <c r="KP197" s="145"/>
      <c r="KQ197" s="145"/>
      <c r="KR197" s="145"/>
      <c r="KS197" s="145"/>
      <c r="KT197" s="145"/>
      <c r="KU197" s="145"/>
      <c r="KV197" s="145"/>
      <c r="KW197" s="145"/>
      <c r="KX197" s="145"/>
      <c r="KY197" s="145"/>
      <c r="KZ197" s="145"/>
      <c r="LA197" s="145"/>
      <c r="LB197" s="145"/>
      <c r="LC197" s="145"/>
      <c r="LD197" s="145"/>
      <c r="LE197" s="145"/>
      <c r="LF197" s="145"/>
      <c r="LG197" s="145"/>
      <c r="LH197" s="145"/>
      <c r="LI197" s="145"/>
      <c r="LJ197" s="145"/>
      <c r="LK197" s="145"/>
      <c r="LL197" s="145"/>
      <c r="LM197" s="145"/>
      <c r="LN197" s="145"/>
      <c r="LO197" s="145"/>
      <c r="LP197" s="145"/>
      <c r="LQ197" s="145"/>
      <c r="LR197" s="145"/>
      <c r="LS197" s="145"/>
      <c r="LT197" s="145"/>
      <c r="LU197" s="145"/>
      <c r="LV197" s="145"/>
      <c r="LW197" s="145"/>
      <c r="LX197" s="145"/>
      <c r="LY197" s="145"/>
      <c r="LZ197" s="145"/>
      <c r="MA197" s="145"/>
      <c r="MB197" s="145"/>
      <c r="MC197" s="145"/>
      <c r="MD197" s="145"/>
      <c r="ME197" s="145"/>
      <c r="MF197" s="145"/>
      <c r="MG197" s="145"/>
      <c r="MH197" s="145"/>
      <c r="MI197" s="145"/>
      <c r="MJ197" s="145"/>
      <c r="MK197" s="145"/>
      <c r="ML197" s="145"/>
      <c r="MM197" s="145"/>
      <c r="MN197" s="145"/>
      <c r="MO197" s="145"/>
      <c r="MP197" s="145"/>
      <c r="MQ197" s="145"/>
      <c r="MR197" s="145"/>
      <c r="MS197" s="145"/>
      <c r="MT197" s="145"/>
      <c r="MU197" s="145"/>
      <c r="MV197" s="145"/>
      <c r="MW197" s="145"/>
      <c r="MX197" s="145"/>
      <c r="MY197" s="145"/>
      <c r="MZ197" s="145"/>
      <c r="NA197" s="145"/>
      <c r="NB197" s="145"/>
      <c r="NC197" s="145"/>
      <c r="ND197" s="145"/>
      <c r="NE197" s="145"/>
      <c r="NF197" s="145"/>
      <c r="NG197" s="145"/>
      <c r="NH197" s="145"/>
      <c r="NI197" s="145"/>
      <c r="NJ197" s="145"/>
      <c r="NK197" s="145"/>
      <c r="NL197" s="145"/>
      <c r="NM197" s="145"/>
      <c r="NN197" s="145"/>
      <c r="NO197" s="145"/>
      <c r="NP197" s="145"/>
      <c r="NQ197" s="145"/>
      <c r="NR197" s="145"/>
      <c r="NS197" s="145"/>
    </row>
    <row r="198" spans="1:383" s="16" customFormat="1" ht="15" customHeight="1" x14ac:dyDescent="0.2">
      <c r="A198" s="15">
        <v>52311</v>
      </c>
      <c r="B198" s="25">
        <v>523</v>
      </c>
      <c r="C198" s="26">
        <v>11</v>
      </c>
      <c r="D198" s="20" t="s">
        <v>591</v>
      </c>
      <c r="E198" s="14">
        <v>42678</v>
      </c>
      <c r="F198" s="18">
        <v>1.0935850561362701</v>
      </c>
      <c r="G198" s="18">
        <v>1.08530074508348</v>
      </c>
      <c r="H198" s="21">
        <v>89.1</v>
      </c>
      <c r="I198" s="21">
        <v>83.300035500000007</v>
      </c>
      <c r="J198" s="21">
        <v>90</v>
      </c>
      <c r="K198" s="18">
        <v>1</v>
      </c>
      <c r="L198" s="18">
        <v>85</v>
      </c>
      <c r="M198" s="18">
        <v>9.9999999999999591</v>
      </c>
      <c r="N198" s="18">
        <v>1.8</v>
      </c>
      <c r="O198" s="18">
        <v>1.4</v>
      </c>
      <c r="P198" s="18">
        <v>2.2999999999999998</v>
      </c>
      <c r="Q198" s="19"/>
      <c r="R198" s="18">
        <v>77</v>
      </c>
      <c r="S198" s="18">
        <v>28</v>
      </c>
      <c r="T198" s="18">
        <v>42</v>
      </c>
      <c r="U198" s="18">
        <v>47</v>
      </c>
      <c r="V198" s="18">
        <v>52</v>
      </c>
      <c r="W198" s="18">
        <v>55</v>
      </c>
      <c r="X198" s="18"/>
      <c r="Y198" s="18">
        <v>0.50588235294117645</v>
      </c>
      <c r="Z198" s="18">
        <v>3.0588235294117645</v>
      </c>
      <c r="AA198" s="18">
        <v>0.1</v>
      </c>
      <c r="AB198" s="18">
        <v>0</v>
      </c>
      <c r="AC198" s="18">
        <v>4.9411800000000001</v>
      </c>
      <c r="AD198" s="18">
        <v>1.2</v>
      </c>
      <c r="AE198" s="18">
        <v>0</v>
      </c>
      <c r="AF198" s="18">
        <v>71</v>
      </c>
      <c r="AG198" s="18">
        <v>4.9999999999999885</v>
      </c>
      <c r="AH198" s="18">
        <v>30</v>
      </c>
      <c r="AI198" s="18">
        <v>31</v>
      </c>
      <c r="AJ198" s="18">
        <v>0</v>
      </c>
      <c r="AK198" s="18">
        <v>0.03</v>
      </c>
      <c r="AL198" s="18"/>
      <c r="AM198" s="18">
        <v>3.7</v>
      </c>
      <c r="AN198" s="18">
        <v>1.7</v>
      </c>
      <c r="AO198" s="18">
        <v>2.35</v>
      </c>
      <c r="AP198" s="18">
        <v>3.29</v>
      </c>
      <c r="AQ198" s="18">
        <v>1.07</v>
      </c>
      <c r="AR198" s="18">
        <v>3.48</v>
      </c>
      <c r="AS198" s="18">
        <v>6.28</v>
      </c>
      <c r="AT198" s="18">
        <v>2.2799999999999998</v>
      </c>
      <c r="AU198" s="18">
        <v>4.49</v>
      </c>
      <c r="AV198" s="18">
        <v>2.7</v>
      </c>
      <c r="AW198" s="18">
        <v>4.67</v>
      </c>
      <c r="AX198" s="18"/>
      <c r="AY198" s="18">
        <v>0.97</v>
      </c>
      <c r="AZ198" s="18">
        <v>1.04</v>
      </c>
      <c r="BA198" s="18">
        <v>1.01</v>
      </c>
      <c r="BB198" s="18">
        <v>0.88</v>
      </c>
      <c r="BC198" s="18">
        <v>0.99</v>
      </c>
      <c r="BD198" s="18">
        <v>1</v>
      </c>
      <c r="BE198" s="18">
        <v>1.03</v>
      </c>
      <c r="BF198" s="18">
        <v>1.03</v>
      </c>
      <c r="BG198" s="18">
        <v>1.06</v>
      </c>
      <c r="BH198" s="18">
        <v>1</v>
      </c>
      <c r="BI198" s="18">
        <v>0.99</v>
      </c>
      <c r="BJ198" s="19"/>
      <c r="BK198" s="18">
        <v>11.764705882352892</v>
      </c>
      <c r="BL198" s="18">
        <v>2.1176470588235294</v>
      </c>
      <c r="BM198" s="18">
        <v>1.6470588235294117</v>
      </c>
      <c r="BN198" s="18">
        <v>2.7058823529411762</v>
      </c>
      <c r="BO198" s="18"/>
      <c r="BP198" s="18">
        <v>105</v>
      </c>
      <c r="BQ198" s="18">
        <v>22.235294117647054</v>
      </c>
      <c r="BR198" s="18">
        <v>1.2865706542779649</v>
      </c>
      <c r="BS198" s="18">
        <v>1.2768244059805647</v>
      </c>
      <c r="BT198" s="19"/>
      <c r="BU198" s="18">
        <v>983.52941176470586</v>
      </c>
      <c r="BV198" s="18">
        <v>667.23226890756359</v>
      </c>
      <c r="BW198" s="18">
        <v>81.491938184874002</v>
      </c>
      <c r="BX198" s="18">
        <v>612.99999999999989</v>
      </c>
      <c r="BY198" s="18">
        <v>32</v>
      </c>
      <c r="BZ198" s="18">
        <v>39</v>
      </c>
      <c r="CA198" s="18">
        <v>129</v>
      </c>
      <c r="CB198" s="19"/>
      <c r="CC198" s="19">
        <v>0.43</v>
      </c>
      <c r="CD198" s="19">
        <v>2.5999999999999996</v>
      </c>
      <c r="CE198" s="19">
        <v>8.5000000000000006E-2</v>
      </c>
      <c r="CF198" s="19">
        <v>0</v>
      </c>
      <c r="CG198" s="19">
        <v>4.2000029999999997</v>
      </c>
      <c r="CH198" s="19">
        <v>1.02</v>
      </c>
      <c r="CI198" s="19">
        <v>0</v>
      </c>
      <c r="CJ198" s="19"/>
      <c r="CK198" s="19">
        <v>60.35</v>
      </c>
      <c r="CL198" s="19">
        <v>4.2499999999999902</v>
      </c>
      <c r="CM198" s="19">
        <v>25.5</v>
      </c>
      <c r="CN198" s="19">
        <v>26.349999999999998</v>
      </c>
      <c r="CO198" s="19">
        <v>0</v>
      </c>
      <c r="CP198" s="19">
        <v>2.5499999999999998E-2</v>
      </c>
      <c r="CQ198" s="19">
        <v>76.999999999999702</v>
      </c>
      <c r="CR198" s="19">
        <v>70.410618330911831</v>
      </c>
      <c r="CS198" s="19">
        <v>2.5270370918964264</v>
      </c>
      <c r="CT198" s="19">
        <v>1.2448597320905259</v>
      </c>
      <c r="CU198" s="19">
        <v>1.6711960260841896</v>
      </c>
      <c r="CV198" s="19">
        <v>2.916055758174716</v>
      </c>
      <c r="CW198" s="19">
        <v>2.0385282219165584</v>
      </c>
      <c r="CX198" s="19">
        <v>0.7458596799793491</v>
      </c>
      <c r="CY198" s="19">
        <v>2.4502895179157318</v>
      </c>
      <c r="CZ198" s="19">
        <v>4.5544404361167006</v>
      </c>
      <c r="DA198" s="19">
        <v>1.6535229608831306</v>
      </c>
      <c r="DB198" s="19">
        <v>3.3511229688414215</v>
      </c>
      <c r="DC198" s="19">
        <v>1.9010866949346177</v>
      </c>
      <c r="DD198" s="19">
        <v>5.2522096637760392</v>
      </c>
      <c r="DE198" s="19">
        <v>3.2552941172930501</v>
      </c>
      <c r="DF198" s="23">
        <v>0</v>
      </c>
      <c r="DG198" s="23">
        <v>0</v>
      </c>
      <c r="DH198" s="23">
        <v>0</v>
      </c>
      <c r="DI198" s="19">
        <v>0</v>
      </c>
      <c r="DJ198" s="19">
        <v>0</v>
      </c>
      <c r="DK198" s="19">
        <v>0</v>
      </c>
      <c r="DL198" s="19">
        <v>0</v>
      </c>
      <c r="DM198" s="19">
        <v>0</v>
      </c>
      <c r="DN198" s="19">
        <v>0</v>
      </c>
      <c r="DO198" s="19">
        <v>0</v>
      </c>
      <c r="DP198" s="19">
        <v>0</v>
      </c>
      <c r="DQ198" s="19">
        <v>0</v>
      </c>
      <c r="DR198" s="19">
        <v>0</v>
      </c>
      <c r="DS198" s="19">
        <v>0</v>
      </c>
      <c r="DT198" s="19">
        <v>0</v>
      </c>
      <c r="DU198" s="19">
        <v>0</v>
      </c>
      <c r="DV198" s="19">
        <v>0</v>
      </c>
      <c r="DW198" s="17" t="s">
        <v>581</v>
      </c>
      <c r="DX198" s="22" t="s">
        <v>218</v>
      </c>
      <c r="DY198" s="22" t="s">
        <v>218</v>
      </c>
      <c r="DZ198" s="22" t="s">
        <v>218</v>
      </c>
      <c r="EA198" s="22" t="s">
        <v>218</v>
      </c>
      <c r="EB198" s="22" t="s">
        <v>218</v>
      </c>
      <c r="EC198" s="22" t="s">
        <v>218</v>
      </c>
      <c r="ED198" s="22" t="s">
        <v>218</v>
      </c>
      <c r="EE198" s="22" t="s">
        <v>218</v>
      </c>
      <c r="EF198" s="22" t="s">
        <v>218</v>
      </c>
      <c r="EG198" s="22" t="s">
        <v>218</v>
      </c>
      <c r="EH198" s="22" t="s">
        <v>218</v>
      </c>
      <c r="EI198" s="22" t="s">
        <v>218</v>
      </c>
      <c r="EJ198" s="22" t="s">
        <v>218</v>
      </c>
      <c r="EK198" s="22" t="s">
        <v>218</v>
      </c>
      <c r="EL198" s="22" t="s">
        <v>218</v>
      </c>
      <c r="EM198" s="22" t="s">
        <v>218</v>
      </c>
      <c r="EN198" s="22" t="s">
        <v>218</v>
      </c>
      <c r="EO198" s="22" t="s">
        <v>218</v>
      </c>
      <c r="EP198" s="22" t="s">
        <v>218</v>
      </c>
      <c r="EQ198" s="22" t="s">
        <v>218</v>
      </c>
      <c r="ER198" s="22" t="s">
        <v>218</v>
      </c>
      <c r="ES198" s="22" t="s">
        <v>218</v>
      </c>
      <c r="ET198" s="22" t="s">
        <v>218</v>
      </c>
      <c r="EU198" s="22" t="s">
        <v>218</v>
      </c>
      <c r="EV198" s="22" t="s">
        <v>218</v>
      </c>
      <c r="EW198" s="22" t="s">
        <v>218</v>
      </c>
      <c r="EX198" s="22" t="s">
        <v>218</v>
      </c>
      <c r="EY198" s="22" t="s">
        <v>218</v>
      </c>
      <c r="EZ198" s="22" t="s">
        <v>218</v>
      </c>
      <c r="FA198" s="22" t="s">
        <v>218</v>
      </c>
      <c r="FB198" s="22" t="s">
        <v>218</v>
      </c>
      <c r="FC198" s="22" t="s">
        <v>218</v>
      </c>
      <c r="FD198" s="22" t="s">
        <v>218</v>
      </c>
      <c r="FE198" s="22" t="s">
        <v>218</v>
      </c>
      <c r="FF198" s="22" t="s">
        <v>218</v>
      </c>
      <c r="FG198" s="22" t="s">
        <v>218</v>
      </c>
      <c r="FH198" s="22" t="s">
        <v>218</v>
      </c>
      <c r="FI198" s="22" t="s">
        <v>218</v>
      </c>
      <c r="FJ198" s="22" t="s">
        <v>218</v>
      </c>
      <c r="FK198" s="22" t="s">
        <v>218</v>
      </c>
      <c r="FL198" s="22" t="s">
        <v>218</v>
      </c>
      <c r="FM198" s="22" t="s">
        <v>218</v>
      </c>
      <c r="FN198" s="22" t="s">
        <v>218</v>
      </c>
      <c r="FO198" s="22" t="s">
        <v>218</v>
      </c>
      <c r="FP198" s="22" t="s">
        <v>218</v>
      </c>
      <c r="FQ198" s="22" t="s">
        <v>218</v>
      </c>
      <c r="FR198" s="22" t="s">
        <v>218</v>
      </c>
      <c r="FS198" s="22" t="s">
        <v>218</v>
      </c>
      <c r="FT198" s="22" t="s">
        <v>218</v>
      </c>
      <c r="FU198" s="22" t="s">
        <v>218</v>
      </c>
      <c r="FV198" s="22" t="s">
        <v>218</v>
      </c>
      <c r="FW198" s="22" t="s">
        <v>218</v>
      </c>
      <c r="FX198" s="22" t="s">
        <v>218</v>
      </c>
      <c r="FY198" s="22" t="s">
        <v>218</v>
      </c>
      <c r="FZ198" s="22" t="s">
        <v>218</v>
      </c>
      <c r="GA198" s="22" t="s">
        <v>218</v>
      </c>
      <c r="GB198" s="22" t="s">
        <v>218</v>
      </c>
      <c r="GC198" s="22" t="s">
        <v>218</v>
      </c>
      <c r="GD198" s="22" t="s">
        <v>218</v>
      </c>
      <c r="GE198" s="22" t="s">
        <v>218</v>
      </c>
      <c r="GF198" s="22" t="s">
        <v>218</v>
      </c>
      <c r="GG198" s="22" t="s">
        <v>218</v>
      </c>
      <c r="GH198" s="22" t="s">
        <v>218</v>
      </c>
      <c r="GI198" s="22" t="s">
        <v>218</v>
      </c>
      <c r="GJ198" s="22" t="s">
        <v>218</v>
      </c>
      <c r="GK198" s="22" t="s">
        <v>218</v>
      </c>
      <c r="GL198" s="22" t="s">
        <v>218</v>
      </c>
      <c r="GM198" s="22" t="s">
        <v>218</v>
      </c>
      <c r="GN198" s="22" t="s">
        <v>218</v>
      </c>
      <c r="GO198" s="22" t="s">
        <v>218</v>
      </c>
      <c r="GP198" s="22" t="s">
        <v>218</v>
      </c>
      <c r="GQ198" s="22" t="s">
        <v>218</v>
      </c>
      <c r="GR198" s="22" t="s">
        <v>218</v>
      </c>
      <c r="GS198" s="22" t="s">
        <v>218</v>
      </c>
      <c r="GT198" s="22" t="s">
        <v>218</v>
      </c>
      <c r="GU198" s="22" t="s">
        <v>218</v>
      </c>
      <c r="GV198" s="22" t="s">
        <v>218</v>
      </c>
      <c r="GW198" s="22" t="s">
        <v>218</v>
      </c>
      <c r="GX198" s="22" t="s">
        <v>218</v>
      </c>
      <c r="GY198" s="22" t="s">
        <v>218</v>
      </c>
      <c r="GZ198" s="22" t="s">
        <v>218</v>
      </c>
      <c r="HA198" s="22" t="s">
        <v>218</v>
      </c>
      <c r="HB198" s="22" t="s">
        <v>218</v>
      </c>
      <c r="HC198" s="22" t="s">
        <v>218</v>
      </c>
      <c r="HD198" s="22" t="s">
        <v>218</v>
      </c>
      <c r="HE198" s="22" t="s">
        <v>218</v>
      </c>
      <c r="HF198" s="22" t="s">
        <v>218</v>
      </c>
      <c r="HG198" s="22" t="s">
        <v>218</v>
      </c>
      <c r="HH198" s="22" t="s">
        <v>218</v>
      </c>
      <c r="HI198" s="22" t="s">
        <v>218</v>
      </c>
      <c r="HJ198" s="22" t="s">
        <v>218</v>
      </c>
      <c r="HK198" s="22" t="s">
        <v>218</v>
      </c>
      <c r="HL198" s="22" t="s">
        <v>218</v>
      </c>
      <c r="HM198" s="622">
        <f>'background data'!$G$10</f>
        <v>0.47300000000000003</v>
      </c>
      <c r="HN198" s="622">
        <f>'background data'!$H$10</f>
        <v>0.13</v>
      </c>
      <c r="HO198" s="622">
        <f>'background data'!$J$10</f>
        <v>0.39100000000000001</v>
      </c>
      <c r="HP198" s="622">
        <f>'background data'!$L$10</f>
        <v>5.5E-2</v>
      </c>
      <c r="HQ198" s="622">
        <f>'background data'!$M$10</f>
        <v>3.97</v>
      </c>
      <c r="HR198" s="622">
        <f>'background data'!$N$10</f>
        <v>4.5999999999999999E-3</v>
      </c>
      <c r="HS198" s="622">
        <f>'background data'!$O$10</f>
        <v>2.73</v>
      </c>
      <c r="HT198" s="145" t="s">
        <v>1797</v>
      </c>
      <c r="HU198" s="145" t="s">
        <v>1809</v>
      </c>
      <c r="HV198" s="22" t="s">
        <v>1398</v>
      </c>
      <c r="HW198" s="22" t="s">
        <v>592</v>
      </c>
      <c r="HX198" s="22">
        <v>0</v>
      </c>
      <c r="HY198" s="22" t="s">
        <v>583</v>
      </c>
      <c r="HZ198" s="19"/>
      <c r="IA198" s="19"/>
      <c r="IB198" s="622">
        <f>'background data'!$G$10</f>
        <v>0.47300000000000003</v>
      </c>
      <c r="IC198" s="622">
        <f>'background data'!$H$10</f>
        <v>0.13</v>
      </c>
      <c r="ID198" s="622">
        <f>'background data'!$J$10</f>
        <v>0.39100000000000001</v>
      </c>
      <c r="IE198" s="622">
        <f>'background data'!$L$10</f>
        <v>5.5E-2</v>
      </c>
      <c r="IF198" s="622">
        <f>'background data'!$M$10</f>
        <v>3.97</v>
      </c>
      <c r="IG198" s="622">
        <f>'background data'!$N$10</f>
        <v>4.5999999999999999E-3</v>
      </c>
      <c r="IH198" s="622">
        <f>'background data'!$O$10</f>
        <v>2.73</v>
      </c>
      <c r="II198" s="145" t="s">
        <v>1797</v>
      </c>
      <c r="IJ198" s="145" t="s">
        <v>1398</v>
      </c>
      <c r="IK198" s="145"/>
      <c r="IL198" s="145"/>
      <c r="IM198" s="145"/>
      <c r="IN198" s="145"/>
      <c r="IO198" s="145"/>
      <c r="IP198" s="145"/>
      <c r="IQ198" s="145"/>
      <c r="IR198" s="145"/>
      <c r="IS198" s="145"/>
      <c r="IT198" s="145"/>
      <c r="IU198" s="145"/>
      <c r="IV198" s="145"/>
      <c r="IW198" s="145"/>
      <c r="IX198" s="145"/>
      <c r="IY198" s="145"/>
      <c r="IZ198" s="145"/>
      <c r="JA198" s="145"/>
      <c r="JB198" s="145"/>
      <c r="JC198" s="145"/>
      <c r="JD198" s="145"/>
      <c r="JE198" s="145"/>
      <c r="JF198" s="145"/>
      <c r="JG198" s="145"/>
      <c r="JH198" s="145"/>
      <c r="JI198" s="145"/>
      <c r="JJ198" s="145"/>
      <c r="JK198" s="145"/>
      <c r="JL198" s="145"/>
      <c r="JM198" s="145"/>
      <c r="JN198" s="145"/>
      <c r="JO198" s="145"/>
      <c r="JP198" s="145"/>
      <c r="JQ198" s="145"/>
      <c r="JR198" s="145"/>
      <c r="JS198" s="145"/>
      <c r="JT198" s="145"/>
      <c r="JU198" s="145"/>
      <c r="JV198" s="145"/>
      <c r="JW198" s="145"/>
      <c r="JX198" s="145"/>
      <c r="JY198" s="145"/>
      <c r="JZ198" s="145"/>
      <c r="KA198" s="145"/>
      <c r="KB198" s="145"/>
      <c r="KC198" s="145"/>
      <c r="KD198" s="145"/>
      <c r="KE198" s="145"/>
      <c r="KF198" s="145"/>
      <c r="KG198" s="145"/>
      <c r="KH198" s="145"/>
      <c r="KI198" s="145"/>
      <c r="KJ198" s="145"/>
      <c r="KK198" s="145"/>
      <c r="KL198" s="145"/>
      <c r="KM198" s="145"/>
      <c r="KN198" s="145"/>
      <c r="KO198" s="145"/>
      <c r="KP198" s="145"/>
      <c r="KQ198" s="145"/>
      <c r="KR198" s="145"/>
      <c r="KS198" s="145"/>
      <c r="KT198" s="145"/>
      <c r="KU198" s="145"/>
      <c r="KV198" s="145"/>
      <c r="KW198" s="145"/>
      <c r="KX198" s="145"/>
      <c r="KY198" s="145"/>
      <c r="KZ198" s="145"/>
      <c r="LA198" s="145"/>
      <c r="LB198" s="145"/>
      <c r="LC198" s="145"/>
      <c r="LD198" s="145"/>
      <c r="LE198" s="145"/>
      <c r="LF198" s="145"/>
      <c r="LG198" s="145"/>
      <c r="LH198" s="145"/>
      <c r="LI198" s="145"/>
      <c r="LJ198" s="145"/>
      <c r="LK198" s="145"/>
      <c r="LL198" s="145"/>
      <c r="LM198" s="145"/>
      <c r="LN198" s="145"/>
      <c r="LO198" s="145"/>
      <c r="LP198" s="145"/>
      <c r="LQ198" s="145"/>
      <c r="LR198" s="145"/>
      <c r="LS198" s="145"/>
      <c r="LT198" s="145"/>
      <c r="LU198" s="145"/>
      <c r="LV198" s="145"/>
      <c r="LW198" s="145"/>
      <c r="LX198" s="145"/>
      <c r="LY198" s="145"/>
      <c r="LZ198" s="145"/>
      <c r="MA198" s="145"/>
      <c r="MB198" s="145"/>
      <c r="MC198" s="145"/>
      <c r="MD198" s="145"/>
      <c r="ME198" s="145"/>
      <c r="MF198" s="145"/>
      <c r="MG198" s="145"/>
      <c r="MH198" s="145"/>
      <c r="MI198" s="145"/>
      <c r="MJ198" s="145"/>
      <c r="MK198" s="145"/>
      <c r="ML198" s="145"/>
      <c r="MM198" s="145"/>
      <c r="MN198" s="145"/>
      <c r="MO198" s="145"/>
      <c r="MP198" s="145"/>
      <c r="MQ198" s="145"/>
      <c r="MR198" s="145"/>
      <c r="MS198" s="145"/>
      <c r="MT198" s="145"/>
      <c r="MU198" s="145"/>
      <c r="MV198" s="145"/>
      <c r="MW198" s="145"/>
      <c r="MX198" s="145"/>
      <c r="MY198" s="145"/>
      <c r="MZ198" s="145"/>
      <c r="NA198" s="145"/>
      <c r="NB198" s="145"/>
      <c r="NC198" s="145"/>
      <c r="ND198" s="145"/>
      <c r="NE198" s="145"/>
      <c r="NF198" s="145"/>
      <c r="NG198" s="145"/>
      <c r="NH198" s="145"/>
      <c r="NI198" s="145"/>
      <c r="NJ198" s="145"/>
      <c r="NK198" s="145"/>
      <c r="NL198" s="145"/>
      <c r="NM198" s="145"/>
      <c r="NN198" s="145"/>
      <c r="NO198" s="145"/>
      <c r="NP198" s="145"/>
      <c r="NQ198" s="145"/>
      <c r="NR198" s="145"/>
      <c r="NS198" s="145"/>
    </row>
    <row r="199" spans="1:383" s="16" customFormat="1" ht="15" customHeight="1" x14ac:dyDescent="0.2">
      <c r="A199" s="15">
        <v>52361</v>
      </c>
      <c r="B199" s="25">
        <v>523</v>
      </c>
      <c r="C199" s="26">
        <v>61</v>
      </c>
      <c r="D199" s="20" t="s">
        <v>593</v>
      </c>
      <c r="E199" s="14">
        <v>42678</v>
      </c>
      <c r="F199" s="18">
        <v>1.09161691750677</v>
      </c>
      <c r="G199" s="18">
        <v>1.0845305780363601</v>
      </c>
      <c r="H199" s="21">
        <v>89.1</v>
      </c>
      <c r="I199" s="21">
        <v>83.199979200000001</v>
      </c>
      <c r="J199" s="21">
        <v>90</v>
      </c>
      <c r="K199" s="18">
        <v>1</v>
      </c>
      <c r="L199" s="18">
        <v>85</v>
      </c>
      <c r="M199" s="18">
        <v>11.5</v>
      </c>
      <c r="N199" s="18">
        <v>1.8</v>
      </c>
      <c r="O199" s="18">
        <v>1.4</v>
      </c>
      <c r="P199" s="18">
        <v>2.2999999999999998</v>
      </c>
      <c r="Q199" s="19"/>
      <c r="R199" s="18">
        <v>77</v>
      </c>
      <c r="S199" s="18">
        <v>28</v>
      </c>
      <c r="T199" s="18">
        <v>42</v>
      </c>
      <c r="U199" s="18">
        <v>47</v>
      </c>
      <c r="V199" s="18">
        <v>52</v>
      </c>
      <c r="W199" s="18">
        <v>55</v>
      </c>
      <c r="X199" s="18"/>
      <c r="Y199" s="18">
        <v>0.50588235294117645</v>
      </c>
      <c r="Z199" s="18">
        <v>3.0588235294117645</v>
      </c>
      <c r="AA199" s="18">
        <v>0.1</v>
      </c>
      <c r="AB199" s="18">
        <v>0</v>
      </c>
      <c r="AC199" s="18">
        <v>4.9411800000000001</v>
      </c>
      <c r="AD199" s="18">
        <v>1.2</v>
      </c>
      <c r="AE199" s="18">
        <v>0</v>
      </c>
      <c r="AF199" s="18">
        <v>71</v>
      </c>
      <c r="AG199" s="18">
        <v>4.9999999999999885</v>
      </c>
      <c r="AH199" s="18">
        <v>30</v>
      </c>
      <c r="AI199" s="18">
        <v>31</v>
      </c>
      <c r="AJ199" s="18">
        <v>0</v>
      </c>
      <c r="AK199" s="18">
        <v>0.03</v>
      </c>
      <c r="AL199" s="18"/>
      <c r="AM199" s="18">
        <v>3.7</v>
      </c>
      <c r="AN199" s="18">
        <v>1.7</v>
      </c>
      <c r="AO199" s="18">
        <v>2.35</v>
      </c>
      <c r="AP199" s="18">
        <v>3.29</v>
      </c>
      <c r="AQ199" s="18">
        <v>1.07</v>
      </c>
      <c r="AR199" s="18">
        <v>3.48</v>
      </c>
      <c r="AS199" s="18">
        <v>6.28</v>
      </c>
      <c r="AT199" s="18">
        <v>2.2799999999999998</v>
      </c>
      <c r="AU199" s="18">
        <v>4.49</v>
      </c>
      <c r="AV199" s="18">
        <v>2.7</v>
      </c>
      <c r="AW199" s="18">
        <v>4.67</v>
      </c>
      <c r="AX199" s="18"/>
      <c r="AY199" s="18">
        <v>0.97</v>
      </c>
      <c r="AZ199" s="18">
        <v>1.04</v>
      </c>
      <c r="BA199" s="18">
        <v>1.01</v>
      </c>
      <c r="BB199" s="18">
        <v>0.88</v>
      </c>
      <c r="BC199" s="18">
        <v>0.99</v>
      </c>
      <c r="BD199" s="18">
        <v>1</v>
      </c>
      <c r="BE199" s="18">
        <v>1.03</v>
      </c>
      <c r="BF199" s="18">
        <v>1.03</v>
      </c>
      <c r="BG199" s="18">
        <v>1.06</v>
      </c>
      <c r="BH199" s="18">
        <v>1</v>
      </c>
      <c r="BI199" s="18">
        <v>0.99</v>
      </c>
      <c r="BJ199" s="19"/>
      <c r="BK199" s="18">
        <v>13.529411764705882</v>
      </c>
      <c r="BL199" s="18">
        <v>2.1176470588235294</v>
      </c>
      <c r="BM199" s="18">
        <v>1.6470588235294117</v>
      </c>
      <c r="BN199" s="18">
        <v>2.7058823529411762</v>
      </c>
      <c r="BO199" s="18"/>
      <c r="BP199" s="18">
        <v>105</v>
      </c>
      <c r="BQ199" s="18">
        <v>22.235294117647054</v>
      </c>
      <c r="BR199" s="18">
        <v>1.2842551970667884</v>
      </c>
      <c r="BS199" s="18">
        <v>1.2759183271016001</v>
      </c>
      <c r="BT199" s="19"/>
      <c r="BU199" s="18">
        <v>983.52941176470586</v>
      </c>
      <c r="BV199" s="18">
        <v>649.76811111260463</v>
      </c>
      <c r="BW199" s="18">
        <v>82.897771240335999</v>
      </c>
      <c r="BX199" s="18">
        <v>612.99999999999989</v>
      </c>
      <c r="BY199" s="18">
        <v>32</v>
      </c>
      <c r="BZ199" s="18">
        <v>39</v>
      </c>
      <c r="CA199" s="18">
        <v>129</v>
      </c>
      <c r="CB199" s="19"/>
      <c r="CC199" s="19">
        <v>0.43</v>
      </c>
      <c r="CD199" s="19">
        <v>2.5999999999999996</v>
      </c>
      <c r="CE199" s="19">
        <v>8.5000000000000006E-2</v>
      </c>
      <c r="CF199" s="19">
        <v>0</v>
      </c>
      <c r="CG199" s="19">
        <v>4.2000029999999997</v>
      </c>
      <c r="CH199" s="19">
        <v>1.02</v>
      </c>
      <c r="CI199" s="19">
        <v>0</v>
      </c>
      <c r="CJ199" s="19"/>
      <c r="CK199" s="19">
        <v>60.35</v>
      </c>
      <c r="CL199" s="19">
        <v>4.2499999999999902</v>
      </c>
      <c r="CM199" s="19">
        <v>25.5</v>
      </c>
      <c r="CN199" s="19">
        <v>26.349999999999998</v>
      </c>
      <c r="CO199" s="19">
        <v>0</v>
      </c>
      <c r="CP199" s="19">
        <v>2.5499999999999998E-2</v>
      </c>
      <c r="CQ199" s="19">
        <v>88.549999999999798</v>
      </c>
      <c r="CR199" s="19">
        <v>81.118200515109393</v>
      </c>
      <c r="CS199" s="19">
        <v>2.9113322164872826</v>
      </c>
      <c r="CT199" s="19">
        <v>1.4341697851071373</v>
      </c>
      <c r="CU199" s="19">
        <v>1.9253404892261257</v>
      </c>
      <c r="CV199" s="19">
        <v>3.359510274333263</v>
      </c>
      <c r="CW199" s="19">
        <v>2.3485341413134524</v>
      </c>
      <c r="CX199" s="19">
        <v>0.85928509805655662</v>
      </c>
      <c r="CY199" s="19">
        <v>2.8229133779258131</v>
      </c>
      <c r="CZ199" s="19">
        <v>5.2470496821193562</v>
      </c>
      <c r="DA199" s="19">
        <v>1.9049798208968332</v>
      </c>
      <c r="DB199" s="19">
        <v>3.8607396353161341</v>
      </c>
      <c r="DC199" s="19">
        <v>2.1901914139079586</v>
      </c>
      <c r="DD199" s="19">
        <v>6.0509310492240935</v>
      </c>
      <c r="DE199" s="19">
        <v>3.7503377644150606</v>
      </c>
      <c r="DF199" s="23">
        <v>0</v>
      </c>
      <c r="DG199" s="23">
        <v>0</v>
      </c>
      <c r="DH199" s="23">
        <v>0</v>
      </c>
      <c r="DI199" s="19">
        <v>0</v>
      </c>
      <c r="DJ199" s="19">
        <v>0</v>
      </c>
      <c r="DK199" s="19">
        <v>0</v>
      </c>
      <c r="DL199" s="19">
        <v>0</v>
      </c>
      <c r="DM199" s="19">
        <v>0</v>
      </c>
      <c r="DN199" s="19">
        <v>0</v>
      </c>
      <c r="DO199" s="19">
        <v>0</v>
      </c>
      <c r="DP199" s="19">
        <v>0</v>
      </c>
      <c r="DQ199" s="19">
        <v>0</v>
      </c>
      <c r="DR199" s="19">
        <v>0</v>
      </c>
      <c r="DS199" s="19">
        <v>0</v>
      </c>
      <c r="DT199" s="19">
        <v>0</v>
      </c>
      <c r="DU199" s="19">
        <v>0</v>
      </c>
      <c r="DV199" s="19">
        <v>0</v>
      </c>
      <c r="DW199" s="17" t="s">
        <v>581</v>
      </c>
      <c r="DX199" s="22" t="s">
        <v>218</v>
      </c>
      <c r="DY199" s="22" t="s">
        <v>218</v>
      </c>
      <c r="DZ199" s="22" t="s">
        <v>218</v>
      </c>
      <c r="EA199" s="22" t="s">
        <v>218</v>
      </c>
      <c r="EB199" s="22" t="s">
        <v>218</v>
      </c>
      <c r="EC199" s="22" t="s">
        <v>218</v>
      </c>
      <c r="ED199" s="22" t="s">
        <v>218</v>
      </c>
      <c r="EE199" s="22" t="s">
        <v>218</v>
      </c>
      <c r="EF199" s="22" t="s">
        <v>218</v>
      </c>
      <c r="EG199" s="22" t="s">
        <v>218</v>
      </c>
      <c r="EH199" s="22" t="s">
        <v>218</v>
      </c>
      <c r="EI199" s="22" t="s">
        <v>218</v>
      </c>
      <c r="EJ199" s="22" t="s">
        <v>218</v>
      </c>
      <c r="EK199" s="22" t="s">
        <v>218</v>
      </c>
      <c r="EL199" s="22" t="s">
        <v>218</v>
      </c>
      <c r="EM199" s="22" t="s">
        <v>218</v>
      </c>
      <c r="EN199" s="22" t="s">
        <v>218</v>
      </c>
      <c r="EO199" s="22" t="s">
        <v>218</v>
      </c>
      <c r="EP199" s="22" t="s">
        <v>218</v>
      </c>
      <c r="EQ199" s="22" t="s">
        <v>218</v>
      </c>
      <c r="ER199" s="22" t="s">
        <v>218</v>
      </c>
      <c r="ES199" s="22" t="s">
        <v>218</v>
      </c>
      <c r="ET199" s="22" t="s">
        <v>218</v>
      </c>
      <c r="EU199" s="22" t="s">
        <v>218</v>
      </c>
      <c r="EV199" s="22" t="s">
        <v>218</v>
      </c>
      <c r="EW199" s="22" t="s">
        <v>218</v>
      </c>
      <c r="EX199" s="22" t="s">
        <v>218</v>
      </c>
      <c r="EY199" s="22" t="s">
        <v>218</v>
      </c>
      <c r="EZ199" s="22" t="s">
        <v>218</v>
      </c>
      <c r="FA199" s="22" t="s">
        <v>218</v>
      </c>
      <c r="FB199" s="22" t="s">
        <v>218</v>
      </c>
      <c r="FC199" s="22" t="s">
        <v>218</v>
      </c>
      <c r="FD199" s="22" t="s">
        <v>218</v>
      </c>
      <c r="FE199" s="22" t="s">
        <v>218</v>
      </c>
      <c r="FF199" s="22" t="s">
        <v>218</v>
      </c>
      <c r="FG199" s="22" t="s">
        <v>218</v>
      </c>
      <c r="FH199" s="22" t="s">
        <v>218</v>
      </c>
      <c r="FI199" s="22" t="s">
        <v>218</v>
      </c>
      <c r="FJ199" s="22" t="s">
        <v>218</v>
      </c>
      <c r="FK199" s="22" t="s">
        <v>218</v>
      </c>
      <c r="FL199" s="22" t="s">
        <v>218</v>
      </c>
      <c r="FM199" s="22" t="s">
        <v>218</v>
      </c>
      <c r="FN199" s="22" t="s">
        <v>218</v>
      </c>
      <c r="FO199" s="22" t="s">
        <v>218</v>
      </c>
      <c r="FP199" s="22" t="s">
        <v>218</v>
      </c>
      <c r="FQ199" s="22" t="s">
        <v>218</v>
      </c>
      <c r="FR199" s="22" t="s">
        <v>218</v>
      </c>
      <c r="FS199" s="22" t="s">
        <v>218</v>
      </c>
      <c r="FT199" s="22" t="s">
        <v>218</v>
      </c>
      <c r="FU199" s="22" t="s">
        <v>218</v>
      </c>
      <c r="FV199" s="22" t="s">
        <v>218</v>
      </c>
      <c r="FW199" s="22" t="s">
        <v>218</v>
      </c>
      <c r="FX199" s="22" t="s">
        <v>218</v>
      </c>
      <c r="FY199" s="22" t="s">
        <v>218</v>
      </c>
      <c r="FZ199" s="22" t="s">
        <v>218</v>
      </c>
      <c r="GA199" s="22" t="s">
        <v>218</v>
      </c>
      <c r="GB199" s="22" t="s">
        <v>218</v>
      </c>
      <c r="GC199" s="22" t="s">
        <v>218</v>
      </c>
      <c r="GD199" s="22" t="s">
        <v>218</v>
      </c>
      <c r="GE199" s="22" t="s">
        <v>218</v>
      </c>
      <c r="GF199" s="22" t="s">
        <v>218</v>
      </c>
      <c r="GG199" s="22" t="s">
        <v>218</v>
      </c>
      <c r="GH199" s="22" t="s">
        <v>218</v>
      </c>
      <c r="GI199" s="22" t="s">
        <v>218</v>
      </c>
      <c r="GJ199" s="22" t="s">
        <v>218</v>
      </c>
      <c r="GK199" s="22" t="s">
        <v>218</v>
      </c>
      <c r="GL199" s="22" t="s">
        <v>218</v>
      </c>
      <c r="GM199" s="22" t="s">
        <v>218</v>
      </c>
      <c r="GN199" s="22" t="s">
        <v>218</v>
      </c>
      <c r="GO199" s="22" t="s">
        <v>218</v>
      </c>
      <c r="GP199" s="22" t="s">
        <v>218</v>
      </c>
      <c r="GQ199" s="22" t="s">
        <v>218</v>
      </c>
      <c r="GR199" s="22" t="s">
        <v>218</v>
      </c>
      <c r="GS199" s="22" t="s">
        <v>218</v>
      </c>
      <c r="GT199" s="22" t="s">
        <v>218</v>
      </c>
      <c r="GU199" s="22" t="s">
        <v>218</v>
      </c>
      <c r="GV199" s="22" t="s">
        <v>218</v>
      </c>
      <c r="GW199" s="22" t="s">
        <v>218</v>
      </c>
      <c r="GX199" s="22" t="s">
        <v>218</v>
      </c>
      <c r="GY199" s="22" t="s">
        <v>218</v>
      </c>
      <c r="GZ199" s="22" t="s">
        <v>218</v>
      </c>
      <c r="HA199" s="22" t="s">
        <v>218</v>
      </c>
      <c r="HB199" s="22" t="s">
        <v>218</v>
      </c>
      <c r="HC199" s="22" t="s">
        <v>218</v>
      </c>
      <c r="HD199" s="22" t="s">
        <v>218</v>
      </c>
      <c r="HE199" s="22" t="s">
        <v>218</v>
      </c>
      <c r="HF199" s="22" t="s">
        <v>218</v>
      </c>
      <c r="HG199" s="22" t="s">
        <v>218</v>
      </c>
      <c r="HH199" s="22" t="s">
        <v>218</v>
      </c>
      <c r="HI199" s="22" t="s">
        <v>218</v>
      </c>
      <c r="HJ199" s="22" t="s">
        <v>218</v>
      </c>
      <c r="HK199" s="22" t="s">
        <v>218</v>
      </c>
      <c r="HL199" s="22" t="s">
        <v>218</v>
      </c>
      <c r="HM199" s="622">
        <f>'background data'!$G$10</f>
        <v>0.47300000000000003</v>
      </c>
      <c r="HN199" s="622">
        <f>'background data'!$H$10</f>
        <v>0.13</v>
      </c>
      <c r="HO199" s="622">
        <f>'background data'!$J$10</f>
        <v>0.39100000000000001</v>
      </c>
      <c r="HP199" s="622">
        <f>'background data'!$L$10</f>
        <v>5.5E-2</v>
      </c>
      <c r="HQ199" s="622">
        <f>'background data'!$M$10</f>
        <v>3.97</v>
      </c>
      <c r="HR199" s="622">
        <f>'background data'!$N$10</f>
        <v>4.5999999999999999E-3</v>
      </c>
      <c r="HS199" s="622">
        <f>'background data'!$O$10</f>
        <v>2.73</v>
      </c>
      <c r="HT199" s="145" t="s">
        <v>1797</v>
      </c>
      <c r="HU199" s="145" t="s">
        <v>1809</v>
      </c>
      <c r="HV199" s="22" t="s">
        <v>1398</v>
      </c>
      <c r="HW199" s="22" t="s">
        <v>592</v>
      </c>
      <c r="HX199" s="22">
        <v>0</v>
      </c>
      <c r="HY199" s="22" t="s">
        <v>583</v>
      </c>
      <c r="HZ199" s="19"/>
      <c r="IA199" s="19"/>
      <c r="IB199" s="622">
        <f>'background data'!$G$10</f>
        <v>0.47300000000000003</v>
      </c>
      <c r="IC199" s="622">
        <f>'background data'!$H$10</f>
        <v>0.13</v>
      </c>
      <c r="ID199" s="622">
        <f>'background data'!$J$10</f>
        <v>0.39100000000000001</v>
      </c>
      <c r="IE199" s="622">
        <f>'background data'!$L$10</f>
        <v>5.5E-2</v>
      </c>
      <c r="IF199" s="622">
        <f>'background data'!$M$10</f>
        <v>3.97</v>
      </c>
      <c r="IG199" s="622">
        <f>'background data'!$N$10</f>
        <v>4.5999999999999999E-3</v>
      </c>
      <c r="IH199" s="622">
        <f>'background data'!$O$10</f>
        <v>2.73</v>
      </c>
      <c r="II199" s="145" t="s">
        <v>1797</v>
      </c>
      <c r="IJ199" s="145" t="s">
        <v>1398</v>
      </c>
      <c r="IK199" s="145"/>
      <c r="IL199" s="145"/>
      <c r="IM199" s="145"/>
      <c r="IN199" s="145"/>
      <c r="IO199" s="145"/>
      <c r="IP199" s="145"/>
      <c r="IQ199" s="145"/>
      <c r="IR199" s="145"/>
      <c r="IS199" s="145"/>
      <c r="IT199" s="145"/>
      <c r="IU199" s="145"/>
      <c r="IV199" s="145"/>
      <c r="IW199" s="145"/>
      <c r="IX199" s="145"/>
      <c r="IY199" s="145"/>
      <c r="IZ199" s="145"/>
      <c r="JA199" s="145"/>
      <c r="JB199" s="145"/>
      <c r="JC199" s="145"/>
      <c r="JD199" s="145"/>
      <c r="JE199" s="145"/>
      <c r="JF199" s="145"/>
      <c r="JG199" s="145"/>
      <c r="JH199" s="145"/>
      <c r="JI199" s="145"/>
      <c r="JJ199" s="145"/>
      <c r="JK199" s="145"/>
      <c r="JL199" s="145"/>
      <c r="JM199" s="145"/>
      <c r="JN199" s="145"/>
      <c r="JO199" s="145"/>
      <c r="JP199" s="145"/>
      <c r="JQ199" s="145"/>
      <c r="JR199" s="145"/>
      <c r="JS199" s="145"/>
      <c r="JT199" s="145"/>
      <c r="JU199" s="145"/>
      <c r="JV199" s="145"/>
      <c r="JW199" s="145"/>
      <c r="JX199" s="145"/>
      <c r="JY199" s="145"/>
      <c r="JZ199" s="145"/>
      <c r="KA199" s="145"/>
      <c r="KB199" s="145"/>
      <c r="KC199" s="145"/>
      <c r="KD199" s="145"/>
      <c r="KE199" s="145"/>
      <c r="KF199" s="145"/>
      <c r="KG199" s="145"/>
      <c r="KH199" s="145"/>
      <c r="KI199" s="145"/>
      <c r="KJ199" s="145"/>
      <c r="KK199" s="145"/>
      <c r="KL199" s="145"/>
      <c r="KM199" s="145"/>
      <c r="KN199" s="145"/>
      <c r="KO199" s="145"/>
      <c r="KP199" s="145"/>
      <c r="KQ199" s="145"/>
      <c r="KR199" s="145"/>
      <c r="KS199" s="145"/>
      <c r="KT199" s="145"/>
      <c r="KU199" s="145"/>
      <c r="KV199" s="145"/>
      <c r="KW199" s="145"/>
      <c r="KX199" s="145"/>
      <c r="KY199" s="145"/>
      <c r="KZ199" s="145"/>
      <c r="LA199" s="145"/>
      <c r="LB199" s="145"/>
      <c r="LC199" s="145"/>
      <c r="LD199" s="145"/>
      <c r="LE199" s="145"/>
      <c r="LF199" s="145"/>
      <c r="LG199" s="145"/>
      <c r="LH199" s="145"/>
      <c r="LI199" s="145"/>
      <c r="LJ199" s="145"/>
      <c r="LK199" s="145"/>
      <c r="LL199" s="145"/>
      <c r="LM199" s="145"/>
      <c r="LN199" s="145"/>
      <c r="LO199" s="145"/>
      <c r="LP199" s="145"/>
      <c r="LQ199" s="145"/>
      <c r="LR199" s="145"/>
      <c r="LS199" s="145"/>
      <c r="LT199" s="145"/>
      <c r="LU199" s="145"/>
      <c r="LV199" s="145"/>
      <c r="LW199" s="145"/>
      <c r="LX199" s="145"/>
      <c r="LY199" s="145"/>
      <c r="LZ199" s="145"/>
      <c r="MA199" s="145"/>
      <c r="MB199" s="145"/>
      <c r="MC199" s="145"/>
      <c r="MD199" s="145"/>
      <c r="ME199" s="145"/>
      <c r="MF199" s="145"/>
      <c r="MG199" s="145"/>
      <c r="MH199" s="145"/>
      <c r="MI199" s="145"/>
      <c r="MJ199" s="145"/>
      <c r="MK199" s="145"/>
      <c r="ML199" s="145"/>
      <c r="MM199" s="145"/>
      <c r="MN199" s="145"/>
      <c r="MO199" s="145"/>
      <c r="MP199" s="145"/>
      <c r="MQ199" s="145"/>
      <c r="MR199" s="145"/>
      <c r="MS199" s="145"/>
      <c r="MT199" s="145"/>
      <c r="MU199" s="145"/>
      <c r="MV199" s="145"/>
      <c r="MW199" s="145"/>
      <c r="MX199" s="145"/>
      <c r="MY199" s="145"/>
      <c r="MZ199" s="145"/>
      <c r="NA199" s="145"/>
      <c r="NB199" s="145"/>
      <c r="NC199" s="145"/>
      <c r="ND199" s="145"/>
      <c r="NE199" s="145"/>
      <c r="NF199" s="145"/>
      <c r="NG199" s="145"/>
      <c r="NH199" s="145"/>
      <c r="NI199" s="145"/>
      <c r="NJ199" s="145"/>
      <c r="NK199" s="145"/>
      <c r="NL199" s="145"/>
      <c r="NM199" s="145"/>
      <c r="NN199" s="145"/>
      <c r="NO199" s="145"/>
      <c r="NP199" s="145"/>
      <c r="NQ199" s="145"/>
      <c r="NR199" s="145"/>
      <c r="NS199" s="145"/>
    </row>
    <row r="200" spans="1:383" s="16" customFormat="1" ht="15" customHeight="1" x14ac:dyDescent="0.2">
      <c r="A200" s="15">
        <v>95400</v>
      </c>
      <c r="B200" s="25">
        <v>954</v>
      </c>
      <c r="C200" s="26">
        <v>0</v>
      </c>
      <c r="D200" s="20" t="s">
        <v>594</v>
      </c>
      <c r="E200" s="14">
        <v>41753</v>
      </c>
      <c r="F200" s="18">
        <v>0.43457073170731803</v>
      </c>
      <c r="G200" s="18">
        <v>0.41651064935065002</v>
      </c>
      <c r="H200" s="21">
        <v>100</v>
      </c>
      <c r="I200" s="21">
        <v>100</v>
      </c>
      <c r="J200" s="21">
        <v>100</v>
      </c>
      <c r="K200" s="18">
        <v>1</v>
      </c>
      <c r="L200" s="18">
        <v>99.5</v>
      </c>
      <c r="M200" s="18">
        <v>1.4</v>
      </c>
      <c r="N200" s="18">
        <v>7.4</v>
      </c>
      <c r="O200" s="18">
        <v>77.099999999999994</v>
      </c>
      <c r="P200" s="18">
        <v>0</v>
      </c>
      <c r="Q200" s="19"/>
      <c r="R200" s="18">
        <v>0</v>
      </c>
      <c r="S200" s="18">
        <v>0</v>
      </c>
      <c r="T200" s="18">
        <v>0</v>
      </c>
      <c r="U200" s="18">
        <v>0</v>
      </c>
      <c r="V200" s="18">
        <v>0</v>
      </c>
      <c r="W200" s="18">
        <v>0</v>
      </c>
      <c r="X200" s="18"/>
      <c r="Y200" s="18">
        <v>0</v>
      </c>
      <c r="Z200" s="18">
        <v>0</v>
      </c>
      <c r="AA200" s="18">
        <v>0</v>
      </c>
      <c r="AB200" s="18">
        <v>0</v>
      </c>
      <c r="AC200" s="18">
        <v>0</v>
      </c>
      <c r="AD200" s="18">
        <v>0</v>
      </c>
      <c r="AE200" s="18">
        <v>0</v>
      </c>
      <c r="AF200" s="18">
        <v>0</v>
      </c>
      <c r="AG200" s="18">
        <v>0</v>
      </c>
      <c r="AH200" s="18">
        <v>0</v>
      </c>
      <c r="AI200" s="18">
        <v>0</v>
      </c>
      <c r="AJ200" s="18">
        <v>0</v>
      </c>
      <c r="AK200" s="18">
        <v>0</v>
      </c>
      <c r="AL200" s="18"/>
      <c r="AM200" s="18">
        <v>0</v>
      </c>
      <c r="AN200" s="18">
        <v>0</v>
      </c>
      <c r="AO200" s="18">
        <v>0</v>
      </c>
      <c r="AP200" s="18">
        <v>0</v>
      </c>
      <c r="AQ200" s="18">
        <v>0</v>
      </c>
      <c r="AR200" s="18">
        <v>0</v>
      </c>
      <c r="AS200" s="18">
        <v>0</v>
      </c>
      <c r="AT200" s="18">
        <v>0</v>
      </c>
      <c r="AU200" s="18">
        <v>0</v>
      </c>
      <c r="AV200" s="18">
        <v>0</v>
      </c>
      <c r="AW200" s="18">
        <v>0</v>
      </c>
      <c r="AX200" s="18"/>
      <c r="AY200" s="18">
        <v>1</v>
      </c>
      <c r="AZ200" s="18">
        <v>1</v>
      </c>
      <c r="BA200" s="18">
        <v>1</v>
      </c>
      <c r="BB200" s="18">
        <v>1</v>
      </c>
      <c r="BC200" s="18">
        <v>1</v>
      </c>
      <c r="BD200" s="18">
        <v>1</v>
      </c>
      <c r="BE200" s="18">
        <v>1</v>
      </c>
      <c r="BF200" s="18">
        <v>1</v>
      </c>
      <c r="BG200" s="18">
        <v>1</v>
      </c>
      <c r="BH200" s="18">
        <v>1</v>
      </c>
      <c r="BI200" s="18">
        <v>1</v>
      </c>
      <c r="BJ200" s="19"/>
      <c r="BK200" s="18">
        <v>1.4070351758793969</v>
      </c>
      <c r="BL200" s="18">
        <v>7.4371859296482414</v>
      </c>
      <c r="BM200" s="18">
        <v>77.487437185929636</v>
      </c>
      <c r="BN200" s="18">
        <v>0</v>
      </c>
      <c r="BO200" s="18"/>
      <c r="BP200" s="18">
        <v>0</v>
      </c>
      <c r="BQ200" s="18">
        <v>0</v>
      </c>
      <c r="BR200" s="18">
        <v>0.43675450422846035</v>
      </c>
      <c r="BS200" s="18">
        <v>0.41860366768909552</v>
      </c>
      <c r="BT200" s="19"/>
      <c r="BU200" s="18">
        <v>225.12562814070353</v>
      </c>
      <c r="BV200" s="18">
        <v>140.18090452261305</v>
      </c>
      <c r="BW200" s="18">
        <v>0</v>
      </c>
      <c r="BX200" s="18" t="s">
        <v>217</v>
      </c>
      <c r="BY200" s="18" t="s">
        <v>217</v>
      </c>
      <c r="BZ200" s="18" t="s">
        <v>217</v>
      </c>
      <c r="CA200" s="18" t="s">
        <v>217</v>
      </c>
      <c r="CB200" s="19"/>
      <c r="CC200" s="19">
        <v>0</v>
      </c>
      <c r="CD200" s="19">
        <v>0</v>
      </c>
      <c r="CE200" s="19">
        <v>0</v>
      </c>
      <c r="CF200" s="19">
        <v>0</v>
      </c>
      <c r="CG200" s="19">
        <v>0</v>
      </c>
      <c r="CH200" s="19">
        <v>0</v>
      </c>
      <c r="CI200" s="19">
        <v>0</v>
      </c>
      <c r="CJ200" s="19"/>
      <c r="CK200" s="19">
        <v>0</v>
      </c>
      <c r="CL200" s="19">
        <v>0</v>
      </c>
      <c r="CM200" s="19">
        <v>0</v>
      </c>
      <c r="CN200" s="19">
        <v>0</v>
      </c>
      <c r="CO200" s="19">
        <v>0</v>
      </c>
      <c r="CP200" s="19">
        <v>0</v>
      </c>
      <c r="CQ200" s="19">
        <v>0</v>
      </c>
      <c r="CR200" s="19">
        <v>0</v>
      </c>
      <c r="CS200" s="19">
        <v>0</v>
      </c>
      <c r="CT200" s="19">
        <v>0</v>
      </c>
      <c r="CU200" s="19">
        <v>0</v>
      </c>
      <c r="CV200" s="19">
        <v>0</v>
      </c>
      <c r="CW200" s="19">
        <v>0</v>
      </c>
      <c r="CX200" s="19">
        <v>0</v>
      </c>
      <c r="CY200" s="19">
        <v>0</v>
      </c>
      <c r="CZ200" s="19">
        <v>0</v>
      </c>
      <c r="DA200" s="19">
        <v>0</v>
      </c>
      <c r="DB200" s="19">
        <v>0</v>
      </c>
      <c r="DC200" s="19">
        <v>0</v>
      </c>
      <c r="DD200" s="19">
        <v>0</v>
      </c>
      <c r="DE200" s="19">
        <v>0</v>
      </c>
      <c r="DF200" s="23">
        <v>9999999.9999999907</v>
      </c>
      <c r="DG200" s="23">
        <v>0</v>
      </c>
      <c r="DH200" s="23">
        <v>0</v>
      </c>
      <c r="DI200" s="19">
        <v>0</v>
      </c>
      <c r="DJ200" s="19">
        <v>0</v>
      </c>
      <c r="DK200" s="19">
        <v>0</v>
      </c>
      <c r="DL200" s="19">
        <v>0</v>
      </c>
      <c r="DM200" s="19">
        <v>0</v>
      </c>
      <c r="DN200" s="19">
        <v>0</v>
      </c>
      <c r="DO200" s="19">
        <v>0</v>
      </c>
      <c r="DP200" s="19">
        <v>0</v>
      </c>
      <c r="DQ200" s="19">
        <v>0</v>
      </c>
      <c r="DR200" s="19">
        <v>0</v>
      </c>
      <c r="DS200" s="19">
        <v>0</v>
      </c>
      <c r="DT200" s="19">
        <v>0</v>
      </c>
      <c r="DU200" s="19">
        <v>0</v>
      </c>
      <c r="DV200" s="19">
        <v>0</v>
      </c>
      <c r="DW200" s="17" t="s">
        <v>218</v>
      </c>
      <c r="DX200" s="22" t="s">
        <v>218</v>
      </c>
      <c r="DY200" s="22" t="s">
        <v>218</v>
      </c>
      <c r="DZ200" s="22" t="s">
        <v>218</v>
      </c>
      <c r="EA200" s="22" t="s">
        <v>218</v>
      </c>
      <c r="EB200" s="22" t="s">
        <v>218</v>
      </c>
      <c r="EC200" s="22" t="s">
        <v>218</v>
      </c>
      <c r="ED200" s="22" t="s">
        <v>218</v>
      </c>
      <c r="EE200" s="22" t="s">
        <v>218</v>
      </c>
      <c r="EF200" s="22" t="s">
        <v>218</v>
      </c>
      <c r="EG200" s="22" t="s">
        <v>218</v>
      </c>
      <c r="EH200" s="22" t="s">
        <v>218</v>
      </c>
      <c r="EI200" s="22" t="s">
        <v>218</v>
      </c>
      <c r="EJ200" s="22" t="s">
        <v>218</v>
      </c>
      <c r="EK200" s="22" t="s">
        <v>218</v>
      </c>
      <c r="EL200" s="22" t="s">
        <v>218</v>
      </c>
      <c r="EM200" s="22" t="s">
        <v>218</v>
      </c>
      <c r="EN200" s="22" t="s">
        <v>218</v>
      </c>
      <c r="EO200" s="22" t="s">
        <v>218</v>
      </c>
      <c r="EP200" s="22" t="s">
        <v>218</v>
      </c>
      <c r="EQ200" s="22" t="s">
        <v>218</v>
      </c>
      <c r="ER200" s="22" t="s">
        <v>218</v>
      </c>
      <c r="ES200" s="22" t="s">
        <v>218</v>
      </c>
      <c r="ET200" s="22" t="s">
        <v>218</v>
      </c>
      <c r="EU200" s="22" t="s">
        <v>218</v>
      </c>
      <c r="EV200" s="22" t="s">
        <v>218</v>
      </c>
      <c r="EW200" s="22" t="s">
        <v>218</v>
      </c>
      <c r="EX200" s="22" t="s">
        <v>218</v>
      </c>
      <c r="EY200" s="22" t="s">
        <v>218</v>
      </c>
      <c r="EZ200" s="22" t="s">
        <v>218</v>
      </c>
      <c r="FA200" s="22" t="s">
        <v>218</v>
      </c>
      <c r="FB200" s="22" t="s">
        <v>218</v>
      </c>
      <c r="FC200" s="22" t="s">
        <v>218</v>
      </c>
      <c r="FD200" s="22" t="s">
        <v>218</v>
      </c>
      <c r="FE200" s="22" t="s">
        <v>218</v>
      </c>
      <c r="FF200" s="22" t="s">
        <v>218</v>
      </c>
      <c r="FG200" s="22" t="s">
        <v>218</v>
      </c>
      <c r="FH200" s="22" t="s">
        <v>218</v>
      </c>
      <c r="FI200" s="22" t="s">
        <v>218</v>
      </c>
      <c r="FJ200" s="22" t="s">
        <v>218</v>
      </c>
      <c r="FK200" s="22" t="s">
        <v>218</v>
      </c>
      <c r="FL200" s="22" t="s">
        <v>218</v>
      </c>
      <c r="FM200" s="22" t="s">
        <v>218</v>
      </c>
      <c r="FN200" s="22" t="s">
        <v>218</v>
      </c>
      <c r="FO200" s="22" t="s">
        <v>218</v>
      </c>
      <c r="FP200" s="22" t="s">
        <v>218</v>
      </c>
      <c r="FQ200" s="22" t="s">
        <v>218</v>
      </c>
      <c r="FR200" s="22" t="s">
        <v>218</v>
      </c>
      <c r="FS200" s="22" t="s">
        <v>218</v>
      </c>
      <c r="FT200" s="22" t="s">
        <v>218</v>
      </c>
      <c r="FU200" s="22" t="s">
        <v>218</v>
      </c>
      <c r="FV200" s="22" t="s">
        <v>218</v>
      </c>
      <c r="FW200" s="22" t="s">
        <v>218</v>
      </c>
      <c r="FX200" s="22" t="s">
        <v>218</v>
      </c>
      <c r="FY200" s="22" t="s">
        <v>218</v>
      </c>
      <c r="FZ200" s="22" t="s">
        <v>218</v>
      </c>
      <c r="GA200" s="22" t="s">
        <v>218</v>
      </c>
      <c r="GB200" s="22" t="s">
        <v>218</v>
      </c>
      <c r="GC200" s="22" t="s">
        <v>218</v>
      </c>
      <c r="GD200" s="22" t="s">
        <v>218</v>
      </c>
      <c r="GE200" s="22" t="s">
        <v>218</v>
      </c>
      <c r="GF200" s="22" t="s">
        <v>218</v>
      </c>
      <c r="GG200" s="22" t="s">
        <v>218</v>
      </c>
      <c r="GH200" s="22" t="s">
        <v>218</v>
      </c>
      <c r="GI200" s="22" t="s">
        <v>218</v>
      </c>
      <c r="GJ200" s="22" t="s">
        <v>218</v>
      </c>
      <c r="GK200" s="22" t="s">
        <v>218</v>
      </c>
      <c r="GL200" s="22" t="s">
        <v>218</v>
      </c>
      <c r="GM200" s="22" t="s">
        <v>218</v>
      </c>
      <c r="GN200" s="22" t="s">
        <v>218</v>
      </c>
      <c r="GO200" s="22" t="s">
        <v>218</v>
      </c>
      <c r="GP200" s="22" t="s">
        <v>218</v>
      </c>
      <c r="GQ200" s="22" t="s">
        <v>218</v>
      </c>
      <c r="GR200" s="22" t="s">
        <v>218</v>
      </c>
      <c r="GS200" s="22" t="s">
        <v>218</v>
      </c>
      <c r="GT200" s="22" t="s">
        <v>218</v>
      </c>
      <c r="GU200" s="22" t="s">
        <v>218</v>
      </c>
      <c r="GV200" s="22" t="s">
        <v>218</v>
      </c>
      <c r="GW200" s="22" t="s">
        <v>218</v>
      </c>
      <c r="GX200" s="22" t="s">
        <v>218</v>
      </c>
      <c r="GY200" s="22" t="s">
        <v>218</v>
      </c>
      <c r="GZ200" s="22" t="s">
        <v>218</v>
      </c>
      <c r="HA200" s="22" t="s">
        <v>218</v>
      </c>
      <c r="HB200" s="22" t="s">
        <v>218</v>
      </c>
      <c r="HC200" s="22" t="s">
        <v>218</v>
      </c>
      <c r="HD200" s="22" t="s">
        <v>218</v>
      </c>
      <c r="HE200" s="22" t="s">
        <v>218</v>
      </c>
      <c r="HF200" s="22" t="s">
        <v>218</v>
      </c>
      <c r="HG200" s="22" t="s">
        <v>218</v>
      </c>
      <c r="HH200" s="22" t="s">
        <v>218</v>
      </c>
      <c r="HI200" s="22" t="s">
        <v>218</v>
      </c>
      <c r="HJ200" s="22" t="s">
        <v>218</v>
      </c>
      <c r="HK200" s="22" t="s">
        <v>218</v>
      </c>
      <c r="HL200" s="22" t="s">
        <v>218</v>
      </c>
      <c r="HM200" s="860"/>
      <c r="HN200" s="860"/>
      <c r="HO200" s="860"/>
      <c r="HP200" s="860"/>
      <c r="HQ200" s="860"/>
      <c r="HR200" s="860"/>
      <c r="HS200" s="860"/>
      <c r="HT200" s="145"/>
      <c r="HU200" s="145" t="s">
        <v>1809</v>
      </c>
      <c r="HV200" s="22" t="s">
        <v>1926</v>
      </c>
      <c r="HW200" s="22" t="s">
        <v>595</v>
      </c>
      <c r="HX200" s="22">
        <v>0</v>
      </c>
      <c r="HY200" s="22">
        <v>0</v>
      </c>
      <c r="HZ200" s="19"/>
      <c r="IA200" s="19"/>
      <c r="IB200" s="621">
        <f>'background data'!$G$10</f>
        <v>0.47300000000000003</v>
      </c>
      <c r="IC200" s="621">
        <f>'background data'!$H$10</f>
        <v>0.13</v>
      </c>
      <c r="ID200" s="621">
        <f>'background data'!$J$10</f>
        <v>0.39100000000000001</v>
      </c>
      <c r="IE200" s="621">
        <f>'background data'!$L$10</f>
        <v>5.5E-2</v>
      </c>
      <c r="IF200" s="621">
        <f>'background data'!$M$10</f>
        <v>3.97</v>
      </c>
      <c r="IG200" s="621">
        <f>'background data'!$N$10</f>
        <v>4.5999999999999999E-3</v>
      </c>
      <c r="IH200" s="621">
        <f>'background data'!$O$10</f>
        <v>2.73</v>
      </c>
      <c r="II200" s="145"/>
      <c r="IJ200" s="145"/>
      <c r="IK200" s="145"/>
      <c r="IL200" s="145"/>
      <c r="IM200" s="145"/>
      <c r="IN200" s="145"/>
      <c r="IO200" s="145"/>
      <c r="IP200" s="145"/>
      <c r="IQ200" s="145"/>
      <c r="IR200" s="145"/>
      <c r="IS200" s="145"/>
      <c r="IT200" s="145"/>
      <c r="IU200" s="145"/>
      <c r="IV200" s="145"/>
      <c r="IW200" s="145"/>
      <c r="IX200" s="145"/>
      <c r="IY200" s="145"/>
      <c r="IZ200" s="145"/>
      <c r="JA200" s="145"/>
      <c r="JB200" s="145"/>
      <c r="JC200" s="145"/>
      <c r="JD200" s="145"/>
      <c r="JE200" s="145"/>
      <c r="JF200" s="145"/>
      <c r="JG200" s="145"/>
      <c r="JH200" s="145"/>
      <c r="JI200" s="145"/>
      <c r="JJ200" s="145"/>
      <c r="JK200" s="145"/>
      <c r="JL200" s="145"/>
      <c r="JM200" s="145"/>
      <c r="JN200" s="145"/>
      <c r="JO200" s="145"/>
      <c r="JP200" s="145"/>
      <c r="JQ200" s="145"/>
      <c r="JR200" s="145"/>
      <c r="JS200" s="145"/>
      <c r="JT200" s="145"/>
      <c r="JU200" s="145"/>
      <c r="JV200" s="145"/>
      <c r="JW200" s="145"/>
      <c r="JX200" s="145"/>
      <c r="JY200" s="145"/>
      <c r="JZ200" s="145"/>
      <c r="KA200" s="145"/>
      <c r="KB200" s="145"/>
      <c r="KC200" s="145"/>
      <c r="KD200" s="145"/>
      <c r="KE200" s="145"/>
      <c r="KF200" s="145"/>
      <c r="KG200" s="145"/>
      <c r="KH200" s="145"/>
      <c r="KI200" s="145"/>
      <c r="KJ200" s="145"/>
      <c r="KK200" s="145"/>
      <c r="KL200" s="145"/>
      <c r="KM200" s="145"/>
      <c r="KN200" s="145"/>
      <c r="KO200" s="145"/>
      <c r="KP200" s="145"/>
      <c r="KQ200" s="145"/>
      <c r="KR200" s="145"/>
      <c r="KS200" s="145"/>
      <c r="KT200" s="145"/>
      <c r="KU200" s="145"/>
      <c r="KV200" s="145"/>
      <c r="KW200" s="145"/>
      <c r="KX200" s="145"/>
      <c r="KY200" s="145"/>
      <c r="KZ200" s="145"/>
      <c r="LA200" s="145"/>
      <c r="LB200" s="145"/>
      <c r="LC200" s="145"/>
      <c r="LD200" s="145"/>
      <c r="LE200" s="145"/>
      <c r="LF200" s="145"/>
      <c r="LG200" s="145"/>
      <c r="LH200" s="145"/>
      <c r="LI200" s="145"/>
      <c r="LJ200" s="145"/>
      <c r="LK200" s="145"/>
      <c r="LL200" s="145"/>
      <c r="LM200" s="145"/>
      <c r="LN200" s="145"/>
      <c r="LO200" s="145"/>
      <c r="LP200" s="145"/>
      <c r="LQ200" s="145"/>
      <c r="LR200" s="145"/>
      <c r="LS200" s="145"/>
      <c r="LT200" s="145"/>
      <c r="LU200" s="145"/>
      <c r="LV200" s="145"/>
      <c r="LW200" s="145"/>
      <c r="LX200" s="145"/>
      <c r="LY200" s="145"/>
      <c r="LZ200" s="145"/>
      <c r="MA200" s="145"/>
      <c r="MB200" s="145"/>
      <c r="MC200" s="145"/>
      <c r="MD200" s="145"/>
      <c r="ME200" s="145"/>
      <c r="MF200" s="145"/>
      <c r="MG200" s="145"/>
      <c r="MH200" s="145"/>
      <c r="MI200" s="145"/>
      <c r="MJ200" s="145"/>
      <c r="MK200" s="145"/>
      <c r="ML200" s="145"/>
      <c r="MM200" s="145"/>
      <c r="MN200" s="145"/>
      <c r="MO200" s="145"/>
      <c r="MP200" s="145"/>
      <c r="MQ200" s="145"/>
      <c r="MR200" s="145"/>
      <c r="MS200" s="145"/>
      <c r="MT200" s="145"/>
      <c r="MU200" s="145"/>
      <c r="MV200" s="145"/>
      <c r="MW200" s="145"/>
      <c r="MX200" s="145"/>
      <c r="MY200" s="145"/>
      <c r="MZ200" s="145"/>
      <c r="NA200" s="145"/>
      <c r="NB200" s="145"/>
      <c r="NC200" s="145"/>
      <c r="ND200" s="145"/>
      <c r="NE200" s="145"/>
      <c r="NF200" s="145"/>
      <c r="NG200" s="145"/>
      <c r="NH200" s="145"/>
      <c r="NI200" s="145"/>
      <c r="NJ200" s="145"/>
      <c r="NK200" s="145"/>
      <c r="NL200" s="145"/>
      <c r="NM200" s="145"/>
      <c r="NN200" s="145"/>
      <c r="NO200" s="145"/>
      <c r="NP200" s="145"/>
      <c r="NQ200" s="145"/>
      <c r="NR200" s="145"/>
      <c r="NS200" s="145"/>
    </row>
    <row r="201" spans="1:383" s="16" customFormat="1" ht="15" customHeight="1" x14ac:dyDescent="0.2">
      <c r="A201" s="15">
        <v>95410</v>
      </c>
      <c r="B201" s="25">
        <v>954</v>
      </c>
      <c r="C201" s="26">
        <v>10</v>
      </c>
      <c r="D201" s="20" t="s">
        <v>596</v>
      </c>
      <c r="E201" s="14">
        <v>41753</v>
      </c>
      <c r="F201" s="18">
        <v>0.88144756097560995</v>
      </c>
      <c r="G201" s="18">
        <v>0.84481597402597397</v>
      </c>
      <c r="H201" s="21">
        <v>100</v>
      </c>
      <c r="I201" s="21">
        <v>100</v>
      </c>
      <c r="J201" s="21">
        <v>100</v>
      </c>
      <c r="K201" s="18">
        <v>1</v>
      </c>
      <c r="L201" s="18">
        <v>56</v>
      </c>
      <c r="M201" s="18">
        <v>2.1</v>
      </c>
      <c r="N201" s="18">
        <v>0</v>
      </c>
      <c r="O201" s="18">
        <v>0.1</v>
      </c>
      <c r="P201" s="18">
        <v>0</v>
      </c>
      <c r="Q201" s="19"/>
      <c r="R201" s="18">
        <v>0</v>
      </c>
      <c r="S201" s="18">
        <v>0</v>
      </c>
      <c r="T201" s="18">
        <v>0</v>
      </c>
      <c r="U201" s="18">
        <v>0</v>
      </c>
      <c r="V201" s="18">
        <v>0</v>
      </c>
      <c r="W201" s="18">
        <v>0</v>
      </c>
      <c r="X201" s="18"/>
      <c r="Y201" s="18">
        <v>0</v>
      </c>
      <c r="Z201" s="18">
        <v>0</v>
      </c>
      <c r="AA201" s="18">
        <v>0</v>
      </c>
      <c r="AB201" s="18">
        <v>0</v>
      </c>
      <c r="AC201" s="18">
        <v>0</v>
      </c>
      <c r="AD201" s="18">
        <v>0</v>
      </c>
      <c r="AE201" s="18">
        <v>0</v>
      </c>
      <c r="AF201" s="18">
        <v>0</v>
      </c>
      <c r="AG201" s="18">
        <v>0</v>
      </c>
      <c r="AH201" s="18">
        <v>0</v>
      </c>
      <c r="AI201" s="18">
        <v>0</v>
      </c>
      <c r="AJ201" s="18">
        <v>0</v>
      </c>
      <c r="AK201" s="18">
        <v>0</v>
      </c>
      <c r="AL201" s="18"/>
      <c r="AM201" s="18">
        <v>0</v>
      </c>
      <c r="AN201" s="18">
        <v>0</v>
      </c>
      <c r="AO201" s="18">
        <v>0</v>
      </c>
      <c r="AP201" s="18">
        <v>0</v>
      </c>
      <c r="AQ201" s="18">
        <v>0</v>
      </c>
      <c r="AR201" s="18">
        <v>0</v>
      </c>
      <c r="AS201" s="18">
        <v>0</v>
      </c>
      <c r="AT201" s="18">
        <v>0</v>
      </c>
      <c r="AU201" s="18">
        <v>0</v>
      </c>
      <c r="AV201" s="18">
        <v>0</v>
      </c>
      <c r="AW201" s="18">
        <v>0</v>
      </c>
      <c r="AX201" s="18"/>
      <c r="AY201" s="18">
        <v>1</v>
      </c>
      <c r="AZ201" s="18">
        <v>1</v>
      </c>
      <c r="BA201" s="18">
        <v>1</v>
      </c>
      <c r="BB201" s="18">
        <v>1</v>
      </c>
      <c r="BC201" s="18">
        <v>1</v>
      </c>
      <c r="BD201" s="18">
        <v>1</v>
      </c>
      <c r="BE201" s="18">
        <v>1</v>
      </c>
      <c r="BF201" s="18">
        <v>1</v>
      </c>
      <c r="BG201" s="18">
        <v>1</v>
      </c>
      <c r="BH201" s="18">
        <v>1</v>
      </c>
      <c r="BI201" s="18">
        <v>1</v>
      </c>
      <c r="BJ201" s="19"/>
      <c r="BK201" s="18">
        <v>3.75</v>
      </c>
      <c r="BL201" s="18">
        <v>0</v>
      </c>
      <c r="BM201" s="18">
        <v>0.17857142857142858</v>
      </c>
      <c r="BN201" s="18">
        <v>0</v>
      </c>
      <c r="BO201" s="18"/>
      <c r="BP201" s="18">
        <v>0</v>
      </c>
      <c r="BQ201" s="18">
        <v>0</v>
      </c>
      <c r="BR201" s="18">
        <v>1.5740135017421606</v>
      </c>
      <c r="BS201" s="18">
        <v>1.5085999536178107</v>
      </c>
      <c r="BT201" s="19"/>
      <c r="BU201" s="18">
        <v>998.21428571428567</v>
      </c>
      <c r="BV201" s="18">
        <v>964.08928571428567</v>
      </c>
      <c r="BW201" s="18">
        <v>0</v>
      </c>
      <c r="BX201" s="18" t="s">
        <v>217</v>
      </c>
      <c r="BY201" s="18" t="s">
        <v>217</v>
      </c>
      <c r="BZ201" s="18" t="s">
        <v>217</v>
      </c>
      <c r="CA201" s="18" t="s">
        <v>217</v>
      </c>
      <c r="CB201" s="19"/>
      <c r="CC201" s="19">
        <v>0</v>
      </c>
      <c r="CD201" s="19">
        <v>0</v>
      </c>
      <c r="CE201" s="19">
        <v>0</v>
      </c>
      <c r="CF201" s="19">
        <v>0</v>
      </c>
      <c r="CG201" s="19">
        <v>0</v>
      </c>
      <c r="CH201" s="19">
        <v>0</v>
      </c>
      <c r="CI201" s="19">
        <v>0</v>
      </c>
      <c r="CJ201" s="19"/>
      <c r="CK201" s="19">
        <v>0</v>
      </c>
      <c r="CL201" s="19">
        <v>0</v>
      </c>
      <c r="CM201" s="19">
        <v>0</v>
      </c>
      <c r="CN201" s="19">
        <v>0</v>
      </c>
      <c r="CO201" s="19">
        <v>0</v>
      </c>
      <c r="CP201" s="19">
        <v>0</v>
      </c>
      <c r="CQ201" s="19">
        <v>0</v>
      </c>
      <c r="CR201" s="19">
        <v>0</v>
      </c>
      <c r="CS201" s="19">
        <v>0</v>
      </c>
      <c r="CT201" s="19">
        <v>0</v>
      </c>
      <c r="CU201" s="19">
        <v>0</v>
      </c>
      <c r="CV201" s="19">
        <v>0</v>
      </c>
      <c r="CW201" s="19">
        <v>0</v>
      </c>
      <c r="CX201" s="19">
        <v>0</v>
      </c>
      <c r="CY201" s="19">
        <v>0</v>
      </c>
      <c r="CZ201" s="19">
        <v>0</v>
      </c>
      <c r="DA201" s="19">
        <v>0</v>
      </c>
      <c r="DB201" s="19">
        <v>0</v>
      </c>
      <c r="DC201" s="19">
        <v>0</v>
      </c>
      <c r="DD201" s="19">
        <v>0</v>
      </c>
      <c r="DE201" s="19">
        <v>0</v>
      </c>
      <c r="DF201" s="23">
        <v>20000000</v>
      </c>
      <c r="DG201" s="23">
        <v>0</v>
      </c>
      <c r="DH201" s="23">
        <v>0</v>
      </c>
      <c r="DI201" s="19">
        <v>0</v>
      </c>
      <c r="DJ201" s="19">
        <v>0</v>
      </c>
      <c r="DK201" s="19">
        <v>0</v>
      </c>
      <c r="DL201" s="19">
        <v>0</v>
      </c>
      <c r="DM201" s="19">
        <v>0</v>
      </c>
      <c r="DN201" s="19">
        <v>0</v>
      </c>
      <c r="DO201" s="19">
        <v>0</v>
      </c>
      <c r="DP201" s="19">
        <v>0</v>
      </c>
      <c r="DQ201" s="19">
        <v>0</v>
      </c>
      <c r="DR201" s="19">
        <v>0</v>
      </c>
      <c r="DS201" s="19">
        <v>0</v>
      </c>
      <c r="DT201" s="19">
        <v>0</v>
      </c>
      <c r="DU201" s="19">
        <v>0</v>
      </c>
      <c r="DV201" s="19">
        <v>0</v>
      </c>
      <c r="DW201" s="17" t="s">
        <v>218</v>
      </c>
      <c r="DX201" s="22" t="s">
        <v>218</v>
      </c>
      <c r="DY201" s="22" t="s">
        <v>218</v>
      </c>
      <c r="DZ201" s="22" t="s">
        <v>218</v>
      </c>
      <c r="EA201" s="22" t="s">
        <v>218</v>
      </c>
      <c r="EB201" s="22" t="s">
        <v>218</v>
      </c>
      <c r="EC201" s="22" t="s">
        <v>218</v>
      </c>
      <c r="ED201" s="22" t="s">
        <v>218</v>
      </c>
      <c r="EE201" s="22" t="s">
        <v>218</v>
      </c>
      <c r="EF201" s="22" t="s">
        <v>218</v>
      </c>
      <c r="EG201" s="22" t="s">
        <v>218</v>
      </c>
      <c r="EH201" s="22" t="s">
        <v>218</v>
      </c>
      <c r="EI201" s="22" t="s">
        <v>218</v>
      </c>
      <c r="EJ201" s="22" t="s">
        <v>218</v>
      </c>
      <c r="EK201" s="22" t="s">
        <v>218</v>
      </c>
      <c r="EL201" s="22" t="s">
        <v>218</v>
      </c>
      <c r="EM201" s="22" t="s">
        <v>218</v>
      </c>
      <c r="EN201" s="22" t="s">
        <v>218</v>
      </c>
      <c r="EO201" s="22" t="s">
        <v>218</v>
      </c>
      <c r="EP201" s="22" t="s">
        <v>218</v>
      </c>
      <c r="EQ201" s="22" t="s">
        <v>218</v>
      </c>
      <c r="ER201" s="22" t="s">
        <v>218</v>
      </c>
      <c r="ES201" s="22" t="s">
        <v>218</v>
      </c>
      <c r="ET201" s="22" t="s">
        <v>218</v>
      </c>
      <c r="EU201" s="22" t="s">
        <v>218</v>
      </c>
      <c r="EV201" s="22" t="s">
        <v>218</v>
      </c>
      <c r="EW201" s="22" t="s">
        <v>218</v>
      </c>
      <c r="EX201" s="22" t="s">
        <v>218</v>
      </c>
      <c r="EY201" s="22" t="s">
        <v>218</v>
      </c>
      <c r="EZ201" s="22" t="s">
        <v>218</v>
      </c>
      <c r="FA201" s="22" t="s">
        <v>218</v>
      </c>
      <c r="FB201" s="22" t="s">
        <v>218</v>
      </c>
      <c r="FC201" s="22" t="s">
        <v>218</v>
      </c>
      <c r="FD201" s="22" t="s">
        <v>218</v>
      </c>
      <c r="FE201" s="22" t="s">
        <v>218</v>
      </c>
      <c r="FF201" s="22" t="s">
        <v>218</v>
      </c>
      <c r="FG201" s="22" t="s">
        <v>218</v>
      </c>
      <c r="FH201" s="22" t="s">
        <v>218</v>
      </c>
      <c r="FI201" s="22" t="s">
        <v>218</v>
      </c>
      <c r="FJ201" s="22" t="s">
        <v>218</v>
      </c>
      <c r="FK201" s="22" t="s">
        <v>218</v>
      </c>
      <c r="FL201" s="22" t="s">
        <v>218</v>
      </c>
      <c r="FM201" s="22" t="s">
        <v>218</v>
      </c>
      <c r="FN201" s="22" t="s">
        <v>218</v>
      </c>
      <c r="FO201" s="22" t="s">
        <v>218</v>
      </c>
      <c r="FP201" s="22" t="s">
        <v>218</v>
      </c>
      <c r="FQ201" s="22" t="s">
        <v>218</v>
      </c>
      <c r="FR201" s="22" t="s">
        <v>218</v>
      </c>
      <c r="FS201" s="22" t="s">
        <v>218</v>
      </c>
      <c r="FT201" s="22" t="s">
        <v>218</v>
      </c>
      <c r="FU201" s="22" t="s">
        <v>218</v>
      </c>
      <c r="FV201" s="22" t="s">
        <v>218</v>
      </c>
      <c r="FW201" s="22" t="s">
        <v>218</v>
      </c>
      <c r="FX201" s="22" t="s">
        <v>218</v>
      </c>
      <c r="FY201" s="22" t="s">
        <v>218</v>
      </c>
      <c r="FZ201" s="22" t="s">
        <v>218</v>
      </c>
      <c r="GA201" s="22" t="s">
        <v>218</v>
      </c>
      <c r="GB201" s="22" t="s">
        <v>218</v>
      </c>
      <c r="GC201" s="22" t="s">
        <v>218</v>
      </c>
      <c r="GD201" s="22" t="s">
        <v>218</v>
      </c>
      <c r="GE201" s="22" t="s">
        <v>218</v>
      </c>
      <c r="GF201" s="22" t="s">
        <v>218</v>
      </c>
      <c r="GG201" s="22" t="s">
        <v>218</v>
      </c>
      <c r="GH201" s="22" t="s">
        <v>218</v>
      </c>
      <c r="GI201" s="22" t="s">
        <v>218</v>
      </c>
      <c r="GJ201" s="22" t="s">
        <v>218</v>
      </c>
      <c r="GK201" s="22" t="s">
        <v>218</v>
      </c>
      <c r="GL201" s="22" t="s">
        <v>218</v>
      </c>
      <c r="GM201" s="22" t="s">
        <v>218</v>
      </c>
      <c r="GN201" s="22" t="s">
        <v>218</v>
      </c>
      <c r="GO201" s="22" t="s">
        <v>218</v>
      </c>
      <c r="GP201" s="22" t="s">
        <v>218</v>
      </c>
      <c r="GQ201" s="22" t="s">
        <v>218</v>
      </c>
      <c r="GR201" s="22" t="s">
        <v>218</v>
      </c>
      <c r="GS201" s="22" t="s">
        <v>218</v>
      </c>
      <c r="GT201" s="22" t="s">
        <v>218</v>
      </c>
      <c r="GU201" s="22" t="s">
        <v>218</v>
      </c>
      <c r="GV201" s="22" t="s">
        <v>218</v>
      </c>
      <c r="GW201" s="22" t="s">
        <v>218</v>
      </c>
      <c r="GX201" s="22" t="s">
        <v>218</v>
      </c>
      <c r="GY201" s="22" t="s">
        <v>218</v>
      </c>
      <c r="GZ201" s="22" t="s">
        <v>218</v>
      </c>
      <c r="HA201" s="22" t="s">
        <v>218</v>
      </c>
      <c r="HB201" s="22" t="s">
        <v>218</v>
      </c>
      <c r="HC201" s="22" t="s">
        <v>218</v>
      </c>
      <c r="HD201" s="22" t="s">
        <v>218</v>
      </c>
      <c r="HE201" s="22" t="s">
        <v>218</v>
      </c>
      <c r="HF201" s="22" t="s">
        <v>218</v>
      </c>
      <c r="HG201" s="22" t="s">
        <v>218</v>
      </c>
      <c r="HH201" s="22" t="s">
        <v>218</v>
      </c>
      <c r="HI201" s="22" t="s">
        <v>218</v>
      </c>
      <c r="HJ201" s="22" t="s">
        <v>218</v>
      </c>
      <c r="HK201" s="22" t="s">
        <v>218</v>
      </c>
      <c r="HL201" s="22" t="s">
        <v>218</v>
      </c>
      <c r="HM201" s="860"/>
      <c r="HN201" s="860"/>
      <c r="HO201" s="860"/>
      <c r="HP201" s="860"/>
      <c r="HQ201" s="860"/>
      <c r="HR201" s="860"/>
      <c r="HS201" s="860"/>
      <c r="HT201" s="145"/>
      <c r="HU201" s="145" t="s">
        <v>1809</v>
      </c>
      <c r="HV201" s="22" t="s">
        <v>1926</v>
      </c>
      <c r="HW201" s="22" t="s">
        <v>597</v>
      </c>
      <c r="HX201" s="22">
        <v>0</v>
      </c>
      <c r="HY201" s="22">
        <v>0</v>
      </c>
      <c r="HZ201" s="19"/>
      <c r="IA201" s="19"/>
      <c r="IB201" s="621">
        <f>'background data'!$G$10</f>
        <v>0.47300000000000003</v>
      </c>
      <c r="IC201" s="621">
        <f>'background data'!$H$10</f>
        <v>0.13</v>
      </c>
      <c r="ID201" s="621">
        <f>'background data'!$J$10</f>
        <v>0.39100000000000001</v>
      </c>
      <c r="IE201" s="621">
        <f>'background data'!$L$10</f>
        <v>5.5E-2</v>
      </c>
      <c r="IF201" s="621">
        <f>'background data'!$M$10</f>
        <v>3.97</v>
      </c>
      <c r="IG201" s="621">
        <f>'background data'!$N$10</f>
        <v>4.5999999999999999E-3</v>
      </c>
      <c r="IH201" s="621">
        <f>'background data'!$O$10</f>
        <v>2.73</v>
      </c>
      <c r="II201" s="145"/>
      <c r="IJ201" s="145"/>
      <c r="IK201" s="145"/>
      <c r="IL201" s="145"/>
      <c r="IM201" s="145"/>
      <c r="IN201" s="145"/>
      <c r="IO201" s="145"/>
      <c r="IP201" s="145"/>
      <c r="IQ201" s="145"/>
      <c r="IR201" s="145"/>
      <c r="IS201" s="145"/>
      <c r="IT201" s="145"/>
      <c r="IU201" s="145"/>
      <c r="IV201" s="145"/>
      <c r="IW201" s="145"/>
      <c r="IX201" s="145"/>
      <c r="IY201" s="145"/>
      <c r="IZ201" s="145"/>
      <c r="JA201" s="145"/>
      <c r="JB201" s="145"/>
      <c r="JC201" s="145"/>
      <c r="JD201" s="145"/>
      <c r="JE201" s="145"/>
      <c r="JF201" s="145"/>
      <c r="JG201" s="145"/>
      <c r="JH201" s="145"/>
      <c r="JI201" s="145"/>
      <c r="JJ201" s="145"/>
      <c r="JK201" s="145"/>
      <c r="JL201" s="145"/>
      <c r="JM201" s="145"/>
      <c r="JN201" s="145"/>
      <c r="JO201" s="145"/>
      <c r="JP201" s="145"/>
      <c r="JQ201" s="145"/>
      <c r="JR201" s="145"/>
      <c r="JS201" s="145"/>
      <c r="JT201" s="145"/>
      <c r="JU201" s="145"/>
      <c r="JV201" s="145"/>
      <c r="JW201" s="145"/>
      <c r="JX201" s="145"/>
      <c r="JY201" s="145"/>
      <c r="JZ201" s="145"/>
      <c r="KA201" s="145"/>
      <c r="KB201" s="145"/>
      <c r="KC201" s="145"/>
      <c r="KD201" s="145"/>
      <c r="KE201" s="145"/>
      <c r="KF201" s="145"/>
      <c r="KG201" s="145"/>
      <c r="KH201" s="145"/>
      <c r="KI201" s="145"/>
      <c r="KJ201" s="145"/>
      <c r="KK201" s="145"/>
      <c r="KL201" s="145"/>
      <c r="KM201" s="145"/>
      <c r="KN201" s="145"/>
      <c r="KO201" s="145"/>
      <c r="KP201" s="145"/>
      <c r="KQ201" s="145"/>
      <c r="KR201" s="145"/>
      <c r="KS201" s="145"/>
      <c r="KT201" s="145"/>
      <c r="KU201" s="145"/>
      <c r="KV201" s="145"/>
      <c r="KW201" s="145"/>
      <c r="KX201" s="145"/>
      <c r="KY201" s="145"/>
      <c r="KZ201" s="145"/>
      <c r="LA201" s="145"/>
      <c r="LB201" s="145"/>
      <c r="LC201" s="145"/>
      <c r="LD201" s="145"/>
      <c r="LE201" s="145"/>
      <c r="LF201" s="145"/>
      <c r="LG201" s="145"/>
      <c r="LH201" s="145"/>
      <c r="LI201" s="145"/>
      <c r="LJ201" s="145"/>
      <c r="LK201" s="145"/>
      <c r="LL201" s="145"/>
      <c r="LM201" s="145"/>
      <c r="LN201" s="145"/>
      <c r="LO201" s="145"/>
      <c r="LP201" s="145"/>
      <c r="LQ201" s="145"/>
      <c r="LR201" s="145"/>
      <c r="LS201" s="145"/>
      <c r="LT201" s="145"/>
      <c r="LU201" s="145"/>
      <c r="LV201" s="145"/>
      <c r="LW201" s="145"/>
      <c r="LX201" s="145"/>
      <c r="LY201" s="145"/>
      <c r="LZ201" s="145"/>
      <c r="MA201" s="145"/>
      <c r="MB201" s="145"/>
      <c r="MC201" s="145"/>
      <c r="MD201" s="145"/>
      <c r="ME201" s="145"/>
      <c r="MF201" s="145"/>
      <c r="MG201" s="145"/>
      <c r="MH201" s="145"/>
      <c r="MI201" s="145"/>
      <c r="MJ201" s="145"/>
      <c r="MK201" s="145"/>
      <c r="ML201" s="145"/>
      <c r="MM201" s="145"/>
      <c r="MN201" s="145"/>
      <c r="MO201" s="145"/>
      <c r="MP201" s="145"/>
      <c r="MQ201" s="145"/>
      <c r="MR201" s="145"/>
      <c r="MS201" s="145"/>
      <c r="MT201" s="145"/>
      <c r="MU201" s="145"/>
      <c r="MV201" s="145"/>
      <c r="MW201" s="145"/>
      <c r="MX201" s="145"/>
      <c r="MY201" s="145"/>
      <c r="MZ201" s="145"/>
      <c r="NA201" s="145"/>
      <c r="NB201" s="145"/>
      <c r="NC201" s="145"/>
      <c r="ND201" s="145"/>
      <c r="NE201" s="145"/>
      <c r="NF201" s="145"/>
      <c r="NG201" s="145"/>
      <c r="NH201" s="145"/>
      <c r="NI201" s="145"/>
      <c r="NJ201" s="145"/>
      <c r="NK201" s="145"/>
      <c r="NL201" s="145"/>
      <c r="NM201" s="145"/>
      <c r="NN201" s="145"/>
      <c r="NO201" s="145"/>
      <c r="NP201" s="145"/>
      <c r="NQ201" s="145"/>
      <c r="NR201" s="145"/>
      <c r="NS201" s="145"/>
    </row>
    <row r="202" spans="1:383" s="16" customFormat="1" ht="15" customHeight="1" x14ac:dyDescent="0.2">
      <c r="A202" s="15">
        <v>95405</v>
      </c>
      <c r="B202" s="25">
        <v>954</v>
      </c>
      <c r="C202" s="26">
        <v>5</v>
      </c>
      <c r="D202" s="20" t="s">
        <v>598</v>
      </c>
      <c r="E202" s="14">
        <v>41751</v>
      </c>
      <c r="F202" s="18">
        <v>0.43457073170731803</v>
      </c>
      <c r="G202" s="18">
        <v>0.41651064935065002</v>
      </c>
      <c r="H202" s="21">
        <v>100</v>
      </c>
      <c r="I202" s="21">
        <v>100</v>
      </c>
      <c r="J202" s="21">
        <v>100</v>
      </c>
      <c r="K202" s="18">
        <v>1</v>
      </c>
      <c r="L202" s="18">
        <v>99.5</v>
      </c>
      <c r="M202" s="18">
        <v>1.4</v>
      </c>
      <c r="N202" s="18">
        <v>7.4</v>
      </c>
      <c r="O202" s="18">
        <v>77.099999999999994</v>
      </c>
      <c r="P202" s="18">
        <v>0</v>
      </c>
      <c r="Q202" s="19"/>
      <c r="R202" s="18">
        <v>0</v>
      </c>
      <c r="S202" s="18">
        <v>0</v>
      </c>
      <c r="T202" s="18">
        <v>0</v>
      </c>
      <c r="U202" s="18">
        <v>0</v>
      </c>
      <c r="V202" s="18">
        <v>0</v>
      </c>
      <c r="W202" s="18">
        <v>0</v>
      </c>
      <c r="X202" s="18"/>
      <c r="Y202" s="18">
        <v>0</v>
      </c>
      <c r="Z202" s="18">
        <v>0</v>
      </c>
      <c r="AA202" s="18">
        <v>0</v>
      </c>
      <c r="AB202" s="18">
        <v>0</v>
      </c>
      <c r="AC202" s="18">
        <v>0</v>
      </c>
      <c r="AD202" s="18">
        <v>0</v>
      </c>
      <c r="AE202" s="18">
        <v>0</v>
      </c>
      <c r="AF202" s="18">
        <v>0</v>
      </c>
      <c r="AG202" s="18">
        <v>0</v>
      </c>
      <c r="AH202" s="18">
        <v>0</v>
      </c>
      <c r="AI202" s="18">
        <v>0</v>
      </c>
      <c r="AJ202" s="18">
        <v>0</v>
      </c>
      <c r="AK202" s="18">
        <v>0</v>
      </c>
      <c r="AL202" s="18"/>
      <c r="AM202" s="18">
        <v>0</v>
      </c>
      <c r="AN202" s="18">
        <v>0</v>
      </c>
      <c r="AO202" s="18">
        <v>0</v>
      </c>
      <c r="AP202" s="18">
        <v>0</v>
      </c>
      <c r="AQ202" s="18">
        <v>0</v>
      </c>
      <c r="AR202" s="18">
        <v>0</v>
      </c>
      <c r="AS202" s="18">
        <v>0</v>
      </c>
      <c r="AT202" s="18">
        <v>0</v>
      </c>
      <c r="AU202" s="18">
        <v>0</v>
      </c>
      <c r="AV202" s="18">
        <v>0</v>
      </c>
      <c r="AW202" s="18">
        <v>0</v>
      </c>
      <c r="AX202" s="18"/>
      <c r="AY202" s="18">
        <v>1</v>
      </c>
      <c r="AZ202" s="18">
        <v>1</v>
      </c>
      <c r="BA202" s="18">
        <v>1</v>
      </c>
      <c r="BB202" s="18">
        <v>1</v>
      </c>
      <c r="BC202" s="18">
        <v>1</v>
      </c>
      <c r="BD202" s="18">
        <v>1</v>
      </c>
      <c r="BE202" s="18">
        <v>1</v>
      </c>
      <c r="BF202" s="18">
        <v>1</v>
      </c>
      <c r="BG202" s="18">
        <v>1</v>
      </c>
      <c r="BH202" s="18">
        <v>1</v>
      </c>
      <c r="BI202" s="18">
        <v>1</v>
      </c>
      <c r="BJ202" s="19"/>
      <c r="BK202" s="18">
        <v>1.4070351758793969</v>
      </c>
      <c r="BL202" s="18">
        <v>7.4371859296482414</v>
      </c>
      <c r="BM202" s="18">
        <v>77.487437185929636</v>
      </c>
      <c r="BN202" s="18">
        <v>0</v>
      </c>
      <c r="BO202" s="18"/>
      <c r="BP202" s="18">
        <v>0</v>
      </c>
      <c r="BQ202" s="18">
        <v>0</v>
      </c>
      <c r="BR202" s="18">
        <v>0.43675450422846035</v>
      </c>
      <c r="BS202" s="18">
        <v>0.41860366768909552</v>
      </c>
      <c r="BT202" s="19"/>
      <c r="BU202" s="18">
        <v>225.12562814070353</v>
      </c>
      <c r="BV202" s="18">
        <v>140.18090452261305</v>
      </c>
      <c r="BW202" s="18">
        <v>0</v>
      </c>
      <c r="BX202" s="18" t="s">
        <v>217</v>
      </c>
      <c r="BY202" s="18" t="s">
        <v>217</v>
      </c>
      <c r="BZ202" s="18" t="s">
        <v>217</v>
      </c>
      <c r="CA202" s="18" t="s">
        <v>217</v>
      </c>
      <c r="CB202" s="19"/>
      <c r="CC202" s="19">
        <v>0</v>
      </c>
      <c r="CD202" s="19">
        <v>0</v>
      </c>
      <c r="CE202" s="19">
        <v>0</v>
      </c>
      <c r="CF202" s="19">
        <v>0</v>
      </c>
      <c r="CG202" s="19">
        <v>0</v>
      </c>
      <c r="CH202" s="19">
        <v>0</v>
      </c>
      <c r="CI202" s="19">
        <v>0</v>
      </c>
      <c r="CJ202" s="19"/>
      <c r="CK202" s="19">
        <v>0</v>
      </c>
      <c r="CL202" s="19">
        <v>0</v>
      </c>
      <c r="CM202" s="19">
        <v>0</v>
      </c>
      <c r="CN202" s="19">
        <v>0</v>
      </c>
      <c r="CO202" s="19">
        <v>0</v>
      </c>
      <c r="CP202" s="19">
        <v>0</v>
      </c>
      <c r="CQ202" s="19">
        <v>0</v>
      </c>
      <c r="CR202" s="19">
        <v>0</v>
      </c>
      <c r="CS202" s="19">
        <v>0</v>
      </c>
      <c r="CT202" s="19">
        <v>0</v>
      </c>
      <c r="CU202" s="19">
        <v>0</v>
      </c>
      <c r="CV202" s="19">
        <v>0</v>
      </c>
      <c r="CW202" s="19">
        <v>0</v>
      </c>
      <c r="CX202" s="19">
        <v>0</v>
      </c>
      <c r="CY202" s="19">
        <v>0</v>
      </c>
      <c r="CZ202" s="19">
        <v>0</v>
      </c>
      <c r="DA202" s="19">
        <v>0</v>
      </c>
      <c r="DB202" s="19">
        <v>0</v>
      </c>
      <c r="DC202" s="19">
        <v>0</v>
      </c>
      <c r="DD202" s="19">
        <v>0</v>
      </c>
      <c r="DE202" s="19">
        <v>0</v>
      </c>
      <c r="DF202" s="23">
        <v>50000000</v>
      </c>
      <c r="DG202" s="23">
        <v>0</v>
      </c>
      <c r="DH202" s="23">
        <v>0</v>
      </c>
      <c r="DI202" s="19">
        <v>0</v>
      </c>
      <c r="DJ202" s="19">
        <v>0</v>
      </c>
      <c r="DK202" s="19">
        <v>0</v>
      </c>
      <c r="DL202" s="19">
        <v>0</v>
      </c>
      <c r="DM202" s="19">
        <v>0</v>
      </c>
      <c r="DN202" s="19">
        <v>0</v>
      </c>
      <c r="DO202" s="19">
        <v>0</v>
      </c>
      <c r="DP202" s="19">
        <v>0</v>
      </c>
      <c r="DQ202" s="19">
        <v>0</v>
      </c>
      <c r="DR202" s="19">
        <v>0</v>
      </c>
      <c r="DS202" s="19">
        <v>0</v>
      </c>
      <c r="DT202" s="19">
        <v>0</v>
      </c>
      <c r="DU202" s="19">
        <v>0</v>
      </c>
      <c r="DV202" s="19">
        <v>0</v>
      </c>
      <c r="DW202" s="17" t="s">
        <v>218</v>
      </c>
      <c r="DX202" s="22" t="s">
        <v>218</v>
      </c>
      <c r="DY202" s="22" t="s">
        <v>218</v>
      </c>
      <c r="DZ202" s="22" t="s">
        <v>218</v>
      </c>
      <c r="EA202" s="22" t="s">
        <v>218</v>
      </c>
      <c r="EB202" s="22" t="s">
        <v>218</v>
      </c>
      <c r="EC202" s="22" t="s">
        <v>218</v>
      </c>
      <c r="ED202" s="22" t="s">
        <v>218</v>
      </c>
      <c r="EE202" s="22" t="s">
        <v>218</v>
      </c>
      <c r="EF202" s="22" t="s">
        <v>218</v>
      </c>
      <c r="EG202" s="22" t="s">
        <v>218</v>
      </c>
      <c r="EH202" s="22" t="s">
        <v>218</v>
      </c>
      <c r="EI202" s="22" t="s">
        <v>218</v>
      </c>
      <c r="EJ202" s="22" t="s">
        <v>218</v>
      </c>
      <c r="EK202" s="22" t="s">
        <v>218</v>
      </c>
      <c r="EL202" s="22" t="s">
        <v>218</v>
      </c>
      <c r="EM202" s="22" t="s">
        <v>218</v>
      </c>
      <c r="EN202" s="22" t="s">
        <v>218</v>
      </c>
      <c r="EO202" s="22" t="s">
        <v>218</v>
      </c>
      <c r="EP202" s="22" t="s">
        <v>218</v>
      </c>
      <c r="EQ202" s="22" t="s">
        <v>218</v>
      </c>
      <c r="ER202" s="22" t="s">
        <v>218</v>
      </c>
      <c r="ES202" s="22" t="s">
        <v>218</v>
      </c>
      <c r="ET202" s="22" t="s">
        <v>218</v>
      </c>
      <c r="EU202" s="22" t="s">
        <v>218</v>
      </c>
      <c r="EV202" s="22" t="s">
        <v>218</v>
      </c>
      <c r="EW202" s="22" t="s">
        <v>218</v>
      </c>
      <c r="EX202" s="22" t="s">
        <v>218</v>
      </c>
      <c r="EY202" s="22" t="s">
        <v>218</v>
      </c>
      <c r="EZ202" s="22" t="s">
        <v>218</v>
      </c>
      <c r="FA202" s="22" t="s">
        <v>218</v>
      </c>
      <c r="FB202" s="22" t="s">
        <v>218</v>
      </c>
      <c r="FC202" s="22" t="s">
        <v>218</v>
      </c>
      <c r="FD202" s="22" t="s">
        <v>218</v>
      </c>
      <c r="FE202" s="22" t="s">
        <v>218</v>
      </c>
      <c r="FF202" s="22" t="s">
        <v>218</v>
      </c>
      <c r="FG202" s="22" t="s">
        <v>218</v>
      </c>
      <c r="FH202" s="22" t="s">
        <v>218</v>
      </c>
      <c r="FI202" s="22" t="s">
        <v>218</v>
      </c>
      <c r="FJ202" s="22" t="s">
        <v>218</v>
      </c>
      <c r="FK202" s="22" t="s">
        <v>218</v>
      </c>
      <c r="FL202" s="22" t="s">
        <v>218</v>
      </c>
      <c r="FM202" s="22" t="s">
        <v>218</v>
      </c>
      <c r="FN202" s="22" t="s">
        <v>218</v>
      </c>
      <c r="FO202" s="22" t="s">
        <v>218</v>
      </c>
      <c r="FP202" s="22" t="s">
        <v>218</v>
      </c>
      <c r="FQ202" s="22" t="s">
        <v>218</v>
      </c>
      <c r="FR202" s="22" t="s">
        <v>218</v>
      </c>
      <c r="FS202" s="22" t="s">
        <v>218</v>
      </c>
      <c r="FT202" s="22" t="s">
        <v>218</v>
      </c>
      <c r="FU202" s="22" t="s">
        <v>218</v>
      </c>
      <c r="FV202" s="22" t="s">
        <v>218</v>
      </c>
      <c r="FW202" s="22" t="s">
        <v>218</v>
      </c>
      <c r="FX202" s="22" t="s">
        <v>218</v>
      </c>
      <c r="FY202" s="22" t="s">
        <v>218</v>
      </c>
      <c r="FZ202" s="22" t="s">
        <v>218</v>
      </c>
      <c r="GA202" s="22" t="s">
        <v>218</v>
      </c>
      <c r="GB202" s="22" t="s">
        <v>218</v>
      </c>
      <c r="GC202" s="22" t="s">
        <v>218</v>
      </c>
      <c r="GD202" s="22" t="s">
        <v>218</v>
      </c>
      <c r="GE202" s="22" t="s">
        <v>218</v>
      </c>
      <c r="GF202" s="22" t="s">
        <v>218</v>
      </c>
      <c r="GG202" s="22" t="s">
        <v>218</v>
      </c>
      <c r="GH202" s="22" t="s">
        <v>218</v>
      </c>
      <c r="GI202" s="22" t="s">
        <v>218</v>
      </c>
      <c r="GJ202" s="22" t="s">
        <v>218</v>
      </c>
      <c r="GK202" s="22" t="s">
        <v>218</v>
      </c>
      <c r="GL202" s="22" t="s">
        <v>218</v>
      </c>
      <c r="GM202" s="22" t="s">
        <v>218</v>
      </c>
      <c r="GN202" s="22" t="s">
        <v>218</v>
      </c>
      <c r="GO202" s="22" t="s">
        <v>218</v>
      </c>
      <c r="GP202" s="22" t="s">
        <v>218</v>
      </c>
      <c r="GQ202" s="22" t="s">
        <v>218</v>
      </c>
      <c r="GR202" s="22" t="s">
        <v>218</v>
      </c>
      <c r="GS202" s="22" t="s">
        <v>218</v>
      </c>
      <c r="GT202" s="22" t="s">
        <v>218</v>
      </c>
      <c r="GU202" s="22" t="s">
        <v>218</v>
      </c>
      <c r="GV202" s="22" t="s">
        <v>218</v>
      </c>
      <c r="GW202" s="22" t="s">
        <v>218</v>
      </c>
      <c r="GX202" s="22" t="s">
        <v>218</v>
      </c>
      <c r="GY202" s="22" t="s">
        <v>218</v>
      </c>
      <c r="GZ202" s="22" t="s">
        <v>218</v>
      </c>
      <c r="HA202" s="22" t="s">
        <v>218</v>
      </c>
      <c r="HB202" s="22" t="s">
        <v>218</v>
      </c>
      <c r="HC202" s="22" t="s">
        <v>218</v>
      </c>
      <c r="HD202" s="22" t="s">
        <v>218</v>
      </c>
      <c r="HE202" s="22" t="s">
        <v>218</v>
      </c>
      <c r="HF202" s="22" t="s">
        <v>218</v>
      </c>
      <c r="HG202" s="22" t="s">
        <v>218</v>
      </c>
      <c r="HH202" s="22" t="s">
        <v>218</v>
      </c>
      <c r="HI202" s="22" t="s">
        <v>218</v>
      </c>
      <c r="HJ202" s="22" t="s">
        <v>218</v>
      </c>
      <c r="HK202" s="22" t="s">
        <v>218</v>
      </c>
      <c r="HL202" s="22" t="s">
        <v>218</v>
      </c>
      <c r="HM202" s="860"/>
      <c r="HN202" s="860"/>
      <c r="HO202" s="860"/>
      <c r="HP202" s="860"/>
      <c r="HQ202" s="860"/>
      <c r="HR202" s="860"/>
      <c r="HS202" s="860"/>
      <c r="HT202" s="145"/>
      <c r="HU202" s="145" t="s">
        <v>1809</v>
      </c>
      <c r="HV202" s="22" t="s">
        <v>1926</v>
      </c>
      <c r="HW202" s="22" t="s">
        <v>599</v>
      </c>
      <c r="HX202" s="22">
        <v>0</v>
      </c>
      <c r="HY202" s="22">
        <v>0</v>
      </c>
      <c r="HZ202" s="19"/>
      <c r="IA202" s="19"/>
      <c r="IB202" s="621">
        <f>'background data'!$G$10</f>
        <v>0.47300000000000003</v>
      </c>
      <c r="IC202" s="621">
        <f>'background data'!$H$10</f>
        <v>0.13</v>
      </c>
      <c r="ID202" s="621">
        <f>'background data'!$J$10</f>
        <v>0.39100000000000001</v>
      </c>
      <c r="IE202" s="621">
        <f>'background data'!$L$10</f>
        <v>5.5E-2</v>
      </c>
      <c r="IF202" s="621">
        <f>'background data'!$M$10</f>
        <v>3.97</v>
      </c>
      <c r="IG202" s="621">
        <f>'background data'!$N$10</f>
        <v>4.5999999999999999E-3</v>
      </c>
      <c r="IH202" s="621">
        <f>'background data'!$O$10</f>
        <v>2.73</v>
      </c>
      <c r="II202" s="145"/>
      <c r="IJ202" s="145"/>
      <c r="IK202" s="145"/>
      <c r="IL202" s="145"/>
      <c r="IM202" s="145"/>
      <c r="IN202" s="145"/>
      <c r="IO202" s="145"/>
      <c r="IP202" s="145"/>
      <c r="IQ202" s="145"/>
      <c r="IR202" s="145"/>
      <c r="IS202" s="145"/>
      <c r="IT202" s="145"/>
      <c r="IU202" s="145"/>
      <c r="IV202" s="145"/>
      <c r="IW202" s="145"/>
      <c r="IX202" s="145"/>
      <c r="IY202" s="145"/>
      <c r="IZ202" s="145"/>
      <c r="JA202" s="145"/>
      <c r="JB202" s="145"/>
      <c r="JC202" s="145"/>
      <c r="JD202" s="145"/>
      <c r="JE202" s="145"/>
      <c r="JF202" s="145"/>
      <c r="JG202" s="145"/>
      <c r="JH202" s="145"/>
      <c r="JI202" s="145"/>
      <c r="JJ202" s="145"/>
      <c r="JK202" s="145"/>
      <c r="JL202" s="145"/>
      <c r="JM202" s="145"/>
      <c r="JN202" s="145"/>
      <c r="JO202" s="145"/>
      <c r="JP202" s="145"/>
      <c r="JQ202" s="145"/>
      <c r="JR202" s="145"/>
      <c r="JS202" s="145"/>
      <c r="JT202" s="145"/>
      <c r="JU202" s="145"/>
      <c r="JV202" s="145"/>
      <c r="JW202" s="145"/>
      <c r="JX202" s="145"/>
      <c r="JY202" s="145"/>
      <c r="JZ202" s="145"/>
      <c r="KA202" s="145"/>
      <c r="KB202" s="145"/>
      <c r="KC202" s="145"/>
      <c r="KD202" s="145"/>
      <c r="KE202" s="145"/>
      <c r="KF202" s="145"/>
      <c r="KG202" s="145"/>
      <c r="KH202" s="145"/>
      <c r="KI202" s="145"/>
      <c r="KJ202" s="145"/>
      <c r="KK202" s="145"/>
      <c r="KL202" s="145"/>
      <c r="KM202" s="145"/>
      <c r="KN202" s="145"/>
      <c r="KO202" s="145"/>
      <c r="KP202" s="145"/>
      <c r="KQ202" s="145"/>
      <c r="KR202" s="145"/>
      <c r="KS202" s="145"/>
      <c r="KT202" s="145"/>
      <c r="KU202" s="145"/>
      <c r="KV202" s="145"/>
      <c r="KW202" s="145"/>
      <c r="KX202" s="145"/>
      <c r="KY202" s="145"/>
      <c r="KZ202" s="145"/>
      <c r="LA202" s="145"/>
      <c r="LB202" s="145"/>
      <c r="LC202" s="145"/>
      <c r="LD202" s="145"/>
      <c r="LE202" s="145"/>
      <c r="LF202" s="145"/>
      <c r="LG202" s="145"/>
      <c r="LH202" s="145"/>
      <c r="LI202" s="145"/>
      <c r="LJ202" s="145"/>
      <c r="LK202" s="145"/>
      <c r="LL202" s="145"/>
      <c r="LM202" s="145"/>
      <c r="LN202" s="145"/>
      <c r="LO202" s="145"/>
      <c r="LP202" s="145"/>
      <c r="LQ202" s="145"/>
      <c r="LR202" s="145"/>
      <c r="LS202" s="145"/>
      <c r="LT202" s="145"/>
      <c r="LU202" s="145"/>
      <c r="LV202" s="145"/>
      <c r="LW202" s="145"/>
      <c r="LX202" s="145"/>
      <c r="LY202" s="145"/>
      <c r="LZ202" s="145"/>
      <c r="MA202" s="145"/>
      <c r="MB202" s="145"/>
      <c r="MC202" s="145"/>
      <c r="MD202" s="145"/>
      <c r="ME202" s="145"/>
      <c r="MF202" s="145"/>
      <c r="MG202" s="145"/>
      <c r="MH202" s="145"/>
      <c r="MI202" s="145"/>
      <c r="MJ202" s="145"/>
      <c r="MK202" s="145"/>
      <c r="ML202" s="145"/>
      <c r="MM202" s="145"/>
      <c r="MN202" s="145"/>
      <c r="MO202" s="145"/>
      <c r="MP202" s="145"/>
      <c r="MQ202" s="145"/>
      <c r="MR202" s="145"/>
      <c r="MS202" s="145"/>
      <c r="MT202" s="145"/>
      <c r="MU202" s="145"/>
      <c r="MV202" s="145"/>
      <c r="MW202" s="145"/>
      <c r="MX202" s="145"/>
      <c r="MY202" s="145"/>
      <c r="MZ202" s="145"/>
      <c r="NA202" s="145"/>
      <c r="NB202" s="145"/>
      <c r="NC202" s="145"/>
      <c r="ND202" s="145"/>
      <c r="NE202" s="145"/>
      <c r="NF202" s="145"/>
      <c r="NG202" s="145"/>
      <c r="NH202" s="145"/>
      <c r="NI202" s="145"/>
      <c r="NJ202" s="145"/>
      <c r="NK202" s="145"/>
      <c r="NL202" s="145"/>
      <c r="NM202" s="145"/>
      <c r="NN202" s="145"/>
      <c r="NO202" s="145"/>
      <c r="NP202" s="145"/>
      <c r="NQ202" s="145"/>
      <c r="NR202" s="145"/>
      <c r="NS202" s="145"/>
    </row>
    <row r="203" spans="1:383" s="16" customFormat="1" ht="19.5" customHeight="1" x14ac:dyDescent="0.2">
      <c r="A203" s="15">
        <v>95310</v>
      </c>
      <c r="B203" s="25">
        <v>953</v>
      </c>
      <c r="C203" s="26">
        <v>10</v>
      </c>
      <c r="D203" s="20" t="s">
        <v>600</v>
      </c>
      <c r="E203" s="14">
        <v>40310</v>
      </c>
      <c r="F203" s="18">
        <v>0.88144756097560995</v>
      </c>
      <c r="G203" s="18">
        <v>0.84481597402597397</v>
      </c>
      <c r="H203" s="21">
        <v>100</v>
      </c>
      <c r="I203" s="21">
        <v>100</v>
      </c>
      <c r="J203" s="21">
        <v>100</v>
      </c>
      <c r="K203" s="18">
        <v>1</v>
      </c>
      <c r="L203" s="18">
        <v>56</v>
      </c>
      <c r="M203" s="18">
        <v>2.1</v>
      </c>
      <c r="N203" s="18">
        <v>0</v>
      </c>
      <c r="O203" s="18">
        <v>0.1</v>
      </c>
      <c r="P203" s="18">
        <v>0</v>
      </c>
      <c r="Q203" s="19"/>
      <c r="R203" s="18">
        <v>0</v>
      </c>
      <c r="S203" s="18">
        <v>0</v>
      </c>
      <c r="T203" s="18">
        <v>0</v>
      </c>
      <c r="U203" s="18">
        <v>0</v>
      </c>
      <c r="V203" s="18">
        <v>0</v>
      </c>
      <c r="W203" s="18">
        <v>0</v>
      </c>
      <c r="X203" s="18"/>
      <c r="Y203" s="18">
        <v>0</v>
      </c>
      <c r="Z203" s="18">
        <v>0</v>
      </c>
      <c r="AA203" s="18">
        <v>0</v>
      </c>
      <c r="AB203" s="18">
        <v>0</v>
      </c>
      <c r="AC203" s="18">
        <v>0</v>
      </c>
      <c r="AD203" s="18">
        <v>0</v>
      </c>
      <c r="AE203" s="18">
        <v>0</v>
      </c>
      <c r="AF203" s="18">
        <v>0</v>
      </c>
      <c r="AG203" s="18">
        <v>0</v>
      </c>
      <c r="AH203" s="18">
        <v>0</v>
      </c>
      <c r="AI203" s="18">
        <v>0</v>
      </c>
      <c r="AJ203" s="18">
        <v>0</v>
      </c>
      <c r="AK203" s="18">
        <v>0</v>
      </c>
      <c r="AL203" s="18"/>
      <c r="AM203" s="18">
        <v>0</v>
      </c>
      <c r="AN203" s="18">
        <v>0</v>
      </c>
      <c r="AO203" s="18">
        <v>0</v>
      </c>
      <c r="AP203" s="18">
        <v>0</v>
      </c>
      <c r="AQ203" s="18">
        <v>0</v>
      </c>
      <c r="AR203" s="18">
        <v>0</v>
      </c>
      <c r="AS203" s="18">
        <v>0</v>
      </c>
      <c r="AT203" s="18">
        <v>0</v>
      </c>
      <c r="AU203" s="18">
        <v>0</v>
      </c>
      <c r="AV203" s="18">
        <v>0</v>
      </c>
      <c r="AW203" s="18">
        <v>0</v>
      </c>
      <c r="AX203" s="18"/>
      <c r="AY203" s="18">
        <v>1</v>
      </c>
      <c r="AZ203" s="18">
        <v>1</v>
      </c>
      <c r="BA203" s="18">
        <v>1</v>
      </c>
      <c r="BB203" s="18">
        <v>1</v>
      </c>
      <c r="BC203" s="18">
        <v>1</v>
      </c>
      <c r="BD203" s="18">
        <v>1</v>
      </c>
      <c r="BE203" s="18">
        <v>1</v>
      </c>
      <c r="BF203" s="18">
        <v>1</v>
      </c>
      <c r="BG203" s="18">
        <v>1</v>
      </c>
      <c r="BH203" s="18">
        <v>1</v>
      </c>
      <c r="BI203" s="18">
        <v>1</v>
      </c>
      <c r="BJ203" s="19"/>
      <c r="BK203" s="18">
        <v>3.75</v>
      </c>
      <c r="BL203" s="18">
        <v>0</v>
      </c>
      <c r="BM203" s="18">
        <v>0.17857142857142858</v>
      </c>
      <c r="BN203" s="18">
        <v>0</v>
      </c>
      <c r="BO203" s="18"/>
      <c r="BP203" s="18">
        <v>0</v>
      </c>
      <c r="BQ203" s="18">
        <v>0</v>
      </c>
      <c r="BR203" s="18">
        <v>1.5740135017421606</v>
      </c>
      <c r="BS203" s="18">
        <v>1.5085999536178107</v>
      </c>
      <c r="BT203" s="19"/>
      <c r="BU203" s="18">
        <v>998.21428571428567</v>
      </c>
      <c r="BV203" s="18">
        <v>964.08928571428567</v>
      </c>
      <c r="BW203" s="18">
        <v>0</v>
      </c>
      <c r="BX203" s="18" t="s">
        <v>217</v>
      </c>
      <c r="BY203" s="18" t="s">
        <v>217</v>
      </c>
      <c r="BZ203" s="18" t="s">
        <v>217</v>
      </c>
      <c r="CA203" s="18" t="s">
        <v>217</v>
      </c>
      <c r="CB203" s="19"/>
      <c r="CC203" s="19">
        <v>0</v>
      </c>
      <c r="CD203" s="19">
        <v>0</v>
      </c>
      <c r="CE203" s="19">
        <v>0</v>
      </c>
      <c r="CF203" s="19">
        <v>0</v>
      </c>
      <c r="CG203" s="19">
        <v>0</v>
      </c>
      <c r="CH203" s="19">
        <v>0</v>
      </c>
      <c r="CI203" s="19">
        <v>0</v>
      </c>
      <c r="CJ203" s="19"/>
      <c r="CK203" s="19">
        <v>0</v>
      </c>
      <c r="CL203" s="19">
        <v>0</v>
      </c>
      <c r="CM203" s="19">
        <v>0</v>
      </c>
      <c r="CN203" s="19">
        <v>0</v>
      </c>
      <c r="CO203" s="19">
        <v>0</v>
      </c>
      <c r="CP203" s="19">
        <v>0</v>
      </c>
      <c r="CQ203" s="19">
        <v>0</v>
      </c>
      <c r="CR203" s="19">
        <v>0</v>
      </c>
      <c r="CS203" s="19">
        <v>0</v>
      </c>
      <c r="CT203" s="19">
        <v>0</v>
      </c>
      <c r="CU203" s="19">
        <v>0</v>
      </c>
      <c r="CV203" s="19">
        <v>0</v>
      </c>
      <c r="CW203" s="19">
        <v>0</v>
      </c>
      <c r="CX203" s="19">
        <v>0</v>
      </c>
      <c r="CY203" s="19">
        <v>0</v>
      </c>
      <c r="CZ203" s="19">
        <v>0</v>
      </c>
      <c r="DA203" s="19">
        <v>0</v>
      </c>
      <c r="DB203" s="19">
        <v>0</v>
      </c>
      <c r="DC203" s="19">
        <v>0</v>
      </c>
      <c r="DD203" s="19">
        <v>0</v>
      </c>
      <c r="DE203" s="19">
        <v>0</v>
      </c>
      <c r="DF203" s="23">
        <v>11313131.313131301</v>
      </c>
      <c r="DG203" s="23">
        <v>0</v>
      </c>
      <c r="DH203" s="23">
        <v>0</v>
      </c>
      <c r="DI203" s="19">
        <v>0</v>
      </c>
      <c r="DJ203" s="19">
        <v>0</v>
      </c>
      <c r="DK203" s="19">
        <v>0</v>
      </c>
      <c r="DL203" s="19">
        <v>0</v>
      </c>
      <c r="DM203" s="19">
        <v>0</v>
      </c>
      <c r="DN203" s="19">
        <v>0</v>
      </c>
      <c r="DO203" s="19">
        <v>0</v>
      </c>
      <c r="DP203" s="19">
        <v>0</v>
      </c>
      <c r="DQ203" s="19">
        <v>0</v>
      </c>
      <c r="DR203" s="19">
        <v>0</v>
      </c>
      <c r="DS203" s="19">
        <v>0</v>
      </c>
      <c r="DT203" s="19">
        <v>0</v>
      </c>
      <c r="DU203" s="19">
        <v>0</v>
      </c>
      <c r="DV203" s="19">
        <v>0</v>
      </c>
      <c r="DW203" s="17" t="s">
        <v>218</v>
      </c>
      <c r="DX203" s="22" t="s">
        <v>218</v>
      </c>
      <c r="DY203" s="22" t="s">
        <v>218</v>
      </c>
      <c r="DZ203" s="22" t="s">
        <v>218</v>
      </c>
      <c r="EA203" s="22" t="s">
        <v>218</v>
      </c>
      <c r="EB203" s="22" t="s">
        <v>218</v>
      </c>
      <c r="EC203" s="22" t="s">
        <v>218</v>
      </c>
      <c r="ED203" s="22" t="s">
        <v>218</v>
      </c>
      <c r="EE203" s="22" t="s">
        <v>218</v>
      </c>
      <c r="EF203" s="22" t="s">
        <v>218</v>
      </c>
      <c r="EG203" s="22" t="s">
        <v>218</v>
      </c>
      <c r="EH203" s="22" t="s">
        <v>218</v>
      </c>
      <c r="EI203" s="22" t="s">
        <v>218</v>
      </c>
      <c r="EJ203" s="22" t="s">
        <v>218</v>
      </c>
      <c r="EK203" s="22" t="s">
        <v>218</v>
      </c>
      <c r="EL203" s="22" t="s">
        <v>218</v>
      </c>
      <c r="EM203" s="22" t="s">
        <v>218</v>
      </c>
      <c r="EN203" s="22" t="s">
        <v>218</v>
      </c>
      <c r="EO203" s="22" t="s">
        <v>218</v>
      </c>
      <c r="EP203" s="22" t="s">
        <v>218</v>
      </c>
      <c r="EQ203" s="22" t="s">
        <v>218</v>
      </c>
      <c r="ER203" s="22" t="s">
        <v>218</v>
      </c>
      <c r="ES203" s="22" t="s">
        <v>218</v>
      </c>
      <c r="ET203" s="22" t="s">
        <v>218</v>
      </c>
      <c r="EU203" s="22" t="s">
        <v>218</v>
      </c>
      <c r="EV203" s="22" t="s">
        <v>218</v>
      </c>
      <c r="EW203" s="22" t="s">
        <v>218</v>
      </c>
      <c r="EX203" s="22" t="s">
        <v>218</v>
      </c>
      <c r="EY203" s="22" t="s">
        <v>218</v>
      </c>
      <c r="EZ203" s="22" t="s">
        <v>218</v>
      </c>
      <c r="FA203" s="22" t="s">
        <v>218</v>
      </c>
      <c r="FB203" s="22" t="s">
        <v>218</v>
      </c>
      <c r="FC203" s="22" t="s">
        <v>218</v>
      </c>
      <c r="FD203" s="22" t="s">
        <v>218</v>
      </c>
      <c r="FE203" s="22" t="s">
        <v>218</v>
      </c>
      <c r="FF203" s="22" t="s">
        <v>218</v>
      </c>
      <c r="FG203" s="22" t="s">
        <v>218</v>
      </c>
      <c r="FH203" s="22" t="s">
        <v>218</v>
      </c>
      <c r="FI203" s="22" t="s">
        <v>218</v>
      </c>
      <c r="FJ203" s="22" t="s">
        <v>218</v>
      </c>
      <c r="FK203" s="22" t="s">
        <v>218</v>
      </c>
      <c r="FL203" s="22" t="s">
        <v>218</v>
      </c>
      <c r="FM203" s="22" t="s">
        <v>218</v>
      </c>
      <c r="FN203" s="22" t="s">
        <v>218</v>
      </c>
      <c r="FO203" s="22" t="s">
        <v>218</v>
      </c>
      <c r="FP203" s="22" t="s">
        <v>218</v>
      </c>
      <c r="FQ203" s="22" t="s">
        <v>218</v>
      </c>
      <c r="FR203" s="22" t="s">
        <v>218</v>
      </c>
      <c r="FS203" s="22" t="s">
        <v>218</v>
      </c>
      <c r="FT203" s="22" t="s">
        <v>218</v>
      </c>
      <c r="FU203" s="22" t="s">
        <v>218</v>
      </c>
      <c r="FV203" s="22" t="s">
        <v>218</v>
      </c>
      <c r="FW203" s="22" t="s">
        <v>218</v>
      </c>
      <c r="FX203" s="22" t="s">
        <v>218</v>
      </c>
      <c r="FY203" s="22" t="s">
        <v>218</v>
      </c>
      <c r="FZ203" s="22" t="s">
        <v>218</v>
      </c>
      <c r="GA203" s="22" t="s">
        <v>218</v>
      </c>
      <c r="GB203" s="22" t="s">
        <v>218</v>
      </c>
      <c r="GC203" s="22" t="s">
        <v>218</v>
      </c>
      <c r="GD203" s="22" t="s">
        <v>218</v>
      </c>
      <c r="GE203" s="22" t="s">
        <v>218</v>
      </c>
      <c r="GF203" s="22" t="s">
        <v>218</v>
      </c>
      <c r="GG203" s="22" t="s">
        <v>218</v>
      </c>
      <c r="GH203" s="22" t="s">
        <v>218</v>
      </c>
      <c r="GI203" s="22" t="s">
        <v>218</v>
      </c>
      <c r="GJ203" s="22" t="s">
        <v>218</v>
      </c>
      <c r="GK203" s="22" t="s">
        <v>218</v>
      </c>
      <c r="GL203" s="22" t="s">
        <v>218</v>
      </c>
      <c r="GM203" s="22" t="s">
        <v>218</v>
      </c>
      <c r="GN203" s="22" t="s">
        <v>218</v>
      </c>
      <c r="GO203" s="22" t="s">
        <v>218</v>
      </c>
      <c r="GP203" s="22" t="s">
        <v>218</v>
      </c>
      <c r="GQ203" s="22" t="s">
        <v>218</v>
      </c>
      <c r="GR203" s="22" t="s">
        <v>218</v>
      </c>
      <c r="GS203" s="22" t="s">
        <v>218</v>
      </c>
      <c r="GT203" s="22" t="s">
        <v>218</v>
      </c>
      <c r="GU203" s="22" t="s">
        <v>218</v>
      </c>
      <c r="GV203" s="22" t="s">
        <v>218</v>
      </c>
      <c r="GW203" s="22" t="s">
        <v>218</v>
      </c>
      <c r="GX203" s="22" t="s">
        <v>218</v>
      </c>
      <c r="GY203" s="22" t="s">
        <v>218</v>
      </c>
      <c r="GZ203" s="22" t="s">
        <v>218</v>
      </c>
      <c r="HA203" s="22" t="s">
        <v>218</v>
      </c>
      <c r="HB203" s="22" t="s">
        <v>218</v>
      </c>
      <c r="HC203" s="22" t="s">
        <v>218</v>
      </c>
      <c r="HD203" s="22" t="s">
        <v>218</v>
      </c>
      <c r="HE203" s="22" t="s">
        <v>218</v>
      </c>
      <c r="HF203" s="22" t="s">
        <v>218</v>
      </c>
      <c r="HG203" s="22" t="s">
        <v>218</v>
      </c>
      <c r="HH203" s="22" t="s">
        <v>218</v>
      </c>
      <c r="HI203" s="22" t="s">
        <v>218</v>
      </c>
      <c r="HJ203" s="22" t="s">
        <v>218</v>
      </c>
      <c r="HK203" s="22" t="s">
        <v>218</v>
      </c>
      <c r="HL203" s="22" t="s">
        <v>218</v>
      </c>
      <c r="HM203" s="860"/>
      <c r="HN203" s="860"/>
      <c r="HO203" s="860"/>
      <c r="HP203" s="860"/>
      <c r="HQ203" s="860"/>
      <c r="HR203" s="860"/>
      <c r="HS203" s="860"/>
      <c r="HT203" s="145"/>
      <c r="HU203" s="145" t="s">
        <v>1809</v>
      </c>
      <c r="HV203" s="22" t="s">
        <v>1926</v>
      </c>
      <c r="HW203" s="22">
        <v>0</v>
      </c>
      <c r="HX203" s="22">
        <v>0</v>
      </c>
      <c r="HY203" s="22">
        <v>0</v>
      </c>
      <c r="HZ203" s="19"/>
      <c r="IA203" s="19"/>
      <c r="IB203" s="621">
        <f>'background data'!$G$10</f>
        <v>0.47300000000000003</v>
      </c>
      <c r="IC203" s="621">
        <f>'background data'!$H$10</f>
        <v>0.13</v>
      </c>
      <c r="ID203" s="621">
        <f>'background data'!$J$10</f>
        <v>0.39100000000000001</v>
      </c>
      <c r="IE203" s="621">
        <f>'background data'!$L$10</f>
        <v>5.5E-2</v>
      </c>
      <c r="IF203" s="621">
        <f>'background data'!$M$10</f>
        <v>3.97</v>
      </c>
      <c r="IG203" s="621">
        <f>'background data'!$N$10</f>
        <v>4.5999999999999999E-3</v>
      </c>
      <c r="IH203" s="621">
        <f>'background data'!$O$10</f>
        <v>2.73</v>
      </c>
      <c r="II203" s="145"/>
      <c r="IJ203" s="145"/>
      <c r="IK203" s="145"/>
      <c r="IL203" s="145"/>
      <c r="IM203" s="145"/>
      <c r="IN203" s="145"/>
      <c r="IO203" s="145"/>
      <c r="IP203" s="145"/>
      <c r="IQ203" s="145"/>
      <c r="IR203" s="145"/>
      <c r="IS203" s="145"/>
      <c r="IT203" s="145"/>
      <c r="IU203" s="145"/>
      <c r="IV203" s="145"/>
      <c r="IW203" s="145"/>
      <c r="IX203" s="145"/>
      <c r="IY203" s="145"/>
      <c r="IZ203" s="145"/>
      <c r="JA203" s="145"/>
      <c r="JB203" s="145"/>
      <c r="JC203" s="145"/>
      <c r="JD203" s="145"/>
      <c r="JE203" s="145"/>
      <c r="JF203" s="145"/>
      <c r="JG203" s="145"/>
      <c r="JH203" s="145"/>
      <c r="JI203" s="145"/>
      <c r="JJ203" s="145"/>
      <c r="JK203" s="145"/>
      <c r="JL203" s="145"/>
      <c r="JM203" s="145"/>
      <c r="JN203" s="145"/>
      <c r="JO203" s="145"/>
      <c r="JP203" s="145"/>
      <c r="JQ203" s="145"/>
      <c r="JR203" s="145"/>
      <c r="JS203" s="145"/>
      <c r="JT203" s="145"/>
      <c r="JU203" s="145"/>
      <c r="JV203" s="145"/>
      <c r="JW203" s="145"/>
      <c r="JX203" s="145"/>
      <c r="JY203" s="145"/>
      <c r="JZ203" s="145"/>
      <c r="KA203" s="145"/>
      <c r="KB203" s="145"/>
      <c r="KC203" s="145"/>
      <c r="KD203" s="145"/>
      <c r="KE203" s="145"/>
      <c r="KF203" s="145"/>
      <c r="KG203" s="145"/>
      <c r="KH203" s="145"/>
      <c r="KI203" s="145"/>
      <c r="KJ203" s="145"/>
      <c r="KK203" s="145"/>
      <c r="KL203" s="145"/>
      <c r="KM203" s="145"/>
      <c r="KN203" s="145"/>
      <c r="KO203" s="145"/>
      <c r="KP203" s="145"/>
      <c r="KQ203" s="145"/>
      <c r="KR203" s="145"/>
      <c r="KS203" s="145"/>
      <c r="KT203" s="145"/>
      <c r="KU203" s="145"/>
      <c r="KV203" s="145"/>
      <c r="KW203" s="145"/>
      <c r="KX203" s="145"/>
      <c r="KY203" s="145"/>
      <c r="KZ203" s="145"/>
      <c r="LA203" s="145"/>
      <c r="LB203" s="145"/>
      <c r="LC203" s="145"/>
      <c r="LD203" s="145"/>
      <c r="LE203" s="145"/>
      <c r="LF203" s="145"/>
      <c r="LG203" s="145"/>
      <c r="LH203" s="145"/>
      <c r="LI203" s="145"/>
      <c r="LJ203" s="145"/>
      <c r="LK203" s="145"/>
      <c r="LL203" s="145"/>
      <c r="LM203" s="145"/>
      <c r="LN203" s="145"/>
      <c r="LO203" s="145"/>
      <c r="LP203" s="145"/>
      <c r="LQ203" s="145"/>
      <c r="LR203" s="145"/>
      <c r="LS203" s="145"/>
      <c r="LT203" s="145"/>
      <c r="LU203" s="145"/>
      <c r="LV203" s="145"/>
      <c r="LW203" s="145"/>
      <c r="LX203" s="145"/>
      <c r="LY203" s="145"/>
      <c r="LZ203" s="145"/>
      <c r="MA203" s="145"/>
      <c r="MB203" s="145"/>
      <c r="MC203" s="145"/>
      <c r="MD203" s="145"/>
      <c r="ME203" s="145"/>
      <c r="MF203" s="145"/>
      <c r="MG203" s="145"/>
      <c r="MH203" s="145"/>
      <c r="MI203" s="145"/>
      <c r="MJ203" s="145"/>
      <c r="MK203" s="145"/>
      <c r="ML203" s="145"/>
      <c r="MM203" s="145"/>
      <c r="MN203" s="145"/>
      <c r="MO203" s="145"/>
      <c r="MP203" s="145"/>
      <c r="MQ203" s="145"/>
      <c r="MR203" s="145"/>
      <c r="MS203" s="145"/>
      <c r="MT203" s="145"/>
      <c r="MU203" s="145"/>
      <c r="MV203" s="145"/>
      <c r="MW203" s="145"/>
      <c r="MX203" s="145"/>
      <c r="MY203" s="145"/>
      <c r="MZ203" s="145"/>
      <c r="NA203" s="145"/>
      <c r="NB203" s="145"/>
      <c r="NC203" s="145"/>
      <c r="ND203" s="145"/>
      <c r="NE203" s="145"/>
      <c r="NF203" s="145"/>
      <c r="NG203" s="145"/>
      <c r="NH203" s="145"/>
      <c r="NI203" s="145"/>
      <c r="NJ203" s="145"/>
      <c r="NK203" s="145"/>
      <c r="NL203" s="145"/>
      <c r="NM203" s="145"/>
      <c r="NN203" s="145"/>
      <c r="NO203" s="145"/>
      <c r="NP203" s="145"/>
      <c r="NQ203" s="145"/>
      <c r="NR203" s="145"/>
      <c r="NS203" s="145"/>
    </row>
    <row r="204" spans="1:383" s="16" customFormat="1" ht="15" customHeight="1" x14ac:dyDescent="0.2">
      <c r="A204" s="15">
        <v>95300</v>
      </c>
      <c r="B204" s="25">
        <v>953</v>
      </c>
      <c r="C204" s="26">
        <v>0</v>
      </c>
      <c r="D204" s="20" t="s">
        <v>601</v>
      </c>
      <c r="E204" s="14">
        <v>40310</v>
      </c>
      <c r="F204" s="18">
        <v>0.43457073170731803</v>
      </c>
      <c r="G204" s="18">
        <v>0.41651064935065002</v>
      </c>
      <c r="H204" s="21">
        <v>100</v>
      </c>
      <c r="I204" s="21">
        <v>100</v>
      </c>
      <c r="J204" s="21">
        <v>100</v>
      </c>
      <c r="K204" s="18">
        <v>1</v>
      </c>
      <c r="L204" s="18">
        <v>99.5</v>
      </c>
      <c r="M204" s="18">
        <v>1.4</v>
      </c>
      <c r="N204" s="18">
        <v>7.4</v>
      </c>
      <c r="O204" s="18">
        <v>77.099999999999994</v>
      </c>
      <c r="P204" s="18">
        <v>0</v>
      </c>
      <c r="Q204" s="19"/>
      <c r="R204" s="18">
        <v>0</v>
      </c>
      <c r="S204" s="18">
        <v>0</v>
      </c>
      <c r="T204" s="18">
        <v>0</v>
      </c>
      <c r="U204" s="18">
        <v>0</v>
      </c>
      <c r="V204" s="18">
        <v>0</v>
      </c>
      <c r="W204" s="18">
        <v>0</v>
      </c>
      <c r="X204" s="18"/>
      <c r="Y204" s="18">
        <v>0</v>
      </c>
      <c r="Z204" s="18">
        <v>0</v>
      </c>
      <c r="AA204" s="18">
        <v>0</v>
      </c>
      <c r="AB204" s="18">
        <v>0</v>
      </c>
      <c r="AC204" s="18">
        <v>0</v>
      </c>
      <c r="AD204" s="18">
        <v>0</v>
      </c>
      <c r="AE204" s="18">
        <v>0</v>
      </c>
      <c r="AF204" s="18">
        <v>0</v>
      </c>
      <c r="AG204" s="18">
        <v>0</v>
      </c>
      <c r="AH204" s="18">
        <v>0</v>
      </c>
      <c r="AI204" s="18">
        <v>0</v>
      </c>
      <c r="AJ204" s="18">
        <v>0</v>
      </c>
      <c r="AK204" s="18">
        <v>0</v>
      </c>
      <c r="AL204" s="18"/>
      <c r="AM204" s="18">
        <v>0</v>
      </c>
      <c r="AN204" s="18">
        <v>0</v>
      </c>
      <c r="AO204" s="18">
        <v>0</v>
      </c>
      <c r="AP204" s="18">
        <v>0</v>
      </c>
      <c r="AQ204" s="18">
        <v>0</v>
      </c>
      <c r="AR204" s="18">
        <v>0</v>
      </c>
      <c r="AS204" s="18">
        <v>0</v>
      </c>
      <c r="AT204" s="18">
        <v>0</v>
      </c>
      <c r="AU204" s="18">
        <v>0</v>
      </c>
      <c r="AV204" s="18">
        <v>0</v>
      </c>
      <c r="AW204" s="18">
        <v>0</v>
      </c>
      <c r="AX204" s="18"/>
      <c r="AY204" s="18">
        <v>1</v>
      </c>
      <c r="AZ204" s="18">
        <v>1</v>
      </c>
      <c r="BA204" s="18">
        <v>1</v>
      </c>
      <c r="BB204" s="18">
        <v>1</v>
      </c>
      <c r="BC204" s="18">
        <v>1</v>
      </c>
      <c r="BD204" s="18">
        <v>1</v>
      </c>
      <c r="BE204" s="18">
        <v>1</v>
      </c>
      <c r="BF204" s="18">
        <v>1</v>
      </c>
      <c r="BG204" s="18">
        <v>1</v>
      </c>
      <c r="BH204" s="18">
        <v>1</v>
      </c>
      <c r="BI204" s="18">
        <v>1</v>
      </c>
      <c r="BJ204" s="19"/>
      <c r="BK204" s="18">
        <v>1.4070351758793969</v>
      </c>
      <c r="BL204" s="18">
        <v>7.4371859296482414</v>
      </c>
      <c r="BM204" s="18">
        <v>77.487437185929636</v>
      </c>
      <c r="BN204" s="18">
        <v>0</v>
      </c>
      <c r="BO204" s="18"/>
      <c r="BP204" s="18">
        <v>0</v>
      </c>
      <c r="BQ204" s="18">
        <v>0</v>
      </c>
      <c r="BR204" s="18">
        <v>0.43675450422846035</v>
      </c>
      <c r="BS204" s="18">
        <v>0.41860366768909552</v>
      </c>
      <c r="BT204" s="19"/>
      <c r="BU204" s="18">
        <v>225.12562814070353</v>
      </c>
      <c r="BV204" s="18">
        <v>140.18090452261305</v>
      </c>
      <c r="BW204" s="18">
        <v>0</v>
      </c>
      <c r="BX204" s="18" t="s">
        <v>217</v>
      </c>
      <c r="BY204" s="18" t="s">
        <v>217</v>
      </c>
      <c r="BZ204" s="18" t="s">
        <v>217</v>
      </c>
      <c r="CA204" s="18" t="s">
        <v>217</v>
      </c>
      <c r="CB204" s="19"/>
      <c r="CC204" s="19">
        <v>0</v>
      </c>
      <c r="CD204" s="19">
        <v>0</v>
      </c>
      <c r="CE204" s="19">
        <v>0</v>
      </c>
      <c r="CF204" s="19">
        <v>0</v>
      </c>
      <c r="CG204" s="19">
        <v>0</v>
      </c>
      <c r="CH204" s="19">
        <v>0</v>
      </c>
      <c r="CI204" s="19">
        <v>0</v>
      </c>
      <c r="CJ204" s="19"/>
      <c r="CK204" s="19">
        <v>0</v>
      </c>
      <c r="CL204" s="19">
        <v>0</v>
      </c>
      <c r="CM204" s="19">
        <v>0</v>
      </c>
      <c r="CN204" s="19">
        <v>0</v>
      </c>
      <c r="CO204" s="19">
        <v>0</v>
      </c>
      <c r="CP204" s="19">
        <v>0</v>
      </c>
      <c r="CQ204" s="19">
        <v>0</v>
      </c>
      <c r="CR204" s="19">
        <v>0</v>
      </c>
      <c r="CS204" s="19">
        <v>0</v>
      </c>
      <c r="CT204" s="19">
        <v>0</v>
      </c>
      <c r="CU204" s="19">
        <v>0</v>
      </c>
      <c r="CV204" s="19">
        <v>0</v>
      </c>
      <c r="CW204" s="19">
        <v>0</v>
      </c>
      <c r="CX204" s="19">
        <v>0</v>
      </c>
      <c r="CY204" s="19">
        <v>0</v>
      </c>
      <c r="CZ204" s="19">
        <v>0</v>
      </c>
      <c r="DA204" s="19">
        <v>0</v>
      </c>
      <c r="DB204" s="19">
        <v>0</v>
      </c>
      <c r="DC204" s="19">
        <v>0</v>
      </c>
      <c r="DD204" s="19">
        <v>0</v>
      </c>
      <c r="DE204" s="19">
        <v>0</v>
      </c>
      <c r="DF204" s="23">
        <v>10050505.0505051</v>
      </c>
      <c r="DG204" s="23">
        <v>0</v>
      </c>
      <c r="DH204" s="23">
        <v>0</v>
      </c>
      <c r="DI204" s="19">
        <v>0</v>
      </c>
      <c r="DJ204" s="19">
        <v>0</v>
      </c>
      <c r="DK204" s="19">
        <v>0</v>
      </c>
      <c r="DL204" s="19">
        <v>0</v>
      </c>
      <c r="DM204" s="19">
        <v>0</v>
      </c>
      <c r="DN204" s="19">
        <v>0</v>
      </c>
      <c r="DO204" s="19">
        <v>0</v>
      </c>
      <c r="DP204" s="19">
        <v>0</v>
      </c>
      <c r="DQ204" s="19">
        <v>0</v>
      </c>
      <c r="DR204" s="19">
        <v>0</v>
      </c>
      <c r="DS204" s="19">
        <v>0</v>
      </c>
      <c r="DT204" s="19">
        <v>0</v>
      </c>
      <c r="DU204" s="19">
        <v>0</v>
      </c>
      <c r="DV204" s="19">
        <v>0</v>
      </c>
      <c r="DW204" s="17" t="s">
        <v>218</v>
      </c>
      <c r="DX204" s="22" t="s">
        <v>218</v>
      </c>
      <c r="DY204" s="22" t="s">
        <v>218</v>
      </c>
      <c r="DZ204" s="22" t="s">
        <v>218</v>
      </c>
      <c r="EA204" s="22" t="s">
        <v>218</v>
      </c>
      <c r="EB204" s="22" t="s">
        <v>218</v>
      </c>
      <c r="EC204" s="22" t="s">
        <v>218</v>
      </c>
      <c r="ED204" s="22" t="s">
        <v>218</v>
      </c>
      <c r="EE204" s="22" t="s">
        <v>218</v>
      </c>
      <c r="EF204" s="22" t="s">
        <v>218</v>
      </c>
      <c r="EG204" s="22" t="s">
        <v>218</v>
      </c>
      <c r="EH204" s="22" t="s">
        <v>218</v>
      </c>
      <c r="EI204" s="22" t="s">
        <v>218</v>
      </c>
      <c r="EJ204" s="22" t="s">
        <v>218</v>
      </c>
      <c r="EK204" s="22" t="s">
        <v>218</v>
      </c>
      <c r="EL204" s="22" t="s">
        <v>218</v>
      </c>
      <c r="EM204" s="22" t="s">
        <v>218</v>
      </c>
      <c r="EN204" s="22" t="s">
        <v>218</v>
      </c>
      <c r="EO204" s="22" t="s">
        <v>218</v>
      </c>
      <c r="EP204" s="22" t="s">
        <v>218</v>
      </c>
      <c r="EQ204" s="22" t="s">
        <v>218</v>
      </c>
      <c r="ER204" s="22" t="s">
        <v>218</v>
      </c>
      <c r="ES204" s="22" t="s">
        <v>218</v>
      </c>
      <c r="ET204" s="22" t="s">
        <v>218</v>
      </c>
      <c r="EU204" s="22" t="s">
        <v>218</v>
      </c>
      <c r="EV204" s="22" t="s">
        <v>218</v>
      </c>
      <c r="EW204" s="22" t="s">
        <v>218</v>
      </c>
      <c r="EX204" s="22" t="s">
        <v>218</v>
      </c>
      <c r="EY204" s="22" t="s">
        <v>218</v>
      </c>
      <c r="EZ204" s="22" t="s">
        <v>218</v>
      </c>
      <c r="FA204" s="22" t="s">
        <v>218</v>
      </c>
      <c r="FB204" s="22" t="s">
        <v>218</v>
      </c>
      <c r="FC204" s="22" t="s">
        <v>218</v>
      </c>
      <c r="FD204" s="22" t="s">
        <v>218</v>
      </c>
      <c r="FE204" s="22" t="s">
        <v>218</v>
      </c>
      <c r="FF204" s="22" t="s">
        <v>218</v>
      </c>
      <c r="FG204" s="22" t="s">
        <v>218</v>
      </c>
      <c r="FH204" s="22" t="s">
        <v>218</v>
      </c>
      <c r="FI204" s="22" t="s">
        <v>218</v>
      </c>
      <c r="FJ204" s="22" t="s">
        <v>218</v>
      </c>
      <c r="FK204" s="22" t="s">
        <v>218</v>
      </c>
      <c r="FL204" s="22" t="s">
        <v>218</v>
      </c>
      <c r="FM204" s="22" t="s">
        <v>218</v>
      </c>
      <c r="FN204" s="22" t="s">
        <v>218</v>
      </c>
      <c r="FO204" s="22" t="s">
        <v>218</v>
      </c>
      <c r="FP204" s="22" t="s">
        <v>218</v>
      </c>
      <c r="FQ204" s="22" t="s">
        <v>218</v>
      </c>
      <c r="FR204" s="22" t="s">
        <v>218</v>
      </c>
      <c r="FS204" s="22" t="s">
        <v>218</v>
      </c>
      <c r="FT204" s="22" t="s">
        <v>218</v>
      </c>
      <c r="FU204" s="22" t="s">
        <v>218</v>
      </c>
      <c r="FV204" s="22" t="s">
        <v>218</v>
      </c>
      <c r="FW204" s="22" t="s">
        <v>218</v>
      </c>
      <c r="FX204" s="22" t="s">
        <v>218</v>
      </c>
      <c r="FY204" s="22" t="s">
        <v>218</v>
      </c>
      <c r="FZ204" s="22" t="s">
        <v>218</v>
      </c>
      <c r="GA204" s="22" t="s">
        <v>218</v>
      </c>
      <c r="GB204" s="22" t="s">
        <v>218</v>
      </c>
      <c r="GC204" s="22" t="s">
        <v>218</v>
      </c>
      <c r="GD204" s="22" t="s">
        <v>218</v>
      </c>
      <c r="GE204" s="22" t="s">
        <v>218</v>
      </c>
      <c r="GF204" s="22" t="s">
        <v>218</v>
      </c>
      <c r="GG204" s="22" t="s">
        <v>218</v>
      </c>
      <c r="GH204" s="22" t="s">
        <v>218</v>
      </c>
      <c r="GI204" s="22" t="s">
        <v>218</v>
      </c>
      <c r="GJ204" s="22" t="s">
        <v>218</v>
      </c>
      <c r="GK204" s="22" t="s">
        <v>218</v>
      </c>
      <c r="GL204" s="22" t="s">
        <v>218</v>
      </c>
      <c r="GM204" s="22" t="s">
        <v>218</v>
      </c>
      <c r="GN204" s="22" t="s">
        <v>218</v>
      </c>
      <c r="GO204" s="22" t="s">
        <v>218</v>
      </c>
      <c r="GP204" s="22" t="s">
        <v>218</v>
      </c>
      <c r="GQ204" s="22" t="s">
        <v>218</v>
      </c>
      <c r="GR204" s="22" t="s">
        <v>218</v>
      </c>
      <c r="GS204" s="22" t="s">
        <v>218</v>
      </c>
      <c r="GT204" s="22" t="s">
        <v>218</v>
      </c>
      <c r="GU204" s="22" t="s">
        <v>218</v>
      </c>
      <c r="GV204" s="22" t="s">
        <v>218</v>
      </c>
      <c r="GW204" s="22" t="s">
        <v>218</v>
      </c>
      <c r="GX204" s="22" t="s">
        <v>218</v>
      </c>
      <c r="GY204" s="22" t="s">
        <v>218</v>
      </c>
      <c r="GZ204" s="22" t="s">
        <v>218</v>
      </c>
      <c r="HA204" s="22" t="s">
        <v>218</v>
      </c>
      <c r="HB204" s="22" t="s">
        <v>218</v>
      </c>
      <c r="HC204" s="22" t="s">
        <v>218</v>
      </c>
      <c r="HD204" s="22" t="s">
        <v>218</v>
      </c>
      <c r="HE204" s="22" t="s">
        <v>218</v>
      </c>
      <c r="HF204" s="22" t="s">
        <v>218</v>
      </c>
      <c r="HG204" s="22" t="s">
        <v>218</v>
      </c>
      <c r="HH204" s="22" t="s">
        <v>218</v>
      </c>
      <c r="HI204" s="22" t="s">
        <v>218</v>
      </c>
      <c r="HJ204" s="22" t="s">
        <v>218</v>
      </c>
      <c r="HK204" s="22" t="s">
        <v>218</v>
      </c>
      <c r="HL204" s="22" t="s">
        <v>218</v>
      </c>
      <c r="HM204" s="860"/>
      <c r="HN204" s="860"/>
      <c r="HO204" s="860"/>
      <c r="HP204" s="860"/>
      <c r="HQ204" s="860"/>
      <c r="HR204" s="860"/>
      <c r="HS204" s="860"/>
      <c r="HT204" s="145"/>
      <c r="HU204" s="145" t="s">
        <v>1809</v>
      </c>
      <c r="HV204" s="22" t="s">
        <v>1926</v>
      </c>
      <c r="HW204" s="22">
        <v>0</v>
      </c>
      <c r="HX204" s="22">
        <v>0</v>
      </c>
      <c r="HY204" s="22">
        <v>0</v>
      </c>
      <c r="HZ204" s="19"/>
      <c r="IA204" s="19"/>
      <c r="IB204" s="621">
        <f>'background data'!$G$10</f>
        <v>0.47300000000000003</v>
      </c>
      <c r="IC204" s="621">
        <f>'background data'!$H$10</f>
        <v>0.13</v>
      </c>
      <c r="ID204" s="621">
        <f>'background data'!$J$10</f>
        <v>0.39100000000000001</v>
      </c>
      <c r="IE204" s="621">
        <f>'background data'!$L$10</f>
        <v>5.5E-2</v>
      </c>
      <c r="IF204" s="621">
        <f>'background data'!$M$10</f>
        <v>3.97</v>
      </c>
      <c r="IG204" s="621">
        <f>'background data'!$N$10</f>
        <v>4.5999999999999999E-3</v>
      </c>
      <c r="IH204" s="621">
        <f>'background data'!$O$10</f>
        <v>2.73</v>
      </c>
      <c r="II204" s="145"/>
      <c r="IJ204" s="145"/>
      <c r="IK204" s="145"/>
      <c r="IL204" s="145"/>
      <c r="IM204" s="145"/>
      <c r="IN204" s="145"/>
      <c r="IO204" s="145"/>
      <c r="IP204" s="145"/>
      <c r="IQ204" s="145"/>
      <c r="IR204" s="145"/>
      <c r="IS204" s="145"/>
      <c r="IT204" s="145"/>
      <c r="IU204" s="145"/>
      <c r="IV204" s="145"/>
      <c r="IW204" s="145"/>
      <c r="IX204" s="145"/>
      <c r="IY204" s="145"/>
      <c r="IZ204" s="145"/>
      <c r="JA204" s="145"/>
      <c r="JB204" s="145"/>
      <c r="JC204" s="145"/>
      <c r="JD204" s="145"/>
      <c r="JE204" s="145"/>
      <c r="JF204" s="145"/>
      <c r="JG204" s="145"/>
      <c r="JH204" s="145"/>
      <c r="JI204" s="145"/>
      <c r="JJ204" s="145"/>
      <c r="JK204" s="145"/>
      <c r="JL204" s="145"/>
      <c r="JM204" s="145"/>
      <c r="JN204" s="145"/>
      <c r="JO204" s="145"/>
      <c r="JP204" s="145"/>
      <c r="JQ204" s="145"/>
      <c r="JR204" s="145"/>
      <c r="JS204" s="145"/>
      <c r="JT204" s="145"/>
      <c r="JU204" s="145"/>
      <c r="JV204" s="145"/>
      <c r="JW204" s="145"/>
      <c r="JX204" s="145"/>
      <c r="JY204" s="145"/>
      <c r="JZ204" s="145"/>
      <c r="KA204" s="145"/>
      <c r="KB204" s="145"/>
      <c r="KC204" s="145"/>
      <c r="KD204" s="145"/>
      <c r="KE204" s="145"/>
      <c r="KF204" s="145"/>
      <c r="KG204" s="145"/>
      <c r="KH204" s="145"/>
      <c r="KI204" s="145"/>
      <c r="KJ204" s="145"/>
      <c r="KK204" s="145"/>
      <c r="KL204" s="145"/>
      <c r="KM204" s="145"/>
      <c r="KN204" s="145"/>
      <c r="KO204" s="145"/>
      <c r="KP204" s="145"/>
      <c r="KQ204" s="145"/>
      <c r="KR204" s="145"/>
      <c r="KS204" s="145"/>
      <c r="KT204" s="145"/>
      <c r="KU204" s="145"/>
      <c r="KV204" s="145"/>
      <c r="KW204" s="145"/>
      <c r="KX204" s="145"/>
      <c r="KY204" s="145"/>
      <c r="KZ204" s="145"/>
      <c r="LA204" s="145"/>
      <c r="LB204" s="145"/>
      <c r="LC204" s="145"/>
      <c r="LD204" s="145"/>
      <c r="LE204" s="145"/>
      <c r="LF204" s="145"/>
      <c r="LG204" s="145"/>
      <c r="LH204" s="145"/>
      <c r="LI204" s="145"/>
      <c r="LJ204" s="145"/>
      <c r="LK204" s="145"/>
      <c r="LL204" s="145"/>
      <c r="LM204" s="145"/>
      <c r="LN204" s="145"/>
      <c r="LO204" s="145"/>
      <c r="LP204" s="145"/>
      <c r="LQ204" s="145"/>
      <c r="LR204" s="145"/>
      <c r="LS204" s="145"/>
      <c r="LT204" s="145"/>
      <c r="LU204" s="145"/>
      <c r="LV204" s="145"/>
      <c r="LW204" s="145"/>
      <c r="LX204" s="145"/>
      <c r="LY204" s="145"/>
      <c r="LZ204" s="145"/>
      <c r="MA204" s="145"/>
      <c r="MB204" s="145"/>
      <c r="MC204" s="145"/>
      <c r="MD204" s="145"/>
      <c r="ME204" s="145"/>
      <c r="MF204" s="145"/>
      <c r="MG204" s="145"/>
      <c r="MH204" s="145"/>
      <c r="MI204" s="145"/>
      <c r="MJ204" s="145"/>
      <c r="MK204" s="145"/>
      <c r="ML204" s="145"/>
      <c r="MM204" s="145"/>
      <c r="MN204" s="145"/>
      <c r="MO204" s="145"/>
      <c r="MP204" s="145"/>
      <c r="MQ204" s="145"/>
      <c r="MR204" s="145"/>
      <c r="MS204" s="145"/>
      <c r="MT204" s="145"/>
      <c r="MU204" s="145"/>
      <c r="MV204" s="145"/>
      <c r="MW204" s="145"/>
      <c r="MX204" s="145"/>
      <c r="MY204" s="145"/>
      <c r="MZ204" s="145"/>
      <c r="NA204" s="145"/>
      <c r="NB204" s="145"/>
      <c r="NC204" s="145"/>
      <c r="ND204" s="145"/>
      <c r="NE204" s="145"/>
      <c r="NF204" s="145"/>
      <c r="NG204" s="145"/>
      <c r="NH204" s="145"/>
      <c r="NI204" s="145"/>
      <c r="NJ204" s="145"/>
      <c r="NK204" s="145"/>
      <c r="NL204" s="145"/>
      <c r="NM204" s="145"/>
      <c r="NN204" s="145"/>
      <c r="NO204" s="145"/>
      <c r="NP204" s="145"/>
      <c r="NQ204" s="145"/>
      <c r="NR204" s="145"/>
      <c r="NS204" s="145"/>
    </row>
    <row r="205" spans="1:383" s="16" customFormat="1" ht="15" customHeight="1" x14ac:dyDescent="0.2">
      <c r="A205" s="15">
        <v>95110</v>
      </c>
      <c r="B205" s="25">
        <v>951</v>
      </c>
      <c r="C205" s="26">
        <v>10</v>
      </c>
      <c r="D205" s="20" t="s">
        <v>602</v>
      </c>
      <c r="E205" s="14">
        <v>40310</v>
      </c>
      <c r="F205" s="18">
        <v>1.45860433604336</v>
      </c>
      <c r="G205" s="18">
        <v>1.39798701298702</v>
      </c>
      <c r="H205" s="21">
        <v>100</v>
      </c>
      <c r="I205" s="21">
        <v>100</v>
      </c>
      <c r="J205" s="21">
        <v>100</v>
      </c>
      <c r="K205" s="18">
        <v>1</v>
      </c>
      <c r="L205" s="18">
        <v>99</v>
      </c>
      <c r="M205" s="18">
        <v>50</v>
      </c>
      <c r="N205" s="18">
        <v>0</v>
      </c>
      <c r="O205" s="18">
        <v>0</v>
      </c>
      <c r="P205" s="18">
        <v>0</v>
      </c>
      <c r="Q205" s="19"/>
      <c r="R205" s="18">
        <v>0</v>
      </c>
      <c r="S205" s="18">
        <v>0</v>
      </c>
      <c r="T205" s="18">
        <v>0</v>
      </c>
      <c r="U205" s="18">
        <v>0</v>
      </c>
      <c r="V205" s="18">
        <v>0</v>
      </c>
      <c r="W205" s="18">
        <v>0</v>
      </c>
      <c r="X205" s="18"/>
      <c r="Y205" s="18">
        <v>0</v>
      </c>
      <c r="Z205" s="18">
        <v>0</v>
      </c>
      <c r="AA205" s="18">
        <v>0</v>
      </c>
      <c r="AB205" s="18">
        <v>0</v>
      </c>
      <c r="AC205" s="18">
        <v>0</v>
      </c>
      <c r="AD205" s="18">
        <v>0</v>
      </c>
      <c r="AE205" s="18">
        <v>0</v>
      </c>
      <c r="AF205" s="18">
        <v>0</v>
      </c>
      <c r="AG205" s="18">
        <v>0</v>
      </c>
      <c r="AH205" s="18">
        <v>0</v>
      </c>
      <c r="AI205" s="18">
        <v>0</v>
      </c>
      <c r="AJ205" s="18">
        <v>0</v>
      </c>
      <c r="AK205" s="18">
        <v>0</v>
      </c>
      <c r="AL205" s="18"/>
      <c r="AM205" s="18">
        <v>0</v>
      </c>
      <c r="AN205" s="18">
        <v>0</v>
      </c>
      <c r="AO205" s="18">
        <v>0</v>
      </c>
      <c r="AP205" s="18">
        <v>0</v>
      </c>
      <c r="AQ205" s="18">
        <v>0</v>
      </c>
      <c r="AR205" s="18">
        <v>0</v>
      </c>
      <c r="AS205" s="18">
        <v>0</v>
      </c>
      <c r="AT205" s="18">
        <v>0</v>
      </c>
      <c r="AU205" s="18">
        <v>0</v>
      </c>
      <c r="AV205" s="18">
        <v>0</v>
      </c>
      <c r="AW205" s="18">
        <v>0</v>
      </c>
      <c r="AX205" s="18"/>
      <c r="AY205" s="18">
        <v>1</v>
      </c>
      <c r="AZ205" s="18">
        <v>1</v>
      </c>
      <c r="BA205" s="18">
        <v>1</v>
      </c>
      <c r="BB205" s="18">
        <v>1</v>
      </c>
      <c r="BC205" s="18">
        <v>1</v>
      </c>
      <c r="BD205" s="18">
        <v>1</v>
      </c>
      <c r="BE205" s="18">
        <v>1</v>
      </c>
      <c r="BF205" s="18">
        <v>1</v>
      </c>
      <c r="BG205" s="18">
        <v>1</v>
      </c>
      <c r="BH205" s="18">
        <v>1</v>
      </c>
      <c r="BI205" s="18">
        <v>1</v>
      </c>
      <c r="BJ205" s="19"/>
      <c r="BK205" s="18">
        <v>50.505050505050505</v>
      </c>
      <c r="BL205" s="18">
        <v>0</v>
      </c>
      <c r="BM205" s="18">
        <v>0</v>
      </c>
      <c r="BN205" s="18">
        <v>0</v>
      </c>
      <c r="BO205" s="18"/>
      <c r="BP205" s="18">
        <v>0</v>
      </c>
      <c r="BQ205" s="18">
        <v>0</v>
      </c>
      <c r="BR205" s="18">
        <v>1.4733377131751111</v>
      </c>
      <c r="BS205" s="18">
        <v>1.4121080939262829</v>
      </c>
      <c r="BT205" s="19"/>
      <c r="BU205" s="18">
        <v>1000</v>
      </c>
      <c r="BV205" s="18">
        <v>540.40404040404042</v>
      </c>
      <c r="BW205" s="18">
        <v>0</v>
      </c>
      <c r="BX205" s="18" t="s">
        <v>217</v>
      </c>
      <c r="BY205" s="18" t="s">
        <v>217</v>
      </c>
      <c r="BZ205" s="18" t="s">
        <v>217</v>
      </c>
      <c r="CA205" s="18" t="s">
        <v>217</v>
      </c>
      <c r="CB205" s="19"/>
      <c r="CC205" s="19">
        <v>0</v>
      </c>
      <c r="CD205" s="19">
        <v>0</v>
      </c>
      <c r="CE205" s="19">
        <v>0</v>
      </c>
      <c r="CF205" s="19">
        <v>0</v>
      </c>
      <c r="CG205" s="19">
        <v>0</v>
      </c>
      <c r="CH205" s="19">
        <v>0</v>
      </c>
      <c r="CI205" s="19">
        <v>0</v>
      </c>
      <c r="CJ205" s="19"/>
      <c r="CK205" s="19">
        <v>0</v>
      </c>
      <c r="CL205" s="19">
        <v>0</v>
      </c>
      <c r="CM205" s="19">
        <v>0</v>
      </c>
      <c r="CN205" s="19">
        <v>0</v>
      </c>
      <c r="CO205" s="19">
        <v>0</v>
      </c>
      <c r="CP205" s="19">
        <v>0</v>
      </c>
      <c r="CQ205" s="19">
        <v>0</v>
      </c>
      <c r="CR205" s="19">
        <v>0</v>
      </c>
      <c r="CS205" s="19">
        <v>0</v>
      </c>
      <c r="CT205" s="19">
        <v>0</v>
      </c>
      <c r="CU205" s="19">
        <v>0</v>
      </c>
      <c r="CV205" s="19">
        <v>0</v>
      </c>
      <c r="CW205" s="19">
        <v>0</v>
      </c>
      <c r="CX205" s="19">
        <v>0</v>
      </c>
      <c r="CY205" s="19">
        <v>0</v>
      </c>
      <c r="CZ205" s="19">
        <v>0</v>
      </c>
      <c r="DA205" s="19">
        <v>0</v>
      </c>
      <c r="DB205" s="19">
        <v>0</v>
      </c>
      <c r="DC205" s="19">
        <v>0</v>
      </c>
      <c r="DD205" s="19">
        <v>0</v>
      </c>
      <c r="DE205" s="19">
        <v>0</v>
      </c>
      <c r="DF205" s="23">
        <v>5000000</v>
      </c>
      <c r="DG205" s="23">
        <v>0</v>
      </c>
      <c r="DH205" s="23">
        <v>0</v>
      </c>
      <c r="DI205" s="19">
        <v>0</v>
      </c>
      <c r="DJ205" s="19">
        <v>0</v>
      </c>
      <c r="DK205" s="19">
        <v>0</v>
      </c>
      <c r="DL205" s="19">
        <v>0</v>
      </c>
      <c r="DM205" s="19">
        <v>0</v>
      </c>
      <c r="DN205" s="19">
        <v>0</v>
      </c>
      <c r="DO205" s="19">
        <v>0</v>
      </c>
      <c r="DP205" s="19">
        <v>0</v>
      </c>
      <c r="DQ205" s="19">
        <v>0</v>
      </c>
      <c r="DR205" s="19">
        <v>0</v>
      </c>
      <c r="DS205" s="19">
        <v>0</v>
      </c>
      <c r="DT205" s="19">
        <v>0</v>
      </c>
      <c r="DU205" s="19">
        <v>0</v>
      </c>
      <c r="DV205" s="19">
        <v>0</v>
      </c>
      <c r="DW205" s="17" t="s">
        <v>218</v>
      </c>
      <c r="DX205" s="22" t="s">
        <v>218</v>
      </c>
      <c r="DY205" s="22" t="s">
        <v>218</v>
      </c>
      <c r="DZ205" s="22" t="s">
        <v>218</v>
      </c>
      <c r="EA205" s="22" t="s">
        <v>218</v>
      </c>
      <c r="EB205" s="22" t="s">
        <v>218</v>
      </c>
      <c r="EC205" s="22" t="s">
        <v>218</v>
      </c>
      <c r="ED205" s="22" t="s">
        <v>218</v>
      </c>
      <c r="EE205" s="22" t="s">
        <v>218</v>
      </c>
      <c r="EF205" s="22" t="s">
        <v>218</v>
      </c>
      <c r="EG205" s="22" t="s">
        <v>218</v>
      </c>
      <c r="EH205" s="22" t="s">
        <v>218</v>
      </c>
      <c r="EI205" s="22" t="s">
        <v>218</v>
      </c>
      <c r="EJ205" s="22" t="s">
        <v>218</v>
      </c>
      <c r="EK205" s="22" t="s">
        <v>218</v>
      </c>
      <c r="EL205" s="22" t="s">
        <v>218</v>
      </c>
      <c r="EM205" s="22" t="s">
        <v>218</v>
      </c>
      <c r="EN205" s="22" t="s">
        <v>218</v>
      </c>
      <c r="EO205" s="22" t="s">
        <v>218</v>
      </c>
      <c r="EP205" s="22" t="s">
        <v>218</v>
      </c>
      <c r="EQ205" s="22" t="s">
        <v>218</v>
      </c>
      <c r="ER205" s="22" t="s">
        <v>218</v>
      </c>
      <c r="ES205" s="22" t="s">
        <v>218</v>
      </c>
      <c r="ET205" s="22" t="s">
        <v>218</v>
      </c>
      <c r="EU205" s="22" t="s">
        <v>218</v>
      </c>
      <c r="EV205" s="22" t="s">
        <v>218</v>
      </c>
      <c r="EW205" s="22" t="s">
        <v>218</v>
      </c>
      <c r="EX205" s="22" t="s">
        <v>218</v>
      </c>
      <c r="EY205" s="22" t="s">
        <v>218</v>
      </c>
      <c r="EZ205" s="22" t="s">
        <v>218</v>
      </c>
      <c r="FA205" s="22" t="s">
        <v>218</v>
      </c>
      <c r="FB205" s="22" t="s">
        <v>218</v>
      </c>
      <c r="FC205" s="22" t="s">
        <v>218</v>
      </c>
      <c r="FD205" s="22" t="s">
        <v>218</v>
      </c>
      <c r="FE205" s="22" t="s">
        <v>218</v>
      </c>
      <c r="FF205" s="22" t="s">
        <v>218</v>
      </c>
      <c r="FG205" s="22" t="s">
        <v>218</v>
      </c>
      <c r="FH205" s="22" t="s">
        <v>218</v>
      </c>
      <c r="FI205" s="22" t="s">
        <v>218</v>
      </c>
      <c r="FJ205" s="22" t="s">
        <v>218</v>
      </c>
      <c r="FK205" s="22" t="s">
        <v>218</v>
      </c>
      <c r="FL205" s="22" t="s">
        <v>218</v>
      </c>
      <c r="FM205" s="22" t="s">
        <v>218</v>
      </c>
      <c r="FN205" s="22" t="s">
        <v>218</v>
      </c>
      <c r="FO205" s="22" t="s">
        <v>218</v>
      </c>
      <c r="FP205" s="22" t="s">
        <v>218</v>
      </c>
      <c r="FQ205" s="22" t="s">
        <v>218</v>
      </c>
      <c r="FR205" s="22" t="s">
        <v>218</v>
      </c>
      <c r="FS205" s="22" t="s">
        <v>218</v>
      </c>
      <c r="FT205" s="22" t="s">
        <v>218</v>
      </c>
      <c r="FU205" s="22" t="s">
        <v>218</v>
      </c>
      <c r="FV205" s="22" t="s">
        <v>218</v>
      </c>
      <c r="FW205" s="22" t="s">
        <v>218</v>
      </c>
      <c r="FX205" s="22" t="s">
        <v>218</v>
      </c>
      <c r="FY205" s="22" t="s">
        <v>218</v>
      </c>
      <c r="FZ205" s="22" t="s">
        <v>218</v>
      </c>
      <c r="GA205" s="22" t="s">
        <v>218</v>
      </c>
      <c r="GB205" s="22" t="s">
        <v>218</v>
      </c>
      <c r="GC205" s="22" t="s">
        <v>218</v>
      </c>
      <c r="GD205" s="22" t="s">
        <v>218</v>
      </c>
      <c r="GE205" s="22" t="s">
        <v>218</v>
      </c>
      <c r="GF205" s="22" t="s">
        <v>218</v>
      </c>
      <c r="GG205" s="22" t="s">
        <v>218</v>
      </c>
      <c r="GH205" s="22" t="s">
        <v>218</v>
      </c>
      <c r="GI205" s="22" t="s">
        <v>218</v>
      </c>
      <c r="GJ205" s="22" t="s">
        <v>218</v>
      </c>
      <c r="GK205" s="22" t="s">
        <v>218</v>
      </c>
      <c r="GL205" s="22" t="s">
        <v>218</v>
      </c>
      <c r="GM205" s="22" t="s">
        <v>218</v>
      </c>
      <c r="GN205" s="22" t="s">
        <v>218</v>
      </c>
      <c r="GO205" s="22" t="s">
        <v>218</v>
      </c>
      <c r="GP205" s="22" t="s">
        <v>218</v>
      </c>
      <c r="GQ205" s="22" t="s">
        <v>218</v>
      </c>
      <c r="GR205" s="22" t="s">
        <v>218</v>
      </c>
      <c r="GS205" s="22" t="s">
        <v>218</v>
      </c>
      <c r="GT205" s="22" t="s">
        <v>218</v>
      </c>
      <c r="GU205" s="22" t="s">
        <v>218</v>
      </c>
      <c r="GV205" s="22" t="s">
        <v>218</v>
      </c>
      <c r="GW205" s="22" t="s">
        <v>218</v>
      </c>
      <c r="GX205" s="22" t="s">
        <v>218</v>
      </c>
      <c r="GY205" s="22" t="s">
        <v>218</v>
      </c>
      <c r="GZ205" s="22" t="s">
        <v>218</v>
      </c>
      <c r="HA205" s="22" t="s">
        <v>218</v>
      </c>
      <c r="HB205" s="22" t="s">
        <v>218</v>
      </c>
      <c r="HC205" s="22" t="s">
        <v>218</v>
      </c>
      <c r="HD205" s="22" t="s">
        <v>218</v>
      </c>
      <c r="HE205" s="22" t="s">
        <v>218</v>
      </c>
      <c r="HF205" s="22" t="s">
        <v>218</v>
      </c>
      <c r="HG205" s="22" t="s">
        <v>218</v>
      </c>
      <c r="HH205" s="22" t="s">
        <v>218</v>
      </c>
      <c r="HI205" s="22" t="s">
        <v>218</v>
      </c>
      <c r="HJ205" s="22" t="s">
        <v>218</v>
      </c>
      <c r="HK205" s="22" t="s">
        <v>218</v>
      </c>
      <c r="HL205" s="22" t="s">
        <v>218</v>
      </c>
      <c r="HM205" s="860"/>
      <c r="HN205" s="860"/>
      <c r="HO205" s="860"/>
      <c r="HP205" s="860"/>
      <c r="HQ205" s="860"/>
      <c r="HR205" s="860"/>
      <c r="HS205" s="860"/>
      <c r="HT205" s="145"/>
      <c r="HU205" s="145" t="s">
        <v>1809</v>
      </c>
      <c r="HV205" s="22" t="s">
        <v>1926</v>
      </c>
      <c r="HW205" s="22">
        <v>0</v>
      </c>
      <c r="HX205" s="22">
        <v>0</v>
      </c>
      <c r="HY205" s="22">
        <v>0</v>
      </c>
      <c r="HZ205" s="19"/>
      <c r="IA205" s="19"/>
      <c r="IB205" s="621">
        <f>'background data'!$G$10</f>
        <v>0.47300000000000003</v>
      </c>
      <c r="IC205" s="621">
        <f>'background data'!$H$10</f>
        <v>0.13</v>
      </c>
      <c r="ID205" s="621">
        <f>'background data'!$J$10</f>
        <v>0.39100000000000001</v>
      </c>
      <c r="IE205" s="621">
        <f>'background data'!$L$10</f>
        <v>5.5E-2</v>
      </c>
      <c r="IF205" s="621">
        <f>'background data'!$M$10</f>
        <v>3.97</v>
      </c>
      <c r="IG205" s="621">
        <f>'background data'!$N$10</f>
        <v>4.5999999999999999E-3</v>
      </c>
      <c r="IH205" s="621">
        <f>'background data'!$O$10</f>
        <v>2.73</v>
      </c>
      <c r="II205" s="145"/>
      <c r="IJ205" s="145"/>
      <c r="IK205" s="145"/>
      <c r="IL205" s="145"/>
      <c r="IM205" s="145"/>
      <c r="IN205" s="145"/>
      <c r="IO205" s="145"/>
      <c r="IP205" s="145"/>
      <c r="IQ205" s="145"/>
      <c r="IR205" s="145"/>
      <c r="IS205" s="145"/>
      <c r="IT205" s="145"/>
      <c r="IU205" s="145"/>
      <c r="IV205" s="145"/>
      <c r="IW205" s="145"/>
      <c r="IX205" s="145"/>
      <c r="IY205" s="145"/>
      <c r="IZ205" s="145"/>
      <c r="JA205" s="145"/>
      <c r="JB205" s="145"/>
      <c r="JC205" s="145"/>
      <c r="JD205" s="145"/>
      <c r="JE205" s="145"/>
      <c r="JF205" s="145"/>
      <c r="JG205" s="145"/>
      <c r="JH205" s="145"/>
      <c r="JI205" s="145"/>
      <c r="JJ205" s="145"/>
      <c r="JK205" s="145"/>
      <c r="JL205" s="145"/>
      <c r="JM205" s="145"/>
      <c r="JN205" s="145"/>
      <c r="JO205" s="145"/>
      <c r="JP205" s="145"/>
      <c r="JQ205" s="145"/>
      <c r="JR205" s="145"/>
      <c r="JS205" s="145"/>
      <c r="JT205" s="145"/>
      <c r="JU205" s="145"/>
      <c r="JV205" s="145"/>
      <c r="JW205" s="145"/>
      <c r="JX205" s="145"/>
      <c r="JY205" s="145"/>
      <c r="JZ205" s="145"/>
      <c r="KA205" s="145"/>
      <c r="KB205" s="145"/>
      <c r="KC205" s="145"/>
      <c r="KD205" s="145"/>
      <c r="KE205" s="145"/>
      <c r="KF205" s="145"/>
      <c r="KG205" s="145"/>
      <c r="KH205" s="145"/>
      <c r="KI205" s="145"/>
      <c r="KJ205" s="145"/>
      <c r="KK205" s="145"/>
      <c r="KL205" s="145"/>
      <c r="KM205" s="145"/>
      <c r="KN205" s="145"/>
      <c r="KO205" s="145"/>
      <c r="KP205" s="145"/>
      <c r="KQ205" s="145"/>
      <c r="KR205" s="145"/>
      <c r="KS205" s="145"/>
      <c r="KT205" s="145"/>
      <c r="KU205" s="145"/>
      <c r="KV205" s="145"/>
      <c r="KW205" s="145"/>
      <c r="KX205" s="145"/>
      <c r="KY205" s="145"/>
      <c r="KZ205" s="145"/>
      <c r="LA205" s="145"/>
      <c r="LB205" s="145"/>
      <c r="LC205" s="145"/>
      <c r="LD205" s="145"/>
      <c r="LE205" s="145"/>
      <c r="LF205" s="145"/>
      <c r="LG205" s="145"/>
      <c r="LH205" s="145"/>
      <c r="LI205" s="145"/>
      <c r="LJ205" s="145"/>
      <c r="LK205" s="145"/>
      <c r="LL205" s="145"/>
      <c r="LM205" s="145"/>
      <c r="LN205" s="145"/>
      <c r="LO205" s="145"/>
      <c r="LP205" s="145"/>
      <c r="LQ205" s="145"/>
      <c r="LR205" s="145"/>
      <c r="LS205" s="145"/>
      <c r="LT205" s="145"/>
      <c r="LU205" s="145"/>
      <c r="LV205" s="145"/>
      <c r="LW205" s="145"/>
      <c r="LX205" s="145"/>
      <c r="LY205" s="145"/>
      <c r="LZ205" s="145"/>
      <c r="MA205" s="145"/>
      <c r="MB205" s="145"/>
      <c r="MC205" s="145"/>
      <c r="MD205" s="145"/>
      <c r="ME205" s="145"/>
      <c r="MF205" s="145"/>
      <c r="MG205" s="145"/>
      <c r="MH205" s="145"/>
      <c r="MI205" s="145"/>
      <c r="MJ205" s="145"/>
      <c r="MK205" s="145"/>
      <c r="ML205" s="145"/>
      <c r="MM205" s="145"/>
      <c r="MN205" s="145"/>
      <c r="MO205" s="145"/>
      <c r="MP205" s="145"/>
      <c r="MQ205" s="145"/>
      <c r="MR205" s="145"/>
      <c r="MS205" s="145"/>
      <c r="MT205" s="145"/>
      <c r="MU205" s="145"/>
      <c r="MV205" s="145"/>
      <c r="MW205" s="145"/>
      <c r="MX205" s="145"/>
      <c r="MY205" s="145"/>
      <c r="MZ205" s="145"/>
      <c r="NA205" s="145"/>
      <c r="NB205" s="145"/>
      <c r="NC205" s="145"/>
      <c r="ND205" s="145"/>
      <c r="NE205" s="145"/>
      <c r="NF205" s="145"/>
      <c r="NG205" s="145"/>
      <c r="NH205" s="145"/>
      <c r="NI205" s="145"/>
      <c r="NJ205" s="145"/>
      <c r="NK205" s="145"/>
      <c r="NL205" s="145"/>
      <c r="NM205" s="145"/>
      <c r="NN205" s="145"/>
      <c r="NO205" s="145"/>
      <c r="NP205" s="145"/>
      <c r="NQ205" s="145"/>
      <c r="NR205" s="145"/>
      <c r="NS205" s="145"/>
    </row>
    <row r="206" spans="1:383" s="16" customFormat="1" ht="15" customHeight="1" x14ac:dyDescent="0.2">
      <c r="A206" s="15">
        <v>95100</v>
      </c>
      <c r="B206" s="25">
        <v>951</v>
      </c>
      <c r="C206" s="26">
        <v>0</v>
      </c>
      <c r="D206" s="20" t="s">
        <v>603</v>
      </c>
      <c r="E206" s="14">
        <v>40310</v>
      </c>
      <c r="F206" s="18">
        <v>1.45860433604336</v>
      </c>
      <c r="G206" s="18">
        <v>1.39798701298702</v>
      </c>
      <c r="H206" s="21">
        <v>100</v>
      </c>
      <c r="I206" s="21">
        <v>100</v>
      </c>
      <c r="J206" s="21">
        <v>100</v>
      </c>
      <c r="K206" s="18">
        <v>1</v>
      </c>
      <c r="L206" s="18">
        <v>99</v>
      </c>
      <c r="M206" s="18">
        <v>50</v>
      </c>
      <c r="N206" s="18">
        <v>0</v>
      </c>
      <c r="O206" s="18">
        <v>0</v>
      </c>
      <c r="P206" s="18">
        <v>0</v>
      </c>
      <c r="Q206" s="19"/>
      <c r="R206" s="18">
        <v>0</v>
      </c>
      <c r="S206" s="18">
        <v>0</v>
      </c>
      <c r="T206" s="18">
        <v>0</v>
      </c>
      <c r="U206" s="18">
        <v>0</v>
      </c>
      <c r="V206" s="18">
        <v>0</v>
      </c>
      <c r="W206" s="18">
        <v>0</v>
      </c>
      <c r="X206" s="18"/>
      <c r="Y206" s="18">
        <v>0</v>
      </c>
      <c r="Z206" s="18">
        <v>0</v>
      </c>
      <c r="AA206" s="18">
        <v>0</v>
      </c>
      <c r="AB206" s="18">
        <v>0</v>
      </c>
      <c r="AC206" s="18">
        <v>0</v>
      </c>
      <c r="AD206" s="18">
        <v>0</v>
      </c>
      <c r="AE206" s="18">
        <v>0</v>
      </c>
      <c r="AF206" s="18">
        <v>0</v>
      </c>
      <c r="AG206" s="18">
        <v>0</v>
      </c>
      <c r="AH206" s="18">
        <v>0</v>
      </c>
      <c r="AI206" s="18">
        <v>0</v>
      </c>
      <c r="AJ206" s="18">
        <v>0</v>
      </c>
      <c r="AK206" s="18">
        <v>0</v>
      </c>
      <c r="AL206" s="18"/>
      <c r="AM206" s="18">
        <v>0</v>
      </c>
      <c r="AN206" s="18">
        <v>0</v>
      </c>
      <c r="AO206" s="18">
        <v>0</v>
      </c>
      <c r="AP206" s="18">
        <v>0</v>
      </c>
      <c r="AQ206" s="18">
        <v>0</v>
      </c>
      <c r="AR206" s="18">
        <v>0</v>
      </c>
      <c r="AS206" s="18">
        <v>0</v>
      </c>
      <c r="AT206" s="18">
        <v>0</v>
      </c>
      <c r="AU206" s="18">
        <v>0</v>
      </c>
      <c r="AV206" s="18">
        <v>0</v>
      </c>
      <c r="AW206" s="18">
        <v>0</v>
      </c>
      <c r="AX206" s="18"/>
      <c r="AY206" s="18">
        <v>1</v>
      </c>
      <c r="AZ206" s="18">
        <v>1</v>
      </c>
      <c r="BA206" s="18">
        <v>1</v>
      </c>
      <c r="BB206" s="18">
        <v>1</v>
      </c>
      <c r="BC206" s="18">
        <v>1</v>
      </c>
      <c r="BD206" s="18">
        <v>1</v>
      </c>
      <c r="BE206" s="18">
        <v>1</v>
      </c>
      <c r="BF206" s="18">
        <v>1</v>
      </c>
      <c r="BG206" s="18">
        <v>1</v>
      </c>
      <c r="BH206" s="18">
        <v>1</v>
      </c>
      <c r="BI206" s="18">
        <v>1</v>
      </c>
      <c r="BJ206" s="19"/>
      <c r="BK206" s="18">
        <v>50.505050505050505</v>
      </c>
      <c r="BL206" s="18">
        <v>0</v>
      </c>
      <c r="BM206" s="18">
        <v>0</v>
      </c>
      <c r="BN206" s="18">
        <v>0</v>
      </c>
      <c r="BO206" s="18"/>
      <c r="BP206" s="18">
        <v>0</v>
      </c>
      <c r="BQ206" s="18">
        <v>0</v>
      </c>
      <c r="BR206" s="18">
        <v>1.4733377131751111</v>
      </c>
      <c r="BS206" s="18">
        <v>1.4121080939262829</v>
      </c>
      <c r="BT206" s="19"/>
      <c r="BU206" s="18">
        <v>1000</v>
      </c>
      <c r="BV206" s="18">
        <v>540.40404040404042</v>
      </c>
      <c r="BW206" s="18">
        <v>0</v>
      </c>
      <c r="BX206" s="18" t="s">
        <v>217</v>
      </c>
      <c r="BY206" s="18" t="s">
        <v>217</v>
      </c>
      <c r="BZ206" s="18" t="s">
        <v>217</v>
      </c>
      <c r="CA206" s="18" t="s">
        <v>217</v>
      </c>
      <c r="CB206" s="19"/>
      <c r="CC206" s="19">
        <v>0</v>
      </c>
      <c r="CD206" s="19">
        <v>0</v>
      </c>
      <c r="CE206" s="19">
        <v>0</v>
      </c>
      <c r="CF206" s="19">
        <v>0</v>
      </c>
      <c r="CG206" s="19">
        <v>0</v>
      </c>
      <c r="CH206" s="19">
        <v>0</v>
      </c>
      <c r="CI206" s="19">
        <v>0</v>
      </c>
      <c r="CJ206" s="19"/>
      <c r="CK206" s="19">
        <v>0</v>
      </c>
      <c r="CL206" s="19">
        <v>0</v>
      </c>
      <c r="CM206" s="19">
        <v>0</v>
      </c>
      <c r="CN206" s="19">
        <v>0</v>
      </c>
      <c r="CO206" s="19">
        <v>0</v>
      </c>
      <c r="CP206" s="19">
        <v>0</v>
      </c>
      <c r="CQ206" s="19">
        <v>0</v>
      </c>
      <c r="CR206" s="19">
        <v>0</v>
      </c>
      <c r="CS206" s="19">
        <v>0</v>
      </c>
      <c r="CT206" s="19">
        <v>0</v>
      </c>
      <c r="CU206" s="19">
        <v>0</v>
      </c>
      <c r="CV206" s="19">
        <v>0</v>
      </c>
      <c r="CW206" s="19">
        <v>0</v>
      </c>
      <c r="CX206" s="19">
        <v>0</v>
      </c>
      <c r="CY206" s="19">
        <v>0</v>
      </c>
      <c r="CZ206" s="19">
        <v>0</v>
      </c>
      <c r="DA206" s="19">
        <v>0</v>
      </c>
      <c r="DB206" s="19">
        <v>0</v>
      </c>
      <c r="DC206" s="19">
        <v>0</v>
      </c>
      <c r="DD206" s="19">
        <v>0</v>
      </c>
      <c r="DE206" s="19">
        <v>0</v>
      </c>
      <c r="DF206" s="23">
        <v>2500000</v>
      </c>
      <c r="DG206" s="23">
        <v>0</v>
      </c>
      <c r="DH206" s="23">
        <v>0</v>
      </c>
      <c r="DI206" s="19">
        <v>0</v>
      </c>
      <c r="DJ206" s="19">
        <v>0</v>
      </c>
      <c r="DK206" s="19">
        <v>0</v>
      </c>
      <c r="DL206" s="19">
        <v>0</v>
      </c>
      <c r="DM206" s="19">
        <v>0</v>
      </c>
      <c r="DN206" s="19">
        <v>0</v>
      </c>
      <c r="DO206" s="19">
        <v>0</v>
      </c>
      <c r="DP206" s="19">
        <v>0</v>
      </c>
      <c r="DQ206" s="19">
        <v>0</v>
      </c>
      <c r="DR206" s="19">
        <v>0</v>
      </c>
      <c r="DS206" s="19">
        <v>0</v>
      </c>
      <c r="DT206" s="19">
        <v>0</v>
      </c>
      <c r="DU206" s="19">
        <v>0</v>
      </c>
      <c r="DV206" s="19">
        <v>0</v>
      </c>
      <c r="DW206" s="17" t="s">
        <v>218</v>
      </c>
      <c r="DX206" s="22" t="s">
        <v>218</v>
      </c>
      <c r="DY206" s="22" t="s">
        <v>218</v>
      </c>
      <c r="DZ206" s="22" t="s">
        <v>218</v>
      </c>
      <c r="EA206" s="22" t="s">
        <v>218</v>
      </c>
      <c r="EB206" s="22" t="s">
        <v>218</v>
      </c>
      <c r="EC206" s="22" t="s">
        <v>218</v>
      </c>
      <c r="ED206" s="22" t="s">
        <v>218</v>
      </c>
      <c r="EE206" s="22" t="s">
        <v>218</v>
      </c>
      <c r="EF206" s="22" t="s">
        <v>218</v>
      </c>
      <c r="EG206" s="22" t="s">
        <v>218</v>
      </c>
      <c r="EH206" s="22" t="s">
        <v>218</v>
      </c>
      <c r="EI206" s="22" t="s">
        <v>218</v>
      </c>
      <c r="EJ206" s="22" t="s">
        <v>218</v>
      </c>
      <c r="EK206" s="22" t="s">
        <v>218</v>
      </c>
      <c r="EL206" s="22" t="s">
        <v>218</v>
      </c>
      <c r="EM206" s="22" t="s">
        <v>218</v>
      </c>
      <c r="EN206" s="22" t="s">
        <v>218</v>
      </c>
      <c r="EO206" s="22" t="s">
        <v>218</v>
      </c>
      <c r="EP206" s="22" t="s">
        <v>218</v>
      </c>
      <c r="EQ206" s="22" t="s">
        <v>218</v>
      </c>
      <c r="ER206" s="22" t="s">
        <v>218</v>
      </c>
      <c r="ES206" s="22" t="s">
        <v>218</v>
      </c>
      <c r="ET206" s="22" t="s">
        <v>218</v>
      </c>
      <c r="EU206" s="22" t="s">
        <v>218</v>
      </c>
      <c r="EV206" s="22" t="s">
        <v>218</v>
      </c>
      <c r="EW206" s="22" t="s">
        <v>218</v>
      </c>
      <c r="EX206" s="22" t="s">
        <v>218</v>
      </c>
      <c r="EY206" s="22" t="s">
        <v>218</v>
      </c>
      <c r="EZ206" s="22" t="s">
        <v>218</v>
      </c>
      <c r="FA206" s="22" t="s">
        <v>218</v>
      </c>
      <c r="FB206" s="22" t="s">
        <v>218</v>
      </c>
      <c r="FC206" s="22" t="s">
        <v>218</v>
      </c>
      <c r="FD206" s="22" t="s">
        <v>218</v>
      </c>
      <c r="FE206" s="22" t="s">
        <v>218</v>
      </c>
      <c r="FF206" s="22" t="s">
        <v>218</v>
      </c>
      <c r="FG206" s="22" t="s">
        <v>218</v>
      </c>
      <c r="FH206" s="22" t="s">
        <v>218</v>
      </c>
      <c r="FI206" s="22" t="s">
        <v>218</v>
      </c>
      <c r="FJ206" s="22" t="s">
        <v>218</v>
      </c>
      <c r="FK206" s="22" t="s">
        <v>218</v>
      </c>
      <c r="FL206" s="22" t="s">
        <v>218</v>
      </c>
      <c r="FM206" s="22" t="s">
        <v>218</v>
      </c>
      <c r="FN206" s="22" t="s">
        <v>218</v>
      </c>
      <c r="FO206" s="22" t="s">
        <v>218</v>
      </c>
      <c r="FP206" s="22" t="s">
        <v>218</v>
      </c>
      <c r="FQ206" s="22" t="s">
        <v>218</v>
      </c>
      <c r="FR206" s="22" t="s">
        <v>218</v>
      </c>
      <c r="FS206" s="22" t="s">
        <v>218</v>
      </c>
      <c r="FT206" s="22" t="s">
        <v>218</v>
      </c>
      <c r="FU206" s="22" t="s">
        <v>218</v>
      </c>
      <c r="FV206" s="22" t="s">
        <v>218</v>
      </c>
      <c r="FW206" s="22" t="s">
        <v>218</v>
      </c>
      <c r="FX206" s="22" t="s">
        <v>218</v>
      </c>
      <c r="FY206" s="22" t="s">
        <v>218</v>
      </c>
      <c r="FZ206" s="22" t="s">
        <v>218</v>
      </c>
      <c r="GA206" s="22" t="s">
        <v>218</v>
      </c>
      <c r="GB206" s="22" t="s">
        <v>218</v>
      </c>
      <c r="GC206" s="22" t="s">
        <v>218</v>
      </c>
      <c r="GD206" s="22" t="s">
        <v>218</v>
      </c>
      <c r="GE206" s="22" t="s">
        <v>218</v>
      </c>
      <c r="GF206" s="22" t="s">
        <v>218</v>
      </c>
      <c r="GG206" s="22" t="s">
        <v>218</v>
      </c>
      <c r="GH206" s="22" t="s">
        <v>218</v>
      </c>
      <c r="GI206" s="22" t="s">
        <v>218</v>
      </c>
      <c r="GJ206" s="22" t="s">
        <v>218</v>
      </c>
      <c r="GK206" s="22" t="s">
        <v>218</v>
      </c>
      <c r="GL206" s="22" t="s">
        <v>218</v>
      </c>
      <c r="GM206" s="22" t="s">
        <v>218</v>
      </c>
      <c r="GN206" s="22" t="s">
        <v>218</v>
      </c>
      <c r="GO206" s="22" t="s">
        <v>218</v>
      </c>
      <c r="GP206" s="22" t="s">
        <v>218</v>
      </c>
      <c r="GQ206" s="22" t="s">
        <v>218</v>
      </c>
      <c r="GR206" s="22" t="s">
        <v>218</v>
      </c>
      <c r="GS206" s="22" t="s">
        <v>218</v>
      </c>
      <c r="GT206" s="22" t="s">
        <v>218</v>
      </c>
      <c r="GU206" s="22" t="s">
        <v>218</v>
      </c>
      <c r="GV206" s="22" t="s">
        <v>218</v>
      </c>
      <c r="GW206" s="22" t="s">
        <v>218</v>
      </c>
      <c r="GX206" s="22" t="s">
        <v>218</v>
      </c>
      <c r="GY206" s="22" t="s">
        <v>218</v>
      </c>
      <c r="GZ206" s="22" t="s">
        <v>218</v>
      </c>
      <c r="HA206" s="22" t="s">
        <v>218</v>
      </c>
      <c r="HB206" s="22" t="s">
        <v>218</v>
      </c>
      <c r="HC206" s="22" t="s">
        <v>218</v>
      </c>
      <c r="HD206" s="22" t="s">
        <v>218</v>
      </c>
      <c r="HE206" s="22" t="s">
        <v>218</v>
      </c>
      <c r="HF206" s="22" t="s">
        <v>218</v>
      </c>
      <c r="HG206" s="22" t="s">
        <v>218</v>
      </c>
      <c r="HH206" s="22" t="s">
        <v>218</v>
      </c>
      <c r="HI206" s="22" t="s">
        <v>218</v>
      </c>
      <c r="HJ206" s="22" t="s">
        <v>218</v>
      </c>
      <c r="HK206" s="22" t="s">
        <v>218</v>
      </c>
      <c r="HL206" s="22" t="s">
        <v>218</v>
      </c>
      <c r="HM206" s="860"/>
      <c r="HN206" s="860"/>
      <c r="HO206" s="860"/>
      <c r="HP206" s="860"/>
      <c r="HQ206" s="860"/>
      <c r="HR206" s="860"/>
      <c r="HS206" s="860"/>
      <c r="HT206" s="145"/>
      <c r="HU206" s="145" t="s">
        <v>1809</v>
      </c>
      <c r="HV206" s="22" t="s">
        <v>1926</v>
      </c>
      <c r="HW206" s="22">
        <v>0</v>
      </c>
      <c r="HX206" s="22">
        <v>0</v>
      </c>
      <c r="HY206" s="22">
        <v>0</v>
      </c>
      <c r="HZ206" s="19"/>
      <c r="IA206" s="19"/>
      <c r="IB206" s="621">
        <f>'background data'!$G$10</f>
        <v>0.47300000000000003</v>
      </c>
      <c r="IC206" s="621">
        <f>'background data'!$H$10</f>
        <v>0.13</v>
      </c>
      <c r="ID206" s="621">
        <f>'background data'!$J$10</f>
        <v>0.39100000000000001</v>
      </c>
      <c r="IE206" s="621">
        <f>'background data'!$L$10</f>
        <v>5.5E-2</v>
      </c>
      <c r="IF206" s="621">
        <f>'background data'!$M$10</f>
        <v>3.97</v>
      </c>
      <c r="IG206" s="621">
        <f>'background data'!$N$10</f>
        <v>4.5999999999999999E-3</v>
      </c>
      <c r="IH206" s="621">
        <f>'background data'!$O$10</f>
        <v>2.73</v>
      </c>
      <c r="II206" s="145"/>
      <c r="IJ206" s="145"/>
      <c r="IK206" s="145"/>
      <c r="IL206" s="145"/>
      <c r="IM206" s="145"/>
      <c r="IN206" s="145"/>
      <c r="IO206" s="145"/>
      <c r="IP206" s="145"/>
      <c r="IQ206" s="145"/>
      <c r="IR206" s="145"/>
      <c r="IS206" s="145"/>
      <c r="IT206" s="145"/>
      <c r="IU206" s="145"/>
      <c r="IV206" s="145"/>
      <c r="IW206" s="145"/>
      <c r="IX206" s="145"/>
      <c r="IY206" s="145"/>
      <c r="IZ206" s="145"/>
      <c r="JA206" s="145"/>
      <c r="JB206" s="145"/>
      <c r="JC206" s="145"/>
      <c r="JD206" s="145"/>
      <c r="JE206" s="145"/>
      <c r="JF206" s="145"/>
      <c r="JG206" s="145"/>
      <c r="JH206" s="145"/>
      <c r="JI206" s="145"/>
      <c r="JJ206" s="145"/>
      <c r="JK206" s="145"/>
      <c r="JL206" s="145"/>
      <c r="JM206" s="145"/>
      <c r="JN206" s="145"/>
      <c r="JO206" s="145"/>
      <c r="JP206" s="145"/>
      <c r="JQ206" s="145"/>
      <c r="JR206" s="145"/>
      <c r="JS206" s="145"/>
      <c r="JT206" s="145"/>
      <c r="JU206" s="145"/>
      <c r="JV206" s="145"/>
      <c r="JW206" s="145"/>
      <c r="JX206" s="145"/>
      <c r="JY206" s="145"/>
      <c r="JZ206" s="145"/>
      <c r="KA206" s="145"/>
      <c r="KB206" s="145"/>
      <c r="KC206" s="145"/>
      <c r="KD206" s="145"/>
      <c r="KE206" s="145"/>
      <c r="KF206" s="145"/>
      <c r="KG206" s="145"/>
      <c r="KH206" s="145"/>
      <c r="KI206" s="145"/>
      <c r="KJ206" s="145"/>
      <c r="KK206" s="145"/>
      <c r="KL206" s="145"/>
      <c r="KM206" s="145"/>
      <c r="KN206" s="145"/>
      <c r="KO206" s="145"/>
      <c r="KP206" s="145"/>
      <c r="KQ206" s="145"/>
      <c r="KR206" s="145"/>
      <c r="KS206" s="145"/>
      <c r="KT206" s="145"/>
      <c r="KU206" s="145"/>
      <c r="KV206" s="145"/>
      <c r="KW206" s="145"/>
      <c r="KX206" s="145"/>
      <c r="KY206" s="145"/>
      <c r="KZ206" s="145"/>
      <c r="LA206" s="145"/>
      <c r="LB206" s="145"/>
      <c r="LC206" s="145"/>
      <c r="LD206" s="145"/>
      <c r="LE206" s="145"/>
      <c r="LF206" s="145"/>
      <c r="LG206" s="145"/>
      <c r="LH206" s="145"/>
      <c r="LI206" s="145"/>
      <c r="LJ206" s="145"/>
      <c r="LK206" s="145"/>
      <c r="LL206" s="145"/>
      <c r="LM206" s="145"/>
      <c r="LN206" s="145"/>
      <c r="LO206" s="145"/>
      <c r="LP206" s="145"/>
      <c r="LQ206" s="145"/>
      <c r="LR206" s="145"/>
      <c r="LS206" s="145"/>
      <c r="LT206" s="145"/>
      <c r="LU206" s="145"/>
      <c r="LV206" s="145"/>
      <c r="LW206" s="145"/>
      <c r="LX206" s="145"/>
      <c r="LY206" s="145"/>
      <c r="LZ206" s="145"/>
      <c r="MA206" s="145"/>
      <c r="MB206" s="145"/>
      <c r="MC206" s="145"/>
      <c r="MD206" s="145"/>
      <c r="ME206" s="145"/>
      <c r="MF206" s="145"/>
      <c r="MG206" s="145"/>
      <c r="MH206" s="145"/>
      <c r="MI206" s="145"/>
      <c r="MJ206" s="145"/>
      <c r="MK206" s="145"/>
      <c r="ML206" s="145"/>
      <c r="MM206" s="145"/>
      <c r="MN206" s="145"/>
      <c r="MO206" s="145"/>
      <c r="MP206" s="145"/>
      <c r="MQ206" s="145"/>
      <c r="MR206" s="145"/>
      <c r="MS206" s="145"/>
      <c r="MT206" s="145"/>
      <c r="MU206" s="145"/>
      <c r="MV206" s="145"/>
      <c r="MW206" s="145"/>
      <c r="MX206" s="145"/>
      <c r="MY206" s="145"/>
      <c r="MZ206" s="145"/>
      <c r="NA206" s="145"/>
      <c r="NB206" s="145"/>
      <c r="NC206" s="145"/>
      <c r="ND206" s="145"/>
      <c r="NE206" s="145"/>
      <c r="NF206" s="145"/>
      <c r="NG206" s="145"/>
      <c r="NH206" s="145"/>
      <c r="NI206" s="145"/>
      <c r="NJ206" s="145"/>
      <c r="NK206" s="145"/>
      <c r="NL206" s="145"/>
      <c r="NM206" s="145"/>
      <c r="NN206" s="145"/>
      <c r="NO206" s="145"/>
      <c r="NP206" s="145"/>
      <c r="NQ206" s="145"/>
      <c r="NR206" s="145"/>
      <c r="NS206" s="145"/>
    </row>
    <row r="207" spans="1:383" s="16" customFormat="1" ht="15" customHeight="1" x14ac:dyDescent="0.2">
      <c r="A207" s="15">
        <v>75500</v>
      </c>
      <c r="B207" s="25">
        <v>755</v>
      </c>
      <c r="C207" s="26">
        <v>0</v>
      </c>
      <c r="D207" s="20" t="s">
        <v>604</v>
      </c>
      <c r="E207" s="14">
        <v>40310</v>
      </c>
      <c r="F207" s="18">
        <v>0.11841517460317399</v>
      </c>
      <c r="G207" s="18">
        <v>0.113962717387755</v>
      </c>
      <c r="H207" s="21">
        <v>99</v>
      </c>
      <c r="I207" s="21">
        <v>98</v>
      </c>
      <c r="J207" s="21">
        <v>98</v>
      </c>
      <c r="K207" s="18">
        <v>1</v>
      </c>
      <c r="L207" s="18">
        <v>8.8000000000000007</v>
      </c>
      <c r="M207" s="18">
        <v>3.52</v>
      </c>
      <c r="N207" s="18">
        <v>8.7999999999999995E-2</v>
      </c>
      <c r="O207" s="18">
        <v>0.73919999999999997</v>
      </c>
      <c r="P207" s="18">
        <v>0</v>
      </c>
      <c r="Q207" s="19"/>
      <c r="R207" s="18">
        <v>94</v>
      </c>
      <c r="S207" s="18">
        <v>58</v>
      </c>
      <c r="T207" s="18">
        <v>58</v>
      </c>
      <c r="U207" s="18">
        <v>58</v>
      </c>
      <c r="V207" s="18">
        <v>58</v>
      </c>
      <c r="W207" s="18">
        <v>58</v>
      </c>
      <c r="X207" s="18"/>
      <c r="Y207" s="18">
        <v>13.9</v>
      </c>
      <c r="Z207" s="18">
        <v>10.5</v>
      </c>
      <c r="AA207" s="18">
        <v>6.6999999999999993</v>
      </c>
      <c r="AB207" s="18">
        <v>0</v>
      </c>
      <c r="AC207" s="18">
        <v>15.999999999999998</v>
      </c>
      <c r="AD207" s="18">
        <v>1.2</v>
      </c>
      <c r="AE207" s="18">
        <v>0</v>
      </c>
      <c r="AF207" s="18">
        <v>23</v>
      </c>
      <c r="AG207" s="18">
        <v>5</v>
      </c>
      <c r="AH207" s="18">
        <v>3.9999999999999996</v>
      </c>
      <c r="AI207" s="18">
        <v>47.999999999999886</v>
      </c>
      <c r="AJ207" s="18">
        <v>0</v>
      </c>
      <c r="AK207" s="18">
        <v>0.13</v>
      </c>
      <c r="AL207" s="18"/>
      <c r="AM207" s="18">
        <v>7.87</v>
      </c>
      <c r="AN207" s="18">
        <v>2.4700000000000002</v>
      </c>
      <c r="AO207" s="18">
        <v>0.86</v>
      </c>
      <c r="AP207" s="18">
        <v>4.45</v>
      </c>
      <c r="AQ207" s="18">
        <v>1.3</v>
      </c>
      <c r="AR207" s="18">
        <v>5.71</v>
      </c>
      <c r="AS207" s="18">
        <v>10</v>
      </c>
      <c r="AT207" s="18">
        <v>2.87</v>
      </c>
      <c r="AU207" s="18">
        <v>4.83</v>
      </c>
      <c r="AV207" s="18">
        <v>4.91</v>
      </c>
      <c r="AW207" s="18">
        <v>6.72</v>
      </c>
      <c r="AX207" s="18"/>
      <c r="AY207" s="18">
        <v>1.03</v>
      </c>
      <c r="AZ207" s="18">
        <v>1.03</v>
      </c>
      <c r="BA207" s="18">
        <v>1.04</v>
      </c>
      <c r="BB207" s="18">
        <v>1.03</v>
      </c>
      <c r="BC207" s="18">
        <v>1</v>
      </c>
      <c r="BD207" s="18">
        <v>1.01</v>
      </c>
      <c r="BE207" s="18">
        <v>1.03</v>
      </c>
      <c r="BF207" s="18">
        <v>1.02</v>
      </c>
      <c r="BG207" s="18">
        <v>1.04</v>
      </c>
      <c r="BH207" s="18">
        <v>0.93</v>
      </c>
      <c r="BI207" s="18">
        <v>0.98</v>
      </c>
      <c r="BJ207" s="19"/>
      <c r="BK207" s="18">
        <v>40</v>
      </c>
      <c r="BL207" s="18">
        <v>0.99999999999999989</v>
      </c>
      <c r="BM207" s="18">
        <v>8.3999999999999986</v>
      </c>
      <c r="BN207" s="18">
        <v>0</v>
      </c>
      <c r="BO207" s="18"/>
      <c r="BP207" s="18">
        <v>0</v>
      </c>
      <c r="BQ207" s="18">
        <v>0</v>
      </c>
      <c r="BR207" s="18">
        <v>1.345626984126977</v>
      </c>
      <c r="BS207" s="18">
        <v>1.2950308794063068</v>
      </c>
      <c r="BT207" s="19"/>
      <c r="BU207" s="18">
        <v>916</v>
      </c>
      <c r="BV207" s="18">
        <v>520.05428571428627</v>
      </c>
      <c r="BW207" s="18">
        <v>13.085714285714317</v>
      </c>
      <c r="BX207" s="18">
        <v>0</v>
      </c>
      <c r="BY207" s="18">
        <v>503.99999999999994</v>
      </c>
      <c r="BZ207" s="18">
        <v>0</v>
      </c>
      <c r="CA207" s="18">
        <v>0</v>
      </c>
      <c r="CB207" s="19"/>
      <c r="CC207" s="19">
        <v>1.2232000000000001</v>
      </c>
      <c r="CD207" s="19">
        <v>0.92400000000000004</v>
      </c>
      <c r="CE207" s="19">
        <v>0.58960000000000001</v>
      </c>
      <c r="CF207" s="19">
        <v>0</v>
      </c>
      <c r="CG207" s="19">
        <v>1.4079999999999999</v>
      </c>
      <c r="CH207" s="19">
        <v>0.10560000000000001</v>
      </c>
      <c r="CI207" s="19">
        <v>0</v>
      </c>
      <c r="CJ207" s="19"/>
      <c r="CK207" s="19">
        <v>2.024</v>
      </c>
      <c r="CL207" s="19">
        <v>0.44000000000000006</v>
      </c>
      <c r="CM207" s="19">
        <v>0.35199999999999998</v>
      </c>
      <c r="CN207" s="19">
        <v>4.2239999999999904</v>
      </c>
      <c r="CO207" s="19">
        <v>0</v>
      </c>
      <c r="CP207" s="19">
        <v>1.1440000000000002E-2</v>
      </c>
      <c r="CQ207" s="19">
        <v>33.088000000000001</v>
      </c>
      <c r="CR207" s="19">
        <v>279.42364744115417</v>
      </c>
      <c r="CS207" s="19">
        <v>22.650360285227396</v>
      </c>
      <c r="CT207" s="19">
        <v>7.1088170145504019</v>
      </c>
      <c r="CU207" s="19">
        <v>2.499165102713683</v>
      </c>
      <c r="CV207" s="19">
        <v>9.6079821172640845</v>
      </c>
      <c r="CW207" s="19">
        <v>12.807382880465299</v>
      </c>
      <c r="CX207" s="19">
        <v>3.6325074167350042</v>
      </c>
      <c r="CY207" s="19">
        <v>16.1146411715788</v>
      </c>
      <c r="CZ207" s="19">
        <v>28.780635686438877</v>
      </c>
      <c r="DA207" s="19">
        <v>8.1798478551923459</v>
      </c>
      <c r="DB207" s="19">
        <v>14.036008658264054</v>
      </c>
      <c r="DC207" s="19">
        <v>12.759322013105422</v>
      </c>
      <c r="DD207" s="19">
        <v>26.795330671369477</v>
      </c>
      <c r="DE207" s="19">
        <v>18.401723725884647</v>
      </c>
      <c r="DF207" s="23">
        <v>0</v>
      </c>
      <c r="DG207" s="23">
        <v>0</v>
      </c>
      <c r="DH207" s="23">
        <v>0</v>
      </c>
      <c r="DI207" s="19">
        <v>0</v>
      </c>
      <c r="DJ207" s="19">
        <v>0</v>
      </c>
      <c r="DK207" s="19">
        <v>0</v>
      </c>
      <c r="DL207" s="19">
        <v>0</v>
      </c>
      <c r="DM207" s="19">
        <v>0</v>
      </c>
      <c r="DN207" s="19">
        <v>0</v>
      </c>
      <c r="DO207" s="19">
        <v>0</v>
      </c>
      <c r="DP207" s="19">
        <v>0</v>
      </c>
      <c r="DQ207" s="19">
        <v>0</v>
      </c>
      <c r="DR207" s="19">
        <v>0</v>
      </c>
      <c r="DS207" s="19">
        <v>0</v>
      </c>
      <c r="DT207" s="19">
        <v>0</v>
      </c>
      <c r="DU207" s="19">
        <v>0</v>
      </c>
      <c r="DV207" s="19">
        <v>0</v>
      </c>
      <c r="DW207" s="17" t="s">
        <v>605</v>
      </c>
      <c r="DX207" s="22" t="s">
        <v>218</v>
      </c>
      <c r="DY207" s="22" t="s">
        <v>218</v>
      </c>
      <c r="DZ207" s="22" t="s">
        <v>218</v>
      </c>
      <c r="EA207" s="22" t="s">
        <v>218</v>
      </c>
      <c r="EB207" s="22" t="s">
        <v>218</v>
      </c>
      <c r="EC207" s="22" t="s">
        <v>218</v>
      </c>
      <c r="ED207" s="22" t="s">
        <v>218</v>
      </c>
      <c r="EE207" s="22" t="s">
        <v>218</v>
      </c>
      <c r="EF207" s="22" t="s">
        <v>218</v>
      </c>
      <c r="EG207" s="22" t="s">
        <v>218</v>
      </c>
      <c r="EH207" s="22" t="s">
        <v>218</v>
      </c>
      <c r="EI207" s="22" t="s">
        <v>218</v>
      </c>
      <c r="EJ207" s="22" t="s">
        <v>218</v>
      </c>
      <c r="EK207" s="22" t="s">
        <v>218</v>
      </c>
      <c r="EL207" s="22" t="s">
        <v>218</v>
      </c>
      <c r="EM207" s="22" t="s">
        <v>218</v>
      </c>
      <c r="EN207" s="22" t="s">
        <v>218</v>
      </c>
      <c r="EO207" s="22" t="s">
        <v>218</v>
      </c>
      <c r="EP207" s="22" t="s">
        <v>218</v>
      </c>
      <c r="EQ207" s="22" t="s">
        <v>218</v>
      </c>
      <c r="ER207" s="22" t="s">
        <v>218</v>
      </c>
      <c r="ES207" s="22" t="s">
        <v>218</v>
      </c>
      <c r="ET207" s="22" t="s">
        <v>218</v>
      </c>
      <c r="EU207" s="22" t="s">
        <v>218</v>
      </c>
      <c r="EV207" s="22" t="s">
        <v>218</v>
      </c>
      <c r="EW207" s="22" t="s">
        <v>218</v>
      </c>
      <c r="EX207" s="22" t="s">
        <v>218</v>
      </c>
      <c r="EY207" s="22" t="s">
        <v>218</v>
      </c>
      <c r="EZ207" s="22" t="s">
        <v>218</v>
      </c>
      <c r="FA207" s="22" t="s">
        <v>218</v>
      </c>
      <c r="FB207" s="22" t="s">
        <v>218</v>
      </c>
      <c r="FC207" s="22" t="s">
        <v>218</v>
      </c>
      <c r="FD207" s="22" t="s">
        <v>218</v>
      </c>
      <c r="FE207" s="22" t="s">
        <v>218</v>
      </c>
      <c r="FF207" s="22" t="s">
        <v>218</v>
      </c>
      <c r="FG207" s="22" t="s">
        <v>218</v>
      </c>
      <c r="FH207" s="22" t="s">
        <v>218</v>
      </c>
      <c r="FI207" s="22" t="s">
        <v>218</v>
      </c>
      <c r="FJ207" s="22" t="s">
        <v>218</v>
      </c>
      <c r="FK207" s="22" t="s">
        <v>218</v>
      </c>
      <c r="FL207" s="22" t="s">
        <v>218</v>
      </c>
      <c r="FM207" s="22" t="s">
        <v>218</v>
      </c>
      <c r="FN207" s="22" t="s">
        <v>218</v>
      </c>
      <c r="FO207" s="22" t="s">
        <v>218</v>
      </c>
      <c r="FP207" s="22" t="s">
        <v>218</v>
      </c>
      <c r="FQ207" s="22" t="s">
        <v>218</v>
      </c>
      <c r="FR207" s="22" t="s">
        <v>218</v>
      </c>
      <c r="FS207" s="22" t="s">
        <v>218</v>
      </c>
      <c r="FT207" s="22" t="s">
        <v>218</v>
      </c>
      <c r="FU207" s="22" t="s">
        <v>218</v>
      </c>
      <c r="FV207" s="22" t="s">
        <v>218</v>
      </c>
      <c r="FW207" s="22" t="s">
        <v>218</v>
      </c>
      <c r="FX207" s="22" t="s">
        <v>218</v>
      </c>
      <c r="FY207" s="22" t="s">
        <v>218</v>
      </c>
      <c r="FZ207" s="22" t="s">
        <v>218</v>
      </c>
      <c r="GA207" s="22" t="s">
        <v>218</v>
      </c>
      <c r="GB207" s="22" t="s">
        <v>218</v>
      </c>
      <c r="GC207" s="22" t="s">
        <v>218</v>
      </c>
      <c r="GD207" s="22" t="s">
        <v>218</v>
      </c>
      <c r="GE207" s="22" t="s">
        <v>218</v>
      </c>
      <c r="GF207" s="22" t="s">
        <v>218</v>
      </c>
      <c r="GG207" s="22" t="s">
        <v>218</v>
      </c>
      <c r="GH207" s="22" t="s">
        <v>218</v>
      </c>
      <c r="GI207" s="22" t="s">
        <v>218</v>
      </c>
      <c r="GJ207" s="22" t="s">
        <v>218</v>
      </c>
      <c r="GK207" s="22" t="s">
        <v>218</v>
      </c>
      <c r="GL207" s="22" t="s">
        <v>218</v>
      </c>
      <c r="GM207" s="22" t="s">
        <v>218</v>
      </c>
      <c r="GN207" s="22" t="s">
        <v>218</v>
      </c>
      <c r="GO207" s="22" t="s">
        <v>218</v>
      </c>
      <c r="GP207" s="22" t="s">
        <v>218</v>
      </c>
      <c r="GQ207" s="22" t="s">
        <v>218</v>
      </c>
      <c r="GR207" s="22" t="s">
        <v>218</v>
      </c>
      <c r="GS207" s="22" t="s">
        <v>218</v>
      </c>
      <c r="GT207" s="22" t="s">
        <v>218</v>
      </c>
      <c r="GU207" s="22" t="s">
        <v>218</v>
      </c>
      <c r="GV207" s="22" t="s">
        <v>218</v>
      </c>
      <c r="GW207" s="22" t="s">
        <v>218</v>
      </c>
      <c r="GX207" s="22" t="s">
        <v>218</v>
      </c>
      <c r="GY207" s="22" t="s">
        <v>218</v>
      </c>
      <c r="GZ207" s="22" t="s">
        <v>218</v>
      </c>
      <c r="HA207" s="22" t="s">
        <v>218</v>
      </c>
      <c r="HB207" s="22" t="s">
        <v>218</v>
      </c>
      <c r="HC207" s="22" t="s">
        <v>218</v>
      </c>
      <c r="HD207" s="22" t="s">
        <v>218</v>
      </c>
      <c r="HE207" s="22" t="s">
        <v>218</v>
      </c>
      <c r="HF207" s="22" t="s">
        <v>218</v>
      </c>
      <c r="HG207" s="22" t="s">
        <v>218</v>
      </c>
      <c r="HH207" s="22" t="s">
        <v>218</v>
      </c>
      <c r="HI207" s="22" t="s">
        <v>218</v>
      </c>
      <c r="HJ207" s="22" t="s">
        <v>218</v>
      </c>
      <c r="HK207" s="22" t="s">
        <v>218</v>
      </c>
      <c r="HL207" s="22" t="s">
        <v>218</v>
      </c>
      <c r="HM207" s="622">
        <v>8.1999999999999993</v>
      </c>
      <c r="HN207" s="861"/>
      <c r="HO207" s="861"/>
      <c r="HP207" s="861"/>
      <c r="HQ207" s="861"/>
      <c r="HR207" s="861"/>
      <c r="HS207" s="861"/>
      <c r="HT207" s="145" t="s">
        <v>1804</v>
      </c>
      <c r="HU207" s="145" t="s">
        <v>1809</v>
      </c>
      <c r="HV207" s="22" t="s">
        <v>1973</v>
      </c>
      <c r="HW207" s="22" t="s">
        <v>606</v>
      </c>
      <c r="HX207" s="22">
        <v>0</v>
      </c>
      <c r="HY207" s="22">
        <v>0</v>
      </c>
      <c r="HZ207" s="19"/>
      <c r="IA207" s="19"/>
      <c r="IB207" s="622">
        <v>8.1999999999999993</v>
      </c>
      <c r="IC207" s="624">
        <f>'background data'!$H$10</f>
        <v>0.13</v>
      </c>
      <c r="ID207" s="624">
        <f>'background data'!$J$10</f>
        <v>0.39100000000000001</v>
      </c>
      <c r="IE207" s="624">
        <f>'background data'!$L$10</f>
        <v>5.5E-2</v>
      </c>
      <c r="IF207" s="624">
        <f>'background data'!$M$10</f>
        <v>3.97</v>
      </c>
      <c r="IG207" s="624">
        <f>'background data'!$N$10</f>
        <v>4.5999999999999999E-3</v>
      </c>
      <c r="IH207" s="624">
        <f>'background data'!$O$10</f>
        <v>2.73</v>
      </c>
      <c r="II207" s="145" t="s">
        <v>1804</v>
      </c>
      <c r="IJ207" s="145"/>
      <c r="IK207" s="145"/>
      <c r="IL207" s="145"/>
      <c r="IM207" s="145"/>
      <c r="IN207" s="145"/>
      <c r="IO207" s="145"/>
      <c r="IP207" s="145"/>
      <c r="IQ207" s="145"/>
      <c r="IR207" s="145"/>
      <c r="IS207" s="145"/>
      <c r="IT207" s="145"/>
      <c r="IU207" s="145"/>
      <c r="IV207" s="145"/>
      <c r="IW207" s="145"/>
      <c r="IX207" s="145"/>
      <c r="IY207" s="145"/>
      <c r="IZ207" s="145"/>
      <c r="JA207" s="145"/>
      <c r="JB207" s="145"/>
      <c r="JC207" s="145"/>
      <c r="JD207" s="145"/>
      <c r="JE207" s="145"/>
      <c r="JF207" s="145"/>
      <c r="JG207" s="145"/>
      <c r="JH207" s="145"/>
      <c r="JI207" s="145"/>
      <c r="JJ207" s="145"/>
      <c r="JK207" s="145"/>
      <c r="JL207" s="145"/>
      <c r="JM207" s="145"/>
      <c r="JN207" s="145"/>
      <c r="JO207" s="145"/>
      <c r="JP207" s="145"/>
      <c r="JQ207" s="145"/>
      <c r="JR207" s="145"/>
      <c r="JS207" s="145"/>
      <c r="JT207" s="145"/>
      <c r="JU207" s="145"/>
      <c r="JV207" s="145"/>
      <c r="JW207" s="145"/>
      <c r="JX207" s="145"/>
      <c r="JY207" s="145"/>
      <c r="JZ207" s="145"/>
      <c r="KA207" s="145"/>
      <c r="KB207" s="145"/>
      <c r="KC207" s="145"/>
      <c r="KD207" s="145"/>
      <c r="KE207" s="145"/>
      <c r="KF207" s="145"/>
      <c r="KG207" s="145"/>
      <c r="KH207" s="145"/>
      <c r="KI207" s="145"/>
      <c r="KJ207" s="145"/>
      <c r="KK207" s="145"/>
      <c r="KL207" s="145"/>
      <c r="KM207" s="145"/>
      <c r="KN207" s="145"/>
      <c r="KO207" s="145"/>
      <c r="KP207" s="145"/>
      <c r="KQ207" s="145"/>
      <c r="KR207" s="145"/>
      <c r="KS207" s="145"/>
      <c r="KT207" s="145"/>
      <c r="KU207" s="145"/>
      <c r="KV207" s="145"/>
      <c r="KW207" s="145"/>
      <c r="KX207" s="145"/>
      <c r="KY207" s="145"/>
      <c r="KZ207" s="145"/>
      <c r="LA207" s="145"/>
      <c r="LB207" s="145"/>
      <c r="LC207" s="145"/>
      <c r="LD207" s="145"/>
      <c r="LE207" s="145"/>
      <c r="LF207" s="145"/>
      <c r="LG207" s="145"/>
      <c r="LH207" s="145"/>
      <c r="LI207" s="145"/>
      <c r="LJ207" s="145"/>
      <c r="LK207" s="145"/>
      <c r="LL207" s="145"/>
      <c r="LM207" s="145"/>
      <c r="LN207" s="145"/>
      <c r="LO207" s="145"/>
      <c r="LP207" s="145"/>
      <c r="LQ207" s="145"/>
      <c r="LR207" s="145"/>
      <c r="LS207" s="145"/>
      <c r="LT207" s="145"/>
      <c r="LU207" s="145"/>
      <c r="LV207" s="145"/>
      <c r="LW207" s="145"/>
      <c r="LX207" s="145"/>
      <c r="LY207" s="145"/>
      <c r="LZ207" s="145"/>
      <c r="MA207" s="145"/>
      <c r="MB207" s="145"/>
      <c r="MC207" s="145"/>
      <c r="MD207" s="145"/>
      <c r="ME207" s="145"/>
      <c r="MF207" s="145"/>
      <c r="MG207" s="145"/>
      <c r="MH207" s="145"/>
      <c r="MI207" s="145"/>
      <c r="MJ207" s="145"/>
      <c r="MK207" s="145"/>
      <c r="ML207" s="145"/>
      <c r="MM207" s="145"/>
      <c r="MN207" s="145"/>
      <c r="MO207" s="145"/>
      <c r="MP207" s="145"/>
      <c r="MQ207" s="145"/>
      <c r="MR207" s="145"/>
      <c r="MS207" s="145"/>
      <c r="MT207" s="145"/>
      <c r="MU207" s="145"/>
      <c r="MV207" s="145"/>
      <c r="MW207" s="145"/>
      <c r="MX207" s="145"/>
      <c r="MY207" s="145"/>
      <c r="MZ207" s="145"/>
      <c r="NA207" s="145"/>
      <c r="NB207" s="145"/>
      <c r="NC207" s="145"/>
      <c r="ND207" s="145"/>
      <c r="NE207" s="145"/>
      <c r="NF207" s="145"/>
      <c r="NG207" s="145"/>
      <c r="NH207" s="145"/>
      <c r="NI207" s="145"/>
      <c r="NJ207" s="145"/>
      <c r="NK207" s="145"/>
      <c r="NL207" s="145"/>
      <c r="NM207" s="145"/>
      <c r="NN207" s="145"/>
      <c r="NO207" s="145"/>
      <c r="NP207" s="145"/>
      <c r="NQ207" s="145"/>
      <c r="NR207" s="145"/>
      <c r="NS207" s="145"/>
    </row>
    <row r="208" spans="1:383" s="16" customFormat="1" ht="15" customHeight="1" x14ac:dyDescent="0.2">
      <c r="A208" s="15">
        <v>75600</v>
      </c>
      <c r="B208" s="25">
        <v>756</v>
      </c>
      <c r="C208" s="26">
        <v>0</v>
      </c>
      <c r="D208" s="20" t="s">
        <v>607</v>
      </c>
      <c r="E208" s="14">
        <v>40310</v>
      </c>
      <c r="F208" s="18">
        <v>1.2873559860627199</v>
      </c>
      <c r="G208" s="18">
        <v>1.2389684909833101</v>
      </c>
      <c r="H208" s="21">
        <v>99</v>
      </c>
      <c r="I208" s="21">
        <v>98</v>
      </c>
      <c r="J208" s="21">
        <v>99</v>
      </c>
      <c r="K208" s="18">
        <v>1</v>
      </c>
      <c r="L208" s="18">
        <v>96</v>
      </c>
      <c r="M208" s="18">
        <v>35.423999999999999</v>
      </c>
      <c r="N208" s="18">
        <v>0.48</v>
      </c>
      <c r="O208" s="18">
        <v>8.0640000000000001</v>
      </c>
      <c r="P208" s="18">
        <v>0</v>
      </c>
      <c r="Q208" s="19"/>
      <c r="R208" s="18">
        <v>94</v>
      </c>
      <c r="S208" s="18">
        <v>58</v>
      </c>
      <c r="T208" s="18">
        <v>58</v>
      </c>
      <c r="U208" s="18">
        <v>58</v>
      </c>
      <c r="V208" s="18">
        <v>58</v>
      </c>
      <c r="W208" s="18">
        <v>58</v>
      </c>
      <c r="X208" s="18"/>
      <c r="Y208" s="18">
        <v>13.7</v>
      </c>
      <c r="Z208" s="18">
        <v>10.199999999999999</v>
      </c>
      <c r="AA208" s="18">
        <v>5.6000000000000005</v>
      </c>
      <c r="AB208" s="18">
        <v>0</v>
      </c>
      <c r="AC208" s="18">
        <v>14</v>
      </c>
      <c r="AD208" s="18">
        <v>1.2</v>
      </c>
      <c r="AE208" s="18">
        <v>3.4</v>
      </c>
      <c r="AF208" s="18">
        <v>4</v>
      </c>
      <c r="AG208" s="18">
        <v>3</v>
      </c>
      <c r="AH208" s="18">
        <v>2</v>
      </c>
      <c r="AI208" s="18">
        <v>44</v>
      </c>
      <c r="AJ208" s="18">
        <v>0</v>
      </c>
      <c r="AK208" s="18">
        <v>0.13</v>
      </c>
      <c r="AL208" s="18"/>
      <c r="AM208" s="18">
        <v>7.87</v>
      </c>
      <c r="AN208" s="18">
        <v>2.4700000000000002</v>
      </c>
      <c r="AO208" s="18">
        <v>0.86</v>
      </c>
      <c r="AP208" s="18">
        <v>4.45</v>
      </c>
      <c r="AQ208" s="18">
        <v>1.3</v>
      </c>
      <c r="AR208" s="18">
        <v>5.71</v>
      </c>
      <c r="AS208" s="18">
        <v>10</v>
      </c>
      <c r="AT208" s="18">
        <v>2.87</v>
      </c>
      <c r="AU208" s="18">
        <v>4.83</v>
      </c>
      <c r="AV208" s="18">
        <v>4.91</v>
      </c>
      <c r="AW208" s="18">
        <v>6.72</v>
      </c>
      <c r="AX208" s="18"/>
      <c r="AY208" s="18">
        <v>1.03</v>
      </c>
      <c r="AZ208" s="18">
        <v>1.03</v>
      </c>
      <c r="BA208" s="18">
        <v>1.04</v>
      </c>
      <c r="BB208" s="18">
        <v>1.03</v>
      </c>
      <c r="BC208" s="18">
        <v>1</v>
      </c>
      <c r="BD208" s="18">
        <v>1.01</v>
      </c>
      <c r="BE208" s="18">
        <v>1.03</v>
      </c>
      <c r="BF208" s="18">
        <v>1.02</v>
      </c>
      <c r="BG208" s="18">
        <v>1.04</v>
      </c>
      <c r="BH208" s="18">
        <v>0.93</v>
      </c>
      <c r="BI208" s="18">
        <v>0.98</v>
      </c>
      <c r="BJ208" s="19"/>
      <c r="BK208" s="18">
        <v>36.9</v>
      </c>
      <c r="BL208" s="18">
        <v>0.5</v>
      </c>
      <c r="BM208" s="18">
        <v>8.4</v>
      </c>
      <c r="BN208" s="18">
        <v>0</v>
      </c>
      <c r="BO208" s="18"/>
      <c r="BP208" s="18">
        <v>34</v>
      </c>
      <c r="BQ208" s="18">
        <v>1.7</v>
      </c>
      <c r="BR208" s="18">
        <v>1.3409958188153333</v>
      </c>
      <c r="BS208" s="18">
        <v>1.2905921781076146</v>
      </c>
      <c r="BT208" s="19"/>
      <c r="BU208" s="18">
        <v>916</v>
      </c>
      <c r="BV208" s="18">
        <v>553.11428571428644</v>
      </c>
      <c r="BW208" s="18">
        <v>13.085714285714271</v>
      </c>
      <c r="BX208" s="18">
        <v>0</v>
      </c>
      <c r="BY208" s="18">
        <v>504</v>
      </c>
      <c r="BZ208" s="18">
        <v>0</v>
      </c>
      <c r="CA208" s="18">
        <v>0</v>
      </c>
      <c r="CB208" s="19"/>
      <c r="CC208" s="19">
        <v>13.151999999999999</v>
      </c>
      <c r="CD208" s="19">
        <v>9.7919999999999998</v>
      </c>
      <c r="CE208" s="19">
        <v>5.3760000000000003</v>
      </c>
      <c r="CF208" s="19">
        <v>0</v>
      </c>
      <c r="CG208" s="19">
        <v>13.44</v>
      </c>
      <c r="CH208" s="19">
        <v>1.1519999999999999</v>
      </c>
      <c r="CI208" s="19">
        <v>3.2639999999999998</v>
      </c>
      <c r="CJ208" s="19"/>
      <c r="CK208" s="19">
        <v>3.84</v>
      </c>
      <c r="CL208" s="19">
        <v>2.88</v>
      </c>
      <c r="CM208" s="19">
        <v>1.92</v>
      </c>
      <c r="CN208" s="19">
        <v>42.239999999999995</v>
      </c>
      <c r="CO208" s="19">
        <v>0</v>
      </c>
      <c r="CP208" s="19">
        <v>0.12479999999999999</v>
      </c>
      <c r="CQ208" s="19">
        <v>332.98559999999998</v>
      </c>
      <c r="CR208" s="19">
        <v>258.65852460779791</v>
      </c>
      <c r="CS208" s="19">
        <v>20.967118663232707</v>
      </c>
      <c r="CT208" s="19">
        <v>6.580531524546986</v>
      </c>
      <c r="CU208" s="19">
        <v>2.3134418440921447</v>
      </c>
      <c r="CV208" s="19">
        <v>8.8939733686391307</v>
      </c>
      <c r="CW208" s="19">
        <v>11.855613475398417</v>
      </c>
      <c r="CX208" s="19">
        <v>3.3625608199013728</v>
      </c>
      <c r="CY208" s="19">
        <v>14.917095772656316</v>
      </c>
      <c r="CZ208" s="19">
        <v>26.641828034603183</v>
      </c>
      <c r="DA208" s="19">
        <v>7.5719696493686754</v>
      </c>
      <c r="DB208" s="19">
        <v>12.992935008098906</v>
      </c>
      <c r="DC208" s="19">
        <v>11.811124209165877</v>
      </c>
      <c r="DD208" s="19">
        <v>24.804059217264783</v>
      </c>
      <c r="DE208" s="19">
        <v>17.034215796571139</v>
      </c>
      <c r="DF208" s="23">
        <v>0</v>
      </c>
      <c r="DG208" s="23">
        <v>0</v>
      </c>
      <c r="DH208" s="23">
        <v>0</v>
      </c>
      <c r="DI208" s="19">
        <v>0</v>
      </c>
      <c r="DJ208" s="19">
        <v>0</v>
      </c>
      <c r="DK208" s="19">
        <v>0</v>
      </c>
      <c r="DL208" s="19">
        <v>0</v>
      </c>
      <c r="DM208" s="19">
        <v>0</v>
      </c>
      <c r="DN208" s="19">
        <v>0</v>
      </c>
      <c r="DO208" s="19">
        <v>0</v>
      </c>
      <c r="DP208" s="19">
        <v>0</v>
      </c>
      <c r="DQ208" s="19">
        <v>0</v>
      </c>
      <c r="DR208" s="19">
        <v>0</v>
      </c>
      <c r="DS208" s="19">
        <v>0</v>
      </c>
      <c r="DT208" s="19">
        <v>0</v>
      </c>
      <c r="DU208" s="19">
        <v>0</v>
      </c>
      <c r="DV208" s="19">
        <v>0</v>
      </c>
      <c r="DW208" s="17" t="s">
        <v>605</v>
      </c>
      <c r="DX208" s="22" t="s">
        <v>218</v>
      </c>
      <c r="DY208" s="22" t="s">
        <v>218</v>
      </c>
      <c r="DZ208" s="22">
        <v>1</v>
      </c>
      <c r="EA208" s="22">
        <v>1</v>
      </c>
      <c r="EB208" s="22" t="s">
        <v>218</v>
      </c>
      <c r="EC208" s="22">
        <v>1</v>
      </c>
      <c r="ED208" s="22">
        <v>1</v>
      </c>
      <c r="EE208" s="22" t="s">
        <v>218</v>
      </c>
      <c r="EF208" s="22">
        <v>1</v>
      </c>
      <c r="EG208" s="22" t="s">
        <v>218</v>
      </c>
      <c r="EH208" s="22" t="s">
        <v>218</v>
      </c>
      <c r="EI208" s="22" t="s">
        <v>218</v>
      </c>
      <c r="EJ208" s="22" t="s">
        <v>218</v>
      </c>
      <c r="EK208" s="22" t="s">
        <v>218</v>
      </c>
      <c r="EL208" s="22" t="s">
        <v>218</v>
      </c>
      <c r="EM208" s="22" t="s">
        <v>218</v>
      </c>
      <c r="EN208" s="22" t="s">
        <v>218</v>
      </c>
      <c r="EO208" s="22" t="s">
        <v>218</v>
      </c>
      <c r="EP208" s="22" t="s">
        <v>218</v>
      </c>
      <c r="EQ208" s="22" t="s">
        <v>218</v>
      </c>
      <c r="ER208" s="22" t="s">
        <v>218</v>
      </c>
      <c r="ES208" s="22" t="s">
        <v>218</v>
      </c>
      <c r="ET208" s="22" t="s">
        <v>218</v>
      </c>
      <c r="EU208" s="22" t="s">
        <v>218</v>
      </c>
      <c r="EV208" s="22" t="s">
        <v>218</v>
      </c>
      <c r="EW208" s="22" t="s">
        <v>218</v>
      </c>
      <c r="EX208" s="22" t="s">
        <v>218</v>
      </c>
      <c r="EY208" s="22" t="s">
        <v>218</v>
      </c>
      <c r="EZ208" s="22" t="s">
        <v>218</v>
      </c>
      <c r="FA208" s="22" t="s">
        <v>218</v>
      </c>
      <c r="FB208" s="22" t="s">
        <v>218</v>
      </c>
      <c r="FC208" s="22" t="s">
        <v>218</v>
      </c>
      <c r="FD208" s="22" t="s">
        <v>218</v>
      </c>
      <c r="FE208" s="22" t="s">
        <v>218</v>
      </c>
      <c r="FF208" s="22" t="s">
        <v>218</v>
      </c>
      <c r="FG208" s="22" t="s">
        <v>218</v>
      </c>
      <c r="FH208" s="22" t="s">
        <v>218</v>
      </c>
      <c r="FI208" s="22" t="s">
        <v>218</v>
      </c>
      <c r="FJ208" s="22" t="s">
        <v>218</v>
      </c>
      <c r="FK208" s="22" t="s">
        <v>218</v>
      </c>
      <c r="FL208" s="22" t="s">
        <v>218</v>
      </c>
      <c r="FM208" s="22" t="s">
        <v>218</v>
      </c>
      <c r="FN208" s="22" t="s">
        <v>218</v>
      </c>
      <c r="FO208" s="22" t="s">
        <v>218</v>
      </c>
      <c r="FP208" s="22" t="s">
        <v>218</v>
      </c>
      <c r="FQ208" s="22" t="s">
        <v>218</v>
      </c>
      <c r="FR208" s="22" t="s">
        <v>218</v>
      </c>
      <c r="FS208" s="22" t="s">
        <v>218</v>
      </c>
      <c r="FT208" s="22" t="s">
        <v>218</v>
      </c>
      <c r="FU208" s="22" t="s">
        <v>218</v>
      </c>
      <c r="FV208" s="22" t="s">
        <v>218</v>
      </c>
      <c r="FW208" s="22" t="s">
        <v>218</v>
      </c>
      <c r="FX208" s="22" t="s">
        <v>218</v>
      </c>
      <c r="FY208" s="22" t="s">
        <v>218</v>
      </c>
      <c r="FZ208" s="22" t="s">
        <v>218</v>
      </c>
      <c r="GA208" s="22" t="s">
        <v>218</v>
      </c>
      <c r="GB208" s="22" t="s">
        <v>218</v>
      </c>
      <c r="GC208" s="22" t="s">
        <v>218</v>
      </c>
      <c r="GD208" s="22" t="s">
        <v>218</v>
      </c>
      <c r="GE208" s="22" t="s">
        <v>218</v>
      </c>
      <c r="GF208" s="22" t="s">
        <v>218</v>
      </c>
      <c r="GG208" s="22" t="s">
        <v>218</v>
      </c>
      <c r="GH208" s="22" t="s">
        <v>218</v>
      </c>
      <c r="GI208" s="22" t="s">
        <v>218</v>
      </c>
      <c r="GJ208" s="22" t="s">
        <v>218</v>
      </c>
      <c r="GK208" s="22" t="s">
        <v>218</v>
      </c>
      <c r="GL208" s="22" t="s">
        <v>218</v>
      </c>
      <c r="GM208" s="22" t="s">
        <v>218</v>
      </c>
      <c r="GN208" s="22" t="s">
        <v>218</v>
      </c>
      <c r="GO208" s="22" t="s">
        <v>218</v>
      </c>
      <c r="GP208" s="22">
        <v>2005</v>
      </c>
      <c r="GQ208" s="22">
        <v>2005</v>
      </c>
      <c r="GR208" s="22" t="s">
        <v>218</v>
      </c>
      <c r="GS208" s="22">
        <v>2005</v>
      </c>
      <c r="GT208" s="22">
        <v>2005</v>
      </c>
      <c r="GU208" s="22" t="s">
        <v>218</v>
      </c>
      <c r="GV208" s="22">
        <v>2005</v>
      </c>
      <c r="GW208" s="22" t="s">
        <v>218</v>
      </c>
      <c r="GX208" s="22" t="s">
        <v>218</v>
      </c>
      <c r="GY208" s="22" t="s">
        <v>218</v>
      </c>
      <c r="GZ208" s="22" t="s">
        <v>218</v>
      </c>
      <c r="HA208" s="22" t="s">
        <v>218</v>
      </c>
      <c r="HB208" s="22" t="s">
        <v>218</v>
      </c>
      <c r="HC208" s="22" t="s">
        <v>218</v>
      </c>
      <c r="HD208" s="22" t="s">
        <v>218</v>
      </c>
      <c r="HE208" s="22" t="s">
        <v>218</v>
      </c>
      <c r="HF208" s="22" t="s">
        <v>218</v>
      </c>
      <c r="HG208" s="22" t="s">
        <v>218</v>
      </c>
      <c r="HH208" s="22" t="s">
        <v>218</v>
      </c>
      <c r="HI208" s="22" t="s">
        <v>218</v>
      </c>
      <c r="HJ208" s="22" t="s">
        <v>218</v>
      </c>
      <c r="HK208" s="22" t="s">
        <v>218</v>
      </c>
      <c r="HL208" s="22" t="s">
        <v>218</v>
      </c>
      <c r="HM208" s="622">
        <v>8.1999999999999993</v>
      </c>
      <c r="HN208" s="861"/>
      <c r="HO208" s="861"/>
      <c r="HP208" s="861"/>
      <c r="HQ208" s="861"/>
      <c r="HR208" s="861"/>
      <c r="HS208" s="861"/>
      <c r="HT208" s="145" t="s">
        <v>1804</v>
      </c>
      <c r="HU208" s="145" t="s">
        <v>1809</v>
      </c>
      <c r="HV208" s="22" t="s">
        <v>1974</v>
      </c>
      <c r="HW208" s="22" t="s">
        <v>608</v>
      </c>
      <c r="HX208" s="22" t="s">
        <v>609</v>
      </c>
      <c r="HY208" s="22" t="s">
        <v>610</v>
      </c>
      <c r="HZ208" s="19"/>
      <c r="IA208" s="19"/>
      <c r="IB208" s="622">
        <v>8.1999999999999993</v>
      </c>
      <c r="IC208" s="624">
        <f>'background data'!$H$10</f>
        <v>0.13</v>
      </c>
      <c r="ID208" s="624">
        <f>'background data'!$J$10</f>
        <v>0.39100000000000001</v>
      </c>
      <c r="IE208" s="624">
        <f>'background data'!$L$10</f>
        <v>5.5E-2</v>
      </c>
      <c r="IF208" s="624">
        <f>'background data'!$M$10</f>
        <v>3.97</v>
      </c>
      <c r="IG208" s="624">
        <f>'background data'!$N$10</f>
        <v>4.5999999999999999E-3</v>
      </c>
      <c r="IH208" s="624">
        <f>'background data'!$O$10</f>
        <v>2.73</v>
      </c>
      <c r="II208" s="145" t="s">
        <v>1804</v>
      </c>
      <c r="IJ208" s="145"/>
      <c r="IK208" s="145"/>
      <c r="IL208" s="145"/>
      <c r="IM208" s="145"/>
      <c r="IN208" s="145"/>
      <c r="IO208" s="145"/>
      <c r="IP208" s="145"/>
      <c r="IQ208" s="145"/>
      <c r="IR208" s="145"/>
      <c r="IS208" s="145"/>
      <c r="IT208" s="145"/>
      <c r="IU208" s="145"/>
      <c r="IV208" s="145"/>
      <c r="IW208" s="145"/>
      <c r="IX208" s="145"/>
      <c r="IY208" s="145"/>
      <c r="IZ208" s="145"/>
      <c r="JA208" s="145"/>
      <c r="JB208" s="145"/>
      <c r="JC208" s="145"/>
      <c r="JD208" s="145"/>
      <c r="JE208" s="145"/>
      <c r="JF208" s="145"/>
      <c r="JG208" s="145"/>
      <c r="JH208" s="145"/>
      <c r="JI208" s="145"/>
      <c r="JJ208" s="145"/>
      <c r="JK208" s="145"/>
      <c r="JL208" s="145"/>
      <c r="JM208" s="145"/>
      <c r="JN208" s="145"/>
      <c r="JO208" s="145"/>
      <c r="JP208" s="145"/>
      <c r="JQ208" s="145"/>
      <c r="JR208" s="145"/>
      <c r="JS208" s="145"/>
      <c r="JT208" s="145"/>
      <c r="JU208" s="145"/>
      <c r="JV208" s="145"/>
      <c r="JW208" s="145"/>
      <c r="JX208" s="145"/>
      <c r="JY208" s="145"/>
      <c r="JZ208" s="145"/>
      <c r="KA208" s="145"/>
      <c r="KB208" s="145"/>
      <c r="KC208" s="145"/>
      <c r="KD208" s="145"/>
      <c r="KE208" s="145"/>
      <c r="KF208" s="145"/>
      <c r="KG208" s="145"/>
      <c r="KH208" s="145"/>
      <c r="KI208" s="145"/>
      <c r="KJ208" s="145"/>
      <c r="KK208" s="145"/>
      <c r="KL208" s="145"/>
      <c r="KM208" s="145"/>
      <c r="KN208" s="145"/>
      <c r="KO208" s="145"/>
      <c r="KP208" s="145"/>
      <c r="KQ208" s="145"/>
      <c r="KR208" s="145"/>
      <c r="KS208" s="145"/>
      <c r="KT208" s="145"/>
      <c r="KU208" s="145"/>
      <c r="KV208" s="145"/>
      <c r="KW208" s="145"/>
      <c r="KX208" s="145"/>
      <c r="KY208" s="145"/>
      <c r="KZ208" s="145"/>
      <c r="LA208" s="145"/>
      <c r="LB208" s="145"/>
      <c r="LC208" s="145"/>
      <c r="LD208" s="145"/>
      <c r="LE208" s="145"/>
      <c r="LF208" s="145"/>
      <c r="LG208" s="145"/>
      <c r="LH208" s="145"/>
      <c r="LI208" s="145"/>
      <c r="LJ208" s="145"/>
      <c r="LK208" s="145"/>
      <c r="LL208" s="145"/>
      <c r="LM208" s="145"/>
      <c r="LN208" s="145"/>
      <c r="LO208" s="145"/>
      <c r="LP208" s="145"/>
      <c r="LQ208" s="145"/>
      <c r="LR208" s="145"/>
      <c r="LS208" s="145"/>
      <c r="LT208" s="145"/>
      <c r="LU208" s="145"/>
      <c r="LV208" s="145"/>
      <c r="LW208" s="145"/>
      <c r="LX208" s="145"/>
      <c r="LY208" s="145"/>
      <c r="LZ208" s="145"/>
      <c r="MA208" s="145"/>
      <c r="MB208" s="145"/>
      <c r="MC208" s="145"/>
      <c r="MD208" s="145"/>
      <c r="ME208" s="145"/>
      <c r="MF208" s="145"/>
      <c r="MG208" s="145"/>
      <c r="MH208" s="145"/>
      <c r="MI208" s="145"/>
      <c r="MJ208" s="145"/>
      <c r="MK208" s="145"/>
      <c r="ML208" s="145"/>
      <c r="MM208" s="145"/>
      <c r="MN208" s="145"/>
      <c r="MO208" s="145"/>
      <c r="MP208" s="145"/>
      <c r="MQ208" s="145"/>
      <c r="MR208" s="145"/>
      <c r="MS208" s="145"/>
      <c r="MT208" s="145"/>
      <c r="MU208" s="145"/>
      <c r="MV208" s="145"/>
      <c r="MW208" s="145"/>
      <c r="MX208" s="145"/>
      <c r="MY208" s="145"/>
      <c r="MZ208" s="145"/>
      <c r="NA208" s="145"/>
      <c r="NB208" s="145"/>
      <c r="NC208" s="145"/>
      <c r="ND208" s="145"/>
      <c r="NE208" s="145"/>
      <c r="NF208" s="145"/>
      <c r="NG208" s="145"/>
      <c r="NH208" s="145"/>
      <c r="NI208" s="145"/>
      <c r="NJ208" s="145"/>
      <c r="NK208" s="145"/>
      <c r="NL208" s="145"/>
      <c r="NM208" s="145"/>
      <c r="NN208" s="145"/>
      <c r="NO208" s="145"/>
      <c r="NP208" s="145"/>
      <c r="NQ208" s="145"/>
      <c r="NR208" s="145"/>
      <c r="NS208" s="145"/>
    </row>
    <row r="209" spans="1:383" s="16" customFormat="1" ht="15" customHeight="1" x14ac:dyDescent="0.2">
      <c r="A209" s="15">
        <v>75700</v>
      </c>
      <c r="B209" s="25">
        <v>757</v>
      </c>
      <c r="C209" s="26">
        <v>0</v>
      </c>
      <c r="D209" s="20" t="s">
        <v>611</v>
      </c>
      <c r="E209" s="14">
        <v>40310</v>
      </c>
      <c r="F209" s="18">
        <v>1.3027731029810301</v>
      </c>
      <c r="G209" s="18">
        <v>1.25589916103896</v>
      </c>
      <c r="H209" s="21">
        <v>96</v>
      </c>
      <c r="I209" s="21">
        <v>96</v>
      </c>
      <c r="J209" s="21">
        <v>96</v>
      </c>
      <c r="K209" s="18">
        <v>1</v>
      </c>
      <c r="L209" s="18">
        <v>95</v>
      </c>
      <c r="M209" s="18">
        <v>32.299999999999997</v>
      </c>
      <c r="N209" s="18">
        <v>3.61</v>
      </c>
      <c r="O209" s="18">
        <v>8.6449999999999996</v>
      </c>
      <c r="P209" s="18">
        <v>1.1399999999999999</v>
      </c>
      <c r="Q209" s="19"/>
      <c r="R209" s="18">
        <v>94</v>
      </c>
      <c r="S209" s="18">
        <v>58</v>
      </c>
      <c r="T209" s="18">
        <v>58</v>
      </c>
      <c r="U209" s="18">
        <v>58</v>
      </c>
      <c r="V209" s="18">
        <v>58</v>
      </c>
      <c r="W209" s="18">
        <v>58</v>
      </c>
      <c r="X209" s="18"/>
      <c r="Y209" s="18">
        <v>13.360550000000002</v>
      </c>
      <c r="Z209" s="18">
        <v>9.72682</v>
      </c>
      <c r="AA209" s="18">
        <v>6.3012299999999994</v>
      </c>
      <c r="AB209" s="18">
        <v>0</v>
      </c>
      <c r="AC209" s="18">
        <v>16.497540000000001</v>
      </c>
      <c r="AD209" s="18">
        <v>1.22451</v>
      </c>
      <c r="AE209" s="18">
        <v>3.4</v>
      </c>
      <c r="AF209" s="18">
        <v>43.965326999999995</v>
      </c>
      <c r="AG209" s="18">
        <v>5.0631050000000002</v>
      </c>
      <c r="AH209" s="18">
        <v>8.8444710000000004</v>
      </c>
      <c r="AI209" s="18">
        <v>46.013621999999998</v>
      </c>
      <c r="AJ209" s="18">
        <v>0</v>
      </c>
      <c r="AK209" s="18">
        <v>0.12289600000000001</v>
      </c>
      <c r="AL209" s="18"/>
      <c r="AM209" s="18">
        <v>7.9</v>
      </c>
      <c r="AN209" s="18">
        <v>2.4</v>
      </c>
      <c r="AO209" s="18">
        <v>0.8</v>
      </c>
      <c r="AP209" s="18">
        <v>4.9000000000000004</v>
      </c>
      <c r="AQ209" s="18">
        <v>1.8</v>
      </c>
      <c r="AR209" s="18">
        <v>5.285666</v>
      </c>
      <c r="AS209" s="18">
        <v>9.9152470000000008</v>
      </c>
      <c r="AT209" s="18">
        <v>2.8562940000000001</v>
      </c>
      <c r="AU209" s="18">
        <v>4.6387919999999996</v>
      </c>
      <c r="AV209" s="18">
        <v>4.62</v>
      </c>
      <c r="AW209" s="18">
        <v>6.5545530000000003</v>
      </c>
      <c r="AX209" s="18"/>
      <c r="AY209" s="18">
        <v>1.03</v>
      </c>
      <c r="AZ209" s="18">
        <v>1.03</v>
      </c>
      <c r="BA209" s="18">
        <v>1.04</v>
      </c>
      <c r="BB209" s="18">
        <v>1.03</v>
      </c>
      <c r="BC209" s="18">
        <v>1</v>
      </c>
      <c r="BD209" s="18">
        <v>1.01</v>
      </c>
      <c r="BE209" s="18">
        <v>1.03</v>
      </c>
      <c r="BF209" s="18">
        <v>1.02</v>
      </c>
      <c r="BG209" s="18">
        <v>1.04</v>
      </c>
      <c r="BH209" s="18">
        <v>0.93</v>
      </c>
      <c r="BI209" s="18">
        <v>0.98</v>
      </c>
      <c r="BJ209" s="19"/>
      <c r="BK209" s="18">
        <v>34</v>
      </c>
      <c r="BL209" s="18">
        <v>3.8</v>
      </c>
      <c r="BM209" s="18">
        <v>9.1</v>
      </c>
      <c r="BN209" s="18">
        <v>1.2</v>
      </c>
      <c r="BO209" s="18"/>
      <c r="BP209" s="18">
        <v>34</v>
      </c>
      <c r="BQ209" s="18">
        <v>12.92</v>
      </c>
      <c r="BR209" s="18">
        <v>1.3713401084010843</v>
      </c>
      <c r="BS209" s="18">
        <v>1.3219991168831158</v>
      </c>
      <c r="BT209" s="19"/>
      <c r="BU209" s="18">
        <v>909</v>
      </c>
      <c r="BV209" s="18">
        <v>526.38</v>
      </c>
      <c r="BW209" s="18">
        <v>0</v>
      </c>
      <c r="BX209" s="18">
        <v>20.217370000000003</v>
      </c>
      <c r="BY209" s="18">
        <v>454.73684000000003</v>
      </c>
      <c r="BZ209" s="18" t="s">
        <v>217</v>
      </c>
      <c r="CA209" s="18" t="s">
        <v>217</v>
      </c>
      <c r="CB209" s="19"/>
      <c r="CC209" s="19">
        <v>12.692522500000001</v>
      </c>
      <c r="CD209" s="19">
        <v>9.2404789999999988</v>
      </c>
      <c r="CE209" s="19">
        <v>5.9861684999999989</v>
      </c>
      <c r="CF209" s="19">
        <v>0</v>
      </c>
      <c r="CG209" s="19">
        <v>15.672663</v>
      </c>
      <c r="CH209" s="19">
        <v>1.1632844999999998</v>
      </c>
      <c r="CI209" s="19">
        <v>3.23</v>
      </c>
      <c r="CJ209" s="19"/>
      <c r="CK209" s="19">
        <v>41.767060649999991</v>
      </c>
      <c r="CL209" s="19">
        <v>4.8099497500000004</v>
      </c>
      <c r="CM209" s="19">
        <v>8.4022474500000008</v>
      </c>
      <c r="CN209" s="19">
        <v>43.7129409</v>
      </c>
      <c r="CO209" s="19">
        <v>0</v>
      </c>
      <c r="CP209" s="19">
        <v>0.1167512</v>
      </c>
      <c r="CQ209" s="19">
        <v>303.62</v>
      </c>
      <c r="CR209" s="19">
        <v>233.0566998238227</v>
      </c>
      <c r="CS209" s="19">
        <v>18.963823664664453</v>
      </c>
      <c r="CT209" s="19">
        <v>5.7611616196448967</v>
      </c>
      <c r="CU209" s="19">
        <v>1.939031742534205</v>
      </c>
      <c r="CV209" s="19">
        <v>7.7001933621791023</v>
      </c>
      <c r="CW209" s="19">
        <v>11.762371640108331</v>
      </c>
      <c r="CX209" s="19">
        <v>4.195020596828809</v>
      </c>
      <c r="CY209" s="19">
        <v>12.441784730742956</v>
      </c>
      <c r="CZ209" s="19">
        <v>23.801391860708002</v>
      </c>
      <c r="DA209" s="19">
        <v>6.7899202243391761</v>
      </c>
      <c r="DB209" s="19">
        <v>11.243456168767162</v>
      </c>
      <c r="DC209" s="19">
        <v>10.013514164630367</v>
      </c>
      <c r="DD209" s="19">
        <v>21.256970333397529</v>
      </c>
      <c r="DE209" s="19">
        <v>14.9703084118033</v>
      </c>
      <c r="DF209" s="23">
        <v>0</v>
      </c>
      <c r="DG209" s="23">
        <v>0</v>
      </c>
      <c r="DH209" s="23">
        <v>0</v>
      </c>
      <c r="DI209" s="19">
        <v>0</v>
      </c>
      <c r="DJ209" s="19">
        <v>0</v>
      </c>
      <c r="DK209" s="19">
        <v>0</v>
      </c>
      <c r="DL209" s="19">
        <v>0</v>
      </c>
      <c r="DM209" s="19">
        <v>0</v>
      </c>
      <c r="DN209" s="19">
        <v>0</v>
      </c>
      <c r="DO209" s="19">
        <v>0</v>
      </c>
      <c r="DP209" s="19">
        <v>0</v>
      </c>
      <c r="DQ209" s="19">
        <v>0</v>
      </c>
      <c r="DR209" s="19">
        <v>0</v>
      </c>
      <c r="DS209" s="19">
        <v>0</v>
      </c>
      <c r="DT209" s="19">
        <v>0</v>
      </c>
      <c r="DU209" s="19">
        <v>0</v>
      </c>
      <c r="DV209" s="19">
        <v>0</v>
      </c>
      <c r="DW209" s="17" t="s">
        <v>605</v>
      </c>
      <c r="DX209" s="22" t="s">
        <v>218</v>
      </c>
      <c r="DY209" s="22" t="s">
        <v>218</v>
      </c>
      <c r="DZ209" s="22">
        <v>1</v>
      </c>
      <c r="EA209" s="22">
        <v>1</v>
      </c>
      <c r="EB209" s="22" t="s">
        <v>218</v>
      </c>
      <c r="EC209" s="22">
        <v>1</v>
      </c>
      <c r="ED209" s="22">
        <v>1</v>
      </c>
      <c r="EE209" s="22" t="s">
        <v>218</v>
      </c>
      <c r="EF209" s="22">
        <v>1</v>
      </c>
      <c r="EG209" s="22" t="s">
        <v>218</v>
      </c>
      <c r="EH209" s="22" t="s">
        <v>218</v>
      </c>
      <c r="EI209" s="22" t="s">
        <v>218</v>
      </c>
      <c r="EJ209" s="22" t="s">
        <v>218</v>
      </c>
      <c r="EK209" s="22" t="s">
        <v>218</v>
      </c>
      <c r="EL209" s="22" t="s">
        <v>218</v>
      </c>
      <c r="EM209" s="22" t="s">
        <v>218</v>
      </c>
      <c r="EN209" s="22" t="s">
        <v>218</v>
      </c>
      <c r="EO209" s="22" t="s">
        <v>218</v>
      </c>
      <c r="EP209" s="22" t="s">
        <v>218</v>
      </c>
      <c r="EQ209" s="22" t="s">
        <v>218</v>
      </c>
      <c r="ER209" s="22" t="s">
        <v>218</v>
      </c>
      <c r="ES209" s="22" t="s">
        <v>218</v>
      </c>
      <c r="ET209" s="22" t="s">
        <v>218</v>
      </c>
      <c r="EU209" s="22" t="s">
        <v>218</v>
      </c>
      <c r="EV209" s="22" t="s">
        <v>218</v>
      </c>
      <c r="EW209" s="22" t="s">
        <v>218</v>
      </c>
      <c r="EX209" s="22" t="s">
        <v>218</v>
      </c>
      <c r="EY209" s="22" t="s">
        <v>218</v>
      </c>
      <c r="EZ209" s="22" t="s">
        <v>218</v>
      </c>
      <c r="FA209" s="22" t="s">
        <v>218</v>
      </c>
      <c r="FB209" s="22" t="s">
        <v>218</v>
      </c>
      <c r="FC209" s="22" t="s">
        <v>218</v>
      </c>
      <c r="FD209" s="22" t="s">
        <v>218</v>
      </c>
      <c r="FE209" s="22" t="s">
        <v>218</v>
      </c>
      <c r="FF209" s="22" t="s">
        <v>218</v>
      </c>
      <c r="FG209" s="22" t="s">
        <v>218</v>
      </c>
      <c r="FH209" s="22" t="s">
        <v>218</v>
      </c>
      <c r="FI209" s="22" t="s">
        <v>218</v>
      </c>
      <c r="FJ209" s="22" t="s">
        <v>218</v>
      </c>
      <c r="FK209" s="22" t="s">
        <v>218</v>
      </c>
      <c r="FL209" s="22" t="s">
        <v>218</v>
      </c>
      <c r="FM209" s="22" t="s">
        <v>218</v>
      </c>
      <c r="FN209" s="22" t="s">
        <v>218</v>
      </c>
      <c r="FO209" s="22" t="s">
        <v>218</v>
      </c>
      <c r="FP209" s="22" t="s">
        <v>218</v>
      </c>
      <c r="FQ209" s="22" t="s">
        <v>218</v>
      </c>
      <c r="FR209" s="22" t="s">
        <v>218</v>
      </c>
      <c r="FS209" s="22" t="s">
        <v>218</v>
      </c>
      <c r="FT209" s="22" t="s">
        <v>218</v>
      </c>
      <c r="FU209" s="22" t="s">
        <v>218</v>
      </c>
      <c r="FV209" s="22" t="s">
        <v>218</v>
      </c>
      <c r="FW209" s="22" t="s">
        <v>218</v>
      </c>
      <c r="FX209" s="22" t="s">
        <v>218</v>
      </c>
      <c r="FY209" s="22" t="s">
        <v>218</v>
      </c>
      <c r="FZ209" s="22" t="s">
        <v>218</v>
      </c>
      <c r="GA209" s="22" t="s">
        <v>218</v>
      </c>
      <c r="GB209" s="22" t="s">
        <v>218</v>
      </c>
      <c r="GC209" s="22" t="s">
        <v>218</v>
      </c>
      <c r="GD209" s="22" t="s">
        <v>218</v>
      </c>
      <c r="GE209" s="22" t="s">
        <v>218</v>
      </c>
      <c r="GF209" s="22" t="s">
        <v>218</v>
      </c>
      <c r="GG209" s="22" t="s">
        <v>218</v>
      </c>
      <c r="GH209" s="22" t="s">
        <v>218</v>
      </c>
      <c r="GI209" s="22" t="s">
        <v>218</v>
      </c>
      <c r="GJ209" s="22" t="s">
        <v>218</v>
      </c>
      <c r="GK209" s="22" t="s">
        <v>218</v>
      </c>
      <c r="GL209" s="22" t="s">
        <v>218</v>
      </c>
      <c r="GM209" s="22" t="s">
        <v>218</v>
      </c>
      <c r="GN209" s="22" t="s">
        <v>218</v>
      </c>
      <c r="GO209" s="22" t="s">
        <v>218</v>
      </c>
      <c r="GP209" s="22">
        <v>2005</v>
      </c>
      <c r="GQ209" s="22">
        <v>2005</v>
      </c>
      <c r="GR209" s="22" t="s">
        <v>218</v>
      </c>
      <c r="GS209" s="22">
        <v>2005</v>
      </c>
      <c r="GT209" s="22">
        <v>2005</v>
      </c>
      <c r="GU209" s="22" t="s">
        <v>218</v>
      </c>
      <c r="GV209" s="22">
        <v>2005</v>
      </c>
      <c r="GW209" s="22" t="s">
        <v>218</v>
      </c>
      <c r="GX209" s="22" t="s">
        <v>218</v>
      </c>
      <c r="GY209" s="22" t="s">
        <v>218</v>
      </c>
      <c r="GZ209" s="22" t="s">
        <v>218</v>
      </c>
      <c r="HA209" s="22" t="s">
        <v>218</v>
      </c>
      <c r="HB209" s="22" t="s">
        <v>218</v>
      </c>
      <c r="HC209" s="22" t="s">
        <v>218</v>
      </c>
      <c r="HD209" s="22" t="s">
        <v>218</v>
      </c>
      <c r="HE209" s="22" t="s">
        <v>218</v>
      </c>
      <c r="HF209" s="22" t="s">
        <v>218</v>
      </c>
      <c r="HG209" s="22" t="s">
        <v>218</v>
      </c>
      <c r="HH209" s="22" t="s">
        <v>218</v>
      </c>
      <c r="HI209" s="22" t="s">
        <v>218</v>
      </c>
      <c r="HJ209" s="22" t="s">
        <v>218</v>
      </c>
      <c r="HK209" s="22" t="s">
        <v>218</v>
      </c>
      <c r="HL209" s="22" t="s">
        <v>218</v>
      </c>
      <c r="HM209" s="622">
        <v>8.1999999999999993</v>
      </c>
      <c r="HN209" s="861"/>
      <c r="HO209" s="861"/>
      <c r="HP209" s="861"/>
      <c r="HQ209" s="861"/>
      <c r="HR209" s="861"/>
      <c r="HS209" s="861"/>
      <c r="HT209" s="145" t="s">
        <v>1804</v>
      </c>
      <c r="HU209" s="145" t="s">
        <v>1809</v>
      </c>
      <c r="HV209" s="22" t="s">
        <v>1974</v>
      </c>
      <c r="HW209" s="22" t="s">
        <v>608</v>
      </c>
      <c r="HX209" s="22" t="s">
        <v>609</v>
      </c>
      <c r="HY209" s="22" t="s">
        <v>610</v>
      </c>
      <c r="HZ209" s="19"/>
      <c r="IA209" s="19"/>
      <c r="IB209" s="622">
        <v>8.1999999999999993</v>
      </c>
      <c r="IC209" s="624">
        <f>'background data'!$H$10</f>
        <v>0.13</v>
      </c>
      <c r="ID209" s="624">
        <f>'background data'!$J$10</f>
        <v>0.39100000000000001</v>
      </c>
      <c r="IE209" s="624">
        <f>'background data'!$L$10</f>
        <v>5.5E-2</v>
      </c>
      <c r="IF209" s="624">
        <f>'background data'!$M$10</f>
        <v>3.97</v>
      </c>
      <c r="IG209" s="624">
        <f>'background data'!$N$10</f>
        <v>4.5999999999999999E-3</v>
      </c>
      <c r="IH209" s="624">
        <f>'background data'!$O$10</f>
        <v>2.73</v>
      </c>
      <c r="II209" s="145" t="s">
        <v>1804</v>
      </c>
      <c r="IJ209" s="145"/>
      <c r="IK209" s="145"/>
      <c r="IL209" s="145"/>
      <c r="IM209" s="145"/>
      <c r="IN209" s="145"/>
      <c r="IO209" s="145"/>
      <c r="IP209" s="145"/>
      <c r="IQ209" s="145"/>
      <c r="IR209" s="145"/>
      <c r="IS209" s="145"/>
      <c r="IT209" s="145"/>
      <c r="IU209" s="145"/>
      <c r="IV209" s="145"/>
      <c r="IW209" s="145"/>
      <c r="IX209" s="145"/>
      <c r="IY209" s="145"/>
      <c r="IZ209" s="145"/>
      <c r="JA209" s="145"/>
      <c r="JB209" s="145"/>
      <c r="JC209" s="145"/>
      <c r="JD209" s="145"/>
      <c r="JE209" s="145"/>
      <c r="JF209" s="145"/>
      <c r="JG209" s="145"/>
      <c r="JH209" s="145"/>
      <c r="JI209" s="145"/>
      <c r="JJ209" s="145"/>
      <c r="JK209" s="145"/>
      <c r="JL209" s="145"/>
      <c r="JM209" s="145"/>
      <c r="JN209" s="145"/>
      <c r="JO209" s="145"/>
      <c r="JP209" s="145"/>
      <c r="JQ209" s="145"/>
      <c r="JR209" s="145"/>
      <c r="JS209" s="145"/>
      <c r="JT209" s="145"/>
      <c r="JU209" s="145"/>
      <c r="JV209" s="145"/>
      <c r="JW209" s="145"/>
      <c r="JX209" s="145"/>
      <c r="JY209" s="145"/>
      <c r="JZ209" s="145"/>
      <c r="KA209" s="145"/>
      <c r="KB209" s="145"/>
      <c r="KC209" s="145"/>
      <c r="KD209" s="145"/>
      <c r="KE209" s="145"/>
      <c r="KF209" s="145"/>
      <c r="KG209" s="145"/>
      <c r="KH209" s="145"/>
      <c r="KI209" s="145"/>
      <c r="KJ209" s="145"/>
      <c r="KK209" s="145"/>
      <c r="KL209" s="145"/>
      <c r="KM209" s="145"/>
      <c r="KN209" s="145"/>
      <c r="KO209" s="145"/>
      <c r="KP209" s="145"/>
      <c r="KQ209" s="145"/>
      <c r="KR209" s="145"/>
      <c r="KS209" s="145"/>
      <c r="KT209" s="145"/>
      <c r="KU209" s="145"/>
      <c r="KV209" s="145"/>
      <c r="KW209" s="145"/>
      <c r="KX209" s="145"/>
      <c r="KY209" s="145"/>
      <c r="KZ209" s="145"/>
      <c r="LA209" s="145"/>
      <c r="LB209" s="145"/>
      <c r="LC209" s="145"/>
      <c r="LD209" s="145"/>
      <c r="LE209" s="145"/>
      <c r="LF209" s="145"/>
      <c r="LG209" s="145"/>
      <c r="LH209" s="145"/>
      <c r="LI209" s="145"/>
      <c r="LJ209" s="145"/>
      <c r="LK209" s="145"/>
      <c r="LL209" s="145"/>
      <c r="LM209" s="145"/>
      <c r="LN209" s="145"/>
      <c r="LO209" s="145"/>
      <c r="LP209" s="145"/>
      <c r="LQ209" s="145"/>
      <c r="LR209" s="145"/>
      <c r="LS209" s="145"/>
      <c r="LT209" s="145"/>
      <c r="LU209" s="145"/>
      <c r="LV209" s="145"/>
      <c r="LW209" s="145"/>
      <c r="LX209" s="145"/>
      <c r="LY209" s="145"/>
      <c r="LZ209" s="145"/>
      <c r="MA209" s="145"/>
      <c r="MB209" s="145"/>
      <c r="MC209" s="145"/>
      <c r="MD209" s="145"/>
      <c r="ME209" s="145"/>
      <c r="MF209" s="145"/>
      <c r="MG209" s="145"/>
      <c r="MH209" s="145"/>
      <c r="MI209" s="145"/>
      <c r="MJ209" s="145"/>
      <c r="MK209" s="145"/>
      <c r="ML209" s="145"/>
      <c r="MM209" s="145"/>
      <c r="MN209" s="145"/>
      <c r="MO209" s="145"/>
      <c r="MP209" s="145"/>
      <c r="MQ209" s="145"/>
      <c r="MR209" s="145"/>
      <c r="MS209" s="145"/>
      <c r="MT209" s="145"/>
      <c r="MU209" s="145"/>
      <c r="MV209" s="145"/>
      <c r="MW209" s="145"/>
      <c r="MX209" s="145"/>
      <c r="MY209" s="145"/>
      <c r="MZ209" s="145"/>
      <c r="NA209" s="145"/>
      <c r="NB209" s="145"/>
      <c r="NC209" s="145"/>
      <c r="ND209" s="145"/>
      <c r="NE209" s="145"/>
      <c r="NF209" s="145"/>
      <c r="NG209" s="145"/>
      <c r="NH209" s="145"/>
      <c r="NI209" s="145"/>
      <c r="NJ209" s="145"/>
      <c r="NK209" s="145"/>
      <c r="NL209" s="145"/>
      <c r="NM209" s="145"/>
      <c r="NN209" s="145"/>
      <c r="NO209" s="145"/>
      <c r="NP209" s="145"/>
      <c r="NQ209" s="145"/>
      <c r="NR209" s="145"/>
      <c r="NS209" s="145"/>
    </row>
    <row r="210" spans="1:383" s="16" customFormat="1" ht="15" customHeight="1" x14ac:dyDescent="0.2">
      <c r="A210" s="15">
        <v>61000</v>
      </c>
      <c r="B210" s="25">
        <v>610</v>
      </c>
      <c r="C210" s="26">
        <v>0</v>
      </c>
      <c r="D210" s="20" t="s">
        <v>612</v>
      </c>
      <c r="E210" s="14">
        <v>42517</v>
      </c>
      <c r="F210" s="18">
        <v>1.39625568346883</v>
      </c>
      <c r="G210" s="18">
        <v>1.4051341516467599</v>
      </c>
      <c r="H210" s="21">
        <v>93.6</v>
      </c>
      <c r="I210" s="21">
        <v>76.099999999999994</v>
      </c>
      <c r="J210" s="21">
        <v>91</v>
      </c>
      <c r="K210" s="18">
        <v>1</v>
      </c>
      <c r="L210" s="18">
        <v>90.4</v>
      </c>
      <c r="M210" s="18">
        <v>37.154400000000003</v>
      </c>
      <c r="N210" s="18">
        <v>19.797599999999999</v>
      </c>
      <c r="O210" s="18">
        <v>5.0624000000000002</v>
      </c>
      <c r="P210" s="18">
        <v>5.1954019039999997</v>
      </c>
      <c r="Q210" s="19"/>
      <c r="R210" s="18">
        <v>75</v>
      </c>
      <c r="S210" s="18">
        <v>39</v>
      </c>
      <c r="T210" s="18">
        <v>51</v>
      </c>
      <c r="U210" s="18">
        <v>56</v>
      </c>
      <c r="V210" s="18">
        <v>60</v>
      </c>
      <c r="W210" s="18">
        <v>63</v>
      </c>
      <c r="X210" s="18"/>
      <c r="Y210" s="18">
        <v>2.8</v>
      </c>
      <c r="Z210" s="18">
        <v>5.5</v>
      </c>
      <c r="AA210" s="18">
        <v>9.9999999999999978E-2</v>
      </c>
      <c r="AB210" s="18">
        <v>0</v>
      </c>
      <c r="AC210" s="18">
        <v>19.599999999999998</v>
      </c>
      <c r="AD210" s="18">
        <v>2.5999999999999996</v>
      </c>
      <c r="AE210" s="18">
        <v>3.2999999999999989</v>
      </c>
      <c r="AF210" s="18">
        <v>110</v>
      </c>
      <c r="AG210" s="18">
        <v>14.999999999999998</v>
      </c>
      <c r="AH210" s="18">
        <v>29.999999999999996</v>
      </c>
      <c r="AI210" s="18">
        <v>44</v>
      </c>
      <c r="AJ210" s="18">
        <v>0</v>
      </c>
      <c r="AK210" s="18">
        <v>0.15999999999999998</v>
      </c>
      <c r="AL210" s="18"/>
      <c r="AM210" s="18">
        <v>6.09</v>
      </c>
      <c r="AN210" s="18">
        <v>1.31</v>
      </c>
      <c r="AO210" s="18">
        <v>1.39</v>
      </c>
      <c r="AP210" s="18">
        <v>3.85</v>
      </c>
      <c r="AQ210" s="18">
        <v>1.34</v>
      </c>
      <c r="AR210" s="18">
        <v>4.3899999999999997</v>
      </c>
      <c r="AS210" s="18">
        <v>7.68</v>
      </c>
      <c r="AT210" s="18">
        <v>2.62</v>
      </c>
      <c r="AU210" s="18">
        <v>4.96</v>
      </c>
      <c r="AV210" s="18">
        <v>3.68</v>
      </c>
      <c r="AW210" s="18">
        <v>4.6900000000000004</v>
      </c>
      <c r="AX210" s="18"/>
      <c r="AY210" s="18">
        <v>1</v>
      </c>
      <c r="AZ210" s="18">
        <v>1.03</v>
      </c>
      <c r="BA210" s="18">
        <v>1.07</v>
      </c>
      <c r="BB210" s="18">
        <v>0.99</v>
      </c>
      <c r="BC210" s="18">
        <v>1.02</v>
      </c>
      <c r="BD210" s="18">
        <v>0.96</v>
      </c>
      <c r="BE210" s="18">
        <v>0.93</v>
      </c>
      <c r="BF210" s="18">
        <v>1.03</v>
      </c>
      <c r="BG210" s="18">
        <v>0.95</v>
      </c>
      <c r="BH210" s="18">
        <v>0.93</v>
      </c>
      <c r="BI210" s="18">
        <v>0.93</v>
      </c>
      <c r="BJ210" s="19"/>
      <c r="BK210" s="18">
        <v>41.1</v>
      </c>
      <c r="BL210" s="18">
        <v>21.9</v>
      </c>
      <c r="BM210" s="18">
        <v>5.6</v>
      </c>
      <c r="BN210" s="18">
        <v>5.7471259999999988</v>
      </c>
      <c r="BO210" s="18"/>
      <c r="BP210" s="18">
        <v>130</v>
      </c>
      <c r="BQ210" s="18">
        <v>284.7</v>
      </c>
      <c r="BR210" s="18">
        <v>1.5445306233062277</v>
      </c>
      <c r="BS210" s="18">
        <v>1.5543519376623449</v>
      </c>
      <c r="BT210" s="19"/>
      <c r="BU210" s="18">
        <v>943.99999999999989</v>
      </c>
      <c r="BV210" s="18">
        <v>61.143999999999991</v>
      </c>
      <c r="BW210" s="18">
        <v>235.99999999999997</v>
      </c>
      <c r="BX210" s="18" t="s">
        <v>217</v>
      </c>
      <c r="BY210" s="18" t="s">
        <v>217</v>
      </c>
      <c r="BZ210" s="18">
        <v>70.045019999999994</v>
      </c>
      <c r="CA210" s="18">
        <v>189.38097999999999</v>
      </c>
      <c r="CB210" s="19"/>
      <c r="CC210" s="19">
        <v>2.5312000000000001</v>
      </c>
      <c r="CD210" s="19">
        <v>4.9720000000000004</v>
      </c>
      <c r="CE210" s="19">
        <v>9.039999999999998E-2</v>
      </c>
      <c r="CF210" s="19">
        <v>0</v>
      </c>
      <c r="CG210" s="19">
        <v>17.718399999999999</v>
      </c>
      <c r="CH210" s="19">
        <v>2.3503999999999996</v>
      </c>
      <c r="CI210" s="19">
        <v>2.9831999999999992</v>
      </c>
      <c r="CJ210" s="19"/>
      <c r="CK210" s="19">
        <v>99.44</v>
      </c>
      <c r="CL210" s="19">
        <v>13.559999999999999</v>
      </c>
      <c r="CM210" s="19">
        <v>27.119999999999997</v>
      </c>
      <c r="CN210" s="19">
        <v>39.776000000000003</v>
      </c>
      <c r="CO210" s="19">
        <v>0</v>
      </c>
      <c r="CP210" s="19">
        <v>0.14463999999999999</v>
      </c>
      <c r="CQ210" s="19">
        <v>278.65800000000002</v>
      </c>
      <c r="CR210" s="19">
        <v>199.57519478646461</v>
      </c>
      <c r="CS210" s="19">
        <v>12.154129362495693</v>
      </c>
      <c r="CT210" s="19">
        <v>2.6928681032537667</v>
      </c>
      <c r="CU210" s="19">
        <v>2.9682818720590878</v>
      </c>
      <c r="CV210" s="19">
        <v>5.6611499753128545</v>
      </c>
      <c r="CW210" s="19">
        <v>7.6068085492860975</v>
      </c>
      <c r="CX210" s="19">
        <v>2.7277937623413981</v>
      </c>
      <c r="CY210" s="19">
        <v>8.4108970090807649</v>
      </c>
      <c r="CZ210" s="19">
        <v>14.254458712428447</v>
      </c>
      <c r="DA210" s="19">
        <v>5.3857362065075334</v>
      </c>
      <c r="DB210" s="19">
        <v>9.403983178338212</v>
      </c>
      <c r="DC210" s="19">
        <v>6.8302614663719643</v>
      </c>
      <c r="DD210" s="19">
        <v>16.234244644710177</v>
      </c>
      <c r="DE210" s="19">
        <v>8.7048712710012257</v>
      </c>
      <c r="DF210" s="23">
        <v>0</v>
      </c>
      <c r="DG210" s="23">
        <v>0</v>
      </c>
      <c r="DH210" s="23">
        <v>0</v>
      </c>
      <c r="DI210" s="19">
        <v>0</v>
      </c>
      <c r="DJ210" s="19">
        <v>0</v>
      </c>
      <c r="DK210" s="19">
        <v>0</v>
      </c>
      <c r="DL210" s="19">
        <v>0</v>
      </c>
      <c r="DM210" s="19">
        <v>0</v>
      </c>
      <c r="DN210" s="19">
        <v>0</v>
      </c>
      <c r="DO210" s="19">
        <v>0</v>
      </c>
      <c r="DP210" s="19">
        <v>0</v>
      </c>
      <c r="DQ210" s="19">
        <v>0</v>
      </c>
      <c r="DR210" s="19">
        <v>0</v>
      </c>
      <c r="DS210" s="19">
        <v>0</v>
      </c>
      <c r="DT210" s="19">
        <v>0</v>
      </c>
      <c r="DU210" s="19">
        <v>0</v>
      </c>
      <c r="DV210" s="19">
        <v>0</v>
      </c>
      <c r="DW210" s="17" t="s">
        <v>613</v>
      </c>
      <c r="DX210" s="22" t="s">
        <v>218</v>
      </c>
      <c r="DY210" s="22" t="s">
        <v>218</v>
      </c>
      <c r="DZ210" s="22">
        <v>4</v>
      </c>
      <c r="EA210" s="22">
        <v>4</v>
      </c>
      <c r="EB210" s="22" t="s">
        <v>218</v>
      </c>
      <c r="EC210" s="22">
        <v>4</v>
      </c>
      <c r="ED210" s="22">
        <v>4</v>
      </c>
      <c r="EE210" s="22" t="s">
        <v>218</v>
      </c>
      <c r="EF210" s="22">
        <v>4</v>
      </c>
      <c r="EG210" s="22" t="s">
        <v>218</v>
      </c>
      <c r="EH210" s="22" t="s">
        <v>218</v>
      </c>
      <c r="EI210" s="22" t="s">
        <v>218</v>
      </c>
      <c r="EJ210" s="22" t="s">
        <v>218</v>
      </c>
      <c r="EK210" s="22" t="s">
        <v>218</v>
      </c>
      <c r="EL210" s="22" t="s">
        <v>218</v>
      </c>
      <c r="EM210" s="22" t="s">
        <v>218</v>
      </c>
      <c r="EN210" s="22" t="s">
        <v>218</v>
      </c>
      <c r="EO210" s="22" t="s">
        <v>218</v>
      </c>
      <c r="EP210" s="22" t="s">
        <v>218</v>
      </c>
      <c r="EQ210" s="22" t="s">
        <v>218</v>
      </c>
      <c r="ER210" s="22" t="s">
        <v>218</v>
      </c>
      <c r="ES210" s="22">
        <v>4</v>
      </c>
      <c r="ET210" s="22">
        <v>4</v>
      </c>
      <c r="EU210" s="22" t="s">
        <v>218</v>
      </c>
      <c r="EV210" s="22" t="s">
        <v>218</v>
      </c>
      <c r="EW210" s="22">
        <v>4</v>
      </c>
      <c r="EX210" s="22">
        <v>4</v>
      </c>
      <c r="EY210" s="22">
        <v>4</v>
      </c>
      <c r="EZ210" s="22">
        <v>4</v>
      </c>
      <c r="FA210" s="22">
        <v>4</v>
      </c>
      <c r="FB210" s="22">
        <v>4</v>
      </c>
      <c r="FC210" s="22">
        <v>4</v>
      </c>
      <c r="FD210" s="22" t="s">
        <v>218</v>
      </c>
      <c r="FE210" s="22" t="s">
        <v>218</v>
      </c>
      <c r="FF210" s="22" t="s">
        <v>218</v>
      </c>
      <c r="FG210" s="22" t="s">
        <v>218</v>
      </c>
      <c r="FH210" s="22">
        <v>2.2000000000000002</v>
      </c>
      <c r="FI210" s="22">
        <v>0.2</v>
      </c>
      <c r="FJ210" s="22" t="s">
        <v>218</v>
      </c>
      <c r="FK210" s="22">
        <v>1</v>
      </c>
      <c r="FL210" s="22">
        <v>6.8</v>
      </c>
      <c r="FM210" s="22" t="s">
        <v>218</v>
      </c>
      <c r="FN210" s="22">
        <v>14.2</v>
      </c>
      <c r="FO210" s="22" t="s">
        <v>218</v>
      </c>
      <c r="FP210" s="22" t="s">
        <v>218</v>
      </c>
      <c r="FQ210" s="22" t="s">
        <v>218</v>
      </c>
      <c r="FR210" s="22" t="s">
        <v>218</v>
      </c>
      <c r="FS210" s="22" t="s">
        <v>218</v>
      </c>
      <c r="FT210" s="22" t="s">
        <v>218</v>
      </c>
      <c r="FU210" s="22" t="s">
        <v>218</v>
      </c>
      <c r="FV210" s="22" t="s">
        <v>218</v>
      </c>
      <c r="FW210" s="22" t="s">
        <v>218</v>
      </c>
      <c r="FX210" s="22" t="s">
        <v>218</v>
      </c>
      <c r="FY210" s="22" t="s">
        <v>218</v>
      </c>
      <c r="FZ210" s="22" t="s">
        <v>218</v>
      </c>
      <c r="GA210" s="22">
        <v>0.37</v>
      </c>
      <c r="GB210" s="22">
        <v>0.15</v>
      </c>
      <c r="GC210" s="22" t="s">
        <v>218</v>
      </c>
      <c r="GD210" s="22" t="s">
        <v>218</v>
      </c>
      <c r="GE210" s="22">
        <v>2.56</v>
      </c>
      <c r="GF210" s="22">
        <v>0.26</v>
      </c>
      <c r="GG210" s="22">
        <v>0.3</v>
      </c>
      <c r="GH210" s="22">
        <v>19.29</v>
      </c>
      <c r="GI210" s="22">
        <v>1.23</v>
      </c>
      <c r="GJ210" s="22">
        <v>5.38</v>
      </c>
      <c r="GK210" s="22">
        <v>7.94</v>
      </c>
      <c r="GL210" s="22" t="s">
        <v>218</v>
      </c>
      <c r="GM210" s="22" t="s">
        <v>218</v>
      </c>
      <c r="GN210" s="22" t="s">
        <v>218</v>
      </c>
      <c r="GO210" s="22" t="s">
        <v>218</v>
      </c>
      <c r="GP210" s="22">
        <v>2005</v>
      </c>
      <c r="GQ210" s="22">
        <v>2005</v>
      </c>
      <c r="GR210" s="22" t="s">
        <v>218</v>
      </c>
      <c r="GS210" s="22">
        <v>2005</v>
      </c>
      <c r="GT210" s="22">
        <v>2005</v>
      </c>
      <c r="GU210" s="22" t="s">
        <v>218</v>
      </c>
      <c r="GV210" s="22">
        <v>2005</v>
      </c>
      <c r="GW210" s="22" t="s">
        <v>218</v>
      </c>
      <c r="GX210" s="22" t="s">
        <v>218</v>
      </c>
      <c r="GY210" s="22" t="s">
        <v>218</v>
      </c>
      <c r="GZ210" s="22" t="s">
        <v>218</v>
      </c>
      <c r="HA210" s="22" t="s">
        <v>218</v>
      </c>
      <c r="HB210" s="22" t="s">
        <v>218</v>
      </c>
      <c r="HC210" s="22" t="s">
        <v>218</v>
      </c>
      <c r="HD210" s="22" t="s">
        <v>218</v>
      </c>
      <c r="HE210" s="22" t="s">
        <v>218</v>
      </c>
      <c r="HF210" s="22" t="s">
        <v>218</v>
      </c>
      <c r="HG210" s="22" t="s">
        <v>218</v>
      </c>
      <c r="HH210" s="22" t="s">
        <v>218</v>
      </c>
      <c r="HI210" s="22">
        <v>2005</v>
      </c>
      <c r="HJ210" s="22">
        <v>2005</v>
      </c>
      <c r="HK210" s="22" t="s">
        <v>218</v>
      </c>
      <c r="HL210" s="22" t="s">
        <v>218</v>
      </c>
      <c r="HM210" s="620">
        <f>'background data'!$G$17</f>
        <v>0.54299999999999993</v>
      </c>
      <c r="HN210" s="620">
        <f>'background data'!$H$17</f>
        <v>0.14399999999999999</v>
      </c>
      <c r="HO210" s="620">
        <f>'background data'!$J$17</f>
        <v>0.311</v>
      </c>
      <c r="HP210" s="620">
        <f>'background data'!$L$17</f>
        <v>8.0000000000000002E-3</v>
      </c>
      <c r="HQ210" s="620">
        <f>'background data'!$M$17</f>
        <v>1.1200000000000001</v>
      </c>
      <c r="HR210" s="620">
        <f>'background data'!$N$17</f>
        <v>3.0000000000000001E-3</v>
      </c>
      <c r="HS210" s="620">
        <f>'background data'!$O$17</f>
        <v>2.17</v>
      </c>
      <c r="HT210" s="145"/>
      <c r="HU210" s="145" t="s">
        <v>1809</v>
      </c>
      <c r="HV210" s="22" t="s">
        <v>1975</v>
      </c>
      <c r="HW210" s="22" t="s">
        <v>614</v>
      </c>
      <c r="HX210" s="22" t="s">
        <v>615</v>
      </c>
      <c r="HY210" s="22" t="s">
        <v>616</v>
      </c>
      <c r="HZ210" s="19"/>
      <c r="IA210" s="19"/>
      <c r="IB210" s="620">
        <f>'background data'!$G$17</f>
        <v>0.54299999999999993</v>
      </c>
      <c r="IC210" s="620">
        <f>'background data'!$H$17</f>
        <v>0.14399999999999999</v>
      </c>
      <c r="ID210" s="620">
        <f>'background data'!$J$17</f>
        <v>0.311</v>
      </c>
      <c r="IE210" s="620">
        <f>'background data'!$L$17</f>
        <v>8.0000000000000002E-3</v>
      </c>
      <c r="IF210" s="620">
        <f>'background data'!$M$17</f>
        <v>1.1200000000000001</v>
      </c>
      <c r="IG210" s="620">
        <f>'background data'!$N$17</f>
        <v>3.0000000000000001E-3</v>
      </c>
      <c r="IH210" s="620">
        <f>'background data'!$O$17</f>
        <v>2.17</v>
      </c>
      <c r="II210" s="145"/>
      <c r="IJ210" s="145"/>
      <c r="IK210" s="145"/>
      <c r="IL210" s="145"/>
      <c r="IM210" s="145"/>
      <c r="IN210" s="145"/>
      <c r="IO210" s="145"/>
      <c r="IP210" s="145"/>
      <c r="IQ210" s="145"/>
      <c r="IR210" s="145"/>
      <c r="IS210" s="145"/>
      <c r="IT210" s="145"/>
      <c r="IU210" s="145"/>
      <c r="IV210" s="145"/>
      <c r="IW210" s="145"/>
      <c r="IX210" s="145"/>
      <c r="IY210" s="145"/>
      <c r="IZ210" s="145"/>
      <c r="JA210" s="145"/>
      <c r="JB210" s="145"/>
      <c r="JC210" s="145"/>
      <c r="JD210" s="145"/>
      <c r="JE210" s="145"/>
      <c r="JF210" s="145"/>
      <c r="JG210" s="145"/>
      <c r="JH210" s="145"/>
      <c r="JI210" s="145"/>
      <c r="JJ210" s="145"/>
      <c r="JK210" s="145"/>
      <c r="JL210" s="145"/>
      <c r="JM210" s="145"/>
      <c r="JN210" s="145"/>
      <c r="JO210" s="145"/>
      <c r="JP210" s="145"/>
      <c r="JQ210" s="145"/>
      <c r="JR210" s="145"/>
      <c r="JS210" s="145"/>
      <c r="JT210" s="145"/>
      <c r="JU210" s="145"/>
      <c r="JV210" s="145"/>
      <c r="JW210" s="145"/>
      <c r="JX210" s="145"/>
      <c r="JY210" s="145"/>
      <c r="JZ210" s="145"/>
      <c r="KA210" s="145"/>
      <c r="KB210" s="145"/>
      <c r="KC210" s="145"/>
      <c r="KD210" s="145"/>
      <c r="KE210" s="145"/>
      <c r="KF210" s="145"/>
      <c r="KG210" s="145"/>
      <c r="KH210" s="145"/>
      <c r="KI210" s="145"/>
      <c r="KJ210" s="145"/>
      <c r="KK210" s="145"/>
      <c r="KL210" s="145"/>
      <c r="KM210" s="145"/>
      <c r="KN210" s="145"/>
      <c r="KO210" s="145"/>
      <c r="KP210" s="145"/>
      <c r="KQ210" s="145"/>
      <c r="KR210" s="145"/>
      <c r="KS210" s="145"/>
      <c r="KT210" s="145"/>
      <c r="KU210" s="145"/>
      <c r="KV210" s="145"/>
      <c r="KW210" s="145"/>
      <c r="KX210" s="145"/>
      <c r="KY210" s="145"/>
      <c r="KZ210" s="145"/>
      <c r="LA210" s="145"/>
      <c r="LB210" s="145"/>
      <c r="LC210" s="145"/>
      <c r="LD210" s="145"/>
      <c r="LE210" s="145"/>
      <c r="LF210" s="145"/>
      <c r="LG210" s="145"/>
      <c r="LH210" s="145"/>
      <c r="LI210" s="145"/>
      <c r="LJ210" s="145"/>
      <c r="LK210" s="145"/>
      <c r="LL210" s="145"/>
      <c r="LM210" s="145"/>
      <c r="LN210" s="145"/>
      <c r="LO210" s="145"/>
      <c r="LP210" s="145"/>
      <c r="LQ210" s="145"/>
      <c r="LR210" s="145"/>
      <c r="LS210" s="145"/>
      <c r="LT210" s="145"/>
      <c r="LU210" s="145"/>
      <c r="LV210" s="145"/>
      <c r="LW210" s="145"/>
      <c r="LX210" s="145"/>
      <c r="LY210" s="145"/>
      <c r="LZ210" s="145"/>
      <c r="MA210" s="145"/>
      <c r="MB210" s="145"/>
      <c r="MC210" s="145"/>
      <c r="MD210" s="145"/>
      <c r="ME210" s="145"/>
      <c r="MF210" s="145"/>
      <c r="MG210" s="145"/>
      <c r="MH210" s="145"/>
      <c r="MI210" s="145"/>
      <c r="MJ210" s="145"/>
      <c r="MK210" s="145"/>
      <c r="ML210" s="145"/>
      <c r="MM210" s="145"/>
      <c r="MN210" s="145"/>
      <c r="MO210" s="145"/>
      <c r="MP210" s="145"/>
      <c r="MQ210" s="145"/>
      <c r="MR210" s="145"/>
      <c r="MS210" s="145"/>
      <c r="MT210" s="145"/>
      <c r="MU210" s="145"/>
      <c r="MV210" s="145"/>
      <c r="MW210" s="145"/>
      <c r="MX210" s="145"/>
      <c r="MY210" s="145"/>
      <c r="MZ210" s="145"/>
      <c r="NA210" s="145"/>
      <c r="NB210" s="145"/>
      <c r="NC210" s="145"/>
      <c r="ND210" s="145"/>
      <c r="NE210" s="145"/>
      <c r="NF210" s="145"/>
      <c r="NG210" s="145"/>
      <c r="NH210" s="145"/>
      <c r="NI210" s="145"/>
      <c r="NJ210" s="145"/>
      <c r="NK210" s="145"/>
      <c r="NL210" s="145"/>
      <c r="NM210" s="145"/>
      <c r="NN210" s="145"/>
      <c r="NO210" s="145"/>
      <c r="NP210" s="145"/>
      <c r="NQ210" s="145"/>
      <c r="NR210" s="145"/>
      <c r="NS210" s="145"/>
    </row>
    <row r="211" spans="1:383" s="16" customFormat="1" ht="15" customHeight="1" x14ac:dyDescent="0.2">
      <c r="A211" s="15">
        <v>61500</v>
      </c>
      <c r="B211" s="25">
        <v>615</v>
      </c>
      <c r="C211" s="26">
        <v>0</v>
      </c>
      <c r="D211" s="20" t="s">
        <v>617</v>
      </c>
      <c r="E211" s="14">
        <v>42520</v>
      </c>
      <c r="F211" s="18">
        <v>1.0911707123499801</v>
      </c>
      <c r="G211" s="18">
        <v>1.1183663257884999</v>
      </c>
      <c r="H211" s="21">
        <v>91.8</v>
      </c>
      <c r="I211" s="21">
        <v>73.900000000000006</v>
      </c>
      <c r="J211" s="21">
        <v>94</v>
      </c>
      <c r="K211" s="18">
        <v>1</v>
      </c>
      <c r="L211" s="18">
        <v>93</v>
      </c>
      <c r="M211" s="18">
        <v>44</v>
      </c>
      <c r="N211" s="18">
        <v>8.1</v>
      </c>
      <c r="O211" s="18">
        <v>6.3</v>
      </c>
      <c r="P211" s="18">
        <v>5.5</v>
      </c>
      <c r="Q211" s="19"/>
      <c r="R211" s="18">
        <v>83.849977888239493</v>
      </c>
      <c r="S211" s="18">
        <v>39</v>
      </c>
      <c r="T211" s="18">
        <v>51</v>
      </c>
      <c r="U211" s="18">
        <v>56</v>
      </c>
      <c r="V211" s="18">
        <v>60</v>
      </c>
      <c r="W211" s="18">
        <v>63</v>
      </c>
      <c r="X211" s="18"/>
      <c r="Y211" s="18">
        <v>3.6999999999999997</v>
      </c>
      <c r="Z211" s="18">
        <v>7.2</v>
      </c>
      <c r="AA211" s="18">
        <v>0.1</v>
      </c>
      <c r="AB211" s="18">
        <v>0.2</v>
      </c>
      <c r="AC211" s="18">
        <v>26</v>
      </c>
      <c r="AD211" s="18">
        <v>3.5</v>
      </c>
      <c r="AE211" s="18">
        <v>3.8</v>
      </c>
      <c r="AF211" s="18">
        <v>275</v>
      </c>
      <c r="AG211" s="18">
        <v>16</v>
      </c>
      <c r="AH211" s="18">
        <v>52</v>
      </c>
      <c r="AI211" s="18">
        <v>52</v>
      </c>
      <c r="AJ211" s="18">
        <v>0</v>
      </c>
      <c r="AK211" s="18">
        <v>0.17918024190345055</v>
      </c>
      <c r="AL211" s="18"/>
      <c r="AM211" s="18">
        <v>6.09</v>
      </c>
      <c r="AN211" s="18">
        <v>1.31</v>
      </c>
      <c r="AO211" s="18">
        <v>1.39</v>
      </c>
      <c r="AP211" s="18">
        <v>3.85</v>
      </c>
      <c r="AQ211" s="18">
        <v>1.34</v>
      </c>
      <c r="AR211" s="18">
        <v>4.3899999999999997</v>
      </c>
      <c r="AS211" s="18">
        <v>7.68</v>
      </c>
      <c r="AT211" s="18">
        <v>2.62</v>
      </c>
      <c r="AU211" s="18">
        <v>4.96</v>
      </c>
      <c r="AV211" s="18">
        <v>3.68</v>
      </c>
      <c r="AW211" s="18">
        <v>4.6900000000000004</v>
      </c>
      <c r="AX211" s="18"/>
      <c r="AY211" s="18">
        <v>1</v>
      </c>
      <c r="AZ211" s="18">
        <v>1.02285538957352</v>
      </c>
      <c r="BA211" s="18">
        <v>0.99855389573515296</v>
      </c>
      <c r="BB211" s="18">
        <v>0.97571077914702997</v>
      </c>
      <c r="BC211" s="18">
        <v>1.02</v>
      </c>
      <c r="BD211" s="18">
        <v>0.98143383127945405</v>
      </c>
      <c r="BE211" s="18">
        <v>0.96572305213242404</v>
      </c>
      <c r="BF211" s="18">
        <v>1.0157107791470299</v>
      </c>
      <c r="BG211" s="18">
        <v>0.98572305213242395</v>
      </c>
      <c r="BH211" s="18">
        <v>0.972867662558908</v>
      </c>
      <c r="BI211" s="18">
        <v>0.95857844170593798</v>
      </c>
      <c r="BJ211" s="19"/>
      <c r="BK211" s="18">
        <v>47.311827956989248</v>
      </c>
      <c r="BL211" s="18">
        <v>8.7096774193548381</v>
      </c>
      <c r="BM211" s="18">
        <v>6.774193548387097</v>
      </c>
      <c r="BN211" s="18">
        <v>5.913978494623656</v>
      </c>
      <c r="BO211" s="18"/>
      <c r="BP211" s="18">
        <v>0</v>
      </c>
      <c r="BQ211" s="18">
        <v>0</v>
      </c>
      <c r="BR211" s="18">
        <v>1.1733018412365377</v>
      </c>
      <c r="BS211" s="18">
        <v>1.2025444363317204</v>
      </c>
      <c r="BT211" s="19"/>
      <c r="BU211" s="18">
        <v>932.25806451612902</v>
      </c>
      <c r="BV211" s="18">
        <v>102.39969278033796</v>
      </c>
      <c r="BW211" s="18">
        <v>238.39170506912365</v>
      </c>
      <c r="BX211" s="18" t="s">
        <v>217</v>
      </c>
      <c r="BY211" s="18" t="s">
        <v>217</v>
      </c>
      <c r="BZ211" s="18">
        <v>76.871115207373435</v>
      </c>
      <c r="CA211" s="18">
        <v>207.83671889400858</v>
      </c>
      <c r="CB211" s="19"/>
      <c r="CC211" s="19">
        <v>3.4409999999999998</v>
      </c>
      <c r="CD211" s="19">
        <v>6.6960000000000006</v>
      </c>
      <c r="CE211" s="19">
        <v>9.3000000000000013E-2</v>
      </c>
      <c r="CF211" s="19">
        <v>0.18600000000000003</v>
      </c>
      <c r="CG211" s="19">
        <v>24.18</v>
      </c>
      <c r="CH211" s="19">
        <v>3.2550000000000003</v>
      </c>
      <c r="CI211" s="19">
        <v>3.5339999999999998</v>
      </c>
      <c r="CJ211" s="19"/>
      <c r="CK211" s="19">
        <v>255.75</v>
      </c>
      <c r="CL211" s="19">
        <v>14.88</v>
      </c>
      <c r="CM211" s="19">
        <v>48.36</v>
      </c>
      <c r="CN211" s="19">
        <v>48.36</v>
      </c>
      <c r="CO211" s="19">
        <v>0</v>
      </c>
      <c r="CP211" s="19">
        <v>0.16663762497020904</v>
      </c>
      <c r="CQ211" s="19">
        <v>368.93990270825401</v>
      </c>
      <c r="CR211" s="19">
        <v>338.113824475451</v>
      </c>
      <c r="CS211" s="19">
        <v>20.591131910554903</v>
      </c>
      <c r="CT211" s="19">
        <v>4.5305242742677798</v>
      </c>
      <c r="CU211" s="19">
        <v>4.6929857851830237</v>
      </c>
      <c r="CV211" s="19">
        <v>9.2235100594507671</v>
      </c>
      <c r="CW211" s="19">
        <v>12.701200170093946</v>
      </c>
      <c r="CX211" s="19">
        <v>4.6213397529304681</v>
      </c>
      <c r="CY211" s="19">
        <v>14.567615596577179</v>
      </c>
      <c r="CZ211" s="19">
        <v>25.07706735671799</v>
      </c>
      <c r="DA211" s="19">
        <v>8.9977574297765379</v>
      </c>
      <c r="DB211" s="19">
        <v>16.531014915093298</v>
      </c>
      <c r="DC211" s="19">
        <v>12.104992224343254</v>
      </c>
      <c r="DD211" s="19">
        <v>28.636007139436646</v>
      </c>
      <c r="DE211" s="19">
        <v>15.20069441799237</v>
      </c>
      <c r="DF211" s="23">
        <v>0</v>
      </c>
      <c r="DG211" s="23">
        <v>0</v>
      </c>
      <c r="DH211" s="23">
        <v>0</v>
      </c>
      <c r="DI211" s="19">
        <v>0</v>
      </c>
      <c r="DJ211" s="19">
        <v>0</v>
      </c>
      <c r="DK211" s="19">
        <v>0</v>
      </c>
      <c r="DL211" s="19">
        <v>0</v>
      </c>
      <c r="DM211" s="19">
        <v>0</v>
      </c>
      <c r="DN211" s="19">
        <v>0</v>
      </c>
      <c r="DO211" s="19">
        <v>0</v>
      </c>
      <c r="DP211" s="19">
        <v>0</v>
      </c>
      <c r="DQ211" s="19">
        <v>0</v>
      </c>
      <c r="DR211" s="19">
        <v>0</v>
      </c>
      <c r="DS211" s="19">
        <v>0</v>
      </c>
      <c r="DT211" s="19">
        <v>0</v>
      </c>
      <c r="DU211" s="19">
        <v>0</v>
      </c>
      <c r="DV211" s="19">
        <v>0</v>
      </c>
      <c r="DW211" s="17" t="s">
        <v>618</v>
      </c>
      <c r="DX211" s="22" t="s">
        <v>218</v>
      </c>
      <c r="DY211" s="22" t="s">
        <v>218</v>
      </c>
      <c r="DZ211" s="22" t="s">
        <v>218</v>
      </c>
      <c r="EA211" s="22" t="s">
        <v>218</v>
      </c>
      <c r="EB211" s="22" t="s">
        <v>218</v>
      </c>
      <c r="EC211" s="22" t="s">
        <v>218</v>
      </c>
      <c r="ED211" s="22" t="s">
        <v>218</v>
      </c>
      <c r="EE211" s="22" t="s">
        <v>218</v>
      </c>
      <c r="EF211" s="22" t="s">
        <v>218</v>
      </c>
      <c r="EG211" s="22" t="s">
        <v>218</v>
      </c>
      <c r="EH211" s="22" t="s">
        <v>218</v>
      </c>
      <c r="EI211" s="22" t="s">
        <v>218</v>
      </c>
      <c r="EJ211" s="22" t="s">
        <v>218</v>
      </c>
      <c r="EK211" s="22" t="s">
        <v>218</v>
      </c>
      <c r="EL211" s="22" t="s">
        <v>218</v>
      </c>
      <c r="EM211" s="22" t="s">
        <v>218</v>
      </c>
      <c r="EN211" s="22" t="s">
        <v>218</v>
      </c>
      <c r="EO211" s="22" t="s">
        <v>218</v>
      </c>
      <c r="EP211" s="22" t="s">
        <v>218</v>
      </c>
      <c r="EQ211" s="22" t="s">
        <v>218</v>
      </c>
      <c r="ER211" s="22" t="s">
        <v>218</v>
      </c>
      <c r="ES211" s="22" t="s">
        <v>218</v>
      </c>
      <c r="ET211" s="22" t="s">
        <v>218</v>
      </c>
      <c r="EU211" s="22" t="s">
        <v>218</v>
      </c>
      <c r="EV211" s="22" t="s">
        <v>218</v>
      </c>
      <c r="EW211" s="22" t="s">
        <v>218</v>
      </c>
      <c r="EX211" s="22" t="s">
        <v>218</v>
      </c>
      <c r="EY211" s="22" t="s">
        <v>218</v>
      </c>
      <c r="EZ211" s="22" t="s">
        <v>218</v>
      </c>
      <c r="FA211" s="22" t="s">
        <v>218</v>
      </c>
      <c r="FB211" s="22" t="s">
        <v>218</v>
      </c>
      <c r="FC211" s="22" t="s">
        <v>218</v>
      </c>
      <c r="FD211" s="22" t="s">
        <v>218</v>
      </c>
      <c r="FE211" s="22" t="s">
        <v>218</v>
      </c>
      <c r="FF211" s="22" t="s">
        <v>218</v>
      </c>
      <c r="FG211" s="22" t="s">
        <v>218</v>
      </c>
      <c r="FH211" s="22" t="s">
        <v>218</v>
      </c>
      <c r="FI211" s="22" t="s">
        <v>218</v>
      </c>
      <c r="FJ211" s="22" t="s">
        <v>218</v>
      </c>
      <c r="FK211" s="22" t="s">
        <v>218</v>
      </c>
      <c r="FL211" s="22" t="s">
        <v>218</v>
      </c>
      <c r="FM211" s="22" t="s">
        <v>218</v>
      </c>
      <c r="FN211" s="22" t="s">
        <v>218</v>
      </c>
      <c r="FO211" s="22" t="s">
        <v>218</v>
      </c>
      <c r="FP211" s="22" t="s">
        <v>218</v>
      </c>
      <c r="FQ211" s="22" t="s">
        <v>218</v>
      </c>
      <c r="FR211" s="22" t="s">
        <v>218</v>
      </c>
      <c r="FS211" s="22" t="s">
        <v>218</v>
      </c>
      <c r="FT211" s="22" t="s">
        <v>218</v>
      </c>
      <c r="FU211" s="22" t="s">
        <v>218</v>
      </c>
      <c r="FV211" s="22" t="s">
        <v>218</v>
      </c>
      <c r="FW211" s="22" t="s">
        <v>218</v>
      </c>
      <c r="FX211" s="22" t="s">
        <v>218</v>
      </c>
      <c r="FY211" s="22" t="s">
        <v>218</v>
      </c>
      <c r="FZ211" s="22" t="s">
        <v>218</v>
      </c>
      <c r="GA211" s="22" t="s">
        <v>218</v>
      </c>
      <c r="GB211" s="22" t="s">
        <v>218</v>
      </c>
      <c r="GC211" s="22" t="s">
        <v>218</v>
      </c>
      <c r="GD211" s="22" t="s">
        <v>218</v>
      </c>
      <c r="GE211" s="22" t="s">
        <v>218</v>
      </c>
      <c r="GF211" s="22" t="s">
        <v>218</v>
      </c>
      <c r="GG211" s="22" t="s">
        <v>218</v>
      </c>
      <c r="GH211" s="22" t="s">
        <v>218</v>
      </c>
      <c r="GI211" s="22" t="s">
        <v>218</v>
      </c>
      <c r="GJ211" s="22" t="s">
        <v>218</v>
      </c>
      <c r="GK211" s="22" t="s">
        <v>218</v>
      </c>
      <c r="GL211" s="22" t="s">
        <v>218</v>
      </c>
      <c r="GM211" s="22" t="s">
        <v>218</v>
      </c>
      <c r="GN211" s="22" t="s">
        <v>218</v>
      </c>
      <c r="GO211" s="22" t="s">
        <v>218</v>
      </c>
      <c r="GP211" s="22" t="s">
        <v>218</v>
      </c>
      <c r="GQ211" s="22" t="s">
        <v>218</v>
      </c>
      <c r="GR211" s="22" t="s">
        <v>218</v>
      </c>
      <c r="GS211" s="22" t="s">
        <v>218</v>
      </c>
      <c r="GT211" s="22" t="s">
        <v>218</v>
      </c>
      <c r="GU211" s="22" t="s">
        <v>218</v>
      </c>
      <c r="GV211" s="22" t="s">
        <v>218</v>
      </c>
      <c r="GW211" s="22" t="s">
        <v>218</v>
      </c>
      <c r="GX211" s="22" t="s">
        <v>218</v>
      </c>
      <c r="GY211" s="22" t="s">
        <v>218</v>
      </c>
      <c r="GZ211" s="22" t="s">
        <v>218</v>
      </c>
      <c r="HA211" s="22" t="s">
        <v>218</v>
      </c>
      <c r="HB211" s="22" t="s">
        <v>218</v>
      </c>
      <c r="HC211" s="22" t="s">
        <v>218</v>
      </c>
      <c r="HD211" s="22" t="s">
        <v>218</v>
      </c>
      <c r="HE211" s="22" t="s">
        <v>218</v>
      </c>
      <c r="HF211" s="22" t="s">
        <v>218</v>
      </c>
      <c r="HG211" s="22" t="s">
        <v>218</v>
      </c>
      <c r="HH211" s="22" t="s">
        <v>218</v>
      </c>
      <c r="HI211" s="22" t="s">
        <v>218</v>
      </c>
      <c r="HJ211" s="22" t="s">
        <v>218</v>
      </c>
      <c r="HK211" s="22" t="s">
        <v>218</v>
      </c>
      <c r="HL211" s="22" t="s">
        <v>218</v>
      </c>
      <c r="HM211" s="622">
        <f>'background data'!$G$18</f>
        <v>0.54099999999999993</v>
      </c>
      <c r="HN211" s="622">
        <f>'background data'!$H$18</f>
        <v>0.11600000000000001</v>
      </c>
      <c r="HO211" s="622">
        <f>'background data'!$J$18</f>
        <v>0.25</v>
      </c>
      <c r="HP211" s="622">
        <f>'background data'!$L$18</f>
        <v>1.2999999999999999E-2</v>
      </c>
      <c r="HQ211" s="622">
        <f>'background data'!$M$18</f>
        <v>8.86</v>
      </c>
      <c r="HR211" s="622">
        <f>'background data'!$N$18</f>
        <v>6.9299999999999995E-3</v>
      </c>
      <c r="HS211" s="622">
        <f>'background data'!$O$18</f>
        <v>1.75</v>
      </c>
      <c r="HT211" s="145" t="s">
        <v>1805</v>
      </c>
      <c r="HU211" s="145" t="s">
        <v>1809</v>
      </c>
      <c r="HV211" s="22" t="s">
        <v>1976</v>
      </c>
      <c r="HW211" s="22" t="s">
        <v>619</v>
      </c>
      <c r="HX211" s="22">
        <v>0</v>
      </c>
      <c r="HY211" s="22">
        <v>0</v>
      </c>
      <c r="HZ211" s="19"/>
      <c r="IA211" s="19"/>
      <c r="IB211" s="622">
        <f>'background data'!$G$18</f>
        <v>0.54099999999999993</v>
      </c>
      <c r="IC211" s="622">
        <f>'background data'!$H$18</f>
        <v>0.11600000000000001</v>
      </c>
      <c r="ID211" s="622">
        <f>'background data'!$J$18</f>
        <v>0.25</v>
      </c>
      <c r="IE211" s="622">
        <f>'background data'!$L$18</f>
        <v>1.2999999999999999E-2</v>
      </c>
      <c r="IF211" s="622">
        <f>'background data'!$M$18</f>
        <v>8.86</v>
      </c>
      <c r="IG211" s="622">
        <f>'background data'!$N$18</f>
        <v>6.9299999999999995E-3</v>
      </c>
      <c r="IH211" s="622">
        <f>'background data'!$O$18</f>
        <v>1.75</v>
      </c>
      <c r="II211" s="145" t="s">
        <v>1805</v>
      </c>
      <c r="IJ211" s="145"/>
      <c r="IK211" s="145"/>
      <c r="IL211" s="145"/>
      <c r="IM211" s="145"/>
      <c r="IN211" s="145"/>
      <c r="IO211" s="145"/>
      <c r="IP211" s="145"/>
      <c r="IQ211" s="145"/>
      <c r="IR211" s="145"/>
      <c r="IS211" s="145"/>
      <c r="IT211" s="145"/>
      <c r="IU211" s="145"/>
      <c r="IV211" s="145"/>
      <c r="IW211" s="145"/>
      <c r="IX211" s="145"/>
      <c r="IY211" s="145"/>
      <c r="IZ211" s="145"/>
      <c r="JA211" s="145"/>
      <c r="JB211" s="145"/>
      <c r="JC211" s="145"/>
      <c r="JD211" s="145"/>
      <c r="JE211" s="145"/>
      <c r="JF211" s="145"/>
      <c r="JG211" s="145"/>
      <c r="JH211" s="145"/>
      <c r="JI211" s="145"/>
      <c r="JJ211" s="145"/>
      <c r="JK211" s="145"/>
      <c r="JL211" s="145"/>
      <c r="JM211" s="145"/>
      <c r="JN211" s="145"/>
      <c r="JO211" s="145"/>
      <c r="JP211" s="145"/>
      <c r="JQ211" s="145"/>
      <c r="JR211" s="145"/>
      <c r="JS211" s="145"/>
      <c r="JT211" s="145"/>
      <c r="JU211" s="145"/>
      <c r="JV211" s="145"/>
      <c r="JW211" s="145"/>
      <c r="JX211" s="145"/>
      <c r="JY211" s="145"/>
      <c r="JZ211" s="145"/>
      <c r="KA211" s="145"/>
      <c r="KB211" s="145"/>
      <c r="KC211" s="145"/>
      <c r="KD211" s="145"/>
      <c r="KE211" s="145"/>
      <c r="KF211" s="145"/>
      <c r="KG211" s="145"/>
      <c r="KH211" s="145"/>
      <c r="KI211" s="145"/>
      <c r="KJ211" s="145"/>
      <c r="KK211" s="145"/>
      <c r="KL211" s="145"/>
      <c r="KM211" s="145"/>
      <c r="KN211" s="145"/>
      <c r="KO211" s="145"/>
      <c r="KP211" s="145"/>
      <c r="KQ211" s="145"/>
      <c r="KR211" s="145"/>
      <c r="KS211" s="145"/>
      <c r="KT211" s="145"/>
      <c r="KU211" s="145"/>
      <c r="KV211" s="145"/>
      <c r="KW211" s="145"/>
      <c r="KX211" s="145"/>
      <c r="KY211" s="145"/>
      <c r="KZ211" s="145"/>
      <c r="LA211" s="145"/>
      <c r="LB211" s="145"/>
      <c r="LC211" s="145"/>
      <c r="LD211" s="145"/>
      <c r="LE211" s="145"/>
      <c r="LF211" s="145"/>
      <c r="LG211" s="145"/>
      <c r="LH211" s="145"/>
      <c r="LI211" s="145"/>
      <c r="LJ211" s="145"/>
      <c r="LK211" s="145"/>
      <c r="LL211" s="145"/>
      <c r="LM211" s="145"/>
      <c r="LN211" s="145"/>
      <c r="LO211" s="145"/>
      <c r="LP211" s="145"/>
      <c r="LQ211" s="145"/>
      <c r="LR211" s="145"/>
      <c r="LS211" s="145"/>
      <c r="LT211" s="145"/>
      <c r="LU211" s="145"/>
      <c r="LV211" s="145"/>
      <c r="LW211" s="145"/>
      <c r="LX211" s="145"/>
      <c r="LY211" s="145"/>
      <c r="LZ211" s="145"/>
      <c r="MA211" s="145"/>
      <c r="MB211" s="145"/>
      <c r="MC211" s="145"/>
      <c r="MD211" s="145"/>
      <c r="ME211" s="145"/>
      <c r="MF211" s="145"/>
      <c r="MG211" s="145"/>
      <c r="MH211" s="145"/>
      <c r="MI211" s="145"/>
      <c r="MJ211" s="145"/>
      <c r="MK211" s="145"/>
      <c r="ML211" s="145"/>
      <c r="MM211" s="145"/>
      <c r="MN211" s="145"/>
      <c r="MO211" s="145"/>
      <c r="MP211" s="145"/>
      <c r="MQ211" s="145"/>
      <c r="MR211" s="145"/>
      <c r="MS211" s="145"/>
      <c r="MT211" s="145"/>
      <c r="MU211" s="145"/>
      <c r="MV211" s="145"/>
      <c r="MW211" s="145"/>
      <c r="MX211" s="145"/>
      <c r="MY211" s="145"/>
      <c r="MZ211" s="145"/>
      <c r="NA211" s="145"/>
      <c r="NB211" s="145"/>
      <c r="NC211" s="145"/>
      <c r="ND211" s="145"/>
      <c r="NE211" s="145"/>
      <c r="NF211" s="145"/>
      <c r="NG211" s="145"/>
      <c r="NH211" s="145"/>
      <c r="NI211" s="145"/>
      <c r="NJ211" s="145"/>
      <c r="NK211" s="145"/>
      <c r="NL211" s="145"/>
      <c r="NM211" s="145"/>
      <c r="NN211" s="145"/>
      <c r="NO211" s="145"/>
      <c r="NP211" s="145"/>
      <c r="NQ211" s="145"/>
      <c r="NR211" s="145"/>
      <c r="NS211" s="145"/>
    </row>
    <row r="212" spans="1:383" s="16" customFormat="1" ht="15" customHeight="1" x14ac:dyDescent="0.2">
      <c r="A212" s="15">
        <v>61330</v>
      </c>
      <c r="B212" s="25">
        <v>613</v>
      </c>
      <c r="C212" s="26">
        <v>30</v>
      </c>
      <c r="D212" s="20" t="s">
        <v>620</v>
      </c>
      <c r="E212" s="14">
        <v>42698</v>
      </c>
      <c r="F212" s="18">
        <v>0.92046866445993003</v>
      </c>
      <c r="G212" s="18">
        <v>0.95126558074507905</v>
      </c>
      <c r="H212" s="21">
        <v>92.9</v>
      </c>
      <c r="I212" s="21">
        <v>75.2</v>
      </c>
      <c r="J212" s="21">
        <v>96</v>
      </c>
      <c r="K212" s="18">
        <v>1</v>
      </c>
      <c r="L212" s="18">
        <v>92.3</v>
      </c>
      <c r="M212" s="18">
        <v>60.825699999999998</v>
      </c>
      <c r="N212" s="18">
        <v>1.9382999999999999</v>
      </c>
      <c r="O212" s="18">
        <v>6.6456</v>
      </c>
      <c r="P212" s="18">
        <v>3.1381999999999999</v>
      </c>
      <c r="Q212" s="19"/>
      <c r="R212" s="18">
        <v>83.5</v>
      </c>
      <c r="S212" s="18">
        <v>39</v>
      </c>
      <c r="T212" s="18">
        <v>51</v>
      </c>
      <c r="U212" s="18">
        <v>56</v>
      </c>
      <c r="V212" s="18">
        <v>60</v>
      </c>
      <c r="W212" s="18">
        <v>63</v>
      </c>
      <c r="X212" s="18"/>
      <c r="Y212" s="18">
        <v>3.7</v>
      </c>
      <c r="Z212" s="18">
        <v>7.4</v>
      </c>
      <c r="AA212" s="18">
        <v>9.9999999999999992E-2</v>
      </c>
      <c r="AB212" s="18" t="s">
        <v>217</v>
      </c>
      <c r="AC212" s="18">
        <v>22.900000000000002</v>
      </c>
      <c r="AD212" s="18">
        <v>3.9</v>
      </c>
      <c r="AE212" s="18">
        <v>4.8</v>
      </c>
      <c r="AF212" s="18">
        <v>390.09999999999997</v>
      </c>
      <c r="AG212" s="18">
        <v>8.5000000000000018</v>
      </c>
      <c r="AH212" s="18">
        <v>44.6</v>
      </c>
      <c r="AI212" s="18">
        <v>61.600000000000009</v>
      </c>
      <c r="AJ212" s="18">
        <v>0</v>
      </c>
      <c r="AK212" s="18">
        <v>3.0000000000000002E-2</v>
      </c>
      <c r="AL212" s="18"/>
      <c r="AM212" s="18">
        <v>6.2822458270106196</v>
      </c>
      <c r="AN212" s="18">
        <v>1.3657056145675299</v>
      </c>
      <c r="AO212" s="18">
        <v>1.38088012139605</v>
      </c>
      <c r="AP212" s="18">
        <v>4.03641881638847</v>
      </c>
      <c r="AQ212" s="18">
        <v>1.32018209408194</v>
      </c>
      <c r="AR212" s="18">
        <v>4.6433990895295896</v>
      </c>
      <c r="AS212" s="18">
        <v>7.8907435508345998</v>
      </c>
      <c r="AT212" s="18">
        <v>2.6100151745068301</v>
      </c>
      <c r="AU212" s="18">
        <v>5.1896813353565996</v>
      </c>
      <c r="AV212" s="18">
        <v>3.7632776934749601</v>
      </c>
      <c r="AW212" s="18">
        <v>4.7647951441578096</v>
      </c>
      <c r="AX212" s="18"/>
      <c r="AY212" s="18">
        <v>1.06</v>
      </c>
      <c r="AZ212" s="18">
        <v>1.08</v>
      </c>
      <c r="BA212" s="18">
        <v>0.96</v>
      </c>
      <c r="BB212" s="18">
        <v>1.05</v>
      </c>
      <c r="BC212" s="18">
        <v>1.1000000000000001</v>
      </c>
      <c r="BD212" s="18">
        <v>1.07</v>
      </c>
      <c r="BE212" s="18">
        <v>1.07</v>
      </c>
      <c r="BF212" s="18">
        <v>1.08</v>
      </c>
      <c r="BG212" s="18">
        <v>1.08</v>
      </c>
      <c r="BH212" s="18">
        <v>1.1000000000000001</v>
      </c>
      <c r="BI212" s="18">
        <v>1.05</v>
      </c>
      <c r="BJ212" s="19"/>
      <c r="BK212" s="18">
        <v>65.900000000000006</v>
      </c>
      <c r="BL212" s="18">
        <v>2.1</v>
      </c>
      <c r="BM212" s="18">
        <v>7.1999999999999993</v>
      </c>
      <c r="BN212" s="18">
        <v>3.4</v>
      </c>
      <c r="BO212" s="18"/>
      <c r="BP212" s="18">
        <v>130</v>
      </c>
      <c r="BQ212" s="18">
        <v>27.3</v>
      </c>
      <c r="BR212" s="18">
        <v>0.99725749128919838</v>
      </c>
      <c r="BS212" s="18">
        <v>1.0306235977736502</v>
      </c>
      <c r="BT212" s="19"/>
      <c r="BU212" s="18">
        <v>928</v>
      </c>
      <c r="BV212" s="18">
        <v>7.4005714285714301</v>
      </c>
      <c r="BW212" s="18">
        <v>234.65142857142905</v>
      </c>
      <c r="BX212" s="18" t="s">
        <v>217</v>
      </c>
      <c r="BY212" s="18" t="s">
        <v>217</v>
      </c>
      <c r="BZ212" s="18">
        <v>73.858345714285818</v>
      </c>
      <c r="CA212" s="18">
        <v>199.69108285714302</v>
      </c>
      <c r="CB212" s="19"/>
      <c r="CC212" s="19">
        <v>3.4150999999999998</v>
      </c>
      <c r="CD212" s="19">
        <v>6.8301999999999996</v>
      </c>
      <c r="CE212" s="19">
        <v>9.2299999999999979E-2</v>
      </c>
      <c r="CF212" s="19" t="s">
        <v>217</v>
      </c>
      <c r="CG212" s="19">
        <v>21.136700000000001</v>
      </c>
      <c r="CH212" s="19">
        <v>3.5996999999999995</v>
      </c>
      <c r="CI212" s="19">
        <v>4.4303999999999997</v>
      </c>
      <c r="CJ212" s="19"/>
      <c r="CK212" s="19">
        <v>360.06229999999994</v>
      </c>
      <c r="CL212" s="19">
        <v>7.8455000000000013</v>
      </c>
      <c r="CM212" s="19">
        <v>41.165799999999997</v>
      </c>
      <c r="CN212" s="19">
        <v>56.856800000000007</v>
      </c>
      <c r="CO212" s="19">
        <v>0</v>
      </c>
      <c r="CP212" s="19">
        <v>2.7689999999999999E-2</v>
      </c>
      <c r="CQ212" s="19">
        <v>507.89459499999998</v>
      </c>
      <c r="CR212" s="19">
        <v>551.7782566753632</v>
      </c>
      <c r="CS212" s="19">
        <v>36.743910494600357</v>
      </c>
      <c r="CT212" s="19">
        <v>8.1385199618885338</v>
      </c>
      <c r="CU212" s="19">
        <v>7.314620410191135</v>
      </c>
      <c r="CV212" s="19">
        <v>15.45314037207967</v>
      </c>
      <c r="CW212" s="19">
        <v>23.385685446043844</v>
      </c>
      <c r="CX212" s="19">
        <v>8.0129255180321977</v>
      </c>
      <c r="CY212" s="19">
        <v>27.414755204954083</v>
      </c>
      <c r="CZ212" s="19">
        <v>46.587165707765109</v>
      </c>
      <c r="DA212" s="19">
        <v>15.553615927164712</v>
      </c>
      <c r="DB212" s="19">
        <v>30.926375855176349</v>
      </c>
      <c r="DC212" s="19">
        <v>22.841442855999858</v>
      </c>
      <c r="DD212" s="19">
        <v>53.767818711176204</v>
      </c>
      <c r="DE212" s="19">
        <v>27.605658759615665</v>
      </c>
      <c r="DF212" s="23">
        <v>0</v>
      </c>
      <c r="DG212" s="23">
        <v>0</v>
      </c>
      <c r="DH212" s="23">
        <v>0</v>
      </c>
      <c r="DI212" s="19">
        <v>0</v>
      </c>
      <c r="DJ212" s="19">
        <v>0</v>
      </c>
      <c r="DK212" s="19">
        <v>0</v>
      </c>
      <c r="DL212" s="19">
        <v>0</v>
      </c>
      <c r="DM212" s="19">
        <v>0</v>
      </c>
      <c r="DN212" s="19">
        <v>0</v>
      </c>
      <c r="DO212" s="19">
        <v>0</v>
      </c>
      <c r="DP212" s="19">
        <v>0</v>
      </c>
      <c r="DQ212" s="19">
        <v>0</v>
      </c>
      <c r="DR212" s="19">
        <v>0</v>
      </c>
      <c r="DS212" s="19">
        <v>0</v>
      </c>
      <c r="DT212" s="19">
        <v>0</v>
      </c>
      <c r="DU212" s="19">
        <v>0</v>
      </c>
      <c r="DV212" s="19">
        <v>0</v>
      </c>
      <c r="DW212" s="17" t="s">
        <v>621</v>
      </c>
      <c r="DX212" s="22" t="s">
        <v>218</v>
      </c>
      <c r="DY212" s="22">
        <v>8</v>
      </c>
      <c r="DZ212" s="22">
        <v>8</v>
      </c>
      <c r="EA212" s="22">
        <v>8</v>
      </c>
      <c r="EB212" s="22" t="s">
        <v>218</v>
      </c>
      <c r="EC212" s="22">
        <v>8</v>
      </c>
      <c r="ED212" s="22">
        <v>8</v>
      </c>
      <c r="EE212" s="22" t="s">
        <v>218</v>
      </c>
      <c r="EF212" s="22">
        <v>8</v>
      </c>
      <c r="EG212" s="22">
        <v>8</v>
      </c>
      <c r="EH212" s="22">
        <v>8</v>
      </c>
      <c r="EI212" s="22">
        <v>8</v>
      </c>
      <c r="EJ212" s="22">
        <v>8</v>
      </c>
      <c r="EK212" s="22">
        <v>8</v>
      </c>
      <c r="EL212" s="22">
        <v>8</v>
      </c>
      <c r="EM212" s="22">
        <v>8</v>
      </c>
      <c r="EN212" s="22">
        <v>8</v>
      </c>
      <c r="EO212" s="22">
        <v>8</v>
      </c>
      <c r="EP212" s="22">
        <v>8</v>
      </c>
      <c r="EQ212" s="22">
        <v>8</v>
      </c>
      <c r="ER212" s="22">
        <v>8</v>
      </c>
      <c r="ES212" s="22">
        <v>8</v>
      </c>
      <c r="ET212" s="22">
        <v>8</v>
      </c>
      <c r="EU212" s="22">
        <v>8</v>
      </c>
      <c r="EV212" s="22" t="s">
        <v>218</v>
      </c>
      <c r="EW212" s="22">
        <v>8</v>
      </c>
      <c r="EX212" s="22">
        <v>8</v>
      </c>
      <c r="EY212" s="22">
        <v>4</v>
      </c>
      <c r="EZ212" s="22">
        <v>8</v>
      </c>
      <c r="FA212" s="22">
        <v>8</v>
      </c>
      <c r="FB212" s="22">
        <v>8</v>
      </c>
      <c r="FC212" s="22">
        <v>8</v>
      </c>
      <c r="FD212" s="22" t="s">
        <v>218</v>
      </c>
      <c r="FE212" s="22">
        <v>4</v>
      </c>
      <c r="FF212" s="22" t="s">
        <v>218</v>
      </c>
      <c r="FG212" s="22">
        <v>0.56999999999999995</v>
      </c>
      <c r="FH212" s="22">
        <v>0.26</v>
      </c>
      <c r="FI212" s="22">
        <v>0.33</v>
      </c>
      <c r="FJ212" s="22" t="s">
        <v>218</v>
      </c>
      <c r="FK212" s="22">
        <v>1.31</v>
      </c>
      <c r="FL212" s="22">
        <v>0.92</v>
      </c>
      <c r="FM212" s="22" t="s">
        <v>218</v>
      </c>
      <c r="FN212" s="22">
        <v>1.51</v>
      </c>
      <c r="FO212" s="22">
        <v>1.34</v>
      </c>
      <c r="FP212" s="22">
        <v>0.59</v>
      </c>
      <c r="FQ212" s="22">
        <v>0.17</v>
      </c>
      <c r="FR212" s="22">
        <v>0.28000000000000003</v>
      </c>
      <c r="FS212" s="22">
        <v>0.5</v>
      </c>
      <c r="FT212" s="22">
        <v>0.15</v>
      </c>
      <c r="FU212" s="22">
        <v>0.5</v>
      </c>
      <c r="FV212" s="22">
        <v>0.62</v>
      </c>
      <c r="FW212" s="22">
        <v>0.16</v>
      </c>
      <c r="FX212" s="22">
        <v>1.17</v>
      </c>
      <c r="FY212" s="22">
        <v>1.03</v>
      </c>
      <c r="FZ212" s="22">
        <v>0.56000000000000005</v>
      </c>
      <c r="GA212" s="22">
        <v>0.28000000000000003</v>
      </c>
      <c r="GB212" s="22">
        <v>0.38</v>
      </c>
      <c r="GC212" s="22">
        <v>0.04</v>
      </c>
      <c r="GD212" s="22" t="s">
        <v>218</v>
      </c>
      <c r="GE212" s="22">
        <v>0.98</v>
      </c>
      <c r="GF212" s="22">
        <v>0.23</v>
      </c>
      <c r="GG212" s="22">
        <v>0.14000000000000001</v>
      </c>
      <c r="GH212" s="22">
        <v>312</v>
      </c>
      <c r="GI212" s="22">
        <v>1.64</v>
      </c>
      <c r="GJ212" s="22">
        <v>3.27</v>
      </c>
      <c r="GK212" s="22">
        <v>7.86</v>
      </c>
      <c r="GL212" s="22" t="s">
        <v>218</v>
      </c>
      <c r="GM212" s="22">
        <v>0.05</v>
      </c>
      <c r="GN212" s="22" t="s">
        <v>218</v>
      </c>
      <c r="GO212" s="22">
        <v>2011</v>
      </c>
      <c r="GP212" s="22">
        <v>2011</v>
      </c>
      <c r="GQ212" s="22">
        <v>2011</v>
      </c>
      <c r="GR212" s="22" t="s">
        <v>218</v>
      </c>
      <c r="GS212" s="22">
        <v>2011</v>
      </c>
      <c r="GT212" s="22">
        <v>2011</v>
      </c>
      <c r="GU212" s="22" t="s">
        <v>218</v>
      </c>
      <c r="GV212" s="22">
        <v>2011</v>
      </c>
      <c r="GW212" s="22">
        <v>2011</v>
      </c>
      <c r="GX212" s="22">
        <v>2011</v>
      </c>
      <c r="GY212" s="22">
        <v>2011</v>
      </c>
      <c r="GZ212" s="22">
        <v>2011</v>
      </c>
      <c r="HA212" s="22">
        <v>2011</v>
      </c>
      <c r="HB212" s="22">
        <v>2011</v>
      </c>
      <c r="HC212" s="22">
        <v>2011</v>
      </c>
      <c r="HD212" s="22">
        <v>2011</v>
      </c>
      <c r="HE212" s="22">
        <v>2011</v>
      </c>
      <c r="HF212" s="22">
        <v>2011</v>
      </c>
      <c r="HG212" s="22">
        <v>2011</v>
      </c>
      <c r="HH212" s="22">
        <v>2011</v>
      </c>
      <c r="HI212" s="22">
        <v>2011</v>
      </c>
      <c r="HJ212" s="22">
        <v>2011</v>
      </c>
      <c r="HK212" s="22">
        <v>2011</v>
      </c>
      <c r="HL212" s="22" t="s">
        <v>218</v>
      </c>
      <c r="HM212" s="622">
        <f>'background data'!$G$18</f>
        <v>0.54099999999999993</v>
      </c>
      <c r="HN212" s="622">
        <f>'background data'!$H$18</f>
        <v>0.11600000000000001</v>
      </c>
      <c r="HO212" s="622">
        <f>'background data'!$J$18</f>
        <v>0.25</v>
      </c>
      <c r="HP212" s="622">
        <f>'background data'!$L$18</f>
        <v>1.2999999999999999E-2</v>
      </c>
      <c r="HQ212" s="622">
        <f>'background data'!$M$18</f>
        <v>8.86</v>
      </c>
      <c r="HR212" s="622">
        <f>'background data'!$N$18</f>
        <v>6.9299999999999995E-3</v>
      </c>
      <c r="HS212" s="622">
        <f>'background data'!$O$18</f>
        <v>1.75</v>
      </c>
      <c r="HT212" s="145" t="s">
        <v>1805</v>
      </c>
      <c r="HU212" s="145" t="s">
        <v>1809</v>
      </c>
      <c r="HV212" s="22" t="s">
        <v>1977</v>
      </c>
      <c r="HW212" s="22" t="s">
        <v>622</v>
      </c>
      <c r="HX212" s="22" t="s">
        <v>623</v>
      </c>
      <c r="HY212" s="22" t="s">
        <v>624</v>
      </c>
      <c r="HZ212" s="19"/>
      <c r="IA212" s="19"/>
      <c r="IB212" s="622">
        <f>'background data'!$G$18</f>
        <v>0.54099999999999993</v>
      </c>
      <c r="IC212" s="622">
        <f>'background data'!$H$18</f>
        <v>0.11600000000000001</v>
      </c>
      <c r="ID212" s="622">
        <f>'background data'!$J$18</f>
        <v>0.25</v>
      </c>
      <c r="IE212" s="622">
        <f>'background data'!$L$18</f>
        <v>1.2999999999999999E-2</v>
      </c>
      <c r="IF212" s="622">
        <f>'background data'!$M$18</f>
        <v>8.86</v>
      </c>
      <c r="IG212" s="622">
        <f>'background data'!$N$18</f>
        <v>6.9299999999999995E-3</v>
      </c>
      <c r="IH212" s="622">
        <f>'background data'!$O$18</f>
        <v>1.75</v>
      </c>
      <c r="II212" s="145" t="s">
        <v>1805</v>
      </c>
      <c r="IJ212" s="145"/>
      <c r="IK212" s="145"/>
      <c r="IL212" s="145"/>
      <c r="IM212" s="145"/>
      <c r="IN212" s="145"/>
      <c r="IO212" s="145"/>
      <c r="IP212" s="145"/>
      <c r="IQ212" s="145"/>
      <c r="IR212" s="145"/>
      <c r="IS212" s="145"/>
      <c r="IT212" s="145"/>
      <c r="IU212" s="145"/>
      <c r="IV212" s="145"/>
      <c r="IW212" s="145"/>
      <c r="IX212" s="145"/>
      <c r="IY212" s="145"/>
      <c r="IZ212" s="145"/>
      <c r="JA212" s="145"/>
      <c r="JB212" s="145"/>
      <c r="JC212" s="145"/>
      <c r="JD212" s="145"/>
      <c r="JE212" s="145"/>
      <c r="JF212" s="145"/>
      <c r="JG212" s="145"/>
      <c r="JH212" s="145"/>
      <c r="JI212" s="145"/>
      <c r="JJ212" s="145"/>
      <c r="JK212" s="145"/>
      <c r="JL212" s="145"/>
      <c r="JM212" s="145"/>
      <c r="JN212" s="145"/>
      <c r="JO212" s="145"/>
      <c r="JP212" s="145"/>
      <c r="JQ212" s="145"/>
      <c r="JR212" s="145"/>
      <c r="JS212" s="145"/>
      <c r="JT212" s="145"/>
      <c r="JU212" s="145"/>
      <c r="JV212" s="145"/>
      <c r="JW212" s="145"/>
      <c r="JX212" s="145"/>
      <c r="JY212" s="145"/>
      <c r="JZ212" s="145"/>
      <c r="KA212" s="145"/>
      <c r="KB212" s="145"/>
      <c r="KC212" s="145"/>
      <c r="KD212" s="145"/>
      <c r="KE212" s="145"/>
      <c r="KF212" s="145"/>
      <c r="KG212" s="145"/>
      <c r="KH212" s="145"/>
      <c r="KI212" s="145"/>
      <c r="KJ212" s="145"/>
      <c r="KK212" s="145"/>
      <c r="KL212" s="145"/>
      <c r="KM212" s="145"/>
      <c r="KN212" s="145"/>
      <c r="KO212" s="145"/>
      <c r="KP212" s="145"/>
      <c r="KQ212" s="145"/>
      <c r="KR212" s="145"/>
      <c r="KS212" s="145"/>
      <c r="KT212" s="145"/>
      <c r="KU212" s="145"/>
      <c r="KV212" s="145"/>
      <c r="KW212" s="145"/>
      <c r="KX212" s="145"/>
      <c r="KY212" s="145"/>
      <c r="KZ212" s="145"/>
      <c r="LA212" s="145"/>
      <c r="LB212" s="145"/>
      <c r="LC212" s="145"/>
      <c r="LD212" s="145"/>
      <c r="LE212" s="145"/>
      <c r="LF212" s="145"/>
      <c r="LG212" s="145"/>
      <c r="LH212" s="145"/>
      <c r="LI212" s="145"/>
      <c r="LJ212" s="145"/>
      <c r="LK212" s="145"/>
      <c r="LL212" s="145"/>
      <c r="LM212" s="145"/>
      <c r="LN212" s="145"/>
      <c r="LO212" s="145"/>
      <c r="LP212" s="145"/>
      <c r="LQ212" s="145"/>
      <c r="LR212" s="145"/>
      <c r="LS212" s="145"/>
      <c r="LT212" s="145"/>
      <c r="LU212" s="145"/>
      <c r="LV212" s="145"/>
      <c r="LW212" s="145"/>
      <c r="LX212" s="145"/>
      <c r="LY212" s="145"/>
      <c r="LZ212" s="145"/>
      <c r="MA212" s="145"/>
      <c r="MB212" s="145"/>
      <c r="MC212" s="145"/>
      <c r="MD212" s="145"/>
      <c r="ME212" s="145"/>
      <c r="MF212" s="145"/>
      <c r="MG212" s="145"/>
      <c r="MH212" s="145"/>
      <c r="MI212" s="145"/>
      <c r="MJ212" s="145"/>
      <c r="MK212" s="145"/>
      <c r="ML212" s="145"/>
      <c r="MM212" s="145"/>
      <c r="MN212" s="145"/>
      <c r="MO212" s="145"/>
      <c r="MP212" s="145"/>
      <c r="MQ212" s="145"/>
      <c r="MR212" s="145"/>
      <c r="MS212" s="145"/>
      <c r="MT212" s="145"/>
      <c r="MU212" s="145"/>
      <c r="MV212" s="145"/>
      <c r="MW212" s="145"/>
      <c r="MX212" s="145"/>
      <c r="MY212" s="145"/>
      <c r="MZ212" s="145"/>
      <c r="NA212" s="145"/>
      <c r="NB212" s="145"/>
      <c r="NC212" s="145"/>
      <c r="ND212" s="145"/>
      <c r="NE212" s="145"/>
      <c r="NF212" s="145"/>
      <c r="NG212" s="145"/>
      <c r="NH212" s="145"/>
      <c r="NI212" s="145"/>
      <c r="NJ212" s="145"/>
      <c r="NK212" s="145"/>
      <c r="NL212" s="145"/>
      <c r="NM212" s="145"/>
      <c r="NN212" s="145"/>
      <c r="NO212" s="145"/>
      <c r="NP212" s="145"/>
      <c r="NQ212" s="145"/>
      <c r="NR212" s="145"/>
      <c r="NS212" s="145"/>
    </row>
    <row r="213" spans="1:383" s="16" customFormat="1" ht="15" customHeight="1" x14ac:dyDescent="0.2">
      <c r="A213" s="15">
        <v>61360</v>
      </c>
      <c r="B213" s="25">
        <v>613</v>
      </c>
      <c r="C213" s="26">
        <v>60</v>
      </c>
      <c r="D213" s="20" t="s">
        <v>625</v>
      </c>
      <c r="E213" s="14">
        <v>42698</v>
      </c>
      <c r="F213" s="18">
        <v>0.93309995212988595</v>
      </c>
      <c r="G213" s="18">
        <v>0.96022808954029604</v>
      </c>
      <c r="H213" s="21">
        <v>91.9</v>
      </c>
      <c r="I213" s="21">
        <v>75.800038999999998</v>
      </c>
      <c r="J213" s="21">
        <v>96</v>
      </c>
      <c r="K213" s="18">
        <v>1</v>
      </c>
      <c r="L213" s="18">
        <v>92</v>
      </c>
      <c r="M213" s="18">
        <v>60.536000000000001</v>
      </c>
      <c r="N213" s="18">
        <v>2.2080000000000002</v>
      </c>
      <c r="O213" s="18">
        <v>6.1639999999999997</v>
      </c>
      <c r="P213" s="18" t="s">
        <v>217</v>
      </c>
      <c r="Q213" s="19"/>
      <c r="R213" s="18">
        <v>83.5</v>
      </c>
      <c r="S213" s="18">
        <v>39</v>
      </c>
      <c r="T213" s="18">
        <v>51</v>
      </c>
      <c r="U213" s="18">
        <v>56</v>
      </c>
      <c r="V213" s="18">
        <v>60</v>
      </c>
      <c r="W213" s="18">
        <v>63</v>
      </c>
      <c r="X213" s="18"/>
      <c r="Y213" s="18">
        <v>3.5</v>
      </c>
      <c r="Z213" s="18">
        <v>7.1000000000000005</v>
      </c>
      <c r="AA213" s="18">
        <v>9.9999999999999985E-3</v>
      </c>
      <c r="AB213" s="18" t="s">
        <v>217</v>
      </c>
      <c r="AC213" s="18">
        <v>20.8</v>
      </c>
      <c r="AD213" s="18">
        <v>3.5</v>
      </c>
      <c r="AE213" s="18">
        <v>4.7</v>
      </c>
      <c r="AF213" s="18">
        <v>209</v>
      </c>
      <c r="AG213" s="18">
        <v>7.8999999999999995</v>
      </c>
      <c r="AH213" s="18">
        <v>42.199999999999996</v>
      </c>
      <c r="AI213" s="18">
        <v>55.4</v>
      </c>
      <c r="AJ213" s="18">
        <v>0</v>
      </c>
      <c r="AK213" s="18">
        <v>4.9999999999999996E-2</v>
      </c>
      <c r="AL213" s="18"/>
      <c r="AM213" s="18">
        <v>6.0486322188449897</v>
      </c>
      <c r="AN213" s="18">
        <v>1.35258358662614</v>
      </c>
      <c r="AO213" s="18">
        <v>1.3221884498480201</v>
      </c>
      <c r="AP213" s="18">
        <v>4.0273556231003003</v>
      </c>
      <c r="AQ213" s="18">
        <v>1.3221884498480201</v>
      </c>
      <c r="AR213" s="18">
        <v>4.4680851063829801</v>
      </c>
      <c r="AS213" s="18">
        <v>7.4620060790273604</v>
      </c>
      <c r="AT213" s="18">
        <v>2.6139817629179301</v>
      </c>
      <c r="AU213" s="18">
        <v>5.19756838905775</v>
      </c>
      <c r="AV213" s="18">
        <v>3.9209726443769002</v>
      </c>
      <c r="AW213" s="18">
        <v>4.4528875379939201</v>
      </c>
      <c r="AX213" s="18"/>
      <c r="AY213" s="18">
        <v>1.06</v>
      </c>
      <c r="AZ213" s="18">
        <v>1.08</v>
      </c>
      <c r="BA213" s="18">
        <v>0.96</v>
      </c>
      <c r="BB213" s="18">
        <v>1.05</v>
      </c>
      <c r="BC213" s="18">
        <v>1.1000000000000001</v>
      </c>
      <c r="BD213" s="18">
        <v>1.07</v>
      </c>
      <c r="BE213" s="18">
        <v>1.07</v>
      </c>
      <c r="BF213" s="18">
        <v>1.08</v>
      </c>
      <c r="BG213" s="18">
        <v>1.08</v>
      </c>
      <c r="BH213" s="18">
        <v>1.1000000000000001</v>
      </c>
      <c r="BI213" s="18">
        <v>1.05</v>
      </c>
      <c r="BJ213" s="19"/>
      <c r="BK213" s="18">
        <v>65.8</v>
      </c>
      <c r="BL213" s="18">
        <v>2.4</v>
      </c>
      <c r="BM213" s="18">
        <v>6.7</v>
      </c>
      <c r="BN213" s="18" t="s">
        <v>217</v>
      </c>
      <c r="BO213" s="18"/>
      <c r="BP213" s="18">
        <v>130</v>
      </c>
      <c r="BQ213" s="18">
        <v>31.2</v>
      </c>
      <c r="BR213" s="18">
        <v>1.0142390784020499</v>
      </c>
      <c r="BS213" s="18">
        <v>1.0437261842829304</v>
      </c>
      <c r="BT213" s="19"/>
      <c r="BU213" s="18">
        <v>933</v>
      </c>
      <c r="BV213" s="18">
        <v>20.77751981428576</v>
      </c>
      <c r="BW213" s="18">
        <v>214.58948018571411</v>
      </c>
      <c r="BX213" s="18" t="s">
        <v>217</v>
      </c>
      <c r="BY213" s="18" t="s">
        <v>217</v>
      </c>
      <c r="BZ213" s="18">
        <v>71.043069650142826</v>
      </c>
      <c r="CA213" s="18">
        <v>192.07941053557062</v>
      </c>
      <c r="CB213" s="19"/>
      <c r="CC213" s="19">
        <v>3.22</v>
      </c>
      <c r="CD213" s="19">
        <v>6.5320000000000009</v>
      </c>
      <c r="CE213" s="19">
        <v>9.1999999999999998E-3</v>
      </c>
      <c r="CF213" s="19" t="s">
        <v>217</v>
      </c>
      <c r="CG213" s="19">
        <v>19.136000000000003</v>
      </c>
      <c r="CH213" s="19">
        <v>3.22</v>
      </c>
      <c r="CI213" s="19">
        <v>4.3240000000000007</v>
      </c>
      <c r="CJ213" s="19"/>
      <c r="CK213" s="19">
        <v>192.28</v>
      </c>
      <c r="CL213" s="19">
        <v>7.2679999999999998</v>
      </c>
      <c r="CM213" s="19">
        <v>38.823999999999998</v>
      </c>
      <c r="CN213" s="19">
        <v>50.968000000000004</v>
      </c>
      <c r="CO213" s="19">
        <v>0</v>
      </c>
      <c r="CP213" s="19">
        <v>4.5999999999999999E-2</v>
      </c>
      <c r="CQ213" s="19">
        <v>505.47559999999999</v>
      </c>
      <c r="CR213" s="19">
        <v>541.71645689854097</v>
      </c>
      <c r="CS213" s="19">
        <v>34.732422315555695</v>
      </c>
      <c r="CT213" s="19">
        <v>7.9133413126273187</v>
      </c>
      <c r="CU213" s="19">
        <v>6.8760119270768998</v>
      </c>
      <c r="CV213" s="19">
        <v>14.789353239704241</v>
      </c>
      <c r="CW213" s="19">
        <v>22.907690597571278</v>
      </c>
      <c r="CX213" s="19">
        <v>7.8787636664422838</v>
      </c>
      <c r="CY213" s="19">
        <v>25.898656992574928</v>
      </c>
      <c r="CZ213" s="19">
        <v>43.252518991000983</v>
      </c>
      <c r="DA213" s="19">
        <v>15.293198941257291</v>
      </c>
      <c r="DB213" s="19">
        <v>30.4085699878488</v>
      </c>
      <c r="DC213" s="19">
        <v>23.364609493587526</v>
      </c>
      <c r="DD213" s="19">
        <v>53.773179481436323</v>
      </c>
      <c r="DE213" s="19">
        <v>25.328125830522211</v>
      </c>
      <c r="DF213" s="23">
        <v>0</v>
      </c>
      <c r="DG213" s="23">
        <v>0</v>
      </c>
      <c r="DH213" s="23">
        <v>0</v>
      </c>
      <c r="DI213" s="19">
        <v>0</v>
      </c>
      <c r="DJ213" s="19">
        <v>0</v>
      </c>
      <c r="DK213" s="19">
        <v>0</v>
      </c>
      <c r="DL213" s="19">
        <v>0</v>
      </c>
      <c r="DM213" s="19">
        <v>0</v>
      </c>
      <c r="DN213" s="19">
        <v>0</v>
      </c>
      <c r="DO213" s="19">
        <v>0</v>
      </c>
      <c r="DP213" s="19">
        <v>0</v>
      </c>
      <c r="DQ213" s="19">
        <v>0</v>
      </c>
      <c r="DR213" s="19">
        <v>0</v>
      </c>
      <c r="DS213" s="19">
        <v>0</v>
      </c>
      <c r="DT213" s="19">
        <v>0</v>
      </c>
      <c r="DU213" s="19">
        <v>0</v>
      </c>
      <c r="DV213" s="19">
        <v>0</v>
      </c>
      <c r="DW213" s="17" t="s">
        <v>621</v>
      </c>
      <c r="DX213" s="22">
        <v>8</v>
      </c>
      <c r="DY213" s="22">
        <v>8</v>
      </c>
      <c r="DZ213" s="22">
        <v>8</v>
      </c>
      <c r="EA213" s="22">
        <v>8</v>
      </c>
      <c r="EB213" s="22" t="s">
        <v>218</v>
      </c>
      <c r="EC213" s="22">
        <v>8</v>
      </c>
      <c r="ED213" s="22">
        <v>8</v>
      </c>
      <c r="EE213" s="22" t="s">
        <v>218</v>
      </c>
      <c r="EF213" s="22">
        <v>8</v>
      </c>
      <c r="EG213" s="22">
        <v>8</v>
      </c>
      <c r="EH213" s="22">
        <v>4</v>
      </c>
      <c r="EI213" s="22">
        <v>4</v>
      </c>
      <c r="EJ213" s="22">
        <v>4</v>
      </c>
      <c r="EK213" s="22">
        <v>4</v>
      </c>
      <c r="EL213" s="22">
        <v>4</v>
      </c>
      <c r="EM213" s="22">
        <v>4</v>
      </c>
      <c r="EN213" s="22">
        <v>4</v>
      </c>
      <c r="EO213" s="22">
        <v>4</v>
      </c>
      <c r="EP213" s="22">
        <v>4</v>
      </c>
      <c r="EQ213" s="22">
        <v>4</v>
      </c>
      <c r="ER213" s="22">
        <v>4</v>
      </c>
      <c r="ES213" s="22">
        <v>4</v>
      </c>
      <c r="ET213" s="22">
        <v>4</v>
      </c>
      <c r="EU213" s="22">
        <v>4</v>
      </c>
      <c r="EV213" s="22" t="s">
        <v>218</v>
      </c>
      <c r="EW213" s="22">
        <v>4</v>
      </c>
      <c r="EX213" s="22">
        <v>4</v>
      </c>
      <c r="EY213" s="22">
        <v>4</v>
      </c>
      <c r="EZ213" s="22">
        <v>4</v>
      </c>
      <c r="FA213" s="22">
        <v>4</v>
      </c>
      <c r="FB213" s="22">
        <v>4</v>
      </c>
      <c r="FC213" s="22">
        <v>4</v>
      </c>
      <c r="FD213" s="22" t="s">
        <v>218</v>
      </c>
      <c r="FE213" s="22">
        <v>4</v>
      </c>
      <c r="FF213" s="22">
        <v>9.2999999999999999E-2</v>
      </c>
      <c r="FG213" s="22">
        <v>0.3</v>
      </c>
      <c r="FH213" s="22">
        <v>0.1</v>
      </c>
      <c r="FI213" s="22">
        <v>0.1</v>
      </c>
      <c r="FJ213" s="22" t="s">
        <v>218</v>
      </c>
      <c r="FK213" s="22">
        <v>0.3</v>
      </c>
      <c r="FL213" s="22">
        <v>0.5</v>
      </c>
      <c r="FM213" s="22" t="s">
        <v>218</v>
      </c>
      <c r="FN213" s="22">
        <v>0.6</v>
      </c>
      <c r="FO213" s="22">
        <v>0.4</v>
      </c>
      <c r="FP213" s="22">
        <v>1.5</v>
      </c>
      <c r="FQ213" s="22">
        <v>0.2</v>
      </c>
      <c r="FR213" s="22">
        <v>0.5</v>
      </c>
      <c r="FS213" s="22">
        <v>0.5</v>
      </c>
      <c r="FT213" s="22">
        <v>0.2</v>
      </c>
      <c r="FU213" s="22">
        <v>0.9</v>
      </c>
      <c r="FV213" s="22">
        <v>2.8</v>
      </c>
      <c r="FW213" s="22">
        <v>0.5</v>
      </c>
      <c r="FX213" s="22">
        <v>1</v>
      </c>
      <c r="FY213" s="22">
        <v>1.2</v>
      </c>
      <c r="FZ213" s="22">
        <v>0.6</v>
      </c>
      <c r="GA213" s="22">
        <v>0.2</v>
      </c>
      <c r="GB213" s="22">
        <v>0.5</v>
      </c>
      <c r="GC213" s="22">
        <v>9.0000000000000002E-6</v>
      </c>
      <c r="GD213" s="22" t="s">
        <v>218</v>
      </c>
      <c r="GE213" s="22">
        <v>1.3</v>
      </c>
      <c r="GF213" s="22">
        <v>0.2</v>
      </c>
      <c r="GG213" s="22">
        <v>0.1</v>
      </c>
      <c r="GH213" s="22">
        <v>22.7</v>
      </c>
      <c r="GI213" s="22">
        <v>1</v>
      </c>
      <c r="GJ213" s="22">
        <v>3.6</v>
      </c>
      <c r="GK213" s="22">
        <v>10.3</v>
      </c>
      <c r="GL213" s="22" t="s">
        <v>218</v>
      </c>
      <c r="GM213" s="22">
        <v>1E-4</v>
      </c>
      <c r="GN213" s="22">
        <v>2013</v>
      </c>
      <c r="GO213" s="22">
        <v>2013</v>
      </c>
      <c r="GP213" s="22">
        <v>2013</v>
      </c>
      <c r="GQ213" s="22">
        <v>2013</v>
      </c>
      <c r="GR213" s="22" t="s">
        <v>218</v>
      </c>
      <c r="GS213" s="22">
        <v>2013</v>
      </c>
      <c r="GT213" s="22">
        <v>2013</v>
      </c>
      <c r="GU213" s="22" t="s">
        <v>218</v>
      </c>
      <c r="GV213" s="22">
        <v>2013</v>
      </c>
      <c r="GW213" s="22">
        <v>2013</v>
      </c>
      <c r="GX213" s="22">
        <v>2013</v>
      </c>
      <c r="GY213" s="22">
        <v>2013</v>
      </c>
      <c r="GZ213" s="22">
        <v>2013</v>
      </c>
      <c r="HA213" s="22">
        <v>2013</v>
      </c>
      <c r="HB213" s="22">
        <v>2013</v>
      </c>
      <c r="HC213" s="22">
        <v>2013</v>
      </c>
      <c r="HD213" s="22">
        <v>2013</v>
      </c>
      <c r="HE213" s="22">
        <v>2013</v>
      </c>
      <c r="HF213" s="22">
        <v>2013</v>
      </c>
      <c r="HG213" s="22">
        <v>2013</v>
      </c>
      <c r="HH213" s="22">
        <v>2013</v>
      </c>
      <c r="HI213" s="22">
        <v>2013</v>
      </c>
      <c r="HJ213" s="22">
        <v>2013</v>
      </c>
      <c r="HK213" s="22">
        <v>2013</v>
      </c>
      <c r="HL213" s="22" t="s">
        <v>218</v>
      </c>
      <c r="HM213" s="622">
        <f>'background data'!$G$18</f>
        <v>0.54099999999999993</v>
      </c>
      <c r="HN213" s="622">
        <f>'background data'!$H$18</f>
        <v>0.11600000000000001</v>
      </c>
      <c r="HO213" s="622">
        <f>'background data'!$J$18</f>
        <v>0.25</v>
      </c>
      <c r="HP213" s="622">
        <f>'background data'!$L$18</f>
        <v>1.2999999999999999E-2</v>
      </c>
      <c r="HQ213" s="622">
        <f>'background data'!$M$18</f>
        <v>8.86</v>
      </c>
      <c r="HR213" s="622">
        <f>'background data'!$N$18</f>
        <v>6.9299999999999995E-3</v>
      </c>
      <c r="HS213" s="622">
        <f>'background data'!$O$18</f>
        <v>1.75</v>
      </c>
      <c r="HT213" s="145" t="s">
        <v>1805</v>
      </c>
      <c r="HU213" s="145" t="s">
        <v>1809</v>
      </c>
      <c r="HV213" s="22" t="s">
        <v>1977</v>
      </c>
      <c r="HW213" s="22" t="s">
        <v>626</v>
      </c>
      <c r="HX213" s="22" t="s">
        <v>623</v>
      </c>
      <c r="HY213" s="22" t="s">
        <v>624</v>
      </c>
      <c r="HZ213" s="19"/>
      <c r="IA213" s="19"/>
      <c r="IB213" s="622">
        <f>'background data'!$G$18</f>
        <v>0.54099999999999993</v>
      </c>
      <c r="IC213" s="622">
        <f>'background data'!$H$18</f>
        <v>0.11600000000000001</v>
      </c>
      <c r="ID213" s="622">
        <f>'background data'!$J$18</f>
        <v>0.25</v>
      </c>
      <c r="IE213" s="622">
        <f>'background data'!$L$18</f>
        <v>1.2999999999999999E-2</v>
      </c>
      <c r="IF213" s="622">
        <f>'background data'!$M$18</f>
        <v>8.86</v>
      </c>
      <c r="IG213" s="622">
        <f>'background data'!$N$18</f>
        <v>6.9299999999999995E-3</v>
      </c>
      <c r="IH213" s="622">
        <f>'background data'!$O$18</f>
        <v>1.75</v>
      </c>
      <c r="II213" s="145" t="s">
        <v>1805</v>
      </c>
      <c r="IJ213" s="145"/>
      <c r="IK213" s="145"/>
      <c r="IL213" s="145"/>
      <c r="IM213" s="145"/>
      <c r="IN213" s="145"/>
      <c r="IO213" s="145"/>
      <c r="IP213" s="145"/>
      <c r="IQ213" s="145"/>
      <c r="IR213" s="145"/>
      <c r="IS213" s="145"/>
      <c r="IT213" s="145"/>
      <c r="IU213" s="145"/>
      <c r="IV213" s="145"/>
      <c r="IW213" s="145"/>
      <c r="IX213" s="145"/>
      <c r="IY213" s="145"/>
      <c r="IZ213" s="145"/>
      <c r="JA213" s="145"/>
      <c r="JB213" s="145"/>
      <c r="JC213" s="145"/>
      <c r="JD213" s="145"/>
      <c r="JE213" s="145"/>
      <c r="JF213" s="145"/>
      <c r="JG213" s="145"/>
      <c r="JH213" s="145"/>
      <c r="JI213" s="145"/>
      <c r="JJ213" s="145"/>
      <c r="JK213" s="145"/>
      <c r="JL213" s="145"/>
      <c r="JM213" s="145"/>
      <c r="JN213" s="145"/>
      <c r="JO213" s="145"/>
      <c r="JP213" s="145"/>
      <c r="JQ213" s="145"/>
      <c r="JR213" s="145"/>
      <c r="JS213" s="145"/>
      <c r="JT213" s="145"/>
      <c r="JU213" s="145"/>
      <c r="JV213" s="145"/>
      <c r="JW213" s="145"/>
      <c r="JX213" s="145"/>
      <c r="JY213" s="145"/>
      <c r="JZ213" s="145"/>
      <c r="KA213" s="145"/>
      <c r="KB213" s="145"/>
      <c r="KC213" s="145"/>
      <c r="KD213" s="145"/>
      <c r="KE213" s="145"/>
      <c r="KF213" s="145"/>
      <c r="KG213" s="145"/>
      <c r="KH213" s="145"/>
      <c r="KI213" s="145"/>
      <c r="KJ213" s="145"/>
      <c r="KK213" s="145"/>
      <c r="KL213" s="145"/>
      <c r="KM213" s="145"/>
      <c r="KN213" s="145"/>
      <c r="KO213" s="145"/>
      <c r="KP213" s="145"/>
      <c r="KQ213" s="145"/>
      <c r="KR213" s="145"/>
      <c r="KS213" s="145"/>
      <c r="KT213" s="145"/>
      <c r="KU213" s="145"/>
      <c r="KV213" s="145"/>
      <c r="KW213" s="145"/>
      <c r="KX213" s="145"/>
      <c r="KY213" s="145"/>
      <c r="KZ213" s="145"/>
      <c r="LA213" s="145"/>
      <c r="LB213" s="145"/>
      <c r="LC213" s="145"/>
      <c r="LD213" s="145"/>
      <c r="LE213" s="145"/>
      <c r="LF213" s="145"/>
      <c r="LG213" s="145"/>
      <c r="LH213" s="145"/>
      <c r="LI213" s="145"/>
      <c r="LJ213" s="145"/>
      <c r="LK213" s="145"/>
      <c r="LL213" s="145"/>
      <c r="LM213" s="145"/>
      <c r="LN213" s="145"/>
      <c r="LO213" s="145"/>
      <c r="LP213" s="145"/>
      <c r="LQ213" s="145"/>
      <c r="LR213" s="145"/>
      <c r="LS213" s="145"/>
      <c r="LT213" s="145"/>
      <c r="LU213" s="145"/>
      <c r="LV213" s="145"/>
      <c r="LW213" s="145"/>
      <c r="LX213" s="145"/>
      <c r="LY213" s="145"/>
      <c r="LZ213" s="145"/>
      <c r="MA213" s="145"/>
      <c r="MB213" s="145"/>
      <c r="MC213" s="145"/>
      <c r="MD213" s="145"/>
      <c r="ME213" s="145"/>
      <c r="MF213" s="145"/>
      <c r="MG213" s="145"/>
      <c r="MH213" s="145"/>
      <c r="MI213" s="145"/>
      <c r="MJ213" s="145"/>
      <c r="MK213" s="145"/>
      <c r="ML213" s="145"/>
      <c r="MM213" s="145"/>
      <c r="MN213" s="145"/>
      <c r="MO213" s="145"/>
      <c r="MP213" s="145"/>
      <c r="MQ213" s="145"/>
      <c r="MR213" s="145"/>
      <c r="MS213" s="145"/>
      <c r="MT213" s="145"/>
      <c r="MU213" s="145"/>
      <c r="MV213" s="145"/>
      <c r="MW213" s="145"/>
      <c r="MX213" s="145"/>
      <c r="MY213" s="145"/>
      <c r="MZ213" s="145"/>
      <c r="NA213" s="145"/>
      <c r="NB213" s="145"/>
      <c r="NC213" s="145"/>
      <c r="ND213" s="145"/>
      <c r="NE213" s="145"/>
      <c r="NF213" s="145"/>
      <c r="NG213" s="145"/>
      <c r="NH213" s="145"/>
      <c r="NI213" s="145"/>
      <c r="NJ213" s="145"/>
      <c r="NK213" s="145"/>
      <c r="NL213" s="145"/>
      <c r="NM213" s="145"/>
      <c r="NN213" s="145"/>
      <c r="NO213" s="145"/>
      <c r="NP213" s="145"/>
      <c r="NQ213" s="145"/>
      <c r="NR213" s="145"/>
      <c r="NS213" s="145"/>
    </row>
    <row r="214" spans="1:383" s="16" customFormat="1" ht="15" customHeight="1" x14ac:dyDescent="0.2">
      <c r="A214" s="15">
        <v>61310</v>
      </c>
      <c r="B214" s="25">
        <v>613</v>
      </c>
      <c r="C214" s="26">
        <v>10</v>
      </c>
      <c r="D214" s="20" t="s">
        <v>627</v>
      </c>
      <c r="E214" s="14">
        <v>42698</v>
      </c>
      <c r="F214" s="18">
        <v>0.96341341537940195</v>
      </c>
      <c r="G214" s="18">
        <v>0.98798371580259403</v>
      </c>
      <c r="H214" s="21">
        <v>92.7</v>
      </c>
      <c r="I214" s="21">
        <v>76.400000000000006</v>
      </c>
      <c r="J214" s="21">
        <v>96</v>
      </c>
      <c r="K214" s="18">
        <v>1</v>
      </c>
      <c r="L214" s="18">
        <v>91.7</v>
      </c>
      <c r="M214" s="18">
        <v>52.819200000000002</v>
      </c>
      <c r="N214" s="18">
        <v>2.6593</v>
      </c>
      <c r="O214" s="18">
        <v>6.5106999999999999</v>
      </c>
      <c r="P214" s="18">
        <v>3.1177999999999999</v>
      </c>
      <c r="Q214" s="19"/>
      <c r="R214" s="18">
        <v>86.5</v>
      </c>
      <c r="S214" s="18">
        <v>39</v>
      </c>
      <c r="T214" s="18">
        <v>51</v>
      </c>
      <c r="U214" s="18">
        <v>56</v>
      </c>
      <c r="V214" s="18">
        <v>60</v>
      </c>
      <c r="W214" s="18">
        <v>63</v>
      </c>
      <c r="X214" s="18"/>
      <c r="Y214" s="18">
        <v>3.8</v>
      </c>
      <c r="Z214" s="18">
        <v>7.7</v>
      </c>
      <c r="AA214" s="18">
        <v>9.9999999999999992E-2</v>
      </c>
      <c r="AB214" s="18" t="s">
        <v>217</v>
      </c>
      <c r="AC214" s="18">
        <v>25.599999999999998</v>
      </c>
      <c r="AD214" s="18">
        <v>3.9</v>
      </c>
      <c r="AE214" s="18">
        <v>4.1999999999999993</v>
      </c>
      <c r="AF214" s="18">
        <v>275</v>
      </c>
      <c r="AG214" s="18">
        <v>15.4</v>
      </c>
      <c r="AH214" s="18">
        <v>41.300000000000004</v>
      </c>
      <c r="AI214" s="18">
        <v>71.8</v>
      </c>
      <c r="AJ214" s="18">
        <v>0</v>
      </c>
      <c r="AK214" s="18">
        <v>0.03</v>
      </c>
      <c r="AL214" s="18"/>
      <c r="AM214" s="18">
        <v>6.0416666666666696</v>
      </c>
      <c r="AN214" s="18">
        <v>1.3020833333333299</v>
      </c>
      <c r="AO214" s="18">
        <v>1.3715277777777799</v>
      </c>
      <c r="AP214" s="18">
        <v>3.90625</v>
      </c>
      <c r="AQ214" s="18">
        <v>1.31944444444444</v>
      </c>
      <c r="AR214" s="18">
        <v>4.5138888888888902</v>
      </c>
      <c r="AS214" s="18">
        <v>7.5868055555555598</v>
      </c>
      <c r="AT214" s="18">
        <v>2.5347222222222201</v>
      </c>
      <c r="AU214" s="18">
        <v>5.0347222222222197</v>
      </c>
      <c r="AV214" s="18">
        <v>3.7673611111111098</v>
      </c>
      <c r="AW214" s="18">
        <v>4.6701388888888902</v>
      </c>
      <c r="AX214" s="18"/>
      <c r="AY214" s="18">
        <v>0.97</v>
      </c>
      <c r="AZ214" s="18">
        <v>1.06</v>
      </c>
      <c r="BA214" s="18">
        <v>0.91</v>
      </c>
      <c r="BB214" s="18">
        <v>0.99</v>
      </c>
      <c r="BC214" s="18">
        <v>1.06</v>
      </c>
      <c r="BD214" s="18">
        <v>1.05</v>
      </c>
      <c r="BE214" s="18">
        <v>1.05</v>
      </c>
      <c r="BF214" s="18">
        <v>1.07</v>
      </c>
      <c r="BG214" s="18">
        <v>1.06</v>
      </c>
      <c r="BH214" s="18">
        <v>1.05</v>
      </c>
      <c r="BI214" s="18">
        <v>1.01</v>
      </c>
      <c r="BJ214" s="19"/>
      <c r="BK214" s="18">
        <v>57.6</v>
      </c>
      <c r="BL214" s="18">
        <v>2.9</v>
      </c>
      <c r="BM214" s="18">
        <v>7.0999999999999988</v>
      </c>
      <c r="BN214" s="18">
        <v>3.3999999999999995</v>
      </c>
      <c r="BO214" s="18"/>
      <c r="BP214" s="18">
        <v>130</v>
      </c>
      <c r="BQ214" s="18">
        <v>37.700000000000003</v>
      </c>
      <c r="BR214" s="18">
        <v>1.0506144115369704</v>
      </c>
      <c r="BS214" s="18">
        <v>1.077408632282</v>
      </c>
      <c r="BT214" s="19"/>
      <c r="BU214" s="18">
        <v>929</v>
      </c>
      <c r="BV214" s="18">
        <v>92.568714285714393</v>
      </c>
      <c r="BW214" s="18">
        <v>216.32428571428574</v>
      </c>
      <c r="BX214" s="18" t="s">
        <v>217</v>
      </c>
      <c r="BY214" s="18" t="s">
        <v>217</v>
      </c>
      <c r="BZ214" s="18">
        <v>70.262447142857155</v>
      </c>
      <c r="CA214" s="18">
        <v>189.96883857142856</v>
      </c>
      <c r="CB214" s="19"/>
      <c r="CC214" s="19">
        <v>3.4845999999999999</v>
      </c>
      <c r="CD214" s="19">
        <v>7.0609000000000002</v>
      </c>
      <c r="CE214" s="19">
        <v>9.169999999999999E-2</v>
      </c>
      <c r="CF214" s="19" t="s">
        <v>217</v>
      </c>
      <c r="CG214" s="19">
        <v>23.475199999999997</v>
      </c>
      <c r="CH214" s="19">
        <v>3.5763000000000003</v>
      </c>
      <c r="CI214" s="19">
        <v>3.8513999999999995</v>
      </c>
      <c r="CJ214" s="19"/>
      <c r="CK214" s="19">
        <v>252.17500000000001</v>
      </c>
      <c r="CL214" s="19">
        <v>14.1218</v>
      </c>
      <c r="CM214" s="19">
        <v>37.872100000000003</v>
      </c>
      <c r="CN214" s="19">
        <v>65.840599999999995</v>
      </c>
      <c r="CO214" s="19">
        <v>0</v>
      </c>
      <c r="CP214" s="19">
        <v>2.751E-2</v>
      </c>
      <c r="CQ214" s="19">
        <v>456.88607999999999</v>
      </c>
      <c r="CR214" s="19">
        <v>474.23678423667542</v>
      </c>
      <c r="CS214" s="19">
        <v>27.792251542870165</v>
      </c>
      <c r="CT214" s="19">
        <v>6.5454556157665937</v>
      </c>
      <c r="CU214" s="19">
        <v>5.9189031977039335</v>
      </c>
      <c r="CV214" s="19">
        <v>12.464358813470536</v>
      </c>
      <c r="CW214" s="19">
        <v>18.339625640402684</v>
      </c>
      <c r="CX214" s="19">
        <v>6.6327283573101479</v>
      </c>
      <c r="CY214" s="19">
        <v>22.476847586217428</v>
      </c>
      <c r="CZ214" s="19">
        <v>37.778393827603907</v>
      </c>
      <c r="DA214" s="19">
        <v>12.862026116918999</v>
      </c>
      <c r="DB214" s="19">
        <v>25.309095047630908</v>
      </c>
      <c r="DC214" s="19">
        <v>18.759522793112239</v>
      </c>
      <c r="DD214" s="19">
        <v>44.068617840743144</v>
      </c>
      <c r="DE214" s="19">
        <v>22.3689916509136</v>
      </c>
      <c r="DF214" s="23">
        <v>0</v>
      </c>
      <c r="DG214" s="23">
        <v>0</v>
      </c>
      <c r="DH214" s="23">
        <v>0</v>
      </c>
      <c r="DI214" s="19">
        <v>0</v>
      </c>
      <c r="DJ214" s="19">
        <v>0</v>
      </c>
      <c r="DK214" s="19">
        <v>0</v>
      </c>
      <c r="DL214" s="19">
        <v>0</v>
      </c>
      <c r="DM214" s="19">
        <v>0</v>
      </c>
      <c r="DN214" s="19">
        <v>0</v>
      </c>
      <c r="DO214" s="19">
        <v>0</v>
      </c>
      <c r="DP214" s="19">
        <v>0</v>
      </c>
      <c r="DQ214" s="19">
        <v>0</v>
      </c>
      <c r="DR214" s="19">
        <v>0</v>
      </c>
      <c r="DS214" s="19">
        <v>0</v>
      </c>
      <c r="DT214" s="19">
        <v>0</v>
      </c>
      <c r="DU214" s="19">
        <v>0</v>
      </c>
      <c r="DV214" s="19">
        <v>0</v>
      </c>
      <c r="DW214" s="17" t="s">
        <v>621</v>
      </c>
      <c r="DX214" s="22" t="s">
        <v>218</v>
      </c>
      <c r="DY214" s="22">
        <v>8</v>
      </c>
      <c r="DZ214" s="22">
        <v>8</v>
      </c>
      <c r="EA214" s="22">
        <v>8</v>
      </c>
      <c r="EB214" s="22" t="s">
        <v>218</v>
      </c>
      <c r="EC214" s="22">
        <v>8</v>
      </c>
      <c r="ED214" s="22">
        <v>8</v>
      </c>
      <c r="EE214" s="22" t="s">
        <v>218</v>
      </c>
      <c r="EF214" s="22">
        <v>8</v>
      </c>
      <c r="EG214" s="22">
        <v>8</v>
      </c>
      <c r="EH214" s="22">
        <v>8</v>
      </c>
      <c r="EI214" s="22">
        <v>8</v>
      </c>
      <c r="EJ214" s="22">
        <v>8</v>
      </c>
      <c r="EK214" s="22">
        <v>8</v>
      </c>
      <c r="EL214" s="22">
        <v>8</v>
      </c>
      <c r="EM214" s="22">
        <v>8</v>
      </c>
      <c r="EN214" s="22">
        <v>8</v>
      </c>
      <c r="EO214" s="22">
        <v>8</v>
      </c>
      <c r="EP214" s="22">
        <v>8</v>
      </c>
      <c r="EQ214" s="22">
        <v>8</v>
      </c>
      <c r="ER214" s="22">
        <v>8</v>
      </c>
      <c r="ES214" s="22">
        <v>8</v>
      </c>
      <c r="ET214" s="22">
        <v>8</v>
      </c>
      <c r="EU214" s="22">
        <v>8</v>
      </c>
      <c r="EV214" s="22" t="s">
        <v>218</v>
      </c>
      <c r="EW214" s="22">
        <v>8</v>
      </c>
      <c r="EX214" s="22">
        <v>8</v>
      </c>
      <c r="EY214" s="22">
        <v>4</v>
      </c>
      <c r="EZ214" s="22">
        <v>8</v>
      </c>
      <c r="FA214" s="22">
        <v>8</v>
      </c>
      <c r="FB214" s="22">
        <v>8</v>
      </c>
      <c r="FC214" s="22">
        <v>8</v>
      </c>
      <c r="FD214" s="22" t="s">
        <v>218</v>
      </c>
      <c r="FE214" s="22">
        <v>4</v>
      </c>
      <c r="FF214" s="22" t="s">
        <v>218</v>
      </c>
      <c r="FG214" s="22">
        <v>1.1599999999999999</v>
      </c>
      <c r="FH214" s="22">
        <v>0.25</v>
      </c>
      <c r="FI214" s="22">
        <v>0.36</v>
      </c>
      <c r="FJ214" s="22" t="s">
        <v>218</v>
      </c>
      <c r="FK214" s="22">
        <v>1.21</v>
      </c>
      <c r="FL214" s="22">
        <v>2.1</v>
      </c>
      <c r="FM214" s="22" t="s">
        <v>218</v>
      </c>
      <c r="FN214" s="22">
        <v>2.9</v>
      </c>
      <c r="FO214" s="22">
        <v>2.2999999999999998</v>
      </c>
      <c r="FP214" s="22">
        <v>0.51</v>
      </c>
      <c r="FQ214" s="22">
        <v>0.24</v>
      </c>
      <c r="FR214" s="22">
        <v>0.33</v>
      </c>
      <c r="FS214" s="22">
        <v>0.5</v>
      </c>
      <c r="FT214" s="22">
        <v>0.17</v>
      </c>
      <c r="FU214" s="22">
        <v>0.73</v>
      </c>
      <c r="FV214" s="22">
        <v>1.19</v>
      </c>
      <c r="FW214" s="22">
        <v>0.4</v>
      </c>
      <c r="FX214" s="22">
        <v>0.98</v>
      </c>
      <c r="FY214" s="22">
        <v>1.18</v>
      </c>
      <c r="FZ214" s="22">
        <v>0.89</v>
      </c>
      <c r="GA214" s="22">
        <v>0.49</v>
      </c>
      <c r="GB214" s="22">
        <v>0.25</v>
      </c>
      <c r="GC214" s="22">
        <v>0.04</v>
      </c>
      <c r="GD214" s="22" t="s">
        <v>218</v>
      </c>
      <c r="GE214" s="22">
        <v>0.95</v>
      </c>
      <c r="GF214" s="22">
        <v>0.42</v>
      </c>
      <c r="GG214" s="22">
        <v>0.15</v>
      </c>
      <c r="GH214" s="22">
        <v>148</v>
      </c>
      <c r="GI214" s="22">
        <v>1.36</v>
      </c>
      <c r="GJ214" s="22">
        <v>9.42</v>
      </c>
      <c r="GK214" s="22">
        <v>10.71</v>
      </c>
      <c r="GL214" s="22" t="s">
        <v>218</v>
      </c>
      <c r="GM214" s="22">
        <v>0.05</v>
      </c>
      <c r="GN214" s="22" t="s">
        <v>218</v>
      </c>
      <c r="GO214" s="22">
        <v>2011</v>
      </c>
      <c r="GP214" s="22">
        <v>2011</v>
      </c>
      <c r="GQ214" s="22">
        <v>2011</v>
      </c>
      <c r="GR214" s="22" t="s">
        <v>218</v>
      </c>
      <c r="GS214" s="22">
        <v>2011</v>
      </c>
      <c r="GT214" s="22">
        <v>2011</v>
      </c>
      <c r="GU214" s="22" t="s">
        <v>218</v>
      </c>
      <c r="GV214" s="22">
        <v>2011</v>
      </c>
      <c r="GW214" s="22">
        <v>2011</v>
      </c>
      <c r="GX214" s="22">
        <v>2011</v>
      </c>
      <c r="GY214" s="22">
        <v>2011</v>
      </c>
      <c r="GZ214" s="22">
        <v>2011</v>
      </c>
      <c r="HA214" s="22">
        <v>2011</v>
      </c>
      <c r="HB214" s="22">
        <v>2011</v>
      </c>
      <c r="HC214" s="22">
        <v>2011</v>
      </c>
      <c r="HD214" s="22">
        <v>2011</v>
      </c>
      <c r="HE214" s="22">
        <v>2011</v>
      </c>
      <c r="HF214" s="22">
        <v>2011</v>
      </c>
      <c r="HG214" s="22">
        <v>2011</v>
      </c>
      <c r="HH214" s="22">
        <v>2011</v>
      </c>
      <c r="HI214" s="22">
        <v>2011</v>
      </c>
      <c r="HJ214" s="22">
        <v>2011</v>
      </c>
      <c r="HK214" s="22">
        <v>2011</v>
      </c>
      <c r="HL214" s="22" t="s">
        <v>218</v>
      </c>
      <c r="HM214" s="622">
        <f>'background data'!$G$18</f>
        <v>0.54099999999999993</v>
      </c>
      <c r="HN214" s="622">
        <f>'background data'!$H$18</f>
        <v>0.11600000000000001</v>
      </c>
      <c r="HO214" s="622">
        <f>'background data'!$J$18</f>
        <v>0.25</v>
      </c>
      <c r="HP214" s="622">
        <f>'background data'!$L$18</f>
        <v>1.2999999999999999E-2</v>
      </c>
      <c r="HQ214" s="622">
        <f>'background data'!$M$18</f>
        <v>8.86</v>
      </c>
      <c r="HR214" s="622">
        <f>'background data'!$N$18</f>
        <v>6.9299999999999995E-3</v>
      </c>
      <c r="HS214" s="622">
        <f>'background data'!$O$18</f>
        <v>1.75</v>
      </c>
      <c r="HT214" s="145" t="s">
        <v>1805</v>
      </c>
      <c r="HU214" s="145" t="s">
        <v>1809</v>
      </c>
      <c r="HV214" s="22" t="s">
        <v>1977</v>
      </c>
      <c r="HW214" s="22" t="s">
        <v>626</v>
      </c>
      <c r="HX214" s="22" t="s">
        <v>623</v>
      </c>
      <c r="HY214" s="22" t="s">
        <v>624</v>
      </c>
      <c r="HZ214" s="19"/>
      <c r="IA214" s="19"/>
      <c r="IB214" s="622">
        <f>'background data'!$G$18</f>
        <v>0.54099999999999993</v>
      </c>
      <c r="IC214" s="622">
        <f>'background data'!$H$18</f>
        <v>0.11600000000000001</v>
      </c>
      <c r="ID214" s="622">
        <f>'background data'!$J$18</f>
        <v>0.25</v>
      </c>
      <c r="IE214" s="622">
        <f>'background data'!$L$18</f>
        <v>1.2999999999999999E-2</v>
      </c>
      <c r="IF214" s="622">
        <f>'background data'!$M$18</f>
        <v>8.86</v>
      </c>
      <c r="IG214" s="622">
        <f>'background data'!$N$18</f>
        <v>6.9299999999999995E-3</v>
      </c>
      <c r="IH214" s="622">
        <f>'background data'!$O$18</f>
        <v>1.75</v>
      </c>
      <c r="II214" s="145" t="s">
        <v>1805</v>
      </c>
      <c r="IJ214" s="145"/>
      <c r="IK214" s="145"/>
      <c r="IL214" s="145"/>
      <c r="IM214" s="145"/>
      <c r="IN214" s="145"/>
      <c r="IO214" s="145"/>
      <c r="IP214" s="145"/>
      <c r="IQ214" s="145"/>
      <c r="IR214" s="145"/>
      <c r="IS214" s="145"/>
      <c r="IT214" s="145"/>
      <c r="IU214" s="145"/>
      <c r="IV214" s="145"/>
      <c r="IW214" s="145"/>
      <c r="IX214" s="145"/>
      <c r="IY214" s="145"/>
      <c r="IZ214" s="145"/>
      <c r="JA214" s="145"/>
      <c r="JB214" s="145"/>
      <c r="JC214" s="145"/>
      <c r="JD214" s="145"/>
      <c r="JE214" s="145"/>
      <c r="JF214" s="145"/>
      <c r="JG214" s="145"/>
      <c r="JH214" s="145"/>
      <c r="JI214" s="145"/>
      <c r="JJ214" s="145"/>
      <c r="JK214" s="145"/>
      <c r="JL214" s="145"/>
      <c r="JM214" s="145"/>
      <c r="JN214" s="145"/>
      <c r="JO214" s="145"/>
      <c r="JP214" s="145"/>
      <c r="JQ214" s="145"/>
      <c r="JR214" s="145"/>
      <c r="JS214" s="145"/>
      <c r="JT214" s="145"/>
      <c r="JU214" s="145"/>
      <c r="JV214" s="145"/>
      <c r="JW214" s="145"/>
      <c r="JX214" s="145"/>
      <c r="JY214" s="145"/>
      <c r="JZ214" s="145"/>
      <c r="KA214" s="145"/>
      <c r="KB214" s="145"/>
      <c r="KC214" s="145"/>
      <c r="KD214" s="145"/>
      <c r="KE214" s="145"/>
      <c r="KF214" s="145"/>
      <c r="KG214" s="145"/>
      <c r="KH214" s="145"/>
      <c r="KI214" s="145"/>
      <c r="KJ214" s="145"/>
      <c r="KK214" s="145"/>
      <c r="KL214" s="145"/>
      <c r="KM214" s="145"/>
      <c r="KN214" s="145"/>
      <c r="KO214" s="145"/>
      <c r="KP214" s="145"/>
      <c r="KQ214" s="145"/>
      <c r="KR214" s="145"/>
      <c r="KS214" s="145"/>
      <c r="KT214" s="145"/>
      <c r="KU214" s="145"/>
      <c r="KV214" s="145"/>
      <c r="KW214" s="145"/>
      <c r="KX214" s="145"/>
      <c r="KY214" s="145"/>
      <c r="KZ214" s="145"/>
      <c r="LA214" s="145"/>
      <c r="LB214" s="145"/>
      <c r="LC214" s="145"/>
      <c r="LD214" s="145"/>
      <c r="LE214" s="145"/>
      <c r="LF214" s="145"/>
      <c r="LG214" s="145"/>
      <c r="LH214" s="145"/>
      <c r="LI214" s="145"/>
      <c r="LJ214" s="145"/>
      <c r="LK214" s="145"/>
      <c r="LL214" s="145"/>
      <c r="LM214" s="145"/>
      <c r="LN214" s="145"/>
      <c r="LO214" s="145"/>
      <c r="LP214" s="145"/>
      <c r="LQ214" s="145"/>
      <c r="LR214" s="145"/>
      <c r="LS214" s="145"/>
      <c r="LT214" s="145"/>
      <c r="LU214" s="145"/>
      <c r="LV214" s="145"/>
      <c r="LW214" s="145"/>
      <c r="LX214" s="145"/>
      <c r="LY214" s="145"/>
      <c r="LZ214" s="145"/>
      <c r="MA214" s="145"/>
      <c r="MB214" s="145"/>
      <c r="MC214" s="145"/>
      <c r="MD214" s="145"/>
      <c r="ME214" s="145"/>
      <c r="MF214" s="145"/>
      <c r="MG214" s="145"/>
      <c r="MH214" s="145"/>
      <c r="MI214" s="145"/>
      <c r="MJ214" s="145"/>
      <c r="MK214" s="145"/>
      <c r="ML214" s="145"/>
      <c r="MM214" s="145"/>
      <c r="MN214" s="145"/>
      <c r="MO214" s="145"/>
      <c r="MP214" s="145"/>
      <c r="MQ214" s="145"/>
      <c r="MR214" s="145"/>
      <c r="MS214" s="145"/>
      <c r="MT214" s="145"/>
      <c r="MU214" s="145"/>
      <c r="MV214" s="145"/>
      <c r="MW214" s="145"/>
      <c r="MX214" s="145"/>
      <c r="MY214" s="145"/>
      <c r="MZ214" s="145"/>
      <c r="NA214" s="145"/>
      <c r="NB214" s="145"/>
      <c r="NC214" s="145"/>
      <c r="ND214" s="145"/>
      <c r="NE214" s="145"/>
      <c r="NF214" s="145"/>
      <c r="NG214" s="145"/>
      <c r="NH214" s="145"/>
      <c r="NI214" s="145"/>
      <c r="NJ214" s="145"/>
      <c r="NK214" s="145"/>
      <c r="NL214" s="145"/>
      <c r="NM214" s="145"/>
      <c r="NN214" s="145"/>
      <c r="NO214" s="145"/>
      <c r="NP214" s="145"/>
      <c r="NQ214" s="145"/>
      <c r="NR214" s="145"/>
      <c r="NS214" s="145"/>
    </row>
    <row r="215" spans="1:383" s="16" customFormat="1" ht="15" customHeight="1" x14ac:dyDescent="0.2">
      <c r="A215" s="15">
        <v>61300</v>
      </c>
      <c r="B215" s="25">
        <v>613</v>
      </c>
      <c r="C215" s="26">
        <v>0</v>
      </c>
      <c r="D215" s="20" t="s">
        <v>628</v>
      </c>
      <c r="E215" s="14">
        <v>42698</v>
      </c>
      <c r="F215" s="18">
        <v>0.98376038096663698</v>
      </c>
      <c r="G215" s="18">
        <v>1.0014211869156899</v>
      </c>
      <c r="H215" s="21">
        <v>92.7</v>
      </c>
      <c r="I215" s="21">
        <v>78.400000000000006</v>
      </c>
      <c r="J215" s="21">
        <v>96</v>
      </c>
      <c r="K215" s="18">
        <v>1</v>
      </c>
      <c r="L215" s="18">
        <v>92.4</v>
      </c>
      <c r="M215" s="18">
        <v>55.855899999999998</v>
      </c>
      <c r="N215" s="18">
        <v>2.5749196141479098</v>
      </c>
      <c r="O215" s="18">
        <v>6.8334405144694603</v>
      </c>
      <c r="P215" s="18">
        <v>3.1415999999999999</v>
      </c>
      <c r="Q215" s="19"/>
      <c r="R215" s="18">
        <v>91.5</v>
      </c>
      <c r="S215" s="18">
        <v>39</v>
      </c>
      <c r="T215" s="18">
        <v>51</v>
      </c>
      <c r="U215" s="18">
        <v>56</v>
      </c>
      <c r="V215" s="18">
        <v>60</v>
      </c>
      <c r="W215" s="18">
        <v>63</v>
      </c>
      <c r="X215" s="18"/>
      <c r="Y215" s="18">
        <v>4.0728831725616335</v>
      </c>
      <c r="Z215" s="18">
        <v>8.2999999999999989</v>
      </c>
      <c r="AA215" s="18">
        <v>0.19999999999999998</v>
      </c>
      <c r="AB215" s="18" t="s">
        <v>217</v>
      </c>
      <c r="AC215" s="18">
        <v>26.2</v>
      </c>
      <c r="AD215" s="18">
        <v>4</v>
      </c>
      <c r="AE215" s="18">
        <v>4.5</v>
      </c>
      <c r="AF215" s="18">
        <v>251</v>
      </c>
      <c r="AG215" s="18">
        <v>17.2</v>
      </c>
      <c r="AH215" s="18">
        <v>44.9</v>
      </c>
      <c r="AI215" s="18">
        <v>81.38</v>
      </c>
      <c r="AJ215" s="18">
        <v>0</v>
      </c>
      <c r="AK215" s="18">
        <v>4.9999999999999996E-2</v>
      </c>
      <c r="AL215" s="18"/>
      <c r="AM215" s="18">
        <v>6.0678137851149101</v>
      </c>
      <c r="AN215" s="18">
        <v>1.3366394597526901</v>
      </c>
      <c r="AO215" s="18">
        <v>1.38295864895204</v>
      </c>
      <c r="AP215" s="18">
        <v>3.97848750087278</v>
      </c>
      <c r="AQ215" s="18">
        <v>1.3366394597526901</v>
      </c>
      <c r="AR215" s="18">
        <v>4.5839454739785799</v>
      </c>
      <c r="AS215" s="18">
        <v>7.71876202872033</v>
      </c>
      <c r="AT215" s="18">
        <v>2.5591352032641099</v>
      </c>
      <c r="AU215" s="18">
        <v>5.1199246632853503</v>
      </c>
      <c r="AV215" s="18">
        <v>3.76177986569011</v>
      </c>
      <c r="AW215" s="18">
        <v>4.7195945280623901</v>
      </c>
      <c r="AX215" s="18"/>
      <c r="AY215" s="18">
        <v>0.97</v>
      </c>
      <c r="AZ215" s="18">
        <v>1.03</v>
      </c>
      <c r="BA215" s="18">
        <v>0.91</v>
      </c>
      <c r="BB215" s="18">
        <v>0.97</v>
      </c>
      <c r="BC215" s="18">
        <v>1.04</v>
      </c>
      <c r="BD215" s="18">
        <v>1.02</v>
      </c>
      <c r="BE215" s="18">
        <v>1.02</v>
      </c>
      <c r="BF215" s="18">
        <v>1.04</v>
      </c>
      <c r="BG215" s="18">
        <v>1.03</v>
      </c>
      <c r="BH215" s="18">
        <v>1.03</v>
      </c>
      <c r="BI215" s="18">
        <v>1</v>
      </c>
      <c r="BJ215" s="19"/>
      <c r="BK215" s="18">
        <v>60.450108225108224</v>
      </c>
      <c r="BL215" s="18">
        <v>2.7867095391211145</v>
      </c>
      <c r="BM215" s="18">
        <v>7.395498392282966</v>
      </c>
      <c r="BN215" s="18">
        <v>3.3999999999999995</v>
      </c>
      <c r="BO215" s="18"/>
      <c r="BP215" s="18">
        <v>130</v>
      </c>
      <c r="BQ215" s="18">
        <v>36.22722400857446</v>
      </c>
      <c r="BR215" s="18">
        <v>1.0646757369768798</v>
      </c>
      <c r="BS215" s="18">
        <v>1.0837891633286687</v>
      </c>
      <c r="BT215" s="19"/>
      <c r="BU215" s="18">
        <v>926.04501607716986</v>
      </c>
      <c r="BV215" s="18">
        <v>92.138894955526851</v>
      </c>
      <c r="BW215" s="18">
        <v>189.17776757004975</v>
      </c>
      <c r="BX215" s="18" t="s">
        <v>217</v>
      </c>
      <c r="BY215" s="18" t="s">
        <v>217</v>
      </c>
      <c r="BZ215" s="18">
        <v>62.576009349814278</v>
      </c>
      <c r="CA215" s="18">
        <v>169.18698824208983</v>
      </c>
      <c r="CB215" s="19"/>
      <c r="CC215" s="19">
        <v>3.7633440514469494</v>
      </c>
      <c r="CD215" s="19">
        <v>7.6691999999999991</v>
      </c>
      <c r="CE215" s="19">
        <v>0.18479999999999999</v>
      </c>
      <c r="CF215" s="19" t="s">
        <v>217</v>
      </c>
      <c r="CG215" s="19">
        <v>24.2088</v>
      </c>
      <c r="CH215" s="19">
        <v>3.6960000000000002</v>
      </c>
      <c r="CI215" s="19">
        <v>4.1580000000000004</v>
      </c>
      <c r="CJ215" s="19"/>
      <c r="CK215" s="19">
        <v>231.92400000000001</v>
      </c>
      <c r="CL215" s="19">
        <v>15.892799999999999</v>
      </c>
      <c r="CM215" s="19">
        <v>41.4876</v>
      </c>
      <c r="CN215" s="19">
        <v>75.195120000000003</v>
      </c>
      <c r="CO215" s="19">
        <v>0</v>
      </c>
      <c r="CP215" s="19">
        <v>4.6199999999999998E-2</v>
      </c>
      <c r="CQ215" s="19">
        <v>511.08148499999999</v>
      </c>
      <c r="CR215" s="19">
        <v>519.51826368308753</v>
      </c>
      <c r="CS215" s="19">
        <v>30.577698795353463</v>
      </c>
      <c r="CT215" s="19">
        <v>7.1524086964004869</v>
      </c>
      <c r="CU215" s="19">
        <v>6.5380977120465582</v>
      </c>
      <c r="CV215" s="19">
        <v>13.690506408446993</v>
      </c>
      <c r="CW215" s="19">
        <v>20.048900109821453</v>
      </c>
      <c r="CX215" s="19">
        <v>7.2218495575305779</v>
      </c>
      <c r="CY215" s="19">
        <v>24.290722613284842</v>
      </c>
      <c r="CZ215" s="19">
        <v>40.90238603882608</v>
      </c>
      <c r="DA215" s="19">
        <v>13.826981764232391</v>
      </c>
      <c r="DB215" s="19">
        <v>27.396912023959665</v>
      </c>
      <c r="DC215" s="19">
        <v>20.12942744506762</v>
      </c>
      <c r="DD215" s="19">
        <v>47.526339469027292</v>
      </c>
      <c r="DE215" s="19">
        <v>24.519155545071737</v>
      </c>
      <c r="DF215" s="23">
        <v>0</v>
      </c>
      <c r="DG215" s="23">
        <v>0</v>
      </c>
      <c r="DH215" s="23">
        <v>0</v>
      </c>
      <c r="DI215" s="19">
        <v>0</v>
      </c>
      <c r="DJ215" s="19">
        <v>0</v>
      </c>
      <c r="DK215" s="19">
        <v>0</v>
      </c>
      <c r="DL215" s="19">
        <v>0</v>
      </c>
      <c r="DM215" s="19">
        <v>0</v>
      </c>
      <c r="DN215" s="19">
        <v>0</v>
      </c>
      <c r="DO215" s="19">
        <v>0</v>
      </c>
      <c r="DP215" s="19">
        <v>0</v>
      </c>
      <c r="DQ215" s="19">
        <v>0</v>
      </c>
      <c r="DR215" s="19">
        <v>0</v>
      </c>
      <c r="DS215" s="19">
        <v>0</v>
      </c>
      <c r="DT215" s="19">
        <v>0</v>
      </c>
      <c r="DU215" s="19">
        <v>0</v>
      </c>
      <c r="DV215" s="19">
        <v>0</v>
      </c>
      <c r="DW215" s="17" t="s">
        <v>621</v>
      </c>
      <c r="DX215" s="22">
        <v>12</v>
      </c>
      <c r="DY215" s="22">
        <v>12</v>
      </c>
      <c r="DZ215" s="22">
        <v>12</v>
      </c>
      <c r="EA215" s="22">
        <v>12</v>
      </c>
      <c r="EB215" s="22" t="s">
        <v>218</v>
      </c>
      <c r="EC215" s="22">
        <v>12</v>
      </c>
      <c r="ED215" s="22">
        <v>12</v>
      </c>
      <c r="EE215" s="22" t="s">
        <v>218</v>
      </c>
      <c r="EF215" s="22">
        <v>12</v>
      </c>
      <c r="EG215" s="22">
        <v>12</v>
      </c>
      <c r="EH215" s="22">
        <v>8</v>
      </c>
      <c r="EI215" s="22">
        <v>8</v>
      </c>
      <c r="EJ215" s="22">
        <v>8</v>
      </c>
      <c r="EK215" s="22">
        <v>8</v>
      </c>
      <c r="EL215" s="22">
        <v>8</v>
      </c>
      <c r="EM215" s="22">
        <v>8</v>
      </c>
      <c r="EN215" s="22">
        <v>8</v>
      </c>
      <c r="EO215" s="22">
        <v>8</v>
      </c>
      <c r="EP215" s="22">
        <v>8</v>
      </c>
      <c r="EQ215" s="22">
        <v>8</v>
      </c>
      <c r="ER215" s="22">
        <v>8</v>
      </c>
      <c r="ES215" s="22">
        <v>8</v>
      </c>
      <c r="ET215" s="22">
        <v>8</v>
      </c>
      <c r="EU215" s="22">
        <v>8</v>
      </c>
      <c r="EV215" s="22" t="s">
        <v>218</v>
      </c>
      <c r="EW215" s="22">
        <v>8</v>
      </c>
      <c r="EX215" s="22">
        <v>8</v>
      </c>
      <c r="EY215" s="22">
        <v>4</v>
      </c>
      <c r="EZ215" s="22">
        <v>8</v>
      </c>
      <c r="FA215" s="22">
        <v>8</v>
      </c>
      <c r="FB215" s="22">
        <v>8</v>
      </c>
      <c r="FC215" s="22">
        <v>8</v>
      </c>
      <c r="FD215" s="22" t="s">
        <v>218</v>
      </c>
      <c r="FE215" s="22">
        <v>4</v>
      </c>
      <c r="FF215" s="22" t="s">
        <v>218</v>
      </c>
      <c r="FG215" s="22">
        <v>0.9</v>
      </c>
      <c r="FH215" s="22">
        <v>0.37</v>
      </c>
      <c r="FI215" s="22">
        <v>0.27</v>
      </c>
      <c r="FJ215" s="22" t="s">
        <v>218</v>
      </c>
      <c r="FK215" s="22">
        <v>1.1100000000000001</v>
      </c>
      <c r="FL215" s="22">
        <v>0.57999999999999996</v>
      </c>
      <c r="FM215" s="22" t="s">
        <v>218</v>
      </c>
      <c r="FN215" s="22">
        <v>1.22</v>
      </c>
      <c r="FO215" s="22">
        <v>1.07</v>
      </c>
      <c r="FP215" s="22">
        <v>1.17</v>
      </c>
      <c r="FQ215" s="22">
        <v>0.24</v>
      </c>
      <c r="FR215" s="22">
        <v>0.38</v>
      </c>
      <c r="FS215" s="22">
        <v>0.36</v>
      </c>
      <c r="FT215" s="22">
        <v>0.17</v>
      </c>
      <c r="FU215" s="22">
        <v>0.59</v>
      </c>
      <c r="FV215" s="22">
        <v>0.83</v>
      </c>
      <c r="FW215" s="22">
        <v>0.3</v>
      </c>
      <c r="FX215" s="22">
        <v>0.84</v>
      </c>
      <c r="FY215" s="22">
        <v>0.83</v>
      </c>
      <c r="FZ215" s="22">
        <v>0.71</v>
      </c>
      <c r="GA215" s="22">
        <v>0.7</v>
      </c>
      <c r="GB215" s="22">
        <v>0.48</v>
      </c>
      <c r="GC215" s="22">
        <v>0.11</v>
      </c>
      <c r="GD215" s="22" t="s">
        <v>218</v>
      </c>
      <c r="GE215" s="22">
        <v>1.69</v>
      </c>
      <c r="GF215" s="22">
        <v>0.19</v>
      </c>
      <c r="GG215" s="22">
        <v>0.12</v>
      </c>
      <c r="GH215" s="22">
        <v>102.87</v>
      </c>
      <c r="GI215" s="22">
        <v>3.18</v>
      </c>
      <c r="GJ215" s="22">
        <v>11.7</v>
      </c>
      <c r="GK215" s="22">
        <v>13.48</v>
      </c>
      <c r="GL215" s="22" t="s">
        <v>218</v>
      </c>
      <c r="GM215" s="22">
        <v>0.09</v>
      </c>
      <c r="GN215" s="22" t="s">
        <v>218</v>
      </c>
      <c r="GO215" s="22" t="s">
        <v>629</v>
      </c>
      <c r="GP215" s="22" t="s">
        <v>629</v>
      </c>
      <c r="GQ215" s="22" t="s">
        <v>629</v>
      </c>
      <c r="GR215" s="22" t="s">
        <v>218</v>
      </c>
      <c r="GS215" s="22" t="s">
        <v>629</v>
      </c>
      <c r="GT215" s="22" t="s">
        <v>629</v>
      </c>
      <c r="GU215" s="22" t="s">
        <v>218</v>
      </c>
      <c r="GV215" s="22" t="s">
        <v>629</v>
      </c>
      <c r="GW215" s="22" t="s">
        <v>629</v>
      </c>
      <c r="GX215" s="22">
        <v>2011</v>
      </c>
      <c r="GY215" s="22">
        <v>2011</v>
      </c>
      <c r="GZ215" s="22">
        <v>2011</v>
      </c>
      <c r="HA215" s="22">
        <v>2011</v>
      </c>
      <c r="HB215" s="22">
        <v>2011</v>
      </c>
      <c r="HC215" s="22">
        <v>2011</v>
      </c>
      <c r="HD215" s="22">
        <v>2011</v>
      </c>
      <c r="HE215" s="22">
        <v>2011</v>
      </c>
      <c r="HF215" s="22">
        <v>2011</v>
      </c>
      <c r="HG215" s="22">
        <v>2011</v>
      </c>
      <c r="HH215" s="22">
        <v>2011</v>
      </c>
      <c r="HI215" s="22">
        <v>2011</v>
      </c>
      <c r="HJ215" s="22">
        <v>2011</v>
      </c>
      <c r="HK215" s="22">
        <v>2011</v>
      </c>
      <c r="HL215" s="22" t="s">
        <v>218</v>
      </c>
      <c r="HM215" s="622">
        <f>'background data'!$G$18</f>
        <v>0.54099999999999993</v>
      </c>
      <c r="HN215" s="622">
        <f>'background data'!$H$18</f>
        <v>0.11600000000000001</v>
      </c>
      <c r="HO215" s="622">
        <f>'background data'!$J$18</f>
        <v>0.25</v>
      </c>
      <c r="HP215" s="622">
        <f>'background data'!$L$18</f>
        <v>1.2999999999999999E-2</v>
      </c>
      <c r="HQ215" s="622">
        <f>'background data'!$M$18</f>
        <v>8.86</v>
      </c>
      <c r="HR215" s="622">
        <f>'background data'!$N$18</f>
        <v>6.9299999999999995E-3</v>
      </c>
      <c r="HS215" s="622">
        <f>'background data'!$O$18</f>
        <v>1.75</v>
      </c>
      <c r="HT215" s="145" t="s">
        <v>1805</v>
      </c>
      <c r="HU215" s="145" t="s">
        <v>1809</v>
      </c>
      <c r="HV215" s="22" t="s">
        <v>1977</v>
      </c>
      <c r="HW215" s="22" t="s">
        <v>630</v>
      </c>
      <c r="HX215" s="22" t="s">
        <v>623</v>
      </c>
      <c r="HY215" s="22" t="s">
        <v>624</v>
      </c>
      <c r="HZ215" s="19"/>
      <c r="IA215" s="19"/>
      <c r="IB215" s="622">
        <f>'background data'!$G$18</f>
        <v>0.54099999999999993</v>
      </c>
      <c r="IC215" s="622">
        <f>'background data'!$H$18</f>
        <v>0.11600000000000001</v>
      </c>
      <c r="ID215" s="622">
        <f>'background data'!$J$18</f>
        <v>0.25</v>
      </c>
      <c r="IE215" s="622">
        <f>'background data'!$L$18</f>
        <v>1.2999999999999999E-2</v>
      </c>
      <c r="IF215" s="622">
        <f>'background data'!$M$18</f>
        <v>8.86</v>
      </c>
      <c r="IG215" s="622">
        <f>'background data'!$N$18</f>
        <v>6.9299999999999995E-3</v>
      </c>
      <c r="IH215" s="622">
        <f>'background data'!$O$18</f>
        <v>1.75</v>
      </c>
      <c r="II215" s="145" t="s">
        <v>1805</v>
      </c>
      <c r="IJ215" s="145"/>
      <c r="IK215" s="145"/>
      <c r="IL215" s="145"/>
      <c r="IM215" s="145"/>
      <c r="IN215" s="145"/>
      <c r="IO215" s="145"/>
      <c r="IP215" s="145"/>
      <c r="IQ215" s="145"/>
      <c r="IR215" s="145"/>
      <c r="IS215" s="145"/>
      <c r="IT215" s="145"/>
      <c r="IU215" s="145"/>
      <c r="IV215" s="145"/>
      <c r="IW215" s="145"/>
      <c r="IX215" s="145"/>
      <c r="IY215" s="145"/>
      <c r="IZ215" s="145"/>
      <c r="JA215" s="145"/>
      <c r="JB215" s="145"/>
      <c r="JC215" s="145"/>
      <c r="JD215" s="145"/>
      <c r="JE215" s="145"/>
      <c r="JF215" s="145"/>
      <c r="JG215" s="145"/>
      <c r="JH215" s="145"/>
      <c r="JI215" s="145"/>
      <c r="JJ215" s="145"/>
      <c r="JK215" s="145"/>
      <c r="JL215" s="145"/>
      <c r="JM215" s="145"/>
      <c r="JN215" s="145"/>
      <c r="JO215" s="145"/>
      <c r="JP215" s="145"/>
      <c r="JQ215" s="145"/>
      <c r="JR215" s="145"/>
      <c r="JS215" s="145"/>
      <c r="JT215" s="145"/>
      <c r="JU215" s="145"/>
      <c r="JV215" s="145"/>
      <c r="JW215" s="145"/>
      <c r="JX215" s="145"/>
      <c r="JY215" s="145"/>
      <c r="JZ215" s="145"/>
      <c r="KA215" s="145"/>
      <c r="KB215" s="145"/>
      <c r="KC215" s="145"/>
      <c r="KD215" s="145"/>
      <c r="KE215" s="145"/>
      <c r="KF215" s="145"/>
      <c r="KG215" s="145"/>
      <c r="KH215" s="145"/>
      <c r="KI215" s="145"/>
      <c r="KJ215" s="145"/>
      <c r="KK215" s="145"/>
      <c r="KL215" s="145"/>
      <c r="KM215" s="145"/>
      <c r="KN215" s="145"/>
      <c r="KO215" s="145"/>
      <c r="KP215" s="145"/>
      <c r="KQ215" s="145"/>
      <c r="KR215" s="145"/>
      <c r="KS215" s="145"/>
      <c r="KT215" s="145"/>
      <c r="KU215" s="145"/>
      <c r="KV215" s="145"/>
      <c r="KW215" s="145"/>
      <c r="KX215" s="145"/>
      <c r="KY215" s="145"/>
      <c r="KZ215" s="145"/>
      <c r="LA215" s="145"/>
      <c r="LB215" s="145"/>
      <c r="LC215" s="145"/>
      <c r="LD215" s="145"/>
      <c r="LE215" s="145"/>
      <c r="LF215" s="145"/>
      <c r="LG215" s="145"/>
      <c r="LH215" s="145"/>
      <c r="LI215" s="145"/>
      <c r="LJ215" s="145"/>
      <c r="LK215" s="145"/>
      <c r="LL215" s="145"/>
      <c r="LM215" s="145"/>
      <c r="LN215" s="145"/>
      <c r="LO215" s="145"/>
      <c r="LP215" s="145"/>
      <c r="LQ215" s="145"/>
      <c r="LR215" s="145"/>
      <c r="LS215" s="145"/>
      <c r="LT215" s="145"/>
      <c r="LU215" s="145"/>
      <c r="LV215" s="145"/>
      <c r="LW215" s="145"/>
      <c r="LX215" s="145"/>
      <c r="LY215" s="145"/>
      <c r="LZ215" s="145"/>
      <c r="MA215" s="145"/>
      <c r="MB215" s="145"/>
      <c r="MC215" s="145"/>
      <c r="MD215" s="145"/>
      <c r="ME215" s="145"/>
      <c r="MF215" s="145"/>
      <c r="MG215" s="145"/>
      <c r="MH215" s="145"/>
      <c r="MI215" s="145"/>
      <c r="MJ215" s="145"/>
      <c r="MK215" s="145"/>
      <c r="ML215" s="145"/>
      <c r="MM215" s="145"/>
      <c r="MN215" s="145"/>
      <c r="MO215" s="145"/>
      <c r="MP215" s="145"/>
      <c r="MQ215" s="145"/>
      <c r="MR215" s="145"/>
      <c r="MS215" s="145"/>
      <c r="MT215" s="145"/>
      <c r="MU215" s="145"/>
      <c r="MV215" s="145"/>
      <c r="MW215" s="145"/>
      <c r="MX215" s="145"/>
      <c r="MY215" s="145"/>
      <c r="MZ215" s="145"/>
      <c r="NA215" s="145"/>
      <c r="NB215" s="145"/>
      <c r="NC215" s="145"/>
      <c r="ND215" s="145"/>
      <c r="NE215" s="145"/>
      <c r="NF215" s="145"/>
      <c r="NG215" s="145"/>
      <c r="NH215" s="145"/>
      <c r="NI215" s="145"/>
      <c r="NJ215" s="145"/>
      <c r="NK215" s="145"/>
      <c r="NL215" s="145"/>
      <c r="NM215" s="145"/>
      <c r="NN215" s="145"/>
      <c r="NO215" s="145"/>
      <c r="NP215" s="145"/>
      <c r="NQ215" s="145"/>
      <c r="NR215" s="145"/>
      <c r="NS215" s="145"/>
    </row>
    <row r="216" spans="1:383" s="16" customFormat="1" ht="15" customHeight="1" x14ac:dyDescent="0.2">
      <c r="A216" s="15">
        <v>61350</v>
      </c>
      <c r="B216" s="25">
        <v>613</v>
      </c>
      <c r="C216" s="26">
        <v>50</v>
      </c>
      <c r="D216" s="20" t="s">
        <v>631</v>
      </c>
      <c r="E216" s="14">
        <v>42698</v>
      </c>
      <c r="F216" s="18">
        <v>0.98234040650406096</v>
      </c>
      <c r="G216" s="18">
        <v>1.00183147636363</v>
      </c>
      <c r="H216" s="21">
        <v>93.64</v>
      </c>
      <c r="I216" s="21">
        <v>78.099973800000001</v>
      </c>
      <c r="J216" s="21">
        <v>96</v>
      </c>
      <c r="K216" s="18">
        <v>1</v>
      </c>
      <c r="L216" s="18">
        <v>92.1</v>
      </c>
      <c r="M216" s="18">
        <v>52</v>
      </c>
      <c r="N216" s="18">
        <v>2.5</v>
      </c>
      <c r="O216" s="18">
        <v>7.2</v>
      </c>
      <c r="P216" s="18">
        <v>3.1314000000000002</v>
      </c>
      <c r="Q216" s="19"/>
      <c r="R216" s="18">
        <v>86.5</v>
      </c>
      <c r="S216" s="18">
        <v>39</v>
      </c>
      <c r="T216" s="18">
        <v>51</v>
      </c>
      <c r="U216" s="18">
        <v>56</v>
      </c>
      <c r="V216" s="18">
        <v>60</v>
      </c>
      <c r="W216" s="18">
        <v>63</v>
      </c>
      <c r="X216" s="18"/>
      <c r="Y216" s="18">
        <v>4.3000000000000007</v>
      </c>
      <c r="Z216" s="18">
        <v>7.7000000000000011</v>
      </c>
      <c r="AA216" s="18">
        <v>0.20000000000000004</v>
      </c>
      <c r="AB216" s="18" t="s">
        <v>217</v>
      </c>
      <c r="AC216" s="18">
        <v>26.000000000000007</v>
      </c>
      <c r="AD216" s="18">
        <v>4.9000000000000004</v>
      </c>
      <c r="AE216" s="18">
        <v>4.4000000000000012</v>
      </c>
      <c r="AF216" s="18">
        <v>618.00000000000011</v>
      </c>
      <c r="AG216" s="18">
        <v>18</v>
      </c>
      <c r="AH216" s="18">
        <v>59.20000000000001</v>
      </c>
      <c r="AI216" s="18">
        <v>67.600000000000009</v>
      </c>
      <c r="AJ216" s="18">
        <v>0</v>
      </c>
      <c r="AK216" s="18">
        <v>0.13</v>
      </c>
      <c r="AL216" s="18"/>
      <c r="AM216" s="18">
        <v>5.9965034965035002</v>
      </c>
      <c r="AN216" s="18">
        <v>1.36363636363636</v>
      </c>
      <c r="AO216" s="18">
        <v>1.4510489510489499</v>
      </c>
      <c r="AP216" s="18">
        <v>3.9685314685314701</v>
      </c>
      <c r="AQ216" s="18">
        <v>1.34615384615385</v>
      </c>
      <c r="AR216" s="18">
        <v>4.4930069930069898</v>
      </c>
      <c r="AS216" s="18">
        <v>7.63986013986014</v>
      </c>
      <c r="AT216" s="18">
        <v>2.6048951048951001</v>
      </c>
      <c r="AU216" s="18">
        <v>5.0524475524475498</v>
      </c>
      <c r="AV216" s="18">
        <v>3.8111888111888099</v>
      </c>
      <c r="AW216" s="18">
        <v>4.7027972027971998</v>
      </c>
      <c r="AX216" s="18"/>
      <c r="AY216" s="18">
        <v>0.97</v>
      </c>
      <c r="AZ216" s="18">
        <v>1.06</v>
      </c>
      <c r="BA216" s="18">
        <v>0.91</v>
      </c>
      <c r="BB216" s="18">
        <v>0.99</v>
      </c>
      <c r="BC216" s="18">
        <v>1.06</v>
      </c>
      <c r="BD216" s="18">
        <v>1.05</v>
      </c>
      <c r="BE216" s="18">
        <v>1.05</v>
      </c>
      <c r="BF216" s="18">
        <v>1.07</v>
      </c>
      <c r="BG216" s="18">
        <v>1.06</v>
      </c>
      <c r="BH216" s="18">
        <v>1.05</v>
      </c>
      <c r="BI216" s="18">
        <v>1.01</v>
      </c>
      <c r="BJ216" s="19"/>
      <c r="BK216" s="18">
        <v>56.46036916395223</v>
      </c>
      <c r="BL216" s="18">
        <v>2.7144408251900112</v>
      </c>
      <c r="BM216" s="18">
        <v>7.8175895765472321</v>
      </c>
      <c r="BN216" s="18">
        <v>3.4000000000000008</v>
      </c>
      <c r="BO216" s="18"/>
      <c r="BP216" s="18">
        <v>130</v>
      </c>
      <c r="BQ216" s="18">
        <v>35.287730727470141</v>
      </c>
      <c r="BR216" s="18">
        <v>1.0666019614593496</v>
      </c>
      <c r="BS216" s="18">
        <v>1.0877649037607275</v>
      </c>
      <c r="BT216" s="19"/>
      <c r="BU216" s="18">
        <v>921.82410423452779</v>
      </c>
      <c r="BV216" s="18">
        <v>118.43170466883822</v>
      </c>
      <c r="BW216" s="18">
        <v>204.64529616565798</v>
      </c>
      <c r="BX216" s="18" t="s">
        <v>217</v>
      </c>
      <c r="BY216" s="18" t="s">
        <v>217</v>
      </c>
      <c r="BZ216" s="18">
        <v>64.766110749185671</v>
      </c>
      <c r="CA216" s="18">
        <v>175.10837350705756</v>
      </c>
      <c r="CB216" s="19"/>
      <c r="CC216" s="19">
        <v>3.9603000000000002</v>
      </c>
      <c r="CD216" s="19">
        <v>7.0917000000000003</v>
      </c>
      <c r="CE216" s="19">
        <v>0.18420000000000003</v>
      </c>
      <c r="CF216" s="19" t="s">
        <v>217</v>
      </c>
      <c r="CG216" s="19">
        <v>23.946000000000005</v>
      </c>
      <c r="CH216" s="19">
        <v>4.5129000000000001</v>
      </c>
      <c r="CI216" s="19">
        <v>4.0524000000000004</v>
      </c>
      <c r="CJ216" s="19"/>
      <c r="CK216" s="19">
        <v>569.17800000000011</v>
      </c>
      <c r="CL216" s="19">
        <v>16.577999999999999</v>
      </c>
      <c r="CM216" s="19">
        <v>54.523200000000003</v>
      </c>
      <c r="CN216" s="19">
        <v>62.259600000000006</v>
      </c>
      <c r="CO216" s="19">
        <v>0</v>
      </c>
      <c r="CP216" s="19">
        <v>0.11972999999999999</v>
      </c>
      <c r="CQ216" s="19">
        <v>449.8</v>
      </c>
      <c r="CR216" s="19">
        <v>457.8860820769267</v>
      </c>
      <c r="CS216" s="19">
        <v>26.633440274093363</v>
      </c>
      <c r="CT216" s="19">
        <v>6.6185351863846416</v>
      </c>
      <c r="CU216" s="19">
        <v>6.0461775837885039</v>
      </c>
      <c r="CV216" s="19">
        <v>12.664712770173187</v>
      </c>
      <c r="CW216" s="19">
        <v>17.989639724676177</v>
      </c>
      <c r="CX216" s="19">
        <v>6.533682171174628</v>
      </c>
      <c r="CY216" s="19">
        <v>21.60149637210813</v>
      </c>
      <c r="CZ216" s="19">
        <v>36.730949084090476</v>
      </c>
      <c r="DA216" s="19">
        <v>12.762373787679039</v>
      </c>
      <c r="DB216" s="19">
        <v>24.522521395707258</v>
      </c>
      <c r="DC216" s="19">
        <v>18.323448284511944</v>
      </c>
      <c r="DD216" s="19">
        <v>42.845969680219206</v>
      </c>
      <c r="DE216" s="19">
        <v>21.748788398510492</v>
      </c>
      <c r="DF216" s="23">
        <v>0</v>
      </c>
      <c r="DG216" s="23">
        <v>0</v>
      </c>
      <c r="DH216" s="23">
        <v>0</v>
      </c>
      <c r="DI216" s="19">
        <v>0</v>
      </c>
      <c r="DJ216" s="19">
        <v>0</v>
      </c>
      <c r="DK216" s="19">
        <v>0</v>
      </c>
      <c r="DL216" s="19">
        <v>0</v>
      </c>
      <c r="DM216" s="19">
        <v>0</v>
      </c>
      <c r="DN216" s="19">
        <v>0</v>
      </c>
      <c r="DO216" s="19">
        <v>0</v>
      </c>
      <c r="DP216" s="19">
        <v>0</v>
      </c>
      <c r="DQ216" s="19">
        <v>0</v>
      </c>
      <c r="DR216" s="19">
        <v>0</v>
      </c>
      <c r="DS216" s="19">
        <v>0</v>
      </c>
      <c r="DT216" s="19">
        <v>0</v>
      </c>
      <c r="DU216" s="19">
        <v>0</v>
      </c>
      <c r="DV216" s="19">
        <v>0</v>
      </c>
      <c r="DW216" s="17" t="s">
        <v>621</v>
      </c>
      <c r="DX216" s="22">
        <v>12</v>
      </c>
      <c r="DY216" s="22">
        <v>12</v>
      </c>
      <c r="DZ216" s="22">
        <v>12</v>
      </c>
      <c r="EA216" s="22">
        <v>12</v>
      </c>
      <c r="EB216" s="22" t="s">
        <v>218</v>
      </c>
      <c r="EC216" s="22">
        <v>12</v>
      </c>
      <c r="ED216" s="22">
        <v>12</v>
      </c>
      <c r="EE216" s="22" t="s">
        <v>218</v>
      </c>
      <c r="EF216" s="22">
        <v>12</v>
      </c>
      <c r="EG216" s="22">
        <v>12</v>
      </c>
      <c r="EH216" s="22">
        <v>8</v>
      </c>
      <c r="EI216" s="22">
        <v>8</v>
      </c>
      <c r="EJ216" s="22">
        <v>8</v>
      </c>
      <c r="EK216" s="22">
        <v>8</v>
      </c>
      <c r="EL216" s="22">
        <v>8</v>
      </c>
      <c r="EM216" s="22">
        <v>8</v>
      </c>
      <c r="EN216" s="22">
        <v>8</v>
      </c>
      <c r="EO216" s="22">
        <v>8</v>
      </c>
      <c r="EP216" s="22">
        <v>8</v>
      </c>
      <c r="EQ216" s="22">
        <v>8</v>
      </c>
      <c r="ER216" s="22">
        <v>8</v>
      </c>
      <c r="ES216" s="22">
        <v>8</v>
      </c>
      <c r="ET216" s="22">
        <v>8</v>
      </c>
      <c r="EU216" s="22">
        <v>8</v>
      </c>
      <c r="EV216" s="22" t="s">
        <v>218</v>
      </c>
      <c r="EW216" s="22">
        <v>8</v>
      </c>
      <c r="EX216" s="22">
        <v>8</v>
      </c>
      <c r="EY216" s="22">
        <v>4</v>
      </c>
      <c r="EZ216" s="22">
        <v>8</v>
      </c>
      <c r="FA216" s="22">
        <v>8</v>
      </c>
      <c r="FB216" s="22">
        <v>8</v>
      </c>
      <c r="FC216" s="22">
        <v>8</v>
      </c>
      <c r="FD216" s="22" t="s">
        <v>218</v>
      </c>
      <c r="FE216" s="22">
        <v>4</v>
      </c>
      <c r="FF216" s="22" t="s">
        <v>218</v>
      </c>
      <c r="FG216" s="22">
        <v>1.01</v>
      </c>
      <c r="FH216" s="22">
        <v>0.2</v>
      </c>
      <c r="FI216" s="22">
        <v>0.14000000000000001</v>
      </c>
      <c r="FJ216" s="22" t="s">
        <v>218</v>
      </c>
      <c r="FK216" s="22">
        <v>0.82</v>
      </c>
      <c r="FL216" s="22">
        <v>1.03</v>
      </c>
      <c r="FM216" s="22" t="s">
        <v>218</v>
      </c>
      <c r="FN216" s="22">
        <v>1.5</v>
      </c>
      <c r="FO216" s="22">
        <v>1.19</v>
      </c>
      <c r="FP216" s="22">
        <v>0.56999999999999995</v>
      </c>
      <c r="FQ216" s="22">
        <v>0.17</v>
      </c>
      <c r="FR216" s="22">
        <v>0.26</v>
      </c>
      <c r="FS216" s="22">
        <v>0.26</v>
      </c>
      <c r="FT216" s="22">
        <v>0.1</v>
      </c>
      <c r="FU216" s="22">
        <v>0.42</v>
      </c>
      <c r="FV216" s="22">
        <v>0.39</v>
      </c>
      <c r="FW216" s="22">
        <v>0.18</v>
      </c>
      <c r="FX216" s="22">
        <v>1.0900000000000001</v>
      </c>
      <c r="FY216" s="22">
        <v>1.36</v>
      </c>
      <c r="FZ216" s="22">
        <v>0.65</v>
      </c>
      <c r="GA216" s="22">
        <v>0.13</v>
      </c>
      <c r="GB216" s="22">
        <v>0.32</v>
      </c>
      <c r="GC216" s="22">
        <v>0.03</v>
      </c>
      <c r="GD216" s="22" t="s">
        <v>218</v>
      </c>
      <c r="GE216" s="22">
        <v>1.34</v>
      </c>
      <c r="GF216" s="22">
        <v>0.21</v>
      </c>
      <c r="GG216" s="22">
        <v>0.08</v>
      </c>
      <c r="GH216" s="22">
        <v>47.14</v>
      </c>
      <c r="GI216" s="22">
        <v>0.81</v>
      </c>
      <c r="GJ216" s="22">
        <v>2.71</v>
      </c>
      <c r="GK216" s="22">
        <v>5.48</v>
      </c>
      <c r="GL216" s="22" t="s">
        <v>218</v>
      </c>
      <c r="GM216" s="22">
        <v>0.01</v>
      </c>
      <c r="GN216" s="22" t="s">
        <v>218</v>
      </c>
      <c r="GO216" s="22" t="s">
        <v>629</v>
      </c>
      <c r="GP216" s="22" t="s">
        <v>629</v>
      </c>
      <c r="GQ216" s="22" t="s">
        <v>629</v>
      </c>
      <c r="GR216" s="22" t="s">
        <v>218</v>
      </c>
      <c r="GS216" s="22" t="s">
        <v>629</v>
      </c>
      <c r="GT216" s="22" t="s">
        <v>629</v>
      </c>
      <c r="GU216" s="22" t="s">
        <v>218</v>
      </c>
      <c r="GV216" s="22" t="s">
        <v>629</v>
      </c>
      <c r="GW216" s="22" t="s">
        <v>629</v>
      </c>
      <c r="GX216" s="22">
        <v>2011</v>
      </c>
      <c r="GY216" s="22">
        <v>2011</v>
      </c>
      <c r="GZ216" s="22">
        <v>2011</v>
      </c>
      <c r="HA216" s="22">
        <v>2011</v>
      </c>
      <c r="HB216" s="22">
        <v>2011</v>
      </c>
      <c r="HC216" s="22">
        <v>2011</v>
      </c>
      <c r="HD216" s="22">
        <v>2011</v>
      </c>
      <c r="HE216" s="22">
        <v>2011</v>
      </c>
      <c r="HF216" s="22">
        <v>2011</v>
      </c>
      <c r="HG216" s="22">
        <v>2011</v>
      </c>
      <c r="HH216" s="22">
        <v>2011</v>
      </c>
      <c r="HI216" s="22">
        <v>2011</v>
      </c>
      <c r="HJ216" s="22">
        <v>2011</v>
      </c>
      <c r="HK216" s="22">
        <v>2011</v>
      </c>
      <c r="HL216" s="22" t="s">
        <v>218</v>
      </c>
      <c r="HM216" s="622">
        <f>'background data'!$G$18</f>
        <v>0.54099999999999993</v>
      </c>
      <c r="HN216" s="622">
        <f>'background data'!$H$18</f>
        <v>0.11600000000000001</v>
      </c>
      <c r="HO216" s="622">
        <f>'background data'!$J$18</f>
        <v>0.25</v>
      </c>
      <c r="HP216" s="622">
        <f>'background data'!$L$18</f>
        <v>1.2999999999999999E-2</v>
      </c>
      <c r="HQ216" s="622">
        <f>'background data'!$M$18</f>
        <v>8.86</v>
      </c>
      <c r="HR216" s="622">
        <f>'background data'!$N$18</f>
        <v>6.9299999999999995E-3</v>
      </c>
      <c r="HS216" s="622">
        <f>'background data'!$O$18</f>
        <v>1.75</v>
      </c>
      <c r="HT216" s="145" t="s">
        <v>1805</v>
      </c>
      <c r="HU216" s="145" t="s">
        <v>1809</v>
      </c>
      <c r="HV216" s="22" t="s">
        <v>1977</v>
      </c>
      <c r="HW216" s="22" t="s">
        <v>626</v>
      </c>
      <c r="HX216" s="22" t="s">
        <v>623</v>
      </c>
      <c r="HY216" s="22" t="s">
        <v>624</v>
      </c>
      <c r="HZ216" s="19"/>
      <c r="IA216" s="19"/>
      <c r="IB216" s="622">
        <f>'background data'!$G$18</f>
        <v>0.54099999999999993</v>
      </c>
      <c r="IC216" s="622">
        <f>'background data'!$H$18</f>
        <v>0.11600000000000001</v>
      </c>
      <c r="ID216" s="622">
        <f>'background data'!$J$18</f>
        <v>0.25</v>
      </c>
      <c r="IE216" s="622">
        <f>'background data'!$L$18</f>
        <v>1.2999999999999999E-2</v>
      </c>
      <c r="IF216" s="622">
        <f>'background data'!$M$18</f>
        <v>8.86</v>
      </c>
      <c r="IG216" s="622">
        <f>'background data'!$N$18</f>
        <v>6.9299999999999995E-3</v>
      </c>
      <c r="IH216" s="622">
        <f>'background data'!$O$18</f>
        <v>1.75</v>
      </c>
      <c r="II216" s="145" t="s">
        <v>1805</v>
      </c>
      <c r="IJ216" s="145"/>
      <c r="IK216" s="145"/>
      <c r="IL216" s="145"/>
      <c r="IM216" s="145"/>
      <c r="IN216" s="145"/>
      <c r="IO216" s="145"/>
      <c r="IP216" s="145"/>
      <c r="IQ216" s="145"/>
      <c r="IR216" s="145"/>
      <c r="IS216" s="145"/>
      <c r="IT216" s="145"/>
      <c r="IU216" s="145"/>
      <c r="IV216" s="145"/>
      <c r="IW216" s="145"/>
      <c r="IX216" s="145"/>
      <c r="IY216" s="145"/>
      <c r="IZ216" s="145"/>
      <c r="JA216" s="145"/>
      <c r="JB216" s="145"/>
      <c r="JC216" s="145"/>
      <c r="JD216" s="145"/>
      <c r="JE216" s="145"/>
      <c r="JF216" s="145"/>
      <c r="JG216" s="145"/>
      <c r="JH216" s="145"/>
      <c r="JI216" s="145"/>
      <c r="JJ216" s="145"/>
      <c r="JK216" s="145"/>
      <c r="JL216" s="145"/>
      <c r="JM216" s="145"/>
      <c r="JN216" s="145"/>
      <c r="JO216" s="145"/>
      <c r="JP216" s="145"/>
      <c r="JQ216" s="145"/>
      <c r="JR216" s="145"/>
      <c r="JS216" s="145"/>
      <c r="JT216" s="145"/>
      <c r="JU216" s="145"/>
      <c r="JV216" s="145"/>
      <c r="JW216" s="145"/>
      <c r="JX216" s="145"/>
      <c r="JY216" s="145"/>
      <c r="JZ216" s="145"/>
      <c r="KA216" s="145"/>
      <c r="KB216" s="145"/>
      <c r="KC216" s="145"/>
      <c r="KD216" s="145"/>
      <c r="KE216" s="145"/>
      <c r="KF216" s="145"/>
      <c r="KG216" s="145"/>
      <c r="KH216" s="145"/>
      <c r="KI216" s="145"/>
      <c r="KJ216" s="145"/>
      <c r="KK216" s="145"/>
      <c r="KL216" s="145"/>
      <c r="KM216" s="145"/>
      <c r="KN216" s="145"/>
      <c r="KO216" s="145"/>
      <c r="KP216" s="145"/>
      <c r="KQ216" s="145"/>
      <c r="KR216" s="145"/>
      <c r="KS216" s="145"/>
      <c r="KT216" s="145"/>
      <c r="KU216" s="145"/>
      <c r="KV216" s="145"/>
      <c r="KW216" s="145"/>
      <c r="KX216" s="145"/>
      <c r="KY216" s="145"/>
      <c r="KZ216" s="145"/>
      <c r="LA216" s="145"/>
      <c r="LB216" s="145"/>
      <c r="LC216" s="145"/>
      <c r="LD216" s="145"/>
      <c r="LE216" s="145"/>
      <c r="LF216" s="145"/>
      <c r="LG216" s="145"/>
      <c r="LH216" s="145"/>
      <c r="LI216" s="145"/>
      <c r="LJ216" s="145"/>
      <c r="LK216" s="145"/>
      <c r="LL216" s="145"/>
      <c r="LM216" s="145"/>
      <c r="LN216" s="145"/>
      <c r="LO216" s="145"/>
      <c r="LP216" s="145"/>
      <c r="LQ216" s="145"/>
      <c r="LR216" s="145"/>
      <c r="LS216" s="145"/>
      <c r="LT216" s="145"/>
      <c r="LU216" s="145"/>
      <c r="LV216" s="145"/>
      <c r="LW216" s="145"/>
      <c r="LX216" s="145"/>
      <c r="LY216" s="145"/>
      <c r="LZ216" s="145"/>
      <c r="MA216" s="145"/>
      <c r="MB216" s="145"/>
      <c r="MC216" s="145"/>
      <c r="MD216" s="145"/>
      <c r="ME216" s="145"/>
      <c r="MF216" s="145"/>
      <c r="MG216" s="145"/>
      <c r="MH216" s="145"/>
      <c r="MI216" s="145"/>
      <c r="MJ216" s="145"/>
      <c r="MK216" s="145"/>
      <c r="ML216" s="145"/>
      <c r="MM216" s="145"/>
      <c r="MN216" s="145"/>
      <c r="MO216" s="145"/>
      <c r="MP216" s="145"/>
      <c r="MQ216" s="145"/>
      <c r="MR216" s="145"/>
      <c r="MS216" s="145"/>
      <c r="MT216" s="145"/>
      <c r="MU216" s="145"/>
      <c r="MV216" s="145"/>
      <c r="MW216" s="145"/>
      <c r="MX216" s="145"/>
      <c r="MY216" s="145"/>
      <c r="MZ216" s="145"/>
      <c r="NA216" s="145"/>
      <c r="NB216" s="145"/>
      <c r="NC216" s="145"/>
      <c r="ND216" s="145"/>
      <c r="NE216" s="145"/>
      <c r="NF216" s="145"/>
      <c r="NG216" s="145"/>
      <c r="NH216" s="145"/>
      <c r="NI216" s="145"/>
      <c r="NJ216" s="145"/>
      <c r="NK216" s="145"/>
      <c r="NL216" s="145"/>
      <c r="NM216" s="145"/>
      <c r="NN216" s="145"/>
      <c r="NO216" s="145"/>
      <c r="NP216" s="145"/>
      <c r="NQ216" s="145"/>
      <c r="NR216" s="145"/>
      <c r="NS216" s="145"/>
    </row>
    <row r="217" spans="1:383" s="16" customFormat="1" ht="15" customHeight="1" x14ac:dyDescent="0.2">
      <c r="A217" s="15">
        <v>61400</v>
      </c>
      <c r="B217" s="25">
        <v>614</v>
      </c>
      <c r="C217" s="26">
        <v>0</v>
      </c>
      <c r="D217" s="20" t="s">
        <v>632</v>
      </c>
      <c r="E217" s="14">
        <v>42695</v>
      </c>
      <c r="F217" s="18">
        <v>9.5487001393728094E-2</v>
      </c>
      <c r="G217" s="18">
        <v>0.29622418533283901</v>
      </c>
      <c r="H217" s="21">
        <v>53.4</v>
      </c>
      <c r="I217" s="21">
        <v>13.600018800000001</v>
      </c>
      <c r="J217" s="21">
        <v>67</v>
      </c>
      <c r="K217" s="18">
        <v>1</v>
      </c>
      <c r="L217" s="18">
        <v>87.6</v>
      </c>
      <c r="M217" s="18">
        <v>9.2856000000000005</v>
      </c>
      <c r="N217" s="18">
        <v>1.9272</v>
      </c>
      <c r="O217" s="18">
        <v>4.2923999999999998</v>
      </c>
      <c r="P217" s="18">
        <v>35.478000000000002</v>
      </c>
      <c r="Q217" s="19"/>
      <c r="R217" s="18">
        <v>33.4</v>
      </c>
      <c r="S217" s="18">
        <v>38</v>
      </c>
      <c r="T217" s="18">
        <v>38</v>
      </c>
      <c r="U217" s="18">
        <v>38</v>
      </c>
      <c r="V217" s="18">
        <v>38</v>
      </c>
      <c r="W217" s="18">
        <v>38</v>
      </c>
      <c r="X217" s="18"/>
      <c r="Y217" s="18">
        <v>6.1000000000000005</v>
      </c>
      <c r="Z217" s="18">
        <v>1.3000000000000003</v>
      </c>
      <c r="AA217" s="18">
        <v>0.1</v>
      </c>
      <c r="AB217" s="18">
        <v>0</v>
      </c>
      <c r="AC217" s="18">
        <v>14.500000000000002</v>
      </c>
      <c r="AD217" s="18">
        <v>2.7</v>
      </c>
      <c r="AE217" s="18">
        <v>1.1000000000000001</v>
      </c>
      <c r="AF217" s="18">
        <v>640</v>
      </c>
      <c r="AG217" s="18">
        <v>7</v>
      </c>
      <c r="AH217" s="18">
        <v>21.000000000000004</v>
      </c>
      <c r="AI217" s="18">
        <v>49</v>
      </c>
      <c r="AJ217" s="18">
        <v>0</v>
      </c>
      <c r="AK217" s="18">
        <v>0.19000000000000003</v>
      </c>
      <c r="AL217" s="18"/>
      <c r="AM217" s="18">
        <v>6.28</v>
      </c>
      <c r="AN217" s="18">
        <v>1.43</v>
      </c>
      <c r="AO217" s="18">
        <v>1.58</v>
      </c>
      <c r="AP217" s="18">
        <v>3.85</v>
      </c>
      <c r="AQ217" s="18">
        <v>1.1599999999999999</v>
      </c>
      <c r="AR217" s="18">
        <v>4.1399999999999997</v>
      </c>
      <c r="AS217" s="18">
        <v>6.47</v>
      </c>
      <c r="AT217" s="18">
        <v>2.56</v>
      </c>
      <c r="AU217" s="18">
        <v>4.13</v>
      </c>
      <c r="AV217" s="18">
        <v>3.91</v>
      </c>
      <c r="AW217" s="18">
        <v>4.66</v>
      </c>
      <c r="AX217" s="18"/>
      <c r="AY217" s="18">
        <v>1</v>
      </c>
      <c r="AZ217" s="18">
        <v>1</v>
      </c>
      <c r="BA217" s="18">
        <v>1</v>
      </c>
      <c r="BB217" s="18">
        <v>1</v>
      </c>
      <c r="BC217" s="18">
        <v>1</v>
      </c>
      <c r="BD217" s="18">
        <v>1</v>
      </c>
      <c r="BE217" s="18">
        <v>1</v>
      </c>
      <c r="BF217" s="18">
        <v>1</v>
      </c>
      <c r="BG217" s="18">
        <v>1</v>
      </c>
      <c r="BH217" s="18">
        <v>1</v>
      </c>
      <c r="BI217" s="18">
        <v>1</v>
      </c>
      <c r="BJ217" s="19"/>
      <c r="BK217" s="18">
        <v>10.600000000000001</v>
      </c>
      <c r="BL217" s="18">
        <v>2.2000000000000002</v>
      </c>
      <c r="BM217" s="18">
        <v>4.8999999999999995</v>
      </c>
      <c r="BN217" s="18">
        <v>40.500000000000007</v>
      </c>
      <c r="BO217" s="18"/>
      <c r="BP217" s="18">
        <v>130</v>
      </c>
      <c r="BQ217" s="18">
        <v>28.600000000000005</v>
      </c>
      <c r="BR217" s="18">
        <v>0.10900342624854804</v>
      </c>
      <c r="BS217" s="18">
        <v>0.33815546270872038</v>
      </c>
      <c r="BT217" s="19"/>
      <c r="BU217" s="18">
        <v>951.00000000000011</v>
      </c>
      <c r="BV217" s="18">
        <v>-150.67742857142809</v>
      </c>
      <c r="BW217" s="18">
        <v>540.71117316000004</v>
      </c>
      <c r="BX217" s="18">
        <v>7</v>
      </c>
      <c r="BY217" s="18">
        <v>19</v>
      </c>
      <c r="BZ217" s="18">
        <v>256.02410571428658</v>
      </c>
      <c r="CA217" s="18">
        <v>692.21332285714277</v>
      </c>
      <c r="CB217" s="19"/>
      <c r="CC217" s="19">
        <v>5.3435999999999995</v>
      </c>
      <c r="CD217" s="19">
        <v>1.1388</v>
      </c>
      <c r="CE217" s="19">
        <v>8.7599999999999997E-2</v>
      </c>
      <c r="CF217" s="19">
        <v>0</v>
      </c>
      <c r="CG217" s="19">
        <v>12.702</v>
      </c>
      <c r="CH217" s="19">
        <v>2.3651999999999997</v>
      </c>
      <c r="CI217" s="19">
        <v>0.96360000000000001</v>
      </c>
      <c r="CJ217" s="19"/>
      <c r="CK217" s="19">
        <v>560.63999999999987</v>
      </c>
      <c r="CL217" s="19">
        <v>6.1319999999999997</v>
      </c>
      <c r="CM217" s="19">
        <v>18.396000000000001</v>
      </c>
      <c r="CN217" s="19">
        <v>42.923999999999992</v>
      </c>
      <c r="CO217" s="19">
        <v>0</v>
      </c>
      <c r="CP217" s="19">
        <v>0.16644</v>
      </c>
      <c r="CQ217" s="19">
        <v>31.013904</v>
      </c>
      <c r="CR217" s="19">
        <v>324.79712994775326</v>
      </c>
      <c r="CS217" s="19">
        <v>20.397259760718903</v>
      </c>
      <c r="CT217" s="19">
        <v>4.6445989582528719</v>
      </c>
      <c r="CU217" s="19">
        <v>5.1317946531745013</v>
      </c>
      <c r="CV217" s="19">
        <v>9.7763936114273733</v>
      </c>
      <c r="CW217" s="19">
        <v>12.504689502988501</v>
      </c>
      <c r="CX217" s="19">
        <v>3.7676467073939377</v>
      </c>
      <c r="CY217" s="19">
        <v>13.446601179836984</v>
      </c>
      <c r="CZ217" s="19">
        <v>21.014374307619633</v>
      </c>
      <c r="DA217" s="19">
        <v>8.3148065266624833</v>
      </c>
      <c r="DB217" s="19">
        <v>13.414121466842209</v>
      </c>
      <c r="DC217" s="19">
        <v>12.699567780957153</v>
      </c>
      <c r="DD217" s="19">
        <v>26.113689247799361</v>
      </c>
      <c r="DE217" s="19">
        <v>15.135546255565302</v>
      </c>
      <c r="DF217" s="23">
        <v>0</v>
      </c>
      <c r="DG217" s="23">
        <v>0</v>
      </c>
      <c r="DH217" s="23">
        <v>0</v>
      </c>
      <c r="DI217" s="19">
        <v>0</v>
      </c>
      <c r="DJ217" s="19">
        <v>0</v>
      </c>
      <c r="DK217" s="19">
        <v>0</v>
      </c>
      <c r="DL217" s="19">
        <v>0</v>
      </c>
      <c r="DM217" s="19">
        <v>0</v>
      </c>
      <c r="DN217" s="19">
        <v>0</v>
      </c>
      <c r="DO217" s="19">
        <v>0</v>
      </c>
      <c r="DP217" s="19">
        <v>0</v>
      </c>
      <c r="DQ217" s="19">
        <v>0</v>
      </c>
      <c r="DR217" s="19">
        <v>0</v>
      </c>
      <c r="DS217" s="19">
        <v>0</v>
      </c>
      <c r="DT217" s="19">
        <v>0</v>
      </c>
      <c r="DU217" s="19">
        <v>0</v>
      </c>
      <c r="DV217" s="19">
        <v>0</v>
      </c>
      <c r="DW217" s="17" t="s">
        <v>633</v>
      </c>
      <c r="DX217" s="22">
        <v>3</v>
      </c>
      <c r="DY217" s="22">
        <v>3</v>
      </c>
      <c r="DZ217" s="22">
        <v>3</v>
      </c>
      <c r="EA217" s="22">
        <v>3</v>
      </c>
      <c r="EB217" s="22">
        <v>3</v>
      </c>
      <c r="EC217" s="22">
        <v>3</v>
      </c>
      <c r="ED217" s="22">
        <v>3</v>
      </c>
      <c r="EE217" s="22" t="s">
        <v>218</v>
      </c>
      <c r="EF217" s="22">
        <v>3</v>
      </c>
      <c r="EG217" s="22">
        <v>3</v>
      </c>
      <c r="EH217" s="22" t="s">
        <v>218</v>
      </c>
      <c r="EI217" s="22" t="s">
        <v>218</v>
      </c>
      <c r="EJ217" s="22" t="s">
        <v>218</v>
      </c>
      <c r="EK217" s="22" t="s">
        <v>218</v>
      </c>
      <c r="EL217" s="22" t="s">
        <v>218</v>
      </c>
      <c r="EM217" s="22" t="s">
        <v>218</v>
      </c>
      <c r="EN217" s="22" t="s">
        <v>218</v>
      </c>
      <c r="EO217" s="22" t="s">
        <v>218</v>
      </c>
      <c r="EP217" s="22" t="s">
        <v>218</v>
      </c>
      <c r="EQ217" s="22" t="s">
        <v>218</v>
      </c>
      <c r="ER217" s="22" t="s">
        <v>218</v>
      </c>
      <c r="ES217" s="22">
        <v>4</v>
      </c>
      <c r="ET217" s="22">
        <v>3</v>
      </c>
      <c r="EU217" s="22">
        <v>4</v>
      </c>
      <c r="EV217" s="22" t="s">
        <v>218</v>
      </c>
      <c r="EW217" s="22">
        <v>4</v>
      </c>
      <c r="EX217" s="22">
        <v>4</v>
      </c>
      <c r="EY217" s="22">
        <v>4</v>
      </c>
      <c r="EZ217" s="22">
        <v>4</v>
      </c>
      <c r="FA217" s="22">
        <v>4</v>
      </c>
      <c r="FB217" s="22">
        <v>4</v>
      </c>
      <c r="FC217" s="22" t="s">
        <v>218</v>
      </c>
      <c r="FD217" s="22" t="s">
        <v>218</v>
      </c>
      <c r="FE217" s="22" t="s">
        <v>218</v>
      </c>
      <c r="FF217" s="22">
        <v>0.3</v>
      </c>
      <c r="FG217" s="22">
        <v>0.1</v>
      </c>
      <c r="FH217" s="22">
        <v>0.1</v>
      </c>
      <c r="FI217" s="22">
        <v>0.2</v>
      </c>
      <c r="FJ217" s="22">
        <v>0.7</v>
      </c>
      <c r="FK217" s="22">
        <v>1.6</v>
      </c>
      <c r="FL217" s="22">
        <v>2.1</v>
      </c>
      <c r="FM217" s="22" t="s">
        <v>218</v>
      </c>
      <c r="FN217" s="22">
        <v>1.6</v>
      </c>
      <c r="FO217" s="22">
        <v>1.6</v>
      </c>
      <c r="FP217" s="22" t="s">
        <v>218</v>
      </c>
      <c r="FQ217" s="22" t="s">
        <v>218</v>
      </c>
      <c r="FR217" s="22" t="s">
        <v>218</v>
      </c>
      <c r="FS217" s="22" t="s">
        <v>218</v>
      </c>
      <c r="FT217" s="22" t="s">
        <v>218</v>
      </c>
      <c r="FU217" s="22" t="s">
        <v>218</v>
      </c>
      <c r="FV217" s="22" t="s">
        <v>218</v>
      </c>
      <c r="FW217" s="22" t="s">
        <v>218</v>
      </c>
      <c r="FX217" s="22" t="s">
        <v>218</v>
      </c>
      <c r="FY217" s="22" t="s">
        <v>218</v>
      </c>
      <c r="FZ217" s="22" t="s">
        <v>218</v>
      </c>
      <c r="GA217" s="22">
        <v>0.53</v>
      </c>
      <c r="GB217" s="22">
        <v>0.21</v>
      </c>
      <c r="GC217" s="22">
        <v>0.01</v>
      </c>
      <c r="GD217" s="22" t="s">
        <v>218</v>
      </c>
      <c r="GE217" s="22">
        <v>1.61</v>
      </c>
      <c r="GF217" s="22">
        <v>0.18</v>
      </c>
      <c r="GG217" s="22">
        <v>0.56000000000000005</v>
      </c>
      <c r="GH217" s="22">
        <v>237.5</v>
      </c>
      <c r="GI217" s="22">
        <v>2.13</v>
      </c>
      <c r="GJ217" s="22">
        <v>1.86</v>
      </c>
      <c r="GK217" s="22" t="s">
        <v>218</v>
      </c>
      <c r="GL217" s="22" t="s">
        <v>218</v>
      </c>
      <c r="GM217" s="22" t="s">
        <v>218</v>
      </c>
      <c r="GN217" s="22">
        <v>2016</v>
      </c>
      <c r="GO217" s="22">
        <v>2016</v>
      </c>
      <c r="GP217" s="22">
        <v>2016</v>
      </c>
      <c r="GQ217" s="22">
        <v>2016</v>
      </c>
      <c r="GR217" s="22">
        <v>2016</v>
      </c>
      <c r="GS217" s="22">
        <v>2016</v>
      </c>
      <c r="GT217" s="22">
        <v>2016</v>
      </c>
      <c r="GU217" s="22" t="s">
        <v>218</v>
      </c>
      <c r="GV217" s="22">
        <v>2016</v>
      </c>
      <c r="GW217" s="22">
        <v>2016</v>
      </c>
      <c r="GX217" s="22" t="s">
        <v>218</v>
      </c>
      <c r="GY217" s="22" t="s">
        <v>218</v>
      </c>
      <c r="GZ217" s="22" t="s">
        <v>218</v>
      </c>
      <c r="HA217" s="22" t="s">
        <v>218</v>
      </c>
      <c r="HB217" s="22" t="s">
        <v>218</v>
      </c>
      <c r="HC217" s="22" t="s">
        <v>218</v>
      </c>
      <c r="HD217" s="22" t="s">
        <v>218</v>
      </c>
      <c r="HE217" s="22" t="s">
        <v>218</v>
      </c>
      <c r="HF217" s="22" t="s">
        <v>218</v>
      </c>
      <c r="HG217" s="22" t="s">
        <v>218</v>
      </c>
      <c r="HH217" s="22" t="s">
        <v>218</v>
      </c>
      <c r="HI217" s="22">
        <v>2005</v>
      </c>
      <c r="HJ217" s="22">
        <v>2005</v>
      </c>
      <c r="HK217" s="22">
        <v>2005</v>
      </c>
      <c r="HL217" s="22" t="s">
        <v>218</v>
      </c>
      <c r="HM217" s="622">
        <f>'background data'!$G$18</f>
        <v>0.54099999999999993</v>
      </c>
      <c r="HN217" s="622">
        <f>'background data'!$H$18</f>
        <v>0.11600000000000001</v>
      </c>
      <c r="HO217" s="622">
        <f>'background data'!$J$18</f>
        <v>0.25</v>
      </c>
      <c r="HP217" s="622">
        <f>'background data'!$L$18</f>
        <v>1.2999999999999999E-2</v>
      </c>
      <c r="HQ217" s="622">
        <f>'background data'!$M$18</f>
        <v>8.86</v>
      </c>
      <c r="HR217" s="622">
        <f>'background data'!$N$18</f>
        <v>6.9299999999999995E-3</v>
      </c>
      <c r="HS217" s="622">
        <f>'background data'!$O$18</f>
        <v>1.75</v>
      </c>
      <c r="HT217" s="145" t="s">
        <v>1805</v>
      </c>
      <c r="HU217" s="145" t="s">
        <v>1809</v>
      </c>
      <c r="HV217" s="22" t="s">
        <v>1978</v>
      </c>
      <c r="HW217" s="22" t="s">
        <v>619</v>
      </c>
      <c r="HX217" s="22">
        <v>0</v>
      </c>
      <c r="HY217" s="22">
        <v>0</v>
      </c>
      <c r="HZ217" s="19"/>
      <c r="IA217" s="19"/>
      <c r="IB217" s="622">
        <f>'background data'!$G$18</f>
        <v>0.54099999999999993</v>
      </c>
      <c r="IC217" s="622">
        <f>'background data'!$H$18</f>
        <v>0.11600000000000001</v>
      </c>
      <c r="ID217" s="622">
        <f>'background data'!$J$18</f>
        <v>0.25</v>
      </c>
      <c r="IE217" s="622">
        <f>'background data'!$L$18</f>
        <v>1.2999999999999999E-2</v>
      </c>
      <c r="IF217" s="622">
        <f>'background data'!$M$18</f>
        <v>8.86</v>
      </c>
      <c r="IG217" s="622">
        <f>'background data'!$N$18</f>
        <v>6.9299999999999995E-3</v>
      </c>
      <c r="IH217" s="622">
        <f>'background data'!$O$18</f>
        <v>1.75</v>
      </c>
      <c r="II217" s="145" t="s">
        <v>1805</v>
      </c>
      <c r="IJ217" s="145"/>
      <c r="IK217" s="145"/>
      <c r="IL217" s="145"/>
      <c r="IM217" s="145"/>
      <c r="IN217" s="145"/>
      <c r="IO217" s="145"/>
      <c r="IP217" s="145"/>
      <c r="IQ217" s="145"/>
      <c r="IR217" s="145"/>
      <c r="IS217" s="145"/>
      <c r="IT217" s="145"/>
      <c r="IU217" s="145"/>
      <c r="IV217" s="145"/>
      <c r="IW217" s="145"/>
      <c r="IX217" s="145"/>
      <c r="IY217" s="145"/>
      <c r="IZ217" s="145"/>
      <c r="JA217" s="145"/>
      <c r="JB217" s="145"/>
      <c r="JC217" s="145"/>
      <c r="JD217" s="145"/>
      <c r="JE217" s="145"/>
      <c r="JF217" s="145"/>
      <c r="JG217" s="145"/>
      <c r="JH217" s="145"/>
      <c r="JI217" s="145"/>
      <c r="JJ217" s="145"/>
      <c r="JK217" s="145"/>
      <c r="JL217" s="145"/>
      <c r="JM217" s="145"/>
      <c r="JN217" s="145"/>
      <c r="JO217" s="145"/>
      <c r="JP217" s="145"/>
      <c r="JQ217" s="145"/>
      <c r="JR217" s="145"/>
      <c r="JS217" s="145"/>
      <c r="JT217" s="145"/>
      <c r="JU217" s="145"/>
      <c r="JV217" s="145"/>
      <c r="JW217" s="145"/>
      <c r="JX217" s="145"/>
      <c r="JY217" s="145"/>
      <c r="JZ217" s="145"/>
      <c r="KA217" s="145"/>
      <c r="KB217" s="145"/>
      <c r="KC217" s="145"/>
      <c r="KD217" s="145"/>
      <c r="KE217" s="145"/>
      <c r="KF217" s="145"/>
      <c r="KG217" s="145"/>
      <c r="KH217" s="145"/>
      <c r="KI217" s="145"/>
      <c r="KJ217" s="145"/>
      <c r="KK217" s="145"/>
      <c r="KL217" s="145"/>
      <c r="KM217" s="145"/>
      <c r="KN217" s="145"/>
      <c r="KO217" s="145"/>
      <c r="KP217" s="145"/>
      <c r="KQ217" s="145"/>
      <c r="KR217" s="145"/>
      <c r="KS217" s="145"/>
      <c r="KT217" s="145"/>
      <c r="KU217" s="145"/>
      <c r="KV217" s="145"/>
      <c r="KW217" s="145"/>
      <c r="KX217" s="145"/>
      <c r="KY217" s="145"/>
      <c r="KZ217" s="145"/>
      <c r="LA217" s="145"/>
      <c r="LB217" s="145"/>
      <c r="LC217" s="145"/>
      <c r="LD217" s="145"/>
      <c r="LE217" s="145"/>
      <c r="LF217" s="145"/>
      <c r="LG217" s="145"/>
      <c r="LH217" s="145"/>
      <c r="LI217" s="145"/>
      <c r="LJ217" s="145"/>
      <c r="LK217" s="145"/>
      <c r="LL217" s="145"/>
      <c r="LM217" s="145"/>
      <c r="LN217" s="145"/>
      <c r="LO217" s="145"/>
      <c r="LP217" s="145"/>
      <c r="LQ217" s="145"/>
      <c r="LR217" s="145"/>
      <c r="LS217" s="145"/>
      <c r="LT217" s="145"/>
      <c r="LU217" s="145"/>
      <c r="LV217" s="145"/>
      <c r="LW217" s="145"/>
      <c r="LX217" s="145"/>
      <c r="LY217" s="145"/>
      <c r="LZ217" s="145"/>
      <c r="MA217" s="145"/>
      <c r="MB217" s="145"/>
      <c r="MC217" s="145"/>
      <c r="MD217" s="145"/>
      <c r="ME217" s="145"/>
      <c r="MF217" s="145"/>
      <c r="MG217" s="145"/>
      <c r="MH217" s="145"/>
      <c r="MI217" s="145"/>
      <c r="MJ217" s="145"/>
      <c r="MK217" s="145"/>
      <c r="ML217" s="145"/>
      <c r="MM217" s="145"/>
      <c r="MN217" s="145"/>
      <c r="MO217" s="145"/>
      <c r="MP217" s="145"/>
      <c r="MQ217" s="145"/>
      <c r="MR217" s="145"/>
      <c r="MS217" s="145"/>
      <c r="MT217" s="145"/>
      <c r="MU217" s="145"/>
      <c r="MV217" s="145"/>
      <c r="MW217" s="145"/>
      <c r="MX217" s="145"/>
      <c r="MY217" s="145"/>
      <c r="MZ217" s="145"/>
      <c r="NA217" s="145"/>
      <c r="NB217" s="145"/>
      <c r="NC217" s="145"/>
      <c r="ND217" s="145"/>
      <c r="NE217" s="145"/>
      <c r="NF217" s="145"/>
      <c r="NG217" s="145"/>
      <c r="NH217" s="145"/>
      <c r="NI217" s="145"/>
      <c r="NJ217" s="145"/>
      <c r="NK217" s="145"/>
      <c r="NL217" s="145"/>
      <c r="NM217" s="145"/>
      <c r="NN217" s="145"/>
      <c r="NO217" s="145"/>
      <c r="NP217" s="145"/>
      <c r="NQ217" s="145"/>
      <c r="NR217" s="145"/>
      <c r="NS217" s="145"/>
    </row>
    <row r="218" spans="1:383" s="16" customFormat="1" ht="15" customHeight="1" x14ac:dyDescent="0.2">
      <c r="A218" s="15">
        <v>61200</v>
      </c>
      <c r="B218" s="25">
        <v>612</v>
      </c>
      <c r="C218" s="26">
        <v>0</v>
      </c>
      <c r="D218" s="20" t="s">
        <v>634</v>
      </c>
      <c r="E218" s="14">
        <v>42685</v>
      </c>
      <c r="F218" s="18">
        <v>0.94752421466651204</v>
      </c>
      <c r="G218" s="18">
        <v>0.96603625264222304</v>
      </c>
      <c r="H218" s="21">
        <v>94.5</v>
      </c>
      <c r="I218" s="21">
        <v>78.1999785</v>
      </c>
      <c r="J218" s="21">
        <v>96</v>
      </c>
      <c r="K218" s="18">
        <v>1</v>
      </c>
      <c r="L218" s="18">
        <v>87.3</v>
      </c>
      <c r="M218" s="18">
        <v>45.806310000000003</v>
      </c>
      <c r="N218" s="18">
        <v>2.6190000000000002</v>
      </c>
      <c r="O218" s="18">
        <v>6.9578100000000003</v>
      </c>
      <c r="P218" s="18">
        <v>3.6753300000000002</v>
      </c>
      <c r="Q218" s="19"/>
      <c r="R218" s="18">
        <v>89.5</v>
      </c>
      <c r="S218" s="18">
        <v>39</v>
      </c>
      <c r="T218" s="18">
        <v>51</v>
      </c>
      <c r="U218" s="18">
        <v>56</v>
      </c>
      <c r="V218" s="18">
        <v>60</v>
      </c>
      <c r="W218" s="18">
        <v>63</v>
      </c>
      <c r="X218" s="18"/>
      <c r="Y218" s="18">
        <v>3.734249713631157</v>
      </c>
      <c r="Z218" s="18">
        <v>7.1706758304696452</v>
      </c>
      <c r="AA218" s="18">
        <v>0.1</v>
      </c>
      <c r="AB218" s="18">
        <v>0</v>
      </c>
      <c r="AC218" s="18">
        <v>24.000000000000004</v>
      </c>
      <c r="AD218" s="18">
        <v>3.3</v>
      </c>
      <c r="AE218" s="18">
        <v>3.8000000000000003</v>
      </c>
      <c r="AF218" s="18">
        <v>212</v>
      </c>
      <c r="AG218" s="18">
        <v>14.000000000000002</v>
      </c>
      <c r="AH218" s="18">
        <v>49</v>
      </c>
      <c r="AI218" s="18">
        <v>51.000000000000007</v>
      </c>
      <c r="AJ218" s="18">
        <v>0</v>
      </c>
      <c r="AK218" s="18">
        <v>0.2</v>
      </c>
      <c r="AL218" s="18"/>
      <c r="AM218" s="18">
        <v>6.29</v>
      </c>
      <c r="AN218" s="18">
        <v>1.36</v>
      </c>
      <c r="AO218" s="18">
        <v>1.43</v>
      </c>
      <c r="AP218" s="18">
        <v>4.0599999999999996</v>
      </c>
      <c r="AQ218" s="18">
        <v>1.38</v>
      </c>
      <c r="AR218" s="18">
        <v>4.3499999999999996</v>
      </c>
      <c r="AS218" s="18">
        <v>7.81</v>
      </c>
      <c r="AT218" s="18">
        <v>2.68</v>
      </c>
      <c r="AU218" s="18">
        <v>5.1100000000000003</v>
      </c>
      <c r="AV218" s="18">
        <v>3.65</v>
      </c>
      <c r="AW218" s="18">
        <v>4.79</v>
      </c>
      <c r="AX218" s="18"/>
      <c r="AY218" s="18">
        <v>1.01</v>
      </c>
      <c r="AZ218" s="18">
        <v>1.04</v>
      </c>
      <c r="BA218" s="18">
        <v>0.94</v>
      </c>
      <c r="BB218" s="18">
        <v>0.98</v>
      </c>
      <c r="BC218" s="18">
        <v>1.03</v>
      </c>
      <c r="BD218" s="18">
        <v>1.01</v>
      </c>
      <c r="BE218" s="18">
        <v>1.01</v>
      </c>
      <c r="BF218" s="18">
        <v>1.02</v>
      </c>
      <c r="BG218" s="18">
        <v>1.01</v>
      </c>
      <c r="BH218" s="18">
        <v>1.01</v>
      </c>
      <c r="BI218" s="18">
        <v>0.99</v>
      </c>
      <c r="BJ218" s="19"/>
      <c r="BK218" s="18">
        <v>52.470000000000006</v>
      </c>
      <c r="BL218" s="18">
        <v>3.0000000000000004</v>
      </c>
      <c r="BM218" s="18">
        <v>7.9700000000000006</v>
      </c>
      <c r="BN218" s="18">
        <v>4.21</v>
      </c>
      <c r="BO218" s="18"/>
      <c r="BP218" s="18">
        <v>130</v>
      </c>
      <c r="BQ218" s="18">
        <v>39</v>
      </c>
      <c r="BR218" s="18">
        <v>1.0853656525389599</v>
      </c>
      <c r="BS218" s="18">
        <v>1.1065707361308397</v>
      </c>
      <c r="BT218" s="19"/>
      <c r="BU218" s="18">
        <v>920.30000000000007</v>
      </c>
      <c r="BV218" s="18">
        <v>148.80778876500003</v>
      </c>
      <c r="BW218" s="18">
        <v>214.29871123499998</v>
      </c>
      <c r="BX218" s="18">
        <v>64.772727272727266</v>
      </c>
      <c r="BY218" s="18">
        <v>109.09090909090895</v>
      </c>
      <c r="BZ218" s="18">
        <v>65.617347033450059</v>
      </c>
      <c r="CA218" s="18">
        <v>177.40986420154985</v>
      </c>
      <c r="CB218" s="19"/>
      <c r="CC218" s="19">
        <v>3.2600000000000002</v>
      </c>
      <c r="CD218" s="19">
        <v>6.2600000000000007</v>
      </c>
      <c r="CE218" s="19">
        <v>8.7300000000000003E-2</v>
      </c>
      <c r="CF218" s="19">
        <v>0</v>
      </c>
      <c r="CG218" s="19">
        <v>20.952000000000002</v>
      </c>
      <c r="CH218" s="19">
        <v>2.8809</v>
      </c>
      <c r="CI218" s="19">
        <v>3.3174000000000001</v>
      </c>
      <c r="CJ218" s="19"/>
      <c r="CK218" s="19">
        <v>185.07599999999999</v>
      </c>
      <c r="CL218" s="19">
        <v>12.222000000000001</v>
      </c>
      <c r="CM218" s="19">
        <v>42.777000000000001</v>
      </c>
      <c r="CN218" s="19">
        <v>44.523000000000003</v>
      </c>
      <c r="CO218" s="19">
        <v>0</v>
      </c>
      <c r="CP218" s="19">
        <v>0.17460000000000001</v>
      </c>
      <c r="CQ218" s="19">
        <v>409.9664745</v>
      </c>
      <c r="CR218" s="19">
        <v>432.67123747786292</v>
      </c>
      <c r="CS218" s="19">
        <v>27.487171045731152</v>
      </c>
      <c r="CT218" s="19">
        <v>6.1197019828868928</v>
      </c>
      <c r="CU218" s="19">
        <v>5.8159667741774337</v>
      </c>
      <c r="CV218" s="19">
        <v>11.935668757064327</v>
      </c>
      <c r="CW218" s="19">
        <v>17.215123196769209</v>
      </c>
      <c r="CX218" s="19">
        <v>6.1499889695103436</v>
      </c>
      <c r="CY218" s="19">
        <v>19.009410818589906</v>
      </c>
      <c r="CZ218" s="19">
        <v>34.129539883491304</v>
      </c>
      <c r="DA218" s="19">
        <v>11.82750094769486</v>
      </c>
      <c r="DB218" s="19">
        <v>22.330595237469982</v>
      </c>
      <c r="DC218" s="19">
        <v>15.950425169621417</v>
      </c>
      <c r="DD218" s="19">
        <v>38.281020407091404</v>
      </c>
      <c r="DE218" s="19">
        <v>20.517702752437735</v>
      </c>
      <c r="DF218" s="23">
        <v>0</v>
      </c>
      <c r="DG218" s="23">
        <v>0</v>
      </c>
      <c r="DH218" s="23">
        <v>0</v>
      </c>
      <c r="DI218" s="19">
        <v>0</v>
      </c>
      <c r="DJ218" s="19">
        <v>0</v>
      </c>
      <c r="DK218" s="19">
        <v>0</v>
      </c>
      <c r="DL218" s="19">
        <v>0</v>
      </c>
      <c r="DM218" s="19">
        <v>0</v>
      </c>
      <c r="DN218" s="19">
        <v>0</v>
      </c>
      <c r="DO218" s="19">
        <v>0</v>
      </c>
      <c r="DP218" s="19">
        <v>0</v>
      </c>
      <c r="DQ218" s="19">
        <v>0</v>
      </c>
      <c r="DR218" s="19">
        <v>0</v>
      </c>
      <c r="DS218" s="19">
        <v>0</v>
      </c>
      <c r="DT218" s="19">
        <v>0</v>
      </c>
      <c r="DU218" s="19">
        <v>0</v>
      </c>
      <c r="DV218" s="19">
        <v>0</v>
      </c>
      <c r="DW218" s="17" t="s">
        <v>635</v>
      </c>
      <c r="DX218" s="22">
        <v>21</v>
      </c>
      <c r="DY218" s="22">
        <v>21</v>
      </c>
      <c r="DZ218" s="22">
        <v>21</v>
      </c>
      <c r="EA218" s="22">
        <v>21</v>
      </c>
      <c r="EB218" s="22">
        <v>21</v>
      </c>
      <c r="EC218" s="22">
        <v>21</v>
      </c>
      <c r="ED218" s="22">
        <v>21</v>
      </c>
      <c r="EE218" s="22" t="s">
        <v>218</v>
      </c>
      <c r="EF218" s="22">
        <v>21</v>
      </c>
      <c r="EG218" s="22">
        <v>21</v>
      </c>
      <c r="EH218" s="22">
        <v>19</v>
      </c>
      <c r="EI218" s="22">
        <v>19</v>
      </c>
      <c r="EJ218" s="22">
        <v>19</v>
      </c>
      <c r="EK218" s="22">
        <v>19</v>
      </c>
      <c r="EL218" s="22">
        <v>19</v>
      </c>
      <c r="EM218" s="22">
        <v>19</v>
      </c>
      <c r="EN218" s="22">
        <v>19</v>
      </c>
      <c r="EO218" s="22">
        <v>19</v>
      </c>
      <c r="EP218" s="22">
        <v>19</v>
      </c>
      <c r="EQ218" s="22">
        <v>19</v>
      </c>
      <c r="ER218" s="22">
        <v>19</v>
      </c>
      <c r="ES218" s="22">
        <v>12</v>
      </c>
      <c r="ET218" s="22">
        <v>12</v>
      </c>
      <c r="EU218" s="22">
        <v>12</v>
      </c>
      <c r="EV218" s="22" t="s">
        <v>218</v>
      </c>
      <c r="EW218" s="22">
        <v>12</v>
      </c>
      <c r="EX218" s="22">
        <v>12</v>
      </c>
      <c r="EY218" s="22">
        <v>6</v>
      </c>
      <c r="EZ218" s="22">
        <v>12</v>
      </c>
      <c r="FA218" s="22">
        <v>12</v>
      </c>
      <c r="FB218" s="22">
        <v>12</v>
      </c>
      <c r="FC218" s="22">
        <v>12</v>
      </c>
      <c r="FD218" s="22" t="s">
        <v>218</v>
      </c>
      <c r="FE218" s="22">
        <v>6</v>
      </c>
      <c r="FF218" s="22">
        <v>0.8</v>
      </c>
      <c r="FG218" s="22">
        <v>0.9</v>
      </c>
      <c r="FH218" s="22">
        <v>0.4</v>
      </c>
      <c r="FI218" s="22">
        <v>0.4</v>
      </c>
      <c r="FJ218" s="22">
        <v>0.7</v>
      </c>
      <c r="FK218" s="22">
        <v>1</v>
      </c>
      <c r="FL218" s="22">
        <v>0.95</v>
      </c>
      <c r="FM218" s="22" t="s">
        <v>218</v>
      </c>
      <c r="FN218" s="22">
        <v>1.7</v>
      </c>
      <c r="FO218" s="22">
        <v>1.6</v>
      </c>
      <c r="FP218" s="22">
        <v>0.82</v>
      </c>
      <c r="FQ218" s="22">
        <v>0.17</v>
      </c>
      <c r="FR218" s="22">
        <v>0.32</v>
      </c>
      <c r="FS218" s="22">
        <v>0.5</v>
      </c>
      <c r="FT218" s="22">
        <v>0.16</v>
      </c>
      <c r="FU218" s="22">
        <v>0.67</v>
      </c>
      <c r="FV218" s="22">
        <v>1</v>
      </c>
      <c r="FW218" s="22">
        <v>0.32</v>
      </c>
      <c r="FX218" s="22">
        <v>0.87</v>
      </c>
      <c r="FY218" s="22">
        <v>1.1399999999999999</v>
      </c>
      <c r="FZ218" s="22">
        <v>0.71</v>
      </c>
      <c r="GA218" s="22">
        <v>0.87</v>
      </c>
      <c r="GB218" s="22">
        <v>0.32</v>
      </c>
      <c r="GC218" s="22">
        <v>7.0000000000000007E-2</v>
      </c>
      <c r="GD218" s="22" t="s">
        <v>218</v>
      </c>
      <c r="GE218" s="22">
        <v>1.65</v>
      </c>
      <c r="GF218" s="22">
        <v>0.38</v>
      </c>
      <c r="GG218" s="22">
        <v>0.08</v>
      </c>
      <c r="GH218" s="22">
        <v>20</v>
      </c>
      <c r="GI218" s="22">
        <v>0.67</v>
      </c>
      <c r="GJ218" s="22">
        <v>2.78</v>
      </c>
      <c r="GK218" s="22">
        <v>4.17</v>
      </c>
      <c r="GL218" s="22" t="s">
        <v>218</v>
      </c>
      <c r="GM218" s="22">
        <v>0.06</v>
      </c>
      <c r="GN218" s="22">
        <v>2016</v>
      </c>
      <c r="GO218" s="22">
        <v>2016</v>
      </c>
      <c r="GP218" s="22">
        <v>2016</v>
      </c>
      <c r="GQ218" s="22">
        <v>2016</v>
      </c>
      <c r="GR218" s="22">
        <v>2016</v>
      </c>
      <c r="GS218" s="22">
        <v>2016</v>
      </c>
      <c r="GT218" s="22">
        <v>2016</v>
      </c>
      <c r="GU218" s="22" t="s">
        <v>218</v>
      </c>
      <c r="GV218" s="22">
        <v>2016</v>
      </c>
      <c r="GW218" s="22">
        <v>2016</v>
      </c>
      <c r="GX218" s="22">
        <v>2016</v>
      </c>
      <c r="GY218" s="22">
        <v>2016</v>
      </c>
      <c r="GZ218" s="22">
        <v>2016</v>
      </c>
      <c r="HA218" s="22">
        <v>2016</v>
      </c>
      <c r="HB218" s="22">
        <v>2016</v>
      </c>
      <c r="HC218" s="22">
        <v>2016</v>
      </c>
      <c r="HD218" s="22">
        <v>2016</v>
      </c>
      <c r="HE218" s="22">
        <v>2016</v>
      </c>
      <c r="HF218" s="22">
        <v>2016</v>
      </c>
      <c r="HG218" s="22">
        <v>2016</v>
      </c>
      <c r="HH218" s="22">
        <v>2016</v>
      </c>
      <c r="HI218" s="22">
        <v>2013</v>
      </c>
      <c r="HJ218" s="22">
        <v>2013</v>
      </c>
      <c r="HK218" s="22">
        <v>2011</v>
      </c>
      <c r="HL218" s="22" t="s">
        <v>218</v>
      </c>
      <c r="HM218" s="622">
        <f>'background data'!$G$18</f>
        <v>0.54099999999999993</v>
      </c>
      <c r="HN218" s="622">
        <f>'background data'!$H$18</f>
        <v>0.11600000000000001</v>
      </c>
      <c r="HO218" s="622">
        <f>'background data'!$J$18</f>
        <v>0.25</v>
      </c>
      <c r="HP218" s="622">
        <f>'background data'!$L$18</f>
        <v>1.2999999999999999E-2</v>
      </c>
      <c r="HQ218" s="622">
        <f>'background data'!$M$18</f>
        <v>8.86</v>
      </c>
      <c r="HR218" s="622">
        <f>'background data'!$N$18</f>
        <v>6.9299999999999995E-3</v>
      </c>
      <c r="HS218" s="622">
        <f>'background data'!$O$18</f>
        <v>1.75</v>
      </c>
      <c r="HT218" s="145" t="s">
        <v>1805</v>
      </c>
      <c r="HU218" s="145" t="s">
        <v>1809</v>
      </c>
      <c r="HV218" s="22" t="s">
        <v>1979</v>
      </c>
      <c r="HW218" s="22" t="s">
        <v>636</v>
      </c>
      <c r="HX218" s="22" t="s">
        <v>637</v>
      </c>
      <c r="HY218" s="22" t="s">
        <v>638</v>
      </c>
      <c r="HZ218" s="19"/>
      <c r="IA218" s="19"/>
      <c r="IB218" s="622">
        <f>'background data'!$G$18</f>
        <v>0.54099999999999993</v>
      </c>
      <c r="IC218" s="622">
        <f>'background data'!$H$18</f>
        <v>0.11600000000000001</v>
      </c>
      <c r="ID218" s="622">
        <f>'background data'!$J$18</f>
        <v>0.25</v>
      </c>
      <c r="IE218" s="622">
        <f>'background data'!$L$18</f>
        <v>1.2999999999999999E-2</v>
      </c>
      <c r="IF218" s="622">
        <f>'background data'!$M$18</f>
        <v>8.86</v>
      </c>
      <c r="IG218" s="622">
        <f>'background data'!$N$18</f>
        <v>6.9299999999999995E-3</v>
      </c>
      <c r="IH218" s="622">
        <f>'background data'!$O$18</f>
        <v>1.75</v>
      </c>
      <c r="II218" s="145" t="s">
        <v>1805</v>
      </c>
      <c r="IJ218" s="145"/>
      <c r="IK218" s="145"/>
      <c r="IL218" s="145"/>
      <c r="IM218" s="145"/>
      <c r="IN218" s="145"/>
      <c r="IO218" s="145"/>
      <c r="IP218" s="145"/>
      <c r="IQ218" s="145"/>
      <c r="IR218" s="145"/>
      <c r="IS218" s="145"/>
      <c r="IT218" s="145"/>
      <c r="IU218" s="145"/>
      <c r="IV218" s="145"/>
      <c r="IW218" s="145"/>
      <c r="IX218" s="145"/>
      <c r="IY218" s="145"/>
      <c r="IZ218" s="145"/>
      <c r="JA218" s="145"/>
      <c r="JB218" s="145"/>
      <c r="JC218" s="145"/>
      <c r="JD218" s="145"/>
      <c r="JE218" s="145"/>
      <c r="JF218" s="145"/>
      <c r="JG218" s="145"/>
      <c r="JH218" s="145"/>
      <c r="JI218" s="145"/>
      <c r="JJ218" s="145"/>
      <c r="JK218" s="145"/>
      <c r="JL218" s="145"/>
      <c r="JM218" s="145"/>
      <c r="JN218" s="145"/>
      <c r="JO218" s="145"/>
      <c r="JP218" s="145"/>
      <c r="JQ218" s="145"/>
      <c r="JR218" s="145"/>
      <c r="JS218" s="145"/>
      <c r="JT218" s="145"/>
      <c r="JU218" s="145"/>
      <c r="JV218" s="145"/>
      <c r="JW218" s="145"/>
      <c r="JX218" s="145"/>
      <c r="JY218" s="145"/>
      <c r="JZ218" s="145"/>
      <c r="KA218" s="145"/>
      <c r="KB218" s="145"/>
      <c r="KC218" s="145"/>
      <c r="KD218" s="145"/>
      <c r="KE218" s="145"/>
      <c r="KF218" s="145"/>
      <c r="KG218" s="145"/>
      <c r="KH218" s="145"/>
      <c r="KI218" s="145"/>
      <c r="KJ218" s="145"/>
      <c r="KK218" s="145"/>
      <c r="KL218" s="145"/>
      <c r="KM218" s="145"/>
      <c r="KN218" s="145"/>
      <c r="KO218" s="145"/>
      <c r="KP218" s="145"/>
      <c r="KQ218" s="145"/>
      <c r="KR218" s="145"/>
      <c r="KS218" s="145"/>
      <c r="KT218" s="145"/>
      <c r="KU218" s="145"/>
      <c r="KV218" s="145"/>
      <c r="KW218" s="145"/>
      <c r="KX218" s="145"/>
      <c r="KY218" s="145"/>
      <c r="KZ218" s="145"/>
      <c r="LA218" s="145"/>
      <c r="LB218" s="145"/>
      <c r="LC218" s="145"/>
      <c r="LD218" s="145"/>
      <c r="LE218" s="145"/>
      <c r="LF218" s="145"/>
      <c r="LG218" s="145"/>
      <c r="LH218" s="145"/>
      <c r="LI218" s="145"/>
      <c r="LJ218" s="145"/>
      <c r="LK218" s="145"/>
      <c r="LL218" s="145"/>
      <c r="LM218" s="145"/>
      <c r="LN218" s="145"/>
      <c r="LO218" s="145"/>
      <c r="LP218" s="145"/>
      <c r="LQ218" s="145"/>
      <c r="LR218" s="145"/>
      <c r="LS218" s="145"/>
      <c r="LT218" s="145"/>
      <c r="LU218" s="145"/>
      <c r="LV218" s="145"/>
      <c r="LW218" s="145"/>
      <c r="LX218" s="145"/>
      <c r="LY218" s="145"/>
      <c r="LZ218" s="145"/>
      <c r="MA218" s="145"/>
      <c r="MB218" s="145"/>
      <c r="MC218" s="145"/>
      <c r="MD218" s="145"/>
      <c r="ME218" s="145"/>
      <c r="MF218" s="145"/>
      <c r="MG218" s="145"/>
      <c r="MH218" s="145"/>
      <c r="MI218" s="145"/>
      <c r="MJ218" s="145"/>
      <c r="MK218" s="145"/>
      <c r="ML218" s="145"/>
      <c r="MM218" s="145"/>
      <c r="MN218" s="145"/>
      <c r="MO218" s="145"/>
      <c r="MP218" s="145"/>
      <c r="MQ218" s="145"/>
      <c r="MR218" s="145"/>
      <c r="MS218" s="145"/>
      <c r="MT218" s="145"/>
      <c r="MU218" s="145"/>
      <c r="MV218" s="145"/>
      <c r="MW218" s="145"/>
      <c r="MX218" s="145"/>
      <c r="MY218" s="145"/>
      <c r="MZ218" s="145"/>
      <c r="NA218" s="145"/>
      <c r="NB218" s="145"/>
      <c r="NC218" s="145"/>
      <c r="ND218" s="145"/>
      <c r="NE218" s="145"/>
      <c r="NF218" s="145"/>
      <c r="NG218" s="145"/>
      <c r="NH218" s="145"/>
      <c r="NI218" s="145"/>
      <c r="NJ218" s="145"/>
      <c r="NK218" s="145"/>
      <c r="NL218" s="145"/>
      <c r="NM218" s="145"/>
      <c r="NN218" s="145"/>
      <c r="NO218" s="145"/>
      <c r="NP218" s="145"/>
      <c r="NQ218" s="145"/>
      <c r="NR218" s="145"/>
      <c r="NS218" s="145"/>
    </row>
    <row r="219" spans="1:383" s="16" customFormat="1" ht="15" customHeight="1" x14ac:dyDescent="0.2">
      <c r="A219" s="15">
        <v>61340</v>
      </c>
      <c r="B219" s="25">
        <v>613</v>
      </c>
      <c r="C219" s="26">
        <v>40</v>
      </c>
      <c r="D219" s="20" t="s">
        <v>639</v>
      </c>
      <c r="E219" s="14">
        <v>42698</v>
      </c>
      <c r="F219" s="18">
        <v>1.0647422014518</v>
      </c>
      <c r="G219" s="18">
        <v>1.0793465981788499</v>
      </c>
      <c r="H219" s="21">
        <v>94.1</v>
      </c>
      <c r="I219" s="21">
        <v>79.7</v>
      </c>
      <c r="J219" s="21">
        <v>96</v>
      </c>
      <c r="K219" s="18">
        <v>1</v>
      </c>
      <c r="L219" s="18">
        <v>95.8</v>
      </c>
      <c r="M219" s="18">
        <v>52.4026</v>
      </c>
      <c r="N219" s="18">
        <v>2.6823999999999999</v>
      </c>
      <c r="O219" s="18">
        <v>6.4185999999999996</v>
      </c>
      <c r="P219" s="18">
        <v>3.2572000000000001</v>
      </c>
      <c r="Q219" s="19"/>
      <c r="R219" s="18">
        <v>87.5</v>
      </c>
      <c r="S219" s="18">
        <v>39</v>
      </c>
      <c r="T219" s="18">
        <v>51</v>
      </c>
      <c r="U219" s="18">
        <v>56</v>
      </c>
      <c r="V219" s="18">
        <v>60</v>
      </c>
      <c r="W219" s="18">
        <v>63</v>
      </c>
      <c r="X219" s="18"/>
      <c r="Y219" s="18">
        <v>3.1</v>
      </c>
      <c r="Z219" s="18">
        <v>7.0000000000000009</v>
      </c>
      <c r="AA219" s="18">
        <v>0.1</v>
      </c>
      <c r="AB219" s="18" t="s">
        <v>217</v>
      </c>
      <c r="AC219" s="18">
        <v>24.5</v>
      </c>
      <c r="AD219" s="18">
        <v>3.6</v>
      </c>
      <c r="AE219" s="18">
        <v>3.8999999999999995</v>
      </c>
      <c r="AF219" s="18">
        <v>169.5</v>
      </c>
      <c r="AG219" s="18">
        <v>12.4</v>
      </c>
      <c r="AH219" s="18">
        <v>31.900000000000002</v>
      </c>
      <c r="AI219" s="18">
        <v>64.2</v>
      </c>
      <c r="AJ219" s="18">
        <v>0</v>
      </c>
      <c r="AK219" s="18">
        <v>0</v>
      </c>
      <c r="AL219" s="18"/>
      <c r="AM219" s="18">
        <v>6.0329067641681897</v>
      </c>
      <c r="AN219" s="18">
        <v>1.31627056672761</v>
      </c>
      <c r="AO219" s="18">
        <v>1.3711151736745899</v>
      </c>
      <c r="AP219" s="18">
        <v>3.93053016453382</v>
      </c>
      <c r="AQ219" s="18">
        <v>1.3345521023766</v>
      </c>
      <c r="AR219" s="18">
        <v>4.5703839122486301</v>
      </c>
      <c r="AS219" s="18">
        <v>7.7513711151736704</v>
      </c>
      <c r="AT219" s="18">
        <v>2.5594149908592301</v>
      </c>
      <c r="AU219" s="18">
        <v>5.15539305301645</v>
      </c>
      <c r="AV219" s="18">
        <v>3.7842778793418601</v>
      </c>
      <c r="AW219" s="18">
        <v>4.6983546617915897</v>
      </c>
      <c r="AX219" s="18"/>
      <c r="AY219" s="18">
        <v>1</v>
      </c>
      <c r="AZ219" s="18">
        <v>1.05</v>
      </c>
      <c r="BA219" s="18">
        <v>0.92</v>
      </c>
      <c r="BB219" s="18">
        <v>0.99</v>
      </c>
      <c r="BC219" s="18">
        <v>1.06</v>
      </c>
      <c r="BD219" s="18">
        <v>1.05</v>
      </c>
      <c r="BE219" s="18">
        <v>1.04</v>
      </c>
      <c r="BF219" s="18">
        <v>1.05</v>
      </c>
      <c r="BG219" s="18">
        <v>1.06</v>
      </c>
      <c r="BH219" s="18">
        <v>1.06</v>
      </c>
      <c r="BI219" s="18">
        <v>1</v>
      </c>
      <c r="BJ219" s="19"/>
      <c r="BK219" s="18">
        <v>54.7</v>
      </c>
      <c r="BL219" s="18">
        <v>2.8000000000000003</v>
      </c>
      <c r="BM219" s="18">
        <v>6.7</v>
      </c>
      <c r="BN219" s="18">
        <v>3.4000000000000004</v>
      </c>
      <c r="BO219" s="18"/>
      <c r="BP219" s="18">
        <v>130</v>
      </c>
      <c r="BQ219" s="18">
        <v>36.400000000000006</v>
      </c>
      <c r="BR219" s="18">
        <v>1.1114219221835073</v>
      </c>
      <c r="BS219" s="18">
        <v>1.1266665951762525</v>
      </c>
      <c r="BT219" s="19"/>
      <c r="BU219" s="18">
        <v>933</v>
      </c>
      <c r="BV219" s="18">
        <v>161.09157142857097</v>
      </c>
      <c r="BW219" s="18">
        <v>191.93142857142797</v>
      </c>
      <c r="BX219" s="18" t="s">
        <v>217</v>
      </c>
      <c r="BY219" s="18" t="s">
        <v>217</v>
      </c>
      <c r="BZ219" s="18">
        <v>60.549775714285808</v>
      </c>
      <c r="CA219" s="18">
        <v>163.70865285714302</v>
      </c>
      <c r="CB219" s="19"/>
      <c r="CC219" s="19">
        <v>2.9697999999999998</v>
      </c>
      <c r="CD219" s="19">
        <v>6.7060000000000004</v>
      </c>
      <c r="CE219" s="19">
        <v>9.5799999999999996E-2</v>
      </c>
      <c r="CF219" s="19" t="s">
        <v>217</v>
      </c>
      <c r="CG219" s="19">
        <v>23.471</v>
      </c>
      <c r="CH219" s="19">
        <v>3.4487999999999999</v>
      </c>
      <c r="CI219" s="19">
        <v>3.7361999999999993</v>
      </c>
      <c r="CJ219" s="19"/>
      <c r="CK219" s="19">
        <v>162.381</v>
      </c>
      <c r="CL219" s="19">
        <v>11.879199999999999</v>
      </c>
      <c r="CM219" s="19">
        <v>30.560200000000002</v>
      </c>
      <c r="CN219" s="19">
        <v>61.503599999999999</v>
      </c>
      <c r="CO219" s="19">
        <v>0</v>
      </c>
      <c r="CP219" s="19">
        <v>0</v>
      </c>
      <c r="CQ219" s="19">
        <v>458.52274999999997</v>
      </c>
      <c r="CR219" s="19">
        <v>430.64203651812983</v>
      </c>
      <c r="CS219" s="19">
        <v>25.980232550453902</v>
      </c>
      <c r="CT219" s="19">
        <v>5.9518350933767312</v>
      </c>
      <c r="CU219" s="19">
        <v>5.4322304423676435</v>
      </c>
      <c r="CV219" s="19">
        <v>11.384065535744346</v>
      </c>
      <c r="CW219" s="19">
        <v>16.757249995042766</v>
      </c>
      <c r="CX219" s="19">
        <v>6.0919708931943122</v>
      </c>
      <c r="CY219" s="19">
        <v>20.666094074224695</v>
      </c>
      <c r="CZ219" s="19">
        <v>34.715888925600467</v>
      </c>
      <c r="DA219" s="19">
        <v>11.573012681565828</v>
      </c>
      <c r="DB219" s="19">
        <v>23.533367012065696</v>
      </c>
      <c r="DC219" s="19">
        <v>17.274492806729079</v>
      </c>
      <c r="DD219" s="19">
        <v>40.807859818794775</v>
      </c>
      <c r="DE219" s="19">
        <v>20.233090198383795</v>
      </c>
      <c r="DF219" s="23">
        <v>0</v>
      </c>
      <c r="DG219" s="23">
        <v>0</v>
      </c>
      <c r="DH219" s="23">
        <v>0</v>
      </c>
      <c r="DI219" s="19">
        <v>0</v>
      </c>
      <c r="DJ219" s="19">
        <v>0</v>
      </c>
      <c r="DK219" s="19">
        <v>0</v>
      </c>
      <c r="DL219" s="19">
        <v>0</v>
      </c>
      <c r="DM219" s="19">
        <v>0</v>
      </c>
      <c r="DN219" s="19">
        <v>0</v>
      </c>
      <c r="DO219" s="19">
        <v>0</v>
      </c>
      <c r="DP219" s="19">
        <v>0</v>
      </c>
      <c r="DQ219" s="19">
        <v>0</v>
      </c>
      <c r="DR219" s="19">
        <v>0</v>
      </c>
      <c r="DS219" s="19">
        <v>0</v>
      </c>
      <c r="DT219" s="19">
        <v>0</v>
      </c>
      <c r="DU219" s="19">
        <v>0</v>
      </c>
      <c r="DV219" s="19">
        <v>0</v>
      </c>
      <c r="DW219" s="17" t="s">
        <v>635</v>
      </c>
      <c r="DX219" s="22" t="s">
        <v>218</v>
      </c>
      <c r="DY219" s="22">
        <v>8</v>
      </c>
      <c r="DZ219" s="22">
        <v>8</v>
      </c>
      <c r="EA219" s="22">
        <v>8</v>
      </c>
      <c r="EB219" s="22" t="s">
        <v>218</v>
      </c>
      <c r="EC219" s="22">
        <v>8</v>
      </c>
      <c r="ED219" s="22">
        <v>8</v>
      </c>
      <c r="EE219" s="22" t="s">
        <v>218</v>
      </c>
      <c r="EF219" s="22">
        <v>8</v>
      </c>
      <c r="EG219" s="22">
        <v>8</v>
      </c>
      <c r="EH219" s="22">
        <v>8</v>
      </c>
      <c r="EI219" s="22">
        <v>8</v>
      </c>
      <c r="EJ219" s="22">
        <v>8</v>
      </c>
      <c r="EK219" s="22">
        <v>8</v>
      </c>
      <c r="EL219" s="22">
        <v>8</v>
      </c>
      <c r="EM219" s="22">
        <v>8</v>
      </c>
      <c r="EN219" s="22">
        <v>8</v>
      </c>
      <c r="EO219" s="22">
        <v>8</v>
      </c>
      <c r="EP219" s="22">
        <v>8</v>
      </c>
      <c r="EQ219" s="22">
        <v>8</v>
      </c>
      <c r="ER219" s="22">
        <v>8</v>
      </c>
      <c r="ES219" s="22">
        <v>8</v>
      </c>
      <c r="ET219" s="22">
        <v>8</v>
      </c>
      <c r="EU219" s="22">
        <v>8</v>
      </c>
      <c r="EV219" s="22" t="s">
        <v>218</v>
      </c>
      <c r="EW219" s="22">
        <v>8</v>
      </c>
      <c r="EX219" s="22">
        <v>8</v>
      </c>
      <c r="EY219" s="22">
        <v>4</v>
      </c>
      <c r="EZ219" s="22">
        <v>8</v>
      </c>
      <c r="FA219" s="22">
        <v>8</v>
      </c>
      <c r="FB219" s="22">
        <v>8</v>
      </c>
      <c r="FC219" s="22">
        <v>8</v>
      </c>
      <c r="FD219" s="22" t="s">
        <v>218</v>
      </c>
      <c r="FE219" s="22">
        <v>4</v>
      </c>
      <c r="FF219" s="22" t="s">
        <v>218</v>
      </c>
      <c r="FG219" s="22">
        <v>1.8</v>
      </c>
      <c r="FH219" s="22">
        <v>0.46</v>
      </c>
      <c r="FI219" s="22">
        <v>0.19</v>
      </c>
      <c r="FJ219" s="22" t="s">
        <v>218</v>
      </c>
      <c r="FK219" s="22">
        <v>0.48</v>
      </c>
      <c r="FL219" s="22">
        <v>1.0900000000000001</v>
      </c>
      <c r="FM219" s="22" t="s">
        <v>218</v>
      </c>
      <c r="FN219" s="22">
        <v>1.64</v>
      </c>
      <c r="FO219" s="22">
        <v>1.39</v>
      </c>
      <c r="FP219" s="22">
        <v>1.1100000000000001</v>
      </c>
      <c r="FQ219" s="22">
        <v>0.31</v>
      </c>
      <c r="FR219" s="22">
        <v>0.34</v>
      </c>
      <c r="FS219" s="22">
        <v>0.74</v>
      </c>
      <c r="FT219" s="22">
        <v>0.21</v>
      </c>
      <c r="FU219" s="22">
        <v>0.94</v>
      </c>
      <c r="FV219" s="22">
        <v>1.6</v>
      </c>
      <c r="FW219" s="22">
        <v>0.44</v>
      </c>
      <c r="FX219" s="22">
        <v>1.07</v>
      </c>
      <c r="FY219" s="22">
        <v>0.83</v>
      </c>
      <c r="FZ219" s="22">
        <v>1.04</v>
      </c>
      <c r="GA219" s="22">
        <v>0.13</v>
      </c>
      <c r="GB219" s="22">
        <v>0.22</v>
      </c>
      <c r="GC219" s="22">
        <v>0.05</v>
      </c>
      <c r="GD219" s="22" t="s">
        <v>218</v>
      </c>
      <c r="GE219" s="22">
        <v>0.82</v>
      </c>
      <c r="GF219" s="22">
        <v>0.18</v>
      </c>
      <c r="GG219" s="22">
        <v>0.11</v>
      </c>
      <c r="GH219" s="22">
        <v>24</v>
      </c>
      <c r="GI219" s="22">
        <v>0.83</v>
      </c>
      <c r="GJ219" s="22">
        <v>2.0699999999999998</v>
      </c>
      <c r="GK219" s="22">
        <v>4.5</v>
      </c>
      <c r="GL219" s="22" t="s">
        <v>218</v>
      </c>
      <c r="GM219" s="22">
        <v>1E-3</v>
      </c>
      <c r="GN219" s="22" t="s">
        <v>218</v>
      </c>
      <c r="GO219" s="22">
        <v>2011</v>
      </c>
      <c r="GP219" s="22">
        <v>2011</v>
      </c>
      <c r="GQ219" s="22">
        <v>2011</v>
      </c>
      <c r="GR219" s="22" t="s">
        <v>218</v>
      </c>
      <c r="GS219" s="22">
        <v>2011</v>
      </c>
      <c r="GT219" s="22">
        <v>2011</v>
      </c>
      <c r="GU219" s="22" t="s">
        <v>218</v>
      </c>
      <c r="GV219" s="22">
        <v>2011</v>
      </c>
      <c r="GW219" s="22">
        <v>2011</v>
      </c>
      <c r="GX219" s="22">
        <v>2011</v>
      </c>
      <c r="GY219" s="22">
        <v>2011</v>
      </c>
      <c r="GZ219" s="22">
        <v>2011</v>
      </c>
      <c r="HA219" s="22">
        <v>2011</v>
      </c>
      <c r="HB219" s="22">
        <v>2011</v>
      </c>
      <c r="HC219" s="22">
        <v>2011</v>
      </c>
      <c r="HD219" s="22">
        <v>2011</v>
      </c>
      <c r="HE219" s="22">
        <v>2011</v>
      </c>
      <c r="HF219" s="22">
        <v>2011</v>
      </c>
      <c r="HG219" s="22">
        <v>2011</v>
      </c>
      <c r="HH219" s="22">
        <v>2011</v>
      </c>
      <c r="HI219" s="22">
        <v>2011</v>
      </c>
      <c r="HJ219" s="22">
        <v>2011</v>
      </c>
      <c r="HK219" s="22">
        <v>2011</v>
      </c>
      <c r="HL219" s="22" t="s">
        <v>218</v>
      </c>
      <c r="HM219" s="622">
        <f>'background data'!$G$18</f>
        <v>0.54099999999999993</v>
      </c>
      <c r="HN219" s="622">
        <f>'background data'!$H$18</f>
        <v>0.11600000000000001</v>
      </c>
      <c r="HO219" s="622">
        <f>'background data'!$J$18</f>
        <v>0.25</v>
      </c>
      <c r="HP219" s="622">
        <f>'background data'!$L$18</f>
        <v>1.2999999999999999E-2</v>
      </c>
      <c r="HQ219" s="622">
        <f>'background data'!$M$18</f>
        <v>8.86</v>
      </c>
      <c r="HR219" s="622">
        <f>'background data'!$N$18</f>
        <v>6.9299999999999995E-3</v>
      </c>
      <c r="HS219" s="622">
        <f>'background data'!$O$18</f>
        <v>1.75</v>
      </c>
      <c r="HT219" s="145" t="s">
        <v>1805</v>
      </c>
      <c r="HU219" s="145" t="s">
        <v>1809</v>
      </c>
      <c r="HV219" s="22" t="s">
        <v>1979</v>
      </c>
      <c r="HW219" s="22" t="s">
        <v>640</v>
      </c>
      <c r="HX219" s="22" t="s">
        <v>641</v>
      </c>
      <c r="HY219" s="22" t="s">
        <v>642</v>
      </c>
      <c r="HZ219" s="19"/>
      <c r="IA219" s="19"/>
      <c r="IB219" s="622">
        <f>'background data'!$G$18</f>
        <v>0.54099999999999993</v>
      </c>
      <c r="IC219" s="622">
        <f>'background data'!$H$18</f>
        <v>0.11600000000000001</v>
      </c>
      <c r="ID219" s="622">
        <f>'background data'!$J$18</f>
        <v>0.25</v>
      </c>
      <c r="IE219" s="622">
        <f>'background data'!$L$18</f>
        <v>1.2999999999999999E-2</v>
      </c>
      <c r="IF219" s="622">
        <f>'background data'!$M$18</f>
        <v>8.86</v>
      </c>
      <c r="IG219" s="622">
        <f>'background data'!$N$18</f>
        <v>6.9299999999999995E-3</v>
      </c>
      <c r="IH219" s="622">
        <f>'background data'!$O$18</f>
        <v>1.75</v>
      </c>
      <c r="II219" s="145" t="s">
        <v>1805</v>
      </c>
      <c r="IJ219" s="145"/>
      <c r="IK219" s="145"/>
      <c r="IL219" s="145"/>
      <c r="IM219" s="145"/>
      <c r="IN219" s="145"/>
      <c r="IO219" s="145"/>
      <c r="IP219" s="145"/>
      <c r="IQ219" s="145"/>
      <c r="IR219" s="145"/>
      <c r="IS219" s="145"/>
      <c r="IT219" s="145"/>
      <c r="IU219" s="145"/>
      <c r="IV219" s="145"/>
      <c r="IW219" s="145"/>
      <c r="IX219" s="145"/>
      <c r="IY219" s="145"/>
      <c r="IZ219" s="145"/>
      <c r="JA219" s="145"/>
      <c r="JB219" s="145"/>
      <c r="JC219" s="145"/>
      <c r="JD219" s="145"/>
      <c r="JE219" s="145"/>
      <c r="JF219" s="145"/>
      <c r="JG219" s="145"/>
      <c r="JH219" s="145"/>
      <c r="JI219" s="145"/>
      <c r="JJ219" s="145"/>
      <c r="JK219" s="145"/>
      <c r="JL219" s="145"/>
      <c r="JM219" s="145"/>
      <c r="JN219" s="145"/>
      <c r="JO219" s="145"/>
      <c r="JP219" s="145"/>
      <c r="JQ219" s="145"/>
      <c r="JR219" s="145"/>
      <c r="JS219" s="145"/>
      <c r="JT219" s="145"/>
      <c r="JU219" s="145"/>
      <c r="JV219" s="145"/>
      <c r="JW219" s="145"/>
      <c r="JX219" s="145"/>
      <c r="JY219" s="145"/>
      <c r="JZ219" s="145"/>
      <c r="KA219" s="145"/>
      <c r="KB219" s="145"/>
      <c r="KC219" s="145"/>
      <c r="KD219" s="145"/>
      <c r="KE219" s="145"/>
      <c r="KF219" s="145"/>
      <c r="KG219" s="145"/>
      <c r="KH219" s="145"/>
      <c r="KI219" s="145"/>
      <c r="KJ219" s="145"/>
      <c r="KK219" s="145"/>
      <c r="KL219" s="145"/>
      <c r="KM219" s="145"/>
      <c r="KN219" s="145"/>
      <c r="KO219" s="145"/>
      <c r="KP219" s="145"/>
      <c r="KQ219" s="145"/>
      <c r="KR219" s="145"/>
      <c r="KS219" s="145"/>
      <c r="KT219" s="145"/>
      <c r="KU219" s="145"/>
      <c r="KV219" s="145"/>
      <c r="KW219" s="145"/>
      <c r="KX219" s="145"/>
      <c r="KY219" s="145"/>
      <c r="KZ219" s="145"/>
      <c r="LA219" s="145"/>
      <c r="LB219" s="145"/>
      <c r="LC219" s="145"/>
      <c r="LD219" s="145"/>
      <c r="LE219" s="145"/>
      <c r="LF219" s="145"/>
      <c r="LG219" s="145"/>
      <c r="LH219" s="145"/>
      <c r="LI219" s="145"/>
      <c r="LJ219" s="145"/>
      <c r="LK219" s="145"/>
      <c r="LL219" s="145"/>
      <c r="LM219" s="145"/>
      <c r="LN219" s="145"/>
      <c r="LO219" s="145"/>
      <c r="LP219" s="145"/>
      <c r="LQ219" s="145"/>
      <c r="LR219" s="145"/>
      <c r="LS219" s="145"/>
      <c r="LT219" s="145"/>
      <c r="LU219" s="145"/>
      <c r="LV219" s="145"/>
      <c r="LW219" s="145"/>
      <c r="LX219" s="145"/>
      <c r="LY219" s="145"/>
      <c r="LZ219" s="145"/>
      <c r="MA219" s="145"/>
      <c r="MB219" s="145"/>
      <c r="MC219" s="145"/>
      <c r="MD219" s="145"/>
      <c r="ME219" s="145"/>
      <c r="MF219" s="145"/>
      <c r="MG219" s="145"/>
      <c r="MH219" s="145"/>
      <c r="MI219" s="145"/>
      <c r="MJ219" s="145"/>
      <c r="MK219" s="145"/>
      <c r="ML219" s="145"/>
      <c r="MM219" s="145"/>
      <c r="MN219" s="145"/>
      <c r="MO219" s="145"/>
      <c r="MP219" s="145"/>
      <c r="MQ219" s="145"/>
      <c r="MR219" s="145"/>
      <c r="MS219" s="145"/>
      <c r="MT219" s="145"/>
      <c r="MU219" s="145"/>
      <c r="MV219" s="145"/>
      <c r="MW219" s="145"/>
      <c r="MX219" s="145"/>
      <c r="MY219" s="145"/>
      <c r="MZ219" s="145"/>
      <c r="NA219" s="145"/>
      <c r="NB219" s="145"/>
      <c r="NC219" s="145"/>
      <c r="ND219" s="145"/>
      <c r="NE219" s="145"/>
      <c r="NF219" s="145"/>
      <c r="NG219" s="145"/>
      <c r="NH219" s="145"/>
      <c r="NI219" s="145"/>
      <c r="NJ219" s="145"/>
      <c r="NK219" s="145"/>
      <c r="NL219" s="145"/>
      <c r="NM219" s="145"/>
      <c r="NN219" s="145"/>
      <c r="NO219" s="145"/>
      <c r="NP219" s="145"/>
      <c r="NQ219" s="145"/>
      <c r="NR219" s="145"/>
      <c r="NS219" s="145"/>
    </row>
    <row r="220" spans="1:383" s="16" customFormat="1" ht="15" customHeight="1" x14ac:dyDescent="0.2">
      <c r="A220" s="15">
        <v>61320</v>
      </c>
      <c r="B220" s="25">
        <v>613</v>
      </c>
      <c r="C220" s="26">
        <v>20</v>
      </c>
      <c r="D220" s="20" t="s">
        <v>643</v>
      </c>
      <c r="E220" s="14">
        <v>42698</v>
      </c>
      <c r="F220" s="18">
        <v>1.0427215381160899</v>
      </c>
      <c r="G220" s="18">
        <v>1.05297946885423</v>
      </c>
      <c r="H220" s="21">
        <v>94.1</v>
      </c>
      <c r="I220" s="21">
        <v>80.800000100000005</v>
      </c>
      <c r="J220" s="21">
        <v>96</v>
      </c>
      <c r="K220" s="18">
        <v>1</v>
      </c>
      <c r="L220" s="18">
        <v>93.2</v>
      </c>
      <c r="M220" s="18">
        <v>52.005600000000001</v>
      </c>
      <c r="N220" s="18">
        <v>2.5164</v>
      </c>
      <c r="O220" s="18">
        <v>6.4307999999999996</v>
      </c>
      <c r="P220" s="18">
        <v>3.1688000000000001</v>
      </c>
      <c r="Q220" s="19"/>
      <c r="R220" s="18">
        <v>87.5</v>
      </c>
      <c r="S220" s="18">
        <v>39</v>
      </c>
      <c r="T220" s="18">
        <v>51</v>
      </c>
      <c r="U220" s="18">
        <v>56</v>
      </c>
      <c r="V220" s="18">
        <v>60</v>
      </c>
      <c r="W220" s="18">
        <v>63</v>
      </c>
      <c r="X220" s="18"/>
      <c r="Y220" s="18">
        <v>3.19</v>
      </c>
      <c r="Z220" s="18">
        <v>7.19</v>
      </c>
      <c r="AA220" s="18">
        <v>5.9999999999999991E-2</v>
      </c>
      <c r="AB220" s="18" t="s">
        <v>217</v>
      </c>
      <c r="AC220" s="18">
        <v>25</v>
      </c>
      <c r="AD220" s="18">
        <v>3.6999999999999997</v>
      </c>
      <c r="AE220" s="18">
        <v>4.0999999999999996</v>
      </c>
      <c r="AF220" s="18">
        <v>177</v>
      </c>
      <c r="AG220" s="18">
        <v>13.299999999999999</v>
      </c>
      <c r="AH220" s="18">
        <v>32.9</v>
      </c>
      <c r="AI220" s="18">
        <v>65.400000000000006</v>
      </c>
      <c r="AJ220" s="18">
        <v>0</v>
      </c>
      <c r="AK220" s="18">
        <v>0</v>
      </c>
      <c r="AL220" s="18"/>
      <c r="AM220" s="18">
        <v>6.0035842293906798</v>
      </c>
      <c r="AN220" s="18">
        <v>1.3261648745519701</v>
      </c>
      <c r="AO220" s="18">
        <v>1.3261648745519701</v>
      </c>
      <c r="AP220" s="18">
        <v>3.9426523297490998</v>
      </c>
      <c r="AQ220" s="18">
        <v>1.3261648745519701</v>
      </c>
      <c r="AR220" s="18">
        <v>4.5878136200716897</v>
      </c>
      <c r="AS220" s="18">
        <v>7.8136200716845901</v>
      </c>
      <c r="AT220" s="18">
        <v>2.5627240143369199</v>
      </c>
      <c r="AU220" s="18">
        <v>5.1971326164874601</v>
      </c>
      <c r="AV220" s="18">
        <v>3.7992831541218601</v>
      </c>
      <c r="AW220" s="18">
        <v>4.6953405017921197</v>
      </c>
      <c r="AX220" s="18"/>
      <c r="AY220" s="18">
        <v>1</v>
      </c>
      <c r="AZ220" s="18">
        <v>1.05</v>
      </c>
      <c r="BA220" s="18">
        <v>0.92</v>
      </c>
      <c r="BB220" s="18">
        <v>0.99</v>
      </c>
      <c r="BC220" s="18">
        <v>1.06</v>
      </c>
      <c r="BD220" s="18">
        <v>1.05</v>
      </c>
      <c r="BE220" s="18">
        <v>1.04</v>
      </c>
      <c r="BF220" s="18">
        <v>1.05</v>
      </c>
      <c r="BG220" s="18">
        <v>1.06</v>
      </c>
      <c r="BH220" s="18">
        <v>1.06</v>
      </c>
      <c r="BI220" s="18">
        <v>1</v>
      </c>
      <c r="BJ220" s="19"/>
      <c r="BK220" s="18">
        <v>55.800000000000004</v>
      </c>
      <c r="BL220" s="18">
        <v>2.6999999999999997</v>
      </c>
      <c r="BM220" s="18">
        <v>6.8999999999999986</v>
      </c>
      <c r="BN220" s="18">
        <v>3.4</v>
      </c>
      <c r="BO220" s="18"/>
      <c r="BP220" s="18">
        <v>130</v>
      </c>
      <c r="BQ220" s="18">
        <v>35.1</v>
      </c>
      <c r="BR220" s="18">
        <v>1.1187999336009549</v>
      </c>
      <c r="BS220" s="18">
        <v>1.1298062970538949</v>
      </c>
      <c r="BT220" s="19"/>
      <c r="BU220" s="18">
        <v>930.99999999999989</v>
      </c>
      <c r="BV220" s="18">
        <v>165.21100132999999</v>
      </c>
      <c r="BW220" s="18">
        <v>176.88999867000001</v>
      </c>
      <c r="BX220" s="18" t="s">
        <v>217</v>
      </c>
      <c r="BY220" s="18" t="s">
        <v>217</v>
      </c>
      <c r="BZ220" s="18">
        <v>56.346029640899992</v>
      </c>
      <c r="CA220" s="18">
        <v>152.34296902909978</v>
      </c>
      <c r="CB220" s="19"/>
      <c r="CC220" s="19">
        <v>2.9730799999999999</v>
      </c>
      <c r="CD220" s="19">
        <v>6.701080000000001</v>
      </c>
      <c r="CE220" s="19">
        <v>5.5919999999999997E-2</v>
      </c>
      <c r="CF220" s="19" t="s">
        <v>217</v>
      </c>
      <c r="CG220" s="19">
        <v>23.3</v>
      </c>
      <c r="CH220" s="19">
        <v>3.4483999999999999</v>
      </c>
      <c r="CI220" s="19">
        <v>3.8211999999999997</v>
      </c>
      <c r="CJ220" s="19"/>
      <c r="CK220" s="19">
        <v>164.964</v>
      </c>
      <c r="CL220" s="19">
        <v>12.3956</v>
      </c>
      <c r="CM220" s="19">
        <v>30.662800000000001</v>
      </c>
      <c r="CN220" s="19">
        <v>60.952800000000011</v>
      </c>
      <c r="CO220" s="19">
        <v>0</v>
      </c>
      <c r="CP220" s="19">
        <v>0</v>
      </c>
      <c r="CQ220" s="19">
        <v>455.04899999999998</v>
      </c>
      <c r="CR220" s="19">
        <v>436.40510276803906</v>
      </c>
      <c r="CS220" s="19">
        <v>26.199947926038188</v>
      </c>
      <c r="CT220" s="19">
        <v>6.0768237428452654</v>
      </c>
      <c r="CU220" s="19">
        <v>5.3244550889691835</v>
      </c>
      <c r="CV220" s="19">
        <v>11.401278831814469</v>
      </c>
      <c r="CW220" s="19">
        <v>17.033876591913785</v>
      </c>
      <c r="CX220" s="19">
        <v>6.1346982546818873</v>
      </c>
      <c r="CY220" s="19">
        <v>21.022525380653924</v>
      </c>
      <c r="CZ220" s="19">
        <v>35.46299817188882</v>
      </c>
      <c r="DA220" s="19">
        <v>11.743051286849653</v>
      </c>
      <c r="DB220" s="19">
        <v>24.041385052131758</v>
      </c>
      <c r="DC220" s="19">
        <v>17.575081486385976</v>
      </c>
      <c r="DD220" s="19">
        <v>41.616466538517734</v>
      </c>
      <c r="DE220" s="19">
        <v>20.49070554215524</v>
      </c>
      <c r="DF220" s="23">
        <v>0</v>
      </c>
      <c r="DG220" s="23">
        <v>0</v>
      </c>
      <c r="DH220" s="23">
        <v>0</v>
      </c>
      <c r="DI220" s="19">
        <v>0</v>
      </c>
      <c r="DJ220" s="19">
        <v>0</v>
      </c>
      <c r="DK220" s="19">
        <v>0</v>
      </c>
      <c r="DL220" s="19">
        <v>0</v>
      </c>
      <c r="DM220" s="19">
        <v>0</v>
      </c>
      <c r="DN220" s="19">
        <v>0</v>
      </c>
      <c r="DO220" s="19">
        <v>0</v>
      </c>
      <c r="DP220" s="19">
        <v>0</v>
      </c>
      <c r="DQ220" s="19">
        <v>0</v>
      </c>
      <c r="DR220" s="19">
        <v>0</v>
      </c>
      <c r="DS220" s="19">
        <v>0</v>
      </c>
      <c r="DT220" s="19">
        <v>0</v>
      </c>
      <c r="DU220" s="19">
        <v>0</v>
      </c>
      <c r="DV220" s="19">
        <v>0</v>
      </c>
      <c r="DW220" s="17" t="s">
        <v>635</v>
      </c>
      <c r="DX220" s="22">
        <v>12</v>
      </c>
      <c r="DY220" s="22">
        <v>12</v>
      </c>
      <c r="DZ220" s="22">
        <v>12</v>
      </c>
      <c r="EA220" s="22">
        <v>12</v>
      </c>
      <c r="EB220" s="22" t="s">
        <v>218</v>
      </c>
      <c r="EC220" s="22">
        <v>12</v>
      </c>
      <c r="ED220" s="22">
        <v>12</v>
      </c>
      <c r="EE220" s="22" t="s">
        <v>218</v>
      </c>
      <c r="EF220" s="22">
        <v>12</v>
      </c>
      <c r="EG220" s="22">
        <v>12</v>
      </c>
      <c r="EH220" s="22">
        <v>8</v>
      </c>
      <c r="EI220" s="22">
        <v>8</v>
      </c>
      <c r="EJ220" s="22">
        <v>8</v>
      </c>
      <c r="EK220" s="22">
        <v>8</v>
      </c>
      <c r="EL220" s="22">
        <v>8</v>
      </c>
      <c r="EM220" s="22">
        <v>8</v>
      </c>
      <c r="EN220" s="22">
        <v>8</v>
      </c>
      <c r="EO220" s="22">
        <v>8</v>
      </c>
      <c r="EP220" s="22">
        <v>8</v>
      </c>
      <c r="EQ220" s="22">
        <v>8</v>
      </c>
      <c r="ER220" s="22">
        <v>8</v>
      </c>
      <c r="ES220" s="22">
        <v>8</v>
      </c>
      <c r="ET220" s="22">
        <v>8</v>
      </c>
      <c r="EU220" s="22">
        <v>8</v>
      </c>
      <c r="EV220" s="22" t="s">
        <v>218</v>
      </c>
      <c r="EW220" s="22">
        <v>8</v>
      </c>
      <c r="EX220" s="22">
        <v>8</v>
      </c>
      <c r="EY220" s="22">
        <v>4</v>
      </c>
      <c r="EZ220" s="22">
        <v>8</v>
      </c>
      <c r="FA220" s="22">
        <v>8</v>
      </c>
      <c r="FB220" s="22">
        <v>8</v>
      </c>
      <c r="FC220" s="22">
        <v>8</v>
      </c>
      <c r="FD220" s="22" t="s">
        <v>218</v>
      </c>
      <c r="FE220" s="22">
        <v>4</v>
      </c>
      <c r="FF220" s="22" t="s">
        <v>218</v>
      </c>
      <c r="FG220" s="22">
        <v>0.35</v>
      </c>
      <c r="FH220" s="22">
        <v>0.18</v>
      </c>
      <c r="FI220" s="22">
        <v>0.19</v>
      </c>
      <c r="FJ220" s="22" t="s">
        <v>218</v>
      </c>
      <c r="FK220" s="22">
        <v>0.57999999999999996</v>
      </c>
      <c r="FL220" s="22">
        <v>0.72</v>
      </c>
      <c r="FM220" s="22" t="s">
        <v>218</v>
      </c>
      <c r="FN220" s="22">
        <v>1.1599999999999999</v>
      </c>
      <c r="FO220" s="22">
        <v>0.88</v>
      </c>
      <c r="FP220" s="22">
        <v>0.43</v>
      </c>
      <c r="FQ220" s="22">
        <v>0.18</v>
      </c>
      <c r="FR220" s="22">
        <v>0.36</v>
      </c>
      <c r="FS220" s="22">
        <v>0.3</v>
      </c>
      <c r="FT220" s="22">
        <v>0.11</v>
      </c>
      <c r="FU220" s="22">
        <v>0.42</v>
      </c>
      <c r="FV220" s="22">
        <v>0.47</v>
      </c>
      <c r="FW220" s="22">
        <v>0.17</v>
      </c>
      <c r="FX220" s="22">
        <v>1.04</v>
      </c>
      <c r="FY220" s="22">
        <v>0.95</v>
      </c>
      <c r="FZ220" s="22">
        <v>0.56000000000000005</v>
      </c>
      <c r="GA220" s="22">
        <v>0.18</v>
      </c>
      <c r="GB220" s="22">
        <v>0.28000000000000003</v>
      </c>
      <c r="GC220" s="22">
        <v>0.04</v>
      </c>
      <c r="GD220" s="22" t="s">
        <v>218</v>
      </c>
      <c r="GE220" s="22">
        <v>1.67</v>
      </c>
      <c r="GF220" s="22">
        <v>0.1</v>
      </c>
      <c r="GG220" s="22">
        <v>0.18</v>
      </c>
      <c r="GH220" s="22">
        <v>17.670000000000002</v>
      </c>
      <c r="GI220" s="22">
        <v>0.95</v>
      </c>
      <c r="GJ220" s="22">
        <v>2.91</v>
      </c>
      <c r="GK220" s="22">
        <v>6.19</v>
      </c>
      <c r="GL220" s="22" t="s">
        <v>218</v>
      </c>
      <c r="GM220" s="22">
        <v>1E-3</v>
      </c>
      <c r="GN220" s="22" t="s">
        <v>218</v>
      </c>
      <c r="GO220" s="22" t="s">
        <v>629</v>
      </c>
      <c r="GP220" s="22" t="s">
        <v>629</v>
      </c>
      <c r="GQ220" s="22" t="s">
        <v>629</v>
      </c>
      <c r="GR220" s="22" t="s">
        <v>218</v>
      </c>
      <c r="GS220" s="22" t="s">
        <v>629</v>
      </c>
      <c r="GT220" s="22" t="s">
        <v>629</v>
      </c>
      <c r="GU220" s="22" t="s">
        <v>218</v>
      </c>
      <c r="GV220" s="22" t="s">
        <v>629</v>
      </c>
      <c r="GW220" s="22" t="s">
        <v>629</v>
      </c>
      <c r="GX220" s="22">
        <v>2011</v>
      </c>
      <c r="GY220" s="22">
        <v>2011</v>
      </c>
      <c r="GZ220" s="22">
        <v>2011</v>
      </c>
      <c r="HA220" s="22">
        <v>2011</v>
      </c>
      <c r="HB220" s="22">
        <v>2011</v>
      </c>
      <c r="HC220" s="22">
        <v>2011</v>
      </c>
      <c r="HD220" s="22">
        <v>2011</v>
      </c>
      <c r="HE220" s="22">
        <v>2011</v>
      </c>
      <c r="HF220" s="22">
        <v>2011</v>
      </c>
      <c r="HG220" s="22">
        <v>2011</v>
      </c>
      <c r="HH220" s="22">
        <v>2011</v>
      </c>
      <c r="HI220" s="22">
        <v>2011</v>
      </c>
      <c r="HJ220" s="22">
        <v>2011</v>
      </c>
      <c r="HK220" s="22">
        <v>2011</v>
      </c>
      <c r="HL220" s="22" t="s">
        <v>218</v>
      </c>
      <c r="HM220" s="622">
        <f>'background data'!$G$18</f>
        <v>0.54099999999999993</v>
      </c>
      <c r="HN220" s="622">
        <f>'background data'!$H$18</f>
        <v>0.11600000000000001</v>
      </c>
      <c r="HO220" s="622">
        <f>'background data'!$J$18</f>
        <v>0.25</v>
      </c>
      <c r="HP220" s="622">
        <f>'background data'!$L$18</f>
        <v>1.2999999999999999E-2</v>
      </c>
      <c r="HQ220" s="622">
        <f>'background data'!$M$18</f>
        <v>8.86</v>
      </c>
      <c r="HR220" s="622">
        <f>'background data'!$N$18</f>
        <v>6.9299999999999995E-3</v>
      </c>
      <c r="HS220" s="622">
        <f>'background data'!$O$18</f>
        <v>1.75</v>
      </c>
      <c r="HT220" s="145" t="s">
        <v>1805</v>
      </c>
      <c r="HU220" s="145" t="s">
        <v>1809</v>
      </c>
      <c r="HV220" s="22" t="s">
        <v>1979</v>
      </c>
      <c r="HW220" s="22" t="s">
        <v>640</v>
      </c>
      <c r="HX220" s="22" t="s">
        <v>641</v>
      </c>
      <c r="HY220" s="22" t="s">
        <v>642</v>
      </c>
      <c r="HZ220" s="19"/>
      <c r="IA220" s="19"/>
      <c r="IB220" s="622">
        <f>'background data'!$G$18</f>
        <v>0.54099999999999993</v>
      </c>
      <c r="IC220" s="622">
        <f>'background data'!$H$18</f>
        <v>0.11600000000000001</v>
      </c>
      <c r="ID220" s="622">
        <f>'background data'!$J$18</f>
        <v>0.25</v>
      </c>
      <c r="IE220" s="622">
        <f>'background data'!$L$18</f>
        <v>1.2999999999999999E-2</v>
      </c>
      <c r="IF220" s="622">
        <f>'background data'!$M$18</f>
        <v>8.86</v>
      </c>
      <c r="IG220" s="622">
        <f>'background data'!$N$18</f>
        <v>6.9299999999999995E-3</v>
      </c>
      <c r="IH220" s="622">
        <f>'background data'!$O$18</f>
        <v>1.75</v>
      </c>
      <c r="II220" s="145" t="s">
        <v>1805</v>
      </c>
      <c r="IJ220" s="145"/>
      <c r="IK220" s="145"/>
      <c r="IL220" s="145"/>
      <c r="IM220" s="145"/>
      <c r="IN220" s="145"/>
      <c r="IO220" s="145"/>
      <c r="IP220" s="145"/>
      <c r="IQ220" s="145"/>
      <c r="IR220" s="145"/>
      <c r="IS220" s="145"/>
      <c r="IT220" s="145"/>
      <c r="IU220" s="145"/>
      <c r="IV220" s="145"/>
      <c r="IW220" s="145"/>
      <c r="IX220" s="145"/>
      <c r="IY220" s="145"/>
      <c r="IZ220" s="145"/>
      <c r="JA220" s="145"/>
      <c r="JB220" s="145"/>
      <c r="JC220" s="145"/>
      <c r="JD220" s="145"/>
      <c r="JE220" s="145"/>
      <c r="JF220" s="145"/>
      <c r="JG220" s="145"/>
      <c r="JH220" s="145"/>
      <c r="JI220" s="145"/>
      <c r="JJ220" s="145"/>
      <c r="JK220" s="145"/>
      <c r="JL220" s="145"/>
      <c r="JM220" s="145"/>
      <c r="JN220" s="145"/>
      <c r="JO220" s="145"/>
      <c r="JP220" s="145"/>
      <c r="JQ220" s="145"/>
      <c r="JR220" s="145"/>
      <c r="JS220" s="145"/>
      <c r="JT220" s="145"/>
      <c r="JU220" s="145"/>
      <c r="JV220" s="145"/>
      <c r="JW220" s="145"/>
      <c r="JX220" s="145"/>
      <c r="JY220" s="145"/>
      <c r="JZ220" s="145"/>
      <c r="KA220" s="145"/>
      <c r="KB220" s="145"/>
      <c r="KC220" s="145"/>
      <c r="KD220" s="145"/>
      <c r="KE220" s="145"/>
      <c r="KF220" s="145"/>
      <c r="KG220" s="145"/>
      <c r="KH220" s="145"/>
      <c r="KI220" s="145"/>
      <c r="KJ220" s="145"/>
      <c r="KK220" s="145"/>
      <c r="KL220" s="145"/>
      <c r="KM220" s="145"/>
      <c r="KN220" s="145"/>
      <c r="KO220" s="145"/>
      <c r="KP220" s="145"/>
      <c r="KQ220" s="145"/>
      <c r="KR220" s="145"/>
      <c r="KS220" s="145"/>
      <c r="KT220" s="145"/>
      <c r="KU220" s="145"/>
      <c r="KV220" s="145"/>
      <c r="KW220" s="145"/>
      <c r="KX220" s="145"/>
      <c r="KY220" s="145"/>
      <c r="KZ220" s="145"/>
      <c r="LA220" s="145"/>
      <c r="LB220" s="145"/>
      <c r="LC220" s="145"/>
      <c r="LD220" s="145"/>
      <c r="LE220" s="145"/>
      <c r="LF220" s="145"/>
      <c r="LG220" s="145"/>
      <c r="LH220" s="145"/>
      <c r="LI220" s="145"/>
      <c r="LJ220" s="145"/>
      <c r="LK220" s="145"/>
      <c r="LL220" s="145"/>
      <c r="LM220" s="145"/>
      <c r="LN220" s="145"/>
      <c r="LO220" s="145"/>
      <c r="LP220" s="145"/>
      <c r="LQ220" s="145"/>
      <c r="LR220" s="145"/>
      <c r="LS220" s="145"/>
      <c r="LT220" s="145"/>
      <c r="LU220" s="145"/>
      <c r="LV220" s="145"/>
      <c r="LW220" s="145"/>
      <c r="LX220" s="145"/>
      <c r="LY220" s="145"/>
      <c r="LZ220" s="145"/>
      <c r="MA220" s="145"/>
      <c r="MB220" s="145"/>
      <c r="MC220" s="145"/>
      <c r="MD220" s="145"/>
      <c r="ME220" s="145"/>
      <c r="MF220" s="145"/>
      <c r="MG220" s="145"/>
      <c r="MH220" s="145"/>
      <c r="MI220" s="145"/>
      <c r="MJ220" s="145"/>
      <c r="MK220" s="145"/>
      <c r="ML220" s="145"/>
      <c r="MM220" s="145"/>
      <c r="MN220" s="145"/>
      <c r="MO220" s="145"/>
      <c r="MP220" s="145"/>
      <c r="MQ220" s="145"/>
      <c r="MR220" s="145"/>
      <c r="MS220" s="145"/>
      <c r="MT220" s="145"/>
      <c r="MU220" s="145"/>
      <c r="MV220" s="145"/>
      <c r="MW220" s="145"/>
      <c r="MX220" s="145"/>
      <c r="MY220" s="145"/>
      <c r="MZ220" s="145"/>
      <c r="NA220" s="145"/>
      <c r="NB220" s="145"/>
      <c r="NC220" s="145"/>
      <c r="ND220" s="145"/>
      <c r="NE220" s="145"/>
      <c r="NF220" s="145"/>
      <c r="NG220" s="145"/>
      <c r="NH220" s="145"/>
      <c r="NI220" s="145"/>
      <c r="NJ220" s="145"/>
      <c r="NK220" s="145"/>
      <c r="NL220" s="145"/>
      <c r="NM220" s="145"/>
      <c r="NN220" s="145"/>
      <c r="NO220" s="145"/>
      <c r="NP220" s="145"/>
      <c r="NQ220" s="145"/>
      <c r="NR220" s="145"/>
      <c r="NS220" s="145"/>
    </row>
    <row r="221" spans="1:383" s="16" customFormat="1" ht="15" customHeight="1" x14ac:dyDescent="0.2">
      <c r="A221" s="15">
        <v>61370</v>
      </c>
      <c r="B221" s="25">
        <v>613</v>
      </c>
      <c r="C221" s="26">
        <v>70</v>
      </c>
      <c r="D221" s="20" t="s">
        <v>644</v>
      </c>
      <c r="E221" s="14">
        <v>42698</v>
      </c>
      <c r="F221" s="18">
        <v>1.05036452782617</v>
      </c>
      <c r="G221" s="18">
        <v>1.0602054290426699</v>
      </c>
      <c r="H221" s="21">
        <v>95.9</v>
      </c>
      <c r="I221" s="21">
        <v>81.299992200000005</v>
      </c>
      <c r="J221" s="21">
        <v>96</v>
      </c>
      <c r="K221" s="18">
        <v>1</v>
      </c>
      <c r="L221" s="18">
        <v>91.1</v>
      </c>
      <c r="M221" s="18">
        <v>49.194000000000003</v>
      </c>
      <c r="N221" s="18">
        <v>2.8241000000000001</v>
      </c>
      <c r="O221" s="18">
        <v>5.9215</v>
      </c>
      <c r="P221" s="18" t="s">
        <v>217</v>
      </c>
      <c r="Q221" s="19"/>
      <c r="R221" s="18">
        <v>87.5</v>
      </c>
      <c r="S221" s="18">
        <v>39</v>
      </c>
      <c r="T221" s="18">
        <v>51</v>
      </c>
      <c r="U221" s="18">
        <v>56</v>
      </c>
      <c r="V221" s="18">
        <v>60</v>
      </c>
      <c r="W221" s="18">
        <v>63</v>
      </c>
      <c r="X221" s="18"/>
      <c r="Y221" s="18">
        <v>3.250019243728222</v>
      </c>
      <c r="Z221" s="18">
        <v>6.86</v>
      </c>
      <c r="AA221" s="18">
        <v>0.13</v>
      </c>
      <c r="AB221" s="18" t="s">
        <v>217</v>
      </c>
      <c r="AC221" s="18">
        <v>23.03</v>
      </c>
      <c r="AD221" s="18">
        <v>3.55</v>
      </c>
      <c r="AE221" s="18">
        <v>4.0000000000000009</v>
      </c>
      <c r="AF221" s="18">
        <v>155.1</v>
      </c>
      <c r="AG221" s="18">
        <v>16.46</v>
      </c>
      <c r="AH221" s="18">
        <v>37.74</v>
      </c>
      <c r="AI221" s="18">
        <v>56.610000000000007</v>
      </c>
      <c r="AJ221" s="18">
        <v>0</v>
      </c>
      <c r="AK221" s="18">
        <v>0</v>
      </c>
      <c r="AL221" s="18"/>
      <c r="AM221" s="18">
        <v>6.0425925925925901</v>
      </c>
      <c r="AN221" s="18">
        <v>1.31851851851852</v>
      </c>
      <c r="AO221" s="18">
        <v>1.44814814814815</v>
      </c>
      <c r="AP221" s="18">
        <v>4.0277777777777803</v>
      </c>
      <c r="AQ221" s="18">
        <v>1.3296296296296299</v>
      </c>
      <c r="AR221" s="18">
        <v>4.3481481481481499</v>
      </c>
      <c r="AS221" s="18">
        <v>7.6074074074074103</v>
      </c>
      <c r="AT221" s="18">
        <v>2.5722222222222202</v>
      </c>
      <c r="AU221" s="18">
        <v>5.1537037037036999</v>
      </c>
      <c r="AV221" s="18">
        <v>3.9129629629629599</v>
      </c>
      <c r="AW221" s="18">
        <v>4.5518518518518496</v>
      </c>
      <c r="AX221" s="18"/>
      <c r="AY221" s="18">
        <v>1</v>
      </c>
      <c r="AZ221" s="18">
        <v>1.05</v>
      </c>
      <c r="BA221" s="18">
        <v>0.92</v>
      </c>
      <c r="BB221" s="18">
        <v>0.99</v>
      </c>
      <c r="BC221" s="18">
        <v>1.06</v>
      </c>
      <c r="BD221" s="18">
        <v>1.05</v>
      </c>
      <c r="BE221" s="18">
        <v>1.04</v>
      </c>
      <c r="BF221" s="18">
        <v>1.05</v>
      </c>
      <c r="BG221" s="18">
        <v>1.06</v>
      </c>
      <c r="BH221" s="18">
        <v>1.06</v>
      </c>
      <c r="BI221" s="18">
        <v>1</v>
      </c>
      <c r="BJ221" s="19"/>
      <c r="BK221" s="18">
        <v>54.000000000000007</v>
      </c>
      <c r="BL221" s="18">
        <v>3.1000000000000005</v>
      </c>
      <c r="BM221" s="18">
        <v>6.5</v>
      </c>
      <c r="BN221" s="18" t="s">
        <v>217</v>
      </c>
      <c r="BO221" s="18"/>
      <c r="BP221" s="18">
        <v>130</v>
      </c>
      <c r="BQ221" s="18">
        <v>40.299999999999997</v>
      </c>
      <c r="BR221" s="18">
        <v>1.1529797231900878</v>
      </c>
      <c r="BS221" s="18">
        <v>1.1637820296845993</v>
      </c>
      <c r="BT221" s="19"/>
      <c r="BU221" s="18">
        <v>935.00000000000011</v>
      </c>
      <c r="BV221" s="18">
        <v>180.18071428571352</v>
      </c>
      <c r="BW221" s="18">
        <v>195.01438990000003</v>
      </c>
      <c r="BX221" s="18" t="s">
        <v>217</v>
      </c>
      <c r="BY221" s="18" t="s">
        <v>217</v>
      </c>
      <c r="BZ221" s="18">
        <v>56.921207142857192</v>
      </c>
      <c r="CA221" s="18">
        <v>153.89807857142921</v>
      </c>
      <c r="CB221" s="19"/>
      <c r="CC221" s="19">
        <v>2.9607675310364101</v>
      </c>
      <c r="CD221" s="19">
        <v>6.24946</v>
      </c>
      <c r="CE221" s="19">
        <v>0.11842999999999999</v>
      </c>
      <c r="CF221" s="19" t="s">
        <v>217</v>
      </c>
      <c r="CG221" s="19">
        <v>20.980329999999999</v>
      </c>
      <c r="CH221" s="19">
        <v>3.2340499999999994</v>
      </c>
      <c r="CI221" s="19">
        <v>3.6440000000000006</v>
      </c>
      <c r="CJ221" s="19"/>
      <c r="CK221" s="19">
        <v>141.2961</v>
      </c>
      <c r="CL221" s="19">
        <v>14.995059999999999</v>
      </c>
      <c r="CM221" s="19">
        <v>34.381140000000002</v>
      </c>
      <c r="CN221" s="19">
        <v>51.571710000000003</v>
      </c>
      <c r="CO221" s="19">
        <v>0</v>
      </c>
      <c r="CP221" s="19">
        <v>0</v>
      </c>
      <c r="CQ221" s="19">
        <v>430.44749999999999</v>
      </c>
      <c r="CR221" s="19">
        <v>409.80772731429948</v>
      </c>
      <c r="CS221" s="19">
        <v>24.763011374565913</v>
      </c>
      <c r="CT221" s="19">
        <v>5.6735603137068669</v>
      </c>
      <c r="CU221" s="19">
        <v>5.4598531729444471</v>
      </c>
      <c r="CV221" s="19">
        <v>11.133413486651294</v>
      </c>
      <c r="CW221" s="19">
        <v>16.34108312665769</v>
      </c>
      <c r="CX221" s="19">
        <v>5.7758604648956862</v>
      </c>
      <c r="CY221" s="19">
        <v>18.709999461493961</v>
      </c>
      <c r="CZ221" s="19">
        <v>32.42277313998941</v>
      </c>
      <c r="DA221" s="19">
        <v>11.068223701880372</v>
      </c>
      <c r="DB221" s="19">
        <v>22.387492581900688</v>
      </c>
      <c r="DC221" s="19">
        <v>16.99776206451892</v>
      </c>
      <c r="DD221" s="19">
        <v>39.385254646419611</v>
      </c>
      <c r="DE221" s="19">
        <v>18.653840624787929</v>
      </c>
      <c r="DF221" s="23">
        <v>0</v>
      </c>
      <c r="DG221" s="23">
        <v>0</v>
      </c>
      <c r="DH221" s="23">
        <v>0</v>
      </c>
      <c r="DI221" s="19">
        <v>0</v>
      </c>
      <c r="DJ221" s="19">
        <v>0</v>
      </c>
      <c r="DK221" s="19">
        <v>0</v>
      </c>
      <c r="DL221" s="19">
        <v>0</v>
      </c>
      <c r="DM221" s="19">
        <v>0</v>
      </c>
      <c r="DN221" s="19">
        <v>0</v>
      </c>
      <c r="DO221" s="19">
        <v>0</v>
      </c>
      <c r="DP221" s="19">
        <v>0</v>
      </c>
      <c r="DQ221" s="19">
        <v>0</v>
      </c>
      <c r="DR221" s="19">
        <v>0</v>
      </c>
      <c r="DS221" s="19">
        <v>0</v>
      </c>
      <c r="DT221" s="19">
        <v>0</v>
      </c>
      <c r="DU221" s="19">
        <v>0</v>
      </c>
      <c r="DV221" s="19">
        <v>0</v>
      </c>
      <c r="DW221" s="17" t="s">
        <v>635</v>
      </c>
      <c r="DX221" s="22" t="s">
        <v>218</v>
      </c>
      <c r="DY221" s="22">
        <v>5</v>
      </c>
      <c r="DZ221" s="22">
        <v>5</v>
      </c>
      <c r="EA221" s="22">
        <v>5</v>
      </c>
      <c r="EB221" s="22" t="s">
        <v>218</v>
      </c>
      <c r="EC221" s="22">
        <v>5</v>
      </c>
      <c r="ED221" s="22">
        <v>5</v>
      </c>
      <c r="EE221" s="22" t="s">
        <v>218</v>
      </c>
      <c r="EF221" s="22">
        <v>5</v>
      </c>
      <c r="EG221" s="22">
        <v>5</v>
      </c>
      <c r="EH221" s="22">
        <v>5</v>
      </c>
      <c r="EI221" s="22">
        <v>5</v>
      </c>
      <c r="EJ221" s="22">
        <v>5</v>
      </c>
      <c r="EK221" s="22">
        <v>5</v>
      </c>
      <c r="EL221" s="22">
        <v>5</v>
      </c>
      <c r="EM221" s="22">
        <v>5</v>
      </c>
      <c r="EN221" s="22">
        <v>5</v>
      </c>
      <c r="EO221" s="22">
        <v>5</v>
      </c>
      <c r="EP221" s="22">
        <v>5</v>
      </c>
      <c r="EQ221" s="22">
        <v>5</v>
      </c>
      <c r="ER221" s="22">
        <v>5</v>
      </c>
      <c r="ES221" s="22">
        <v>5</v>
      </c>
      <c r="ET221" s="22">
        <v>5</v>
      </c>
      <c r="EU221" s="22">
        <v>5</v>
      </c>
      <c r="EV221" s="22" t="s">
        <v>218</v>
      </c>
      <c r="EW221" s="22">
        <v>5</v>
      </c>
      <c r="EX221" s="22">
        <v>5</v>
      </c>
      <c r="EY221" s="22" t="s">
        <v>218</v>
      </c>
      <c r="EZ221" s="22">
        <v>5</v>
      </c>
      <c r="FA221" s="22">
        <v>5</v>
      </c>
      <c r="FB221" s="22">
        <v>5</v>
      </c>
      <c r="FC221" s="22">
        <v>5</v>
      </c>
      <c r="FD221" s="22" t="s">
        <v>218</v>
      </c>
      <c r="FE221" s="22" t="s">
        <v>218</v>
      </c>
      <c r="FF221" s="22" t="s">
        <v>218</v>
      </c>
      <c r="FG221" s="22">
        <v>0.23</v>
      </c>
      <c r="FH221" s="22">
        <v>0.1</v>
      </c>
      <c r="FI221" s="22">
        <v>0.14000000000000001</v>
      </c>
      <c r="FJ221" s="22" t="s">
        <v>218</v>
      </c>
      <c r="FK221" s="22">
        <v>0.27</v>
      </c>
      <c r="FL221" s="22">
        <v>0.55000000000000004</v>
      </c>
      <c r="FM221" s="22" t="s">
        <v>218</v>
      </c>
      <c r="FN221" s="22">
        <v>1.18</v>
      </c>
      <c r="FO221" s="22">
        <v>0.99</v>
      </c>
      <c r="FP221" s="22">
        <v>0.66</v>
      </c>
      <c r="FQ221" s="22">
        <v>0.12</v>
      </c>
      <c r="FR221" s="22">
        <v>0.15</v>
      </c>
      <c r="FS221" s="22">
        <v>0.42</v>
      </c>
      <c r="FT221" s="22">
        <v>0.05</v>
      </c>
      <c r="FU221" s="22">
        <v>0.08</v>
      </c>
      <c r="FV221" s="22">
        <v>0.75</v>
      </c>
      <c r="FW221" s="22">
        <v>0.17</v>
      </c>
      <c r="FX221" s="22">
        <v>1.21</v>
      </c>
      <c r="FY221" s="22">
        <v>0.32</v>
      </c>
      <c r="FZ221" s="22">
        <v>0.15</v>
      </c>
      <c r="GA221" s="22">
        <v>0.48</v>
      </c>
      <c r="GB221" s="22">
        <v>0.12</v>
      </c>
      <c r="GC221" s="22">
        <v>0.18</v>
      </c>
      <c r="GD221" s="22" t="s">
        <v>218</v>
      </c>
      <c r="GE221" s="22">
        <v>1.31</v>
      </c>
      <c r="GF221" s="22">
        <v>0.05</v>
      </c>
      <c r="GG221" s="22" t="s">
        <v>218</v>
      </c>
      <c r="GH221" s="22">
        <v>16.88</v>
      </c>
      <c r="GI221" s="22">
        <v>2.0499999999999998</v>
      </c>
      <c r="GJ221" s="22">
        <v>2.2599999999999998</v>
      </c>
      <c r="GK221" s="22">
        <v>13.13</v>
      </c>
      <c r="GL221" s="22" t="s">
        <v>218</v>
      </c>
      <c r="GM221" s="22" t="s">
        <v>218</v>
      </c>
      <c r="GN221" s="22" t="s">
        <v>218</v>
      </c>
      <c r="GO221" s="22">
        <v>2014</v>
      </c>
      <c r="GP221" s="22">
        <v>2014</v>
      </c>
      <c r="GQ221" s="22">
        <v>2014</v>
      </c>
      <c r="GR221" s="22" t="s">
        <v>218</v>
      </c>
      <c r="GS221" s="22">
        <v>2014</v>
      </c>
      <c r="GT221" s="22">
        <v>2014</v>
      </c>
      <c r="GU221" s="22" t="s">
        <v>218</v>
      </c>
      <c r="GV221" s="22">
        <v>2014</v>
      </c>
      <c r="GW221" s="22">
        <v>2014</v>
      </c>
      <c r="GX221" s="22">
        <v>2014</v>
      </c>
      <c r="GY221" s="22">
        <v>2014</v>
      </c>
      <c r="GZ221" s="22">
        <v>2014</v>
      </c>
      <c r="HA221" s="22">
        <v>2014</v>
      </c>
      <c r="HB221" s="22">
        <v>2014</v>
      </c>
      <c r="HC221" s="22">
        <v>2014</v>
      </c>
      <c r="HD221" s="22">
        <v>2014</v>
      </c>
      <c r="HE221" s="22">
        <v>2014</v>
      </c>
      <c r="HF221" s="22">
        <v>2014</v>
      </c>
      <c r="HG221" s="22">
        <v>2014</v>
      </c>
      <c r="HH221" s="22">
        <v>2014</v>
      </c>
      <c r="HI221" s="22">
        <v>2014</v>
      </c>
      <c r="HJ221" s="22">
        <v>2014</v>
      </c>
      <c r="HK221" s="22">
        <v>2014</v>
      </c>
      <c r="HL221" s="22" t="s">
        <v>218</v>
      </c>
      <c r="HM221" s="622">
        <f>'background data'!$G$18</f>
        <v>0.54099999999999993</v>
      </c>
      <c r="HN221" s="622">
        <f>'background data'!$H$18</f>
        <v>0.11600000000000001</v>
      </c>
      <c r="HO221" s="622">
        <f>'background data'!$J$18</f>
        <v>0.25</v>
      </c>
      <c r="HP221" s="622">
        <f>'background data'!$L$18</f>
        <v>1.2999999999999999E-2</v>
      </c>
      <c r="HQ221" s="622">
        <f>'background data'!$M$18</f>
        <v>8.86</v>
      </c>
      <c r="HR221" s="622">
        <f>'background data'!$N$18</f>
        <v>6.9299999999999995E-3</v>
      </c>
      <c r="HS221" s="622">
        <f>'background data'!$O$18</f>
        <v>1.75</v>
      </c>
      <c r="HT221" s="145" t="s">
        <v>1805</v>
      </c>
      <c r="HU221" s="145" t="s">
        <v>1809</v>
      </c>
      <c r="HV221" s="22" t="s">
        <v>1979</v>
      </c>
      <c r="HW221" s="22" t="s">
        <v>640</v>
      </c>
      <c r="HX221" s="22" t="s">
        <v>641</v>
      </c>
      <c r="HY221" s="22" t="s">
        <v>642</v>
      </c>
      <c r="HZ221" s="19"/>
      <c r="IA221" s="19"/>
      <c r="IB221" s="622">
        <f>'background data'!$G$18</f>
        <v>0.54099999999999993</v>
      </c>
      <c r="IC221" s="622">
        <f>'background data'!$H$18</f>
        <v>0.11600000000000001</v>
      </c>
      <c r="ID221" s="622">
        <f>'background data'!$J$18</f>
        <v>0.25</v>
      </c>
      <c r="IE221" s="622">
        <f>'background data'!$L$18</f>
        <v>1.2999999999999999E-2</v>
      </c>
      <c r="IF221" s="622">
        <f>'background data'!$M$18</f>
        <v>8.86</v>
      </c>
      <c r="IG221" s="622">
        <f>'background data'!$N$18</f>
        <v>6.9299999999999995E-3</v>
      </c>
      <c r="IH221" s="622">
        <f>'background data'!$O$18</f>
        <v>1.75</v>
      </c>
      <c r="II221" s="145" t="s">
        <v>1805</v>
      </c>
      <c r="IJ221" s="145"/>
      <c r="IK221" s="145"/>
      <c r="IL221" s="145"/>
      <c r="IM221" s="145"/>
      <c r="IN221" s="145"/>
      <c r="IO221" s="145"/>
      <c r="IP221" s="145"/>
      <c r="IQ221" s="145"/>
      <c r="IR221" s="145"/>
      <c r="IS221" s="145"/>
      <c r="IT221" s="145"/>
      <c r="IU221" s="145"/>
      <c r="IV221" s="145"/>
      <c r="IW221" s="145"/>
      <c r="IX221" s="145"/>
      <c r="IY221" s="145"/>
      <c r="IZ221" s="145"/>
      <c r="JA221" s="145"/>
      <c r="JB221" s="145"/>
      <c r="JC221" s="145"/>
      <c r="JD221" s="145"/>
      <c r="JE221" s="145"/>
      <c r="JF221" s="145"/>
      <c r="JG221" s="145"/>
      <c r="JH221" s="145"/>
      <c r="JI221" s="145"/>
      <c r="JJ221" s="145"/>
      <c r="JK221" s="145"/>
      <c r="JL221" s="145"/>
      <c r="JM221" s="145"/>
      <c r="JN221" s="145"/>
      <c r="JO221" s="145"/>
      <c r="JP221" s="145"/>
      <c r="JQ221" s="145"/>
      <c r="JR221" s="145"/>
      <c r="JS221" s="145"/>
      <c r="JT221" s="145"/>
      <c r="JU221" s="145"/>
      <c r="JV221" s="145"/>
      <c r="JW221" s="145"/>
      <c r="JX221" s="145"/>
      <c r="JY221" s="145"/>
      <c r="JZ221" s="145"/>
      <c r="KA221" s="145"/>
      <c r="KB221" s="145"/>
      <c r="KC221" s="145"/>
      <c r="KD221" s="145"/>
      <c r="KE221" s="145"/>
      <c r="KF221" s="145"/>
      <c r="KG221" s="145"/>
      <c r="KH221" s="145"/>
      <c r="KI221" s="145"/>
      <c r="KJ221" s="145"/>
      <c r="KK221" s="145"/>
      <c r="KL221" s="145"/>
      <c r="KM221" s="145"/>
      <c r="KN221" s="145"/>
      <c r="KO221" s="145"/>
      <c r="KP221" s="145"/>
      <c r="KQ221" s="145"/>
      <c r="KR221" s="145"/>
      <c r="KS221" s="145"/>
      <c r="KT221" s="145"/>
      <c r="KU221" s="145"/>
      <c r="KV221" s="145"/>
      <c r="KW221" s="145"/>
      <c r="KX221" s="145"/>
      <c r="KY221" s="145"/>
      <c r="KZ221" s="145"/>
      <c r="LA221" s="145"/>
      <c r="LB221" s="145"/>
      <c r="LC221" s="145"/>
      <c r="LD221" s="145"/>
      <c r="LE221" s="145"/>
      <c r="LF221" s="145"/>
      <c r="LG221" s="145"/>
      <c r="LH221" s="145"/>
      <c r="LI221" s="145"/>
      <c r="LJ221" s="145"/>
      <c r="LK221" s="145"/>
      <c r="LL221" s="145"/>
      <c r="LM221" s="145"/>
      <c r="LN221" s="145"/>
      <c r="LO221" s="145"/>
      <c r="LP221" s="145"/>
      <c r="LQ221" s="145"/>
      <c r="LR221" s="145"/>
      <c r="LS221" s="145"/>
      <c r="LT221" s="145"/>
      <c r="LU221" s="145"/>
      <c r="LV221" s="145"/>
      <c r="LW221" s="145"/>
      <c r="LX221" s="145"/>
      <c r="LY221" s="145"/>
      <c r="LZ221" s="145"/>
      <c r="MA221" s="145"/>
      <c r="MB221" s="145"/>
      <c r="MC221" s="145"/>
      <c r="MD221" s="145"/>
      <c r="ME221" s="145"/>
      <c r="MF221" s="145"/>
      <c r="MG221" s="145"/>
      <c r="MH221" s="145"/>
      <c r="MI221" s="145"/>
      <c r="MJ221" s="145"/>
      <c r="MK221" s="145"/>
      <c r="ML221" s="145"/>
      <c r="MM221" s="145"/>
      <c r="MN221" s="145"/>
      <c r="MO221" s="145"/>
      <c r="MP221" s="145"/>
      <c r="MQ221" s="145"/>
      <c r="MR221" s="145"/>
      <c r="MS221" s="145"/>
      <c r="MT221" s="145"/>
      <c r="MU221" s="145"/>
      <c r="MV221" s="145"/>
      <c r="MW221" s="145"/>
      <c r="MX221" s="145"/>
      <c r="MY221" s="145"/>
      <c r="MZ221" s="145"/>
      <c r="NA221" s="145"/>
      <c r="NB221" s="145"/>
      <c r="NC221" s="145"/>
      <c r="ND221" s="145"/>
      <c r="NE221" s="145"/>
      <c r="NF221" s="145"/>
      <c r="NG221" s="145"/>
      <c r="NH221" s="145"/>
      <c r="NI221" s="145"/>
      <c r="NJ221" s="145"/>
      <c r="NK221" s="145"/>
      <c r="NL221" s="145"/>
      <c r="NM221" s="145"/>
      <c r="NN221" s="145"/>
      <c r="NO221" s="145"/>
      <c r="NP221" s="145"/>
      <c r="NQ221" s="145"/>
      <c r="NR221" s="145"/>
      <c r="NS221" s="145"/>
    </row>
    <row r="222" spans="1:383" s="16" customFormat="1" ht="15" customHeight="1" x14ac:dyDescent="0.2">
      <c r="A222" s="15">
        <v>61100</v>
      </c>
      <c r="B222" s="25">
        <v>611</v>
      </c>
      <c r="C222" s="26">
        <v>0</v>
      </c>
      <c r="D222" s="20" t="s">
        <v>645</v>
      </c>
      <c r="E222" s="14">
        <v>42517</v>
      </c>
      <c r="F222" s="18">
        <v>0.87887776004646201</v>
      </c>
      <c r="G222" s="18">
        <v>0.91469030467680601</v>
      </c>
      <c r="H222" s="21">
        <v>91.3</v>
      </c>
      <c r="I222" s="21">
        <v>72.2</v>
      </c>
      <c r="J222" s="21">
        <v>95</v>
      </c>
      <c r="K222" s="18">
        <v>1</v>
      </c>
      <c r="L222" s="18">
        <v>87.6</v>
      </c>
      <c r="M222" s="18">
        <v>42.661200000000001</v>
      </c>
      <c r="N222" s="18">
        <v>2.5404</v>
      </c>
      <c r="O222" s="18">
        <v>6.4824000000000002</v>
      </c>
      <c r="P222" s="18">
        <v>6.4824000000000002</v>
      </c>
      <c r="Q222" s="19"/>
      <c r="R222" s="18">
        <v>88</v>
      </c>
      <c r="S222" s="18">
        <v>39</v>
      </c>
      <c r="T222" s="18">
        <v>51</v>
      </c>
      <c r="U222" s="18">
        <v>56</v>
      </c>
      <c r="V222" s="18">
        <v>60</v>
      </c>
      <c r="W222" s="18">
        <v>63</v>
      </c>
      <c r="X222" s="18"/>
      <c r="Y222" s="18">
        <v>3.9</v>
      </c>
      <c r="Z222" s="18">
        <v>7.6000000000000005</v>
      </c>
      <c r="AA222" s="18">
        <v>0.1</v>
      </c>
      <c r="AB222" s="18">
        <v>0.2</v>
      </c>
      <c r="AC222" s="18">
        <v>27.000000000000004</v>
      </c>
      <c r="AD222" s="18">
        <v>3.7</v>
      </c>
      <c r="AE222" s="18">
        <v>4</v>
      </c>
      <c r="AF222" s="18">
        <v>290</v>
      </c>
      <c r="AG222" s="18">
        <v>17</v>
      </c>
      <c r="AH222" s="18">
        <v>55.000000000000007</v>
      </c>
      <c r="AI222" s="18">
        <v>55.000000000000007</v>
      </c>
      <c r="AJ222" s="18">
        <v>0</v>
      </c>
      <c r="AK222" s="18">
        <v>0.19000000000000003</v>
      </c>
      <c r="AL222" s="18"/>
      <c r="AM222" s="18">
        <v>6.09</v>
      </c>
      <c r="AN222" s="18">
        <v>1.31</v>
      </c>
      <c r="AO222" s="18">
        <v>1.39</v>
      </c>
      <c r="AP222" s="18">
        <v>3.85</v>
      </c>
      <c r="AQ222" s="18">
        <v>1.34</v>
      </c>
      <c r="AR222" s="18">
        <v>4.3899999999999997</v>
      </c>
      <c r="AS222" s="18">
        <v>7.68</v>
      </c>
      <c r="AT222" s="18">
        <v>2.62</v>
      </c>
      <c r="AU222" s="18">
        <v>4.96</v>
      </c>
      <c r="AV222" s="18">
        <v>3.68</v>
      </c>
      <c r="AW222" s="18">
        <v>4.6900000000000004</v>
      </c>
      <c r="AX222" s="18"/>
      <c r="AY222" s="18">
        <v>1</v>
      </c>
      <c r="AZ222" s="18">
        <v>1.02</v>
      </c>
      <c r="BA222" s="18">
        <v>0.97</v>
      </c>
      <c r="BB222" s="18">
        <v>0.97</v>
      </c>
      <c r="BC222" s="18">
        <v>1.02</v>
      </c>
      <c r="BD222" s="18">
        <v>0.99</v>
      </c>
      <c r="BE222" s="18">
        <v>0.98</v>
      </c>
      <c r="BF222" s="18">
        <v>1.01</v>
      </c>
      <c r="BG222" s="18">
        <v>1</v>
      </c>
      <c r="BH222" s="18">
        <v>0.99</v>
      </c>
      <c r="BI222" s="18">
        <v>0.97</v>
      </c>
      <c r="BJ222" s="19"/>
      <c r="BK222" s="18">
        <v>48.7</v>
      </c>
      <c r="BL222" s="18">
        <v>2.9</v>
      </c>
      <c r="BM222" s="18">
        <v>7.4</v>
      </c>
      <c r="BN222" s="18">
        <v>7.4</v>
      </c>
      <c r="BO222" s="18"/>
      <c r="BP222" s="18">
        <v>130</v>
      </c>
      <c r="BQ222" s="18">
        <v>37.700000000000003</v>
      </c>
      <c r="BR222" s="18">
        <v>1.0032851142082899</v>
      </c>
      <c r="BS222" s="18">
        <v>1.0441670144712398</v>
      </c>
      <c r="BT222" s="19"/>
      <c r="BU222" s="18">
        <v>926.00000000000011</v>
      </c>
      <c r="BV222" s="18">
        <v>121.47228571428653</v>
      </c>
      <c r="BW222" s="18">
        <v>252.66571428571348</v>
      </c>
      <c r="BX222" s="18" t="s">
        <v>217</v>
      </c>
      <c r="BY222" s="18" t="s">
        <v>217</v>
      </c>
      <c r="BZ222" s="18">
        <v>83.162082857142821</v>
      </c>
      <c r="CA222" s="18">
        <v>224.84563142857075</v>
      </c>
      <c r="CB222" s="19"/>
      <c r="CC222" s="19">
        <v>3.4163999999999994</v>
      </c>
      <c r="CD222" s="19">
        <v>6.6575999999999995</v>
      </c>
      <c r="CE222" s="19">
        <v>8.7599999999999997E-2</v>
      </c>
      <c r="CF222" s="19">
        <v>0.17519999999999999</v>
      </c>
      <c r="CG222" s="19">
        <v>23.652000000000001</v>
      </c>
      <c r="CH222" s="19">
        <v>3.2411999999999996</v>
      </c>
      <c r="CI222" s="19">
        <v>3.5039999999999996</v>
      </c>
      <c r="CJ222" s="19"/>
      <c r="CK222" s="19">
        <v>254.03999999999996</v>
      </c>
      <c r="CL222" s="19">
        <v>14.891999999999998</v>
      </c>
      <c r="CM222" s="19">
        <v>48.18</v>
      </c>
      <c r="CN222" s="19">
        <v>48.18</v>
      </c>
      <c r="CO222" s="19">
        <v>0</v>
      </c>
      <c r="CP222" s="19">
        <v>0.16644</v>
      </c>
      <c r="CQ222" s="19">
        <v>375.41856000000001</v>
      </c>
      <c r="CR222" s="19">
        <v>427.15674131992307</v>
      </c>
      <c r="CS222" s="19">
        <v>26.013845546383315</v>
      </c>
      <c r="CT222" s="19">
        <v>5.7076683775168124</v>
      </c>
      <c r="CU222" s="19">
        <v>5.7593543432165228</v>
      </c>
      <c r="CV222" s="19">
        <v>11.467022720733336</v>
      </c>
      <c r="CW222" s="19">
        <v>15.952168504592528</v>
      </c>
      <c r="CX222" s="19">
        <v>5.8383783403607081</v>
      </c>
      <c r="CY222" s="19">
        <v>18.564659134505174</v>
      </c>
      <c r="CZ222" s="19">
        <v>32.149524978702686</v>
      </c>
      <c r="DA222" s="19">
        <v>11.303421688807806</v>
      </c>
      <c r="DB222" s="19">
        <v>21.186974369468182</v>
      </c>
      <c r="DC222" s="19">
        <v>15.562174399767438</v>
      </c>
      <c r="DD222" s="19">
        <v>36.749148769235617</v>
      </c>
      <c r="DE222" s="19">
        <v>19.432641632867259</v>
      </c>
      <c r="DF222" s="23">
        <v>0</v>
      </c>
      <c r="DG222" s="23">
        <v>0</v>
      </c>
      <c r="DH222" s="23">
        <v>0</v>
      </c>
      <c r="DI222" s="19">
        <v>0</v>
      </c>
      <c r="DJ222" s="19">
        <v>0</v>
      </c>
      <c r="DK222" s="19">
        <v>0</v>
      </c>
      <c r="DL222" s="19">
        <v>0</v>
      </c>
      <c r="DM222" s="19">
        <v>0</v>
      </c>
      <c r="DN222" s="19">
        <v>0</v>
      </c>
      <c r="DO222" s="19">
        <v>0</v>
      </c>
      <c r="DP222" s="19">
        <v>0</v>
      </c>
      <c r="DQ222" s="19">
        <v>0</v>
      </c>
      <c r="DR222" s="19">
        <v>0</v>
      </c>
      <c r="DS222" s="19">
        <v>0</v>
      </c>
      <c r="DT222" s="19">
        <v>0</v>
      </c>
      <c r="DU222" s="19">
        <v>0</v>
      </c>
      <c r="DV222" s="19">
        <v>0</v>
      </c>
      <c r="DW222" s="17" t="s">
        <v>646</v>
      </c>
      <c r="DX222" s="22" t="s">
        <v>218</v>
      </c>
      <c r="DY222" s="22" t="s">
        <v>218</v>
      </c>
      <c r="DZ222" s="22" t="s">
        <v>218</v>
      </c>
      <c r="EA222" s="22" t="s">
        <v>218</v>
      </c>
      <c r="EB222" s="22" t="s">
        <v>218</v>
      </c>
      <c r="EC222" s="22" t="s">
        <v>218</v>
      </c>
      <c r="ED222" s="22" t="s">
        <v>218</v>
      </c>
      <c r="EE222" s="22" t="s">
        <v>218</v>
      </c>
      <c r="EF222" s="22" t="s">
        <v>218</v>
      </c>
      <c r="EG222" s="22" t="s">
        <v>218</v>
      </c>
      <c r="EH222" s="22">
        <v>6</v>
      </c>
      <c r="EI222" s="22">
        <v>6</v>
      </c>
      <c r="EJ222" s="22">
        <v>6</v>
      </c>
      <c r="EK222" s="22">
        <v>6</v>
      </c>
      <c r="EL222" s="22" t="s">
        <v>218</v>
      </c>
      <c r="EM222" s="22" t="s">
        <v>218</v>
      </c>
      <c r="EN222" s="22">
        <v>6</v>
      </c>
      <c r="EO222" s="22">
        <v>6</v>
      </c>
      <c r="EP222" s="22">
        <v>6</v>
      </c>
      <c r="EQ222" s="22">
        <v>6</v>
      </c>
      <c r="ER222" s="22">
        <v>6</v>
      </c>
      <c r="ES222" s="22">
        <v>7</v>
      </c>
      <c r="ET222" s="22">
        <v>8</v>
      </c>
      <c r="EU222" s="22" t="s">
        <v>218</v>
      </c>
      <c r="EV222" s="22">
        <v>3</v>
      </c>
      <c r="EW222" s="22">
        <v>7</v>
      </c>
      <c r="EX222" s="22">
        <v>4</v>
      </c>
      <c r="EY222" s="22">
        <v>7</v>
      </c>
      <c r="EZ222" s="22">
        <v>7</v>
      </c>
      <c r="FA222" s="22">
        <v>7</v>
      </c>
      <c r="FB222" s="22">
        <v>7</v>
      </c>
      <c r="FC222" s="22">
        <v>7</v>
      </c>
      <c r="FD222" s="22" t="s">
        <v>218</v>
      </c>
      <c r="FE222" s="22" t="s">
        <v>218</v>
      </c>
      <c r="FF222" s="22" t="s">
        <v>218</v>
      </c>
      <c r="FG222" s="22" t="s">
        <v>218</v>
      </c>
      <c r="FH222" s="22" t="s">
        <v>218</v>
      </c>
      <c r="FI222" s="22" t="s">
        <v>218</v>
      </c>
      <c r="FJ222" s="22" t="s">
        <v>218</v>
      </c>
      <c r="FK222" s="22" t="s">
        <v>218</v>
      </c>
      <c r="FL222" s="22" t="s">
        <v>218</v>
      </c>
      <c r="FM222" s="22" t="s">
        <v>218</v>
      </c>
      <c r="FN222" s="22" t="s">
        <v>218</v>
      </c>
      <c r="FO222" s="22" t="s">
        <v>218</v>
      </c>
      <c r="FP222" s="22">
        <v>0.3</v>
      </c>
      <c r="FQ222" s="22">
        <v>0.03</v>
      </c>
      <c r="FR222" s="22">
        <v>0.09</v>
      </c>
      <c r="FS222" s="22">
        <v>0.12</v>
      </c>
      <c r="FT222" s="22" t="s">
        <v>218</v>
      </c>
      <c r="FU222" s="22" t="s">
        <v>218</v>
      </c>
      <c r="FV222" s="22">
        <v>0.18</v>
      </c>
      <c r="FW222" s="22">
        <v>0.12</v>
      </c>
      <c r="FX222" s="22">
        <v>0.12</v>
      </c>
      <c r="FY222" s="22">
        <v>0.12</v>
      </c>
      <c r="FZ222" s="22">
        <v>0.1</v>
      </c>
      <c r="GA222" s="22">
        <v>0.36</v>
      </c>
      <c r="GB222" s="22">
        <v>0.6</v>
      </c>
      <c r="GC222" s="22" t="s">
        <v>218</v>
      </c>
      <c r="GD222" s="22" t="s">
        <v>218</v>
      </c>
      <c r="GE222" s="22">
        <v>1.36</v>
      </c>
      <c r="GF222" s="22">
        <v>0.17</v>
      </c>
      <c r="GG222" s="22">
        <v>0.28000000000000003</v>
      </c>
      <c r="GH222" s="22">
        <v>217.2</v>
      </c>
      <c r="GI222" s="22">
        <v>1.76</v>
      </c>
      <c r="GJ222" s="22">
        <v>9.7100000000000009</v>
      </c>
      <c r="GK222" s="22">
        <v>4.3600000000000003</v>
      </c>
      <c r="GL222" s="22" t="s">
        <v>218</v>
      </c>
      <c r="GM222" s="22" t="s">
        <v>218</v>
      </c>
      <c r="GN222" s="22" t="s">
        <v>218</v>
      </c>
      <c r="GO222" s="22" t="s">
        <v>218</v>
      </c>
      <c r="GP222" s="22" t="s">
        <v>218</v>
      </c>
      <c r="GQ222" s="22" t="s">
        <v>218</v>
      </c>
      <c r="GR222" s="22" t="s">
        <v>218</v>
      </c>
      <c r="GS222" s="22" t="s">
        <v>218</v>
      </c>
      <c r="GT222" s="22" t="s">
        <v>218</v>
      </c>
      <c r="GU222" s="22" t="s">
        <v>218</v>
      </c>
      <c r="GV222" s="22" t="s">
        <v>218</v>
      </c>
      <c r="GW222" s="22" t="s">
        <v>218</v>
      </c>
      <c r="GX222" s="22">
        <v>2005</v>
      </c>
      <c r="GY222" s="22">
        <v>2005</v>
      </c>
      <c r="GZ222" s="22">
        <v>2005</v>
      </c>
      <c r="HA222" s="22">
        <v>2005</v>
      </c>
      <c r="HB222" s="22" t="s">
        <v>218</v>
      </c>
      <c r="HC222" s="22" t="s">
        <v>218</v>
      </c>
      <c r="HD222" s="22">
        <v>2005</v>
      </c>
      <c r="HE222" s="22">
        <v>2005</v>
      </c>
      <c r="HF222" s="22">
        <v>2005</v>
      </c>
      <c r="HG222" s="22">
        <v>2005</v>
      </c>
      <c r="HH222" s="22">
        <v>2005</v>
      </c>
      <c r="HI222" s="22">
        <v>2005</v>
      </c>
      <c r="HJ222" s="22">
        <v>2005</v>
      </c>
      <c r="HK222" s="22" t="s">
        <v>218</v>
      </c>
      <c r="HL222" s="22">
        <v>2005</v>
      </c>
      <c r="HM222" s="622">
        <f>'background data'!$G$18</f>
        <v>0.54099999999999993</v>
      </c>
      <c r="HN222" s="622">
        <f>'background data'!$H$18</f>
        <v>0.11600000000000001</v>
      </c>
      <c r="HO222" s="622">
        <f>'background data'!$J$18</f>
        <v>0.25</v>
      </c>
      <c r="HP222" s="622">
        <f>'background data'!$L$18</f>
        <v>1.2999999999999999E-2</v>
      </c>
      <c r="HQ222" s="622">
        <f>'background data'!$M$18</f>
        <v>8.86</v>
      </c>
      <c r="HR222" s="622">
        <f>'background data'!$N$18</f>
        <v>6.9299999999999995E-3</v>
      </c>
      <c r="HS222" s="622">
        <f>'background data'!$O$18</f>
        <v>1.75</v>
      </c>
      <c r="HT222" s="145" t="s">
        <v>1805</v>
      </c>
      <c r="HU222" s="145" t="s">
        <v>1809</v>
      </c>
      <c r="HV222" s="22" t="s">
        <v>1979</v>
      </c>
      <c r="HW222" s="22" t="s">
        <v>647</v>
      </c>
      <c r="HX222" s="22" t="s">
        <v>637</v>
      </c>
      <c r="HY222" s="22" t="s">
        <v>648</v>
      </c>
      <c r="HZ222" s="19"/>
      <c r="IA222" s="19"/>
      <c r="IB222" s="622">
        <f>'background data'!$G$18</f>
        <v>0.54099999999999993</v>
      </c>
      <c r="IC222" s="622">
        <f>'background data'!$H$18</f>
        <v>0.11600000000000001</v>
      </c>
      <c r="ID222" s="622">
        <f>'background data'!$J$18</f>
        <v>0.25</v>
      </c>
      <c r="IE222" s="622">
        <f>'background data'!$L$18</f>
        <v>1.2999999999999999E-2</v>
      </c>
      <c r="IF222" s="622">
        <f>'background data'!$M$18</f>
        <v>8.86</v>
      </c>
      <c r="IG222" s="622">
        <f>'background data'!$N$18</f>
        <v>6.9299999999999995E-3</v>
      </c>
      <c r="IH222" s="622">
        <f>'background data'!$O$18</f>
        <v>1.75</v>
      </c>
      <c r="II222" s="145" t="s">
        <v>1805</v>
      </c>
      <c r="IJ222" s="145"/>
      <c r="IK222" s="145"/>
      <c r="IL222" s="145"/>
      <c r="IM222" s="145"/>
      <c r="IN222" s="145"/>
      <c r="IO222" s="145"/>
      <c r="IP222" s="145"/>
      <c r="IQ222" s="145"/>
      <c r="IR222" s="145"/>
      <c r="IS222" s="145"/>
      <c r="IT222" s="145"/>
      <c r="IU222" s="145"/>
      <c r="IV222" s="145"/>
      <c r="IW222" s="145"/>
      <c r="IX222" s="145"/>
      <c r="IY222" s="145"/>
      <c r="IZ222" s="145"/>
      <c r="JA222" s="145"/>
      <c r="JB222" s="145"/>
      <c r="JC222" s="145"/>
      <c r="JD222" s="145"/>
      <c r="JE222" s="145"/>
      <c r="JF222" s="145"/>
      <c r="JG222" s="145"/>
      <c r="JH222" s="145"/>
      <c r="JI222" s="145"/>
      <c r="JJ222" s="145"/>
      <c r="JK222" s="145"/>
      <c r="JL222" s="145"/>
      <c r="JM222" s="145"/>
      <c r="JN222" s="145"/>
      <c r="JO222" s="145"/>
      <c r="JP222" s="145"/>
      <c r="JQ222" s="145"/>
      <c r="JR222" s="145"/>
      <c r="JS222" s="145"/>
      <c r="JT222" s="145"/>
      <c r="JU222" s="145"/>
      <c r="JV222" s="145"/>
      <c r="JW222" s="145"/>
      <c r="JX222" s="145"/>
      <c r="JY222" s="145"/>
      <c r="JZ222" s="145"/>
      <c r="KA222" s="145"/>
      <c r="KB222" s="145"/>
      <c r="KC222" s="145"/>
      <c r="KD222" s="145"/>
      <c r="KE222" s="145"/>
      <c r="KF222" s="145"/>
      <c r="KG222" s="145"/>
      <c r="KH222" s="145"/>
      <c r="KI222" s="145"/>
      <c r="KJ222" s="145"/>
      <c r="KK222" s="145"/>
      <c r="KL222" s="145"/>
      <c r="KM222" s="145"/>
      <c r="KN222" s="145"/>
      <c r="KO222" s="145"/>
      <c r="KP222" s="145"/>
      <c r="KQ222" s="145"/>
      <c r="KR222" s="145"/>
      <c r="KS222" s="145"/>
      <c r="KT222" s="145"/>
      <c r="KU222" s="145"/>
      <c r="KV222" s="145"/>
      <c r="KW222" s="145"/>
      <c r="KX222" s="145"/>
      <c r="KY222" s="145"/>
      <c r="KZ222" s="145"/>
      <c r="LA222" s="145"/>
      <c r="LB222" s="145"/>
      <c r="LC222" s="145"/>
      <c r="LD222" s="145"/>
      <c r="LE222" s="145"/>
      <c r="LF222" s="145"/>
      <c r="LG222" s="145"/>
      <c r="LH222" s="145"/>
      <c r="LI222" s="145"/>
      <c r="LJ222" s="145"/>
      <c r="LK222" s="145"/>
      <c r="LL222" s="145"/>
      <c r="LM222" s="145"/>
      <c r="LN222" s="145"/>
      <c r="LO222" s="145"/>
      <c r="LP222" s="145"/>
      <c r="LQ222" s="145"/>
      <c r="LR222" s="145"/>
      <c r="LS222" s="145"/>
      <c r="LT222" s="145"/>
      <c r="LU222" s="145"/>
      <c r="LV222" s="145"/>
      <c r="LW222" s="145"/>
      <c r="LX222" s="145"/>
      <c r="LY222" s="145"/>
      <c r="LZ222" s="145"/>
      <c r="MA222" s="145"/>
      <c r="MB222" s="145"/>
      <c r="MC222" s="145"/>
      <c r="MD222" s="145"/>
      <c r="ME222" s="145"/>
      <c r="MF222" s="145"/>
      <c r="MG222" s="145"/>
      <c r="MH222" s="145"/>
      <c r="MI222" s="145"/>
      <c r="MJ222" s="145"/>
      <c r="MK222" s="145"/>
      <c r="ML222" s="145"/>
      <c r="MM222" s="145"/>
      <c r="MN222" s="145"/>
      <c r="MO222" s="145"/>
      <c r="MP222" s="145"/>
      <c r="MQ222" s="145"/>
      <c r="MR222" s="145"/>
      <c r="MS222" s="145"/>
      <c r="MT222" s="145"/>
      <c r="MU222" s="145"/>
      <c r="MV222" s="145"/>
      <c r="MW222" s="145"/>
      <c r="MX222" s="145"/>
      <c r="MY222" s="145"/>
      <c r="MZ222" s="145"/>
      <c r="NA222" s="145"/>
      <c r="NB222" s="145"/>
      <c r="NC222" s="145"/>
      <c r="ND222" s="145"/>
      <c r="NE222" s="145"/>
      <c r="NF222" s="145"/>
      <c r="NG222" s="145"/>
      <c r="NH222" s="145"/>
      <c r="NI222" s="145"/>
      <c r="NJ222" s="145"/>
      <c r="NK222" s="145"/>
      <c r="NL222" s="145"/>
      <c r="NM222" s="145"/>
      <c r="NN222" s="145"/>
      <c r="NO222" s="145"/>
      <c r="NP222" s="145"/>
      <c r="NQ222" s="145"/>
      <c r="NR222" s="145"/>
      <c r="NS222" s="145"/>
    </row>
    <row r="223" spans="1:383" s="16" customFormat="1" ht="15" customHeight="1" x14ac:dyDescent="0.2">
      <c r="A223" s="15">
        <v>62300</v>
      </c>
      <c r="B223" s="25">
        <v>623</v>
      </c>
      <c r="C223" s="26">
        <v>0</v>
      </c>
      <c r="D223" s="20" t="s">
        <v>649</v>
      </c>
      <c r="E223" s="14">
        <v>42695</v>
      </c>
      <c r="F223" s="18">
        <v>0.97693510089044</v>
      </c>
      <c r="G223" s="18">
        <v>1.02287204382932</v>
      </c>
      <c r="H223" s="21">
        <v>75.5</v>
      </c>
      <c r="I223" s="21">
        <v>62.599994500000001</v>
      </c>
      <c r="J223" s="21">
        <v>91</v>
      </c>
      <c r="K223" s="18">
        <v>1</v>
      </c>
      <c r="L223" s="18">
        <v>93.2</v>
      </c>
      <c r="M223" s="18">
        <v>33.179200000000002</v>
      </c>
      <c r="N223" s="18">
        <v>11.277200000000001</v>
      </c>
      <c r="O223" s="18">
        <v>6.1512000000000002</v>
      </c>
      <c r="P223" s="18">
        <v>17.801200000000001</v>
      </c>
      <c r="Q223" s="19"/>
      <c r="R223" s="18">
        <v>84</v>
      </c>
      <c r="S223" s="18">
        <v>15</v>
      </c>
      <c r="T223" s="18">
        <v>25</v>
      </c>
      <c r="U223" s="18">
        <v>29</v>
      </c>
      <c r="V223" s="18">
        <v>33</v>
      </c>
      <c r="W223" s="18">
        <v>35</v>
      </c>
      <c r="X223" s="18"/>
      <c r="Y223" s="18">
        <v>3.8626609442060085</v>
      </c>
      <c r="Z223" s="18">
        <v>9.2274678111587978</v>
      </c>
      <c r="AA223" s="18">
        <v>0.2</v>
      </c>
      <c r="AB223" s="18">
        <v>0</v>
      </c>
      <c r="AC223" s="18">
        <v>15</v>
      </c>
      <c r="AD223" s="18">
        <v>5.5</v>
      </c>
      <c r="AE223" s="18">
        <v>3.9</v>
      </c>
      <c r="AF223" s="18">
        <v>170</v>
      </c>
      <c r="AG223" s="18">
        <v>30</v>
      </c>
      <c r="AH223" s="18">
        <v>36</v>
      </c>
      <c r="AI223" s="18">
        <v>82</v>
      </c>
      <c r="AJ223" s="18">
        <v>0</v>
      </c>
      <c r="AK223" s="18">
        <v>0.15</v>
      </c>
      <c r="AL223" s="18"/>
      <c r="AM223" s="18">
        <v>3.5</v>
      </c>
      <c r="AN223" s="18">
        <v>2.2000000000000002</v>
      </c>
      <c r="AO223" s="18">
        <v>1.8</v>
      </c>
      <c r="AP223" s="18">
        <v>3.7</v>
      </c>
      <c r="AQ223" s="18">
        <v>1.1599999999999999</v>
      </c>
      <c r="AR223" s="18">
        <v>4.0999999999999996</v>
      </c>
      <c r="AS223" s="18">
        <v>6.3</v>
      </c>
      <c r="AT223" s="18">
        <v>2.4</v>
      </c>
      <c r="AU223" s="18">
        <v>4.5</v>
      </c>
      <c r="AV223" s="18">
        <v>2.5</v>
      </c>
      <c r="AW223" s="18">
        <v>5</v>
      </c>
      <c r="AX223" s="18"/>
      <c r="AY223" s="18">
        <v>0.96</v>
      </c>
      <c r="AZ223" s="18">
        <v>1.06</v>
      </c>
      <c r="BA223" s="18">
        <v>1.01</v>
      </c>
      <c r="BB223" s="18">
        <v>0.98</v>
      </c>
      <c r="BC223" s="18">
        <v>1.01</v>
      </c>
      <c r="BD223" s="18">
        <v>0.99</v>
      </c>
      <c r="BE223" s="18">
        <v>0.99</v>
      </c>
      <c r="BF223" s="18">
        <v>1.01</v>
      </c>
      <c r="BG223" s="18">
        <v>1.01</v>
      </c>
      <c r="BH223" s="18">
        <v>0.99</v>
      </c>
      <c r="BI223" s="18">
        <v>0.98</v>
      </c>
      <c r="BJ223" s="19"/>
      <c r="BK223" s="18">
        <v>35.6</v>
      </c>
      <c r="BL223" s="18">
        <v>12.1</v>
      </c>
      <c r="BM223" s="18">
        <v>6.6</v>
      </c>
      <c r="BN223" s="18">
        <v>19.100000000000001</v>
      </c>
      <c r="BO223" s="18"/>
      <c r="BP223" s="18">
        <v>130</v>
      </c>
      <c r="BQ223" s="18">
        <v>157.30000000000001</v>
      </c>
      <c r="BR223" s="18">
        <v>1.0482136275648497</v>
      </c>
      <c r="BS223" s="18">
        <v>1.097502192949914</v>
      </c>
      <c r="BT223" s="19"/>
      <c r="BU223" s="18">
        <v>934</v>
      </c>
      <c r="BV223" s="18">
        <v>91.71714285714279</v>
      </c>
      <c r="BW223" s="18">
        <v>172.12293052857081</v>
      </c>
      <c r="BX223" s="18">
        <v>16.759776536312767</v>
      </c>
      <c r="BY223" s="18">
        <v>55.865921787709553</v>
      </c>
      <c r="BZ223" s="18">
        <v>51.478400000000008</v>
      </c>
      <c r="CA223" s="18">
        <v>316.22445714285726</v>
      </c>
      <c r="CB223" s="19"/>
      <c r="CC223" s="19">
        <v>3.6</v>
      </c>
      <c r="CD223" s="19">
        <v>8.6</v>
      </c>
      <c r="CE223" s="19">
        <v>0.18640000000000001</v>
      </c>
      <c r="CF223" s="19">
        <v>0</v>
      </c>
      <c r="CG223" s="19">
        <v>13.98</v>
      </c>
      <c r="CH223" s="19">
        <v>5.1260000000000003</v>
      </c>
      <c r="CI223" s="19">
        <v>3.6348000000000003</v>
      </c>
      <c r="CJ223" s="19"/>
      <c r="CK223" s="19">
        <v>158.44</v>
      </c>
      <c r="CL223" s="19">
        <v>27.96</v>
      </c>
      <c r="CM223" s="19">
        <v>33.552</v>
      </c>
      <c r="CN223" s="19">
        <v>76.424000000000007</v>
      </c>
      <c r="CO223" s="19">
        <v>0</v>
      </c>
      <c r="CP223" s="19">
        <v>0.13980000000000001</v>
      </c>
      <c r="CQ223" s="19">
        <v>278.70528000000002</v>
      </c>
      <c r="CR223" s="19">
        <v>285.28535799969774</v>
      </c>
      <c r="CS223" s="19">
        <v>9.5855880287898447</v>
      </c>
      <c r="CT223" s="19">
        <v>6.6528545485529511</v>
      </c>
      <c r="CU223" s="19">
        <v>5.1864878084345047</v>
      </c>
      <c r="CV223" s="19">
        <v>11.839342356987455</v>
      </c>
      <c r="CW223" s="19">
        <v>10.34444708106904</v>
      </c>
      <c r="CX223" s="19">
        <v>3.3424032543244588</v>
      </c>
      <c r="CY223" s="19">
        <v>11.57973268120773</v>
      </c>
      <c r="CZ223" s="19">
        <v>17.793247778441149</v>
      </c>
      <c r="DA223" s="19">
        <v>6.9153170779126736</v>
      </c>
      <c r="DB223" s="19">
        <v>12.966219521086263</v>
      </c>
      <c r="DC223" s="19">
        <v>7.0608126104925191</v>
      </c>
      <c r="DD223" s="19">
        <v>20.027032131578782</v>
      </c>
      <c r="DE223" s="19">
        <v>13.978982541985189</v>
      </c>
      <c r="DF223" s="23">
        <v>0</v>
      </c>
      <c r="DG223" s="23">
        <v>0</v>
      </c>
      <c r="DH223" s="23">
        <v>0</v>
      </c>
      <c r="DI223" s="19">
        <v>0</v>
      </c>
      <c r="DJ223" s="19">
        <v>0</v>
      </c>
      <c r="DK223" s="19">
        <v>0</v>
      </c>
      <c r="DL223" s="19">
        <v>0</v>
      </c>
      <c r="DM223" s="19">
        <v>0</v>
      </c>
      <c r="DN223" s="19">
        <v>0</v>
      </c>
      <c r="DO223" s="19">
        <v>0</v>
      </c>
      <c r="DP223" s="19">
        <v>0</v>
      </c>
      <c r="DQ223" s="19">
        <v>0</v>
      </c>
      <c r="DR223" s="19">
        <v>0</v>
      </c>
      <c r="DS223" s="19">
        <v>0</v>
      </c>
      <c r="DT223" s="19">
        <v>0</v>
      </c>
      <c r="DU223" s="19">
        <v>0</v>
      </c>
      <c r="DV223" s="19">
        <v>0</v>
      </c>
      <c r="DW223" s="17" t="s">
        <v>650</v>
      </c>
      <c r="DX223" s="22">
        <v>6</v>
      </c>
      <c r="DY223" s="22">
        <v>6</v>
      </c>
      <c r="DZ223" s="22">
        <v>6</v>
      </c>
      <c r="EA223" s="22">
        <v>6</v>
      </c>
      <c r="EB223" s="22">
        <v>6</v>
      </c>
      <c r="EC223" s="22">
        <v>6</v>
      </c>
      <c r="ED223" s="22">
        <v>6</v>
      </c>
      <c r="EE223" s="22" t="s">
        <v>218</v>
      </c>
      <c r="EF223" s="22">
        <v>6</v>
      </c>
      <c r="EG223" s="22">
        <v>6</v>
      </c>
      <c r="EH223" s="22" t="s">
        <v>218</v>
      </c>
      <c r="EI223" s="22" t="s">
        <v>218</v>
      </c>
      <c r="EJ223" s="22" t="s">
        <v>218</v>
      </c>
      <c r="EK223" s="22" t="s">
        <v>218</v>
      </c>
      <c r="EL223" s="22" t="s">
        <v>218</v>
      </c>
      <c r="EM223" s="22" t="s">
        <v>218</v>
      </c>
      <c r="EN223" s="22" t="s">
        <v>218</v>
      </c>
      <c r="EO223" s="22" t="s">
        <v>218</v>
      </c>
      <c r="EP223" s="22" t="s">
        <v>218</v>
      </c>
      <c r="EQ223" s="22" t="s">
        <v>218</v>
      </c>
      <c r="ER223" s="22" t="s">
        <v>218</v>
      </c>
      <c r="ES223" s="22">
        <v>2</v>
      </c>
      <c r="ET223" s="22">
        <v>2</v>
      </c>
      <c r="EU223" s="22" t="s">
        <v>218</v>
      </c>
      <c r="EV223" s="22" t="s">
        <v>218</v>
      </c>
      <c r="EW223" s="22" t="s">
        <v>218</v>
      </c>
      <c r="EX223" s="22" t="s">
        <v>218</v>
      </c>
      <c r="EY223" s="22" t="s">
        <v>218</v>
      </c>
      <c r="EZ223" s="22" t="s">
        <v>218</v>
      </c>
      <c r="FA223" s="22" t="s">
        <v>218</v>
      </c>
      <c r="FB223" s="22" t="s">
        <v>218</v>
      </c>
      <c r="FC223" s="22" t="s">
        <v>218</v>
      </c>
      <c r="FD223" s="22" t="s">
        <v>218</v>
      </c>
      <c r="FE223" s="22" t="s">
        <v>218</v>
      </c>
      <c r="FF223" s="22">
        <v>0.5</v>
      </c>
      <c r="FG223" s="22">
        <v>3.3</v>
      </c>
      <c r="FH223" s="22">
        <v>0.5</v>
      </c>
      <c r="FI223" s="22">
        <v>0.4</v>
      </c>
      <c r="FJ223" s="22">
        <v>2.4</v>
      </c>
      <c r="FK223" s="22">
        <v>3.2</v>
      </c>
      <c r="FL223" s="22">
        <v>3.2</v>
      </c>
      <c r="FM223" s="22" t="s">
        <v>218</v>
      </c>
      <c r="FN223" s="22">
        <v>4.5999999999999996</v>
      </c>
      <c r="FO223" s="22">
        <v>3.8</v>
      </c>
      <c r="FP223" s="22" t="s">
        <v>218</v>
      </c>
      <c r="FQ223" s="22" t="s">
        <v>218</v>
      </c>
      <c r="FR223" s="22" t="s">
        <v>218</v>
      </c>
      <c r="FS223" s="22" t="s">
        <v>218</v>
      </c>
      <c r="FT223" s="22" t="s">
        <v>218</v>
      </c>
      <c r="FU223" s="22" t="s">
        <v>218</v>
      </c>
      <c r="FV223" s="22" t="s">
        <v>218</v>
      </c>
      <c r="FW223" s="22" t="s">
        <v>218</v>
      </c>
      <c r="FX223" s="22" t="s">
        <v>218</v>
      </c>
      <c r="FY223" s="22" t="s">
        <v>218</v>
      </c>
      <c r="FZ223" s="22" t="s">
        <v>218</v>
      </c>
      <c r="GA223" s="22">
        <v>0.22</v>
      </c>
      <c r="GB223" s="22">
        <v>1.29</v>
      </c>
      <c r="GC223" s="22" t="s">
        <v>218</v>
      </c>
      <c r="GD223" s="22" t="s">
        <v>218</v>
      </c>
      <c r="GE223" s="22" t="s">
        <v>218</v>
      </c>
      <c r="GF223" s="22" t="s">
        <v>218</v>
      </c>
      <c r="GG223" s="22" t="s">
        <v>218</v>
      </c>
      <c r="GH223" s="22" t="s">
        <v>218</v>
      </c>
      <c r="GI223" s="22" t="s">
        <v>218</v>
      </c>
      <c r="GJ223" s="22" t="s">
        <v>218</v>
      </c>
      <c r="GK223" s="22" t="s">
        <v>218</v>
      </c>
      <c r="GL223" s="22" t="s">
        <v>218</v>
      </c>
      <c r="GM223" s="22" t="s">
        <v>218</v>
      </c>
      <c r="GN223" s="22">
        <v>2016</v>
      </c>
      <c r="GO223" s="22">
        <v>2016</v>
      </c>
      <c r="GP223" s="22">
        <v>2016</v>
      </c>
      <c r="GQ223" s="22">
        <v>2016</v>
      </c>
      <c r="GR223" s="22">
        <v>2016</v>
      </c>
      <c r="GS223" s="22">
        <v>2016</v>
      </c>
      <c r="GT223" s="22">
        <v>2016</v>
      </c>
      <c r="GU223" s="22" t="s">
        <v>218</v>
      </c>
      <c r="GV223" s="22">
        <v>2016</v>
      </c>
      <c r="GW223" s="22">
        <v>2016</v>
      </c>
      <c r="GX223" s="22" t="s">
        <v>218</v>
      </c>
      <c r="GY223" s="22" t="s">
        <v>218</v>
      </c>
      <c r="GZ223" s="22" t="s">
        <v>218</v>
      </c>
      <c r="HA223" s="22" t="s">
        <v>218</v>
      </c>
      <c r="HB223" s="22" t="s">
        <v>218</v>
      </c>
      <c r="HC223" s="22" t="s">
        <v>218</v>
      </c>
      <c r="HD223" s="22" t="s">
        <v>218</v>
      </c>
      <c r="HE223" s="22" t="s">
        <v>218</v>
      </c>
      <c r="HF223" s="22" t="s">
        <v>218</v>
      </c>
      <c r="HG223" s="22" t="s">
        <v>218</v>
      </c>
      <c r="HH223" s="22" t="s">
        <v>218</v>
      </c>
      <c r="HI223" s="22">
        <v>2013</v>
      </c>
      <c r="HJ223" s="22">
        <v>2013</v>
      </c>
      <c r="HK223" s="22" t="s">
        <v>218</v>
      </c>
      <c r="HL223" s="22" t="s">
        <v>218</v>
      </c>
      <c r="HM223" s="622">
        <f>'background data'!$G$18</f>
        <v>0.54099999999999993</v>
      </c>
      <c r="HN223" s="622">
        <f>'background data'!$H$18</f>
        <v>0.11600000000000001</v>
      </c>
      <c r="HO223" s="622">
        <f>'background data'!$J$18</f>
        <v>0.25</v>
      </c>
      <c r="HP223" s="622">
        <f>'background data'!$L$18</f>
        <v>1.2999999999999999E-2</v>
      </c>
      <c r="HQ223" s="622">
        <f>'background data'!$M$18</f>
        <v>8.86</v>
      </c>
      <c r="HR223" s="622">
        <f>'background data'!$N$18</f>
        <v>6.9299999999999995E-3</v>
      </c>
      <c r="HS223" s="622">
        <f>'background data'!$O$18</f>
        <v>1.75</v>
      </c>
      <c r="HT223" s="145" t="s">
        <v>1805</v>
      </c>
      <c r="HU223" s="145" t="s">
        <v>1809</v>
      </c>
      <c r="HV223" s="22" t="s">
        <v>1980</v>
      </c>
      <c r="HW223" s="22" t="s">
        <v>651</v>
      </c>
      <c r="HX223" s="22" t="s">
        <v>652</v>
      </c>
      <c r="HY223" s="22">
        <v>0</v>
      </c>
      <c r="HZ223" s="19"/>
      <c r="IA223" s="19"/>
      <c r="IB223" s="622">
        <f>'background data'!$G$18</f>
        <v>0.54099999999999993</v>
      </c>
      <c r="IC223" s="622">
        <f>'background data'!$H$18</f>
        <v>0.11600000000000001</v>
      </c>
      <c r="ID223" s="622">
        <f>'background data'!$J$18</f>
        <v>0.25</v>
      </c>
      <c r="IE223" s="622">
        <f>'background data'!$L$18</f>
        <v>1.2999999999999999E-2</v>
      </c>
      <c r="IF223" s="622">
        <f>'background data'!$M$18</f>
        <v>8.86</v>
      </c>
      <c r="IG223" s="622">
        <f>'background data'!$N$18</f>
        <v>6.9299999999999995E-3</v>
      </c>
      <c r="IH223" s="622">
        <f>'background data'!$O$18</f>
        <v>1.75</v>
      </c>
      <c r="II223" s="145" t="s">
        <v>1805</v>
      </c>
      <c r="IJ223" s="145"/>
      <c r="IK223" s="145"/>
      <c r="IL223" s="145"/>
      <c r="IM223" s="145"/>
      <c r="IN223" s="145"/>
      <c r="IO223" s="145"/>
      <c r="IP223" s="145"/>
      <c r="IQ223" s="145"/>
      <c r="IR223" s="145"/>
      <c r="IS223" s="145"/>
      <c r="IT223" s="145"/>
      <c r="IU223" s="145"/>
      <c r="IV223" s="145"/>
      <c r="IW223" s="145"/>
      <c r="IX223" s="145"/>
      <c r="IY223" s="145"/>
      <c r="IZ223" s="145"/>
      <c r="JA223" s="145"/>
      <c r="JB223" s="145"/>
      <c r="JC223" s="145"/>
      <c r="JD223" s="145"/>
      <c r="JE223" s="145"/>
      <c r="JF223" s="145"/>
      <c r="JG223" s="145"/>
      <c r="JH223" s="145"/>
      <c r="JI223" s="145"/>
      <c r="JJ223" s="145"/>
      <c r="JK223" s="145"/>
      <c r="JL223" s="145"/>
      <c r="JM223" s="145"/>
      <c r="JN223" s="145"/>
      <c r="JO223" s="145"/>
      <c r="JP223" s="145"/>
      <c r="JQ223" s="145"/>
      <c r="JR223" s="145"/>
      <c r="JS223" s="145"/>
      <c r="JT223" s="145"/>
      <c r="JU223" s="145"/>
      <c r="JV223" s="145"/>
      <c r="JW223" s="145"/>
      <c r="JX223" s="145"/>
      <c r="JY223" s="145"/>
      <c r="JZ223" s="145"/>
      <c r="KA223" s="145"/>
      <c r="KB223" s="145"/>
      <c r="KC223" s="145"/>
      <c r="KD223" s="145"/>
      <c r="KE223" s="145"/>
      <c r="KF223" s="145"/>
      <c r="KG223" s="145"/>
      <c r="KH223" s="145"/>
      <c r="KI223" s="145"/>
      <c r="KJ223" s="145"/>
      <c r="KK223" s="145"/>
      <c r="KL223" s="145"/>
      <c r="KM223" s="145"/>
      <c r="KN223" s="145"/>
      <c r="KO223" s="145"/>
      <c r="KP223" s="145"/>
      <c r="KQ223" s="145"/>
      <c r="KR223" s="145"/>
      <c r="KS223" s="145"/>
      <c r="KT223" s="145"/>
      <c r="KU223" s="145"/>
      <c r="KV223" s="145"/>
      <c r="KW223" s="145"/>
      <c r="KX223" s="145"/>
      <c r="KY223" s="145"/>
      <c r="KZ223" s="145"/>
      <c r="LA223" s="145"/>
      <c r="LB223" s="145"/>
      <c r="LC223" s="145"/>
      <c r="LD223" s="145"/>
      <c r="LE223" s="145"/>
      <c r="LF223" s="145"/>
      <c r="LG223" s="145"/>
      <c r="LH223" s="145"/>
      <c r="LI223" s="145"/>
      <c r="LJ223" s="145"/>
      <c r="LK223" s="145"/>
      <c r="LL223" s="145"/>
      <c r="LM223" s="145"/>
      <c r="LN223" s="145"/>
      <c r="LO223" s="145"/>
      <c r="LP223" s="145"/>
      <c r="LQ223" s="145"/>
      <c r="LR223" s="145"/>
      <c r="LS223" s="145"/>
      <c r="LT223" s="145"/>
      <c r="LU223" s="145"/>
      <c r="LV223" s="145"/>
      <c r="LW223" s="145"/>
      <c r="LX223" s="145"/>
      <c r="LY223" s="145"/>
      <c r="LZ223" s="145"/>
      <c r="MA223" s="145"/>
      <c r="MB223" s="145"/>
      <c r="MC223" s="145"/>
      <c r="MD223" s="145"/>
      <c r="ME223" s="145"/>
      <c r="MF223" s="145"/>
      <c r="MG223" s="145"/>
      <c r="MH223" s="145"/>
      <c r="MI223" s="145"/>
      <c r="MJ223" s="145"/>
      <c r="MK223" s="145"/>
      <c r="ML223" s="145"/>
      <c r="MM223" s="145"/>
      <c r="MN223" s="145"/>
      <c r="MO223" s="145"/>
      <c r="MP223" s="145"/>
      <c r="MQ223" s="145"/>
      <c r="MR223" s="145"/>
      <c r="MS223" s="145"/>
      <c r="MT223" s="145"/>
      <c r="MU223" s="145"/>
      <c r="MV223" s="145"/>
      <c r="MW223" s="145"/>
      <c r="MX223" s="145"/>
      <c r="MY223" s="145"/>
      <c r="MZ223" s="145"/>
      <c r="NA223" s="145"/>
      <c r="NB223" s="145"/>
      <c r="NC223" s="145"/>
      <c r="ND223" s="145"/>
      <c r="NE223" s="145"/>
      <c r="NF223" s="145"/>
      <c r="NG223" s="145"/>
      <c r="NH223" s="145"/>
      <c r="NI223" s="145"/>
      <c r="NJ223" s="145"/>
      <c r="NK223" s="145"/>
      <c r="NL223" s="145"/>
      <c r="NM223" s="145"/>
      <c r="NN223" s="145"/>
      <c r="NO223" s="145"/>
      <c r="NP223" s="145"/>
      <c r="NQ223" s="145"/>
      <c r="NR223" s="145"/>
      <c r="NS223" s="145"/>
    </row>
    <row r="224" spans="1:383" s="16" customFormat="1" ht="15" customHeight="1" x14ac:dyDescent="0.2">
      <c r="A224" s="15">
        <v>62400</v>
      </c>
      <c r="B224" s="25">
        <v>624</v>
      </c>
      <c r="C224" s="26">
        <v>0</v>
      </c>
      <c r="D224" s="20" t="s">
        <v>653</v>
      </c>
      <c r="E224" s="14">
        <v>42695</v>
      </c>
      <c r="F224" s="18">
        <v>0.94825127371273499</v>
      </c>
      <c r="G224" s="18">
        <v>1.0129993718026</v>
      </c>
      <c r="H224" s="21">
        <v>78.400000000000006</v>
      </c>
      <c r="I224" s="21">
        <v>58.4</v>
      </c>
      <c r="J224" s="21">
        <v>92</v>
      </c>
      <c r="K224" s="18">
        <v>1</v>
      </c>
      <c r="L224" s="18">
        <v>92.8</v>
      </c>
      <c r="M224" s="18">
        <v>36.377600000000001</v>
      </c>
      <c r="N224" s="18">
        <v>12.064</v>
      </c>
      <c r="O224" s="18">
        <v>5.7535999999999996</v>
      </c>
      <c r="P224" s="18">
        <v>14.848000000000001</v>
      </c>
      <c r="Q224" s="19"/>
      <c r="R224" s="18">
        <v>84</v>
      </c>
      <c r="S224" s="18">
        <v>15</v>
      </c>
      <c r="T224" s="18">
        <v>25</v>
      </c>
      <c r="U224" s="18">
        <v>29</v>
      </c>
      <c r="V224" s="18">
        <v>33</v>
      </c>
      <c r="W224" s="18">
        <v>35</v>
      </c>
      <c r="X224" s="18"/>
      <c r="Y224" s="18">
        <v>3.9000000000000004</v>
      </c>
      <c r="Z224" s="18">
        <v>9.6</v>
      </c>
      <c r="AA224" s="18">
        <v>0.19999999999999998</v>
      </c>
      <c r="AB224" s="18">
        <v>0</v>
      </c>
      <c r="AC224" s="18">
        <v>15</v>
      </c>
      <c r="AD224" s="18">
        <v>5.5000000000000009</v>
      </c>
      <c r="AE224" s="18">
        <v>3.8999999999999995</v>
      </c>
      <c r="AF224" s="18">
        <v>170</v>
      </c>
      <c r="AG224" s="18">
        <v>30</v>
      </c>
      <c r="AH224" s="18">
        <v>36</v>
      </c>
      <c r="AI224" s="18">
        <v>82</v>
      </c>
      <c r="AJ224" s="18">
        <v>0</v>
      </c>
      <c r="AK224" s="18">
        <v>0.15</v>
      </c>
      <c r="AL224" s="18"/>
      <c r="AM224" s="18">
        <v>3.5</v>
      </c>
      <c r="AN224" s="18">
        <v>2.2000000000000002</v>
      </c>
      <c r="AO224" s="18">
        <v>1.8</v>
      </c>
      <c r="AP224" s="18">
        <v>3.7</v>
      </c>
      <c r="AQ224" s="18">
        <v>1.1599999999999999</v>
      </c>
      <c r="AR224" s="18">
        <v>4.0999999999999996</v>
      </c>
      <c r="AS224" s="18">
        <v>6.3</v>
      </c>
      <c r="AT224" s="18">
        <v>2.4</v>
      </c>
      <c r="AU224" s="18">
        <v>4.5</v>
      </c>
      <c r="AV224" s="18">
        <v>2.5</v>
      </c>
      <c r="AW224" s="18">
        <v>5</v>
      </c>
      <c r="AX224" s="18"/>
      <c r="AY224" s="18">
        <v>0.96</v>
      </c>
      <c r="AZ224" s="18">
        <v>1.06</v>
      </c>
      <c r="BA224" s="18">
        <v>1.01</v>
      </c>
      <c r="BB224" s="18">
        <v>0.98</v>
      </c>
      <c r="BC224" s="18">
        <v>1.01</v>
      </c>
      <c r="BD224" s="18">
        <v>0.99</v>
      </c>
      <c r="BE224" s="18">
        <v>0.99</v>
      </c>
      <c r="BF224" s="18">
        <v>1.01</v>
      </c>
      <c r="BG224" s="18">
        <v>1.01</v>
      </c>
      <c r="BH224" s="18">
        <v>0.99</v>
      </c>
      <c r="BI224" s="18">
        <v>0.98</v>
      </c>
      <c r="BJ224" s="19"/>
      <c r="BK224" s="18">
        <v>39.200000000000003</v>
      </c>
      <c r="BL224" s="18">
        <v>13.000000000000002</v>
      </c>
      <c r="BM224" s="18">
        <v>6.2</v>
      </c>
      <c r="BN224" s="18">
        <v>16.000000000000004</v>
      </c>
      <c r="BO224" s="18"/>
      <c r="BP224" s="18">
        <v>130</v>
      </c>
      <c r="BQ224" s="18">
        <v>169</v>
      </c>
      <c r="BR224" s="18">
        <v>1.02182249322493</v>
      </c>
      <c r="BS224" s="18">
        <v>1.0915941506493536</v>
      </c>
      <c r="BT224" s="19"/>
      <c r="BU224" s="18">
        <v>938.00000000000011</v>
      </c>
      <c r="BV224" s="18">
        <v>-15.428000000000001</v>
      </c>
      <c r="BW224" s="18">
        <v>268</v>
      </c>
      <c r="BX224" s="18">
        <v>16.759776536312824</v>
      </c>
      <c r="BY224" s="18">
        <v>55.865921787709482</v>
      </c>
      <c r="BZ224" s="18">
        <v>61.312719999999999</v>
      </c>
      <c r="CA224" s="18">
        <v>376.63527999999997</v>
      </c>
      <c r="CB224" s="19"/>
      <c r="CC224" s="19">
        <v>3.6192000000000002</v>
      </c>
      <c r="CD224" s="19">
        <v>8.9087999999999994</v>
      </c>
      <c r="CE224" s="19">
        <v>0.18559999999999996</v>
      </c>
      <c r="CF224" s="19">
        <v>0</v>
      </c>
      <c r="CG224" s="19">
        <v>13.919999999999998</v>
      </c>
      <c r="CH224" s="19">
        <v>5.1040000000000001</v>
      </c>
      <c r="CI224" s="19">
        <v>3.6191999999999993</v>
      </c>
      <c r="CJ224" s="19"/>
      <c r="CK224" s="19">
        <v>157.76</v>
      </c>
      <c r="CL224" s="19">
        <v>27.839999999999996</v>
      </c>
      <c r="CM224" s="19">
        <v>33.408000000000001</v>
      </c>
      <c r="CN224" s="19">
        <v>76.095999999999989</v>
      </c>
      <c r="CO224" s="19">
        <v>0</v>
      </c>
      <c r="CP224" s="19">
        <v>0.13919999999999999</v>
      </c>
      <c r="CQ224" s="19">
        <v>305.57184000000001</v>
      </c>
      <c r="CR224" s="19">
        <v>322.24775064480485</v>
      </c>
      <c r="CS224" s="19">
        <v>10.827524421665442</v>
      </c>
      <c r="CT224" s="19">
        <v>7.5148175450368484</v>
      </c>
      <c r="CU224" s="19">
        <v>5.8584641067225522</v>
      </c>
      <c r="CV224" s="19">
        <v>13.373281651759401</v>
      </c>
      <c r="CW224" s="19">
        <v>11.684703438380625</v>
      </c>
      <c r="CX224" s="19">
        <v>3.7754546465545333</v>
      </c>
      <c r="CY224" s="19">
        <v>13.080036198672628</v>
      </c>
      <c r="CZ224" s="19">
        <v>20.098592207716479</v>
      </c>
      <c r="DA224" s="19">
        <v>7.8112854756300694</v>
      </c>
      <c r="DB224" s="19">
        <v>14.64616026680638</v>
      </c>
      <c r="DC224" s="19">
        <v>7.97563182845892</v>
      </c>
      <c r="DD224" s="19">
        <v>22.621792095265302</v>
      </c>
      <c r="DE224" s="19">
        <v>15.790139781595437</v>
      </c>
      <c r="DF224" s="23">
        <v>0</v>
      </c>
      <c r="DG224" s="23">
        <v>0</v>
      </c>
      <c r="DH224" s="23">
        <v>0</v>
      </c>
      <c r="DI224" s="19">
        <v>0</v>
      </c>
      <c r="DJ224" s="19">
        <v>0</v>
      </c>
      <c r="DK224" s="19">
        <v>0</v>
      </c>
      <c r="DL224" s="19">
        <v>0</v>
      </c>
      <c r="DM224" s="19">
        <v>0</v>
      </c>
      <c r="DN224" s="19">
        <v>0</v>
      </c>
      <c r="DO224" s="19">
        <v>0</v>
      </c>
      <c r="DP224" s="19">
        <v>0</v>
      </c>
      <c r="DQ224" s="19">
        <v>0</v>
      </c>
      <c r="DR224" s="19">
        <v>0</v>
      </c>
      <c r="DS224" s="19">
        <v>0</v>
      </c>
      <c r="DT224" s="19">
        <v>0</v>
      </c>
      <c r="DU224" s="19">
        <v>0</v>
      </c>
      <c r="DV224" s="19">
        <v>0</v>
      </c>
      <c r="DW224" s="17" t="s">
        <v>650</v>
      </c>
      <c r="DX224" s="22" t="s">
        <v>218</v>
      </c>
      <c r="DY224" s="22" t="s">
        <v>218</v>
      </c>
      <c r="DZ224" s="22">
        <v>1</v>
      </c>
      <c r="EA224" s="22">
        <v>1</v>
      </c>
      <c r="EB224" s="22">
        <v>1</v>
      </c>
      <c r="EC224" s="22">
        <v>1</v>
      </c>
      <c r="ED224" s="22">
        <v>1</v>
      </c>
      <c r="EE224" s="22" t="s">
        <v>218</v>
      </c>
      <c r="EF224" s="22">
        <v>1</v>
      </c>
      <c r="EG224" s="22" t="s">
        <v>218</v>
      </c>
      <c r="EH224" s="22" t="s">
        <v>218</v>
      </c>
      <c r="EI224" s="22" t="s">
        <v>218</v>
      </c>
      <c r="EJ224" s="22" t="s">
        <v>218</v>
      </c>
      <c r="EK224" s="22" t="s">
        <v>218</v>
      </c>
      <c r="EL224" s="22" t="s">
        <v>218</v>
      </c>
      <c r="EM224" s="22" t="s">
        <v>218</v>
      </c>
      <c r="EN224" s="22" t="s">
        <v>218</v>
      </c>
      <c r="EO224" s="22" t="s">
        <v>218</v>
      </c>
      <c r="EP224" s="22" t="s">
        <v>218</v>
      </c>
      <c r="EQ224" s="22" t="s">
        <v>218</v>
      </c>
      <c r="ER224" s="22" t="s">
        <v>218</v>
      </c>
      <c r="ES224" s="22" t="s">
        <v>218</v>
      </c>
      <c r="ET224" s="22" t="s">
        <v>218</v>
      </c>
      <c r="EU224" s="22" t="s">
        <v>218</v>
      </c>
      <c r="EV224" s="22" t="s">
        <v>218</v>
      </c>
      <c r="EW224" s="22" t="s">
        <v>218</v>
      </c>
      <c r="EX224" s="22" t="s">
        <v>218</v>
      </c>
      <c r="EY224" s="22" t="s">
        <v>218</v>
      </c>
      <c r="EZ224" s="22" t="s">
        <v>218</v>
      </c>
      <c r="FA224" s="22" t="s">
        <v>218</v>
      </c>
      <c r="FB224" s="22" t="s">
        <v>218</v>
      </c>
      <c r="FC224" s="22" t="s">
        <v>218</v>
      </c>
      <c r="FD224" s="22" t="s">
        <v>218</v>
      </c>
      <c r="FE224" s="22" t="s">
        <v>218</v>
      </c>
      <c r="FF224" s="22" t="s">
        <v>218</v>
      </c>
      <c r="FG224" s="22" t="s">
        <v>218</v>
      </c>
      <c r="FH224" s="22" t="s">
        <v>218</v>
      </c>
      <c r="FI224" s="22" t="s">
        <v>218</v>
      </c>
      <c r="FJ224" s="22" t="s">
        <v>218</v>
      </c>
      <c r="FK224" s="22" t="s">
        <v>218</v>
      </c>
      <c r="FL224" s="22" t="s">
        <v>218</v>
      </c>
      <c r="FM224" s="22" t="s">
        <v>218</v>
      </c>
      <c r="FN224" s="22" t="s">
        <v>218</v>
      </c>
      <c r="FO224" s="22" t="s">
        <v>218</v>
      </c>
      <c r="FP224" s="22" t="s">
        <v>218</v>
      </c>
      <c r="FQ224" s="22" t="s">
        <v>218</v>
      </c>
      <c r="FR224" s="22" t="s">
        <v>218</v>
      </c>
      <c r="FS224" s="22" t="s">
        <v>218</v>
      </c>
      <c r="FT224" s="22" t="s">
        <v>218</v>
      </c>
      <c r="FU224" s="22" t="s">
        <v>218</v>
      </c>
      <c r="FV224" s="22" t="s">
        <v>218</v>
      </c>
      <c r="FW224" s="22" t="s">
        <v>218</v>
      </c>
      <c r="FX224" s="22" t="s">
        <v>218</v>
      </c>
      <c r="FY224" s="22" t="s">
        <v>218</v>
      </c>
      <c r="FZ224" s="22" t="s">
        <v>218</v>
      </c>
      <c r="GA224" s="22" t="s">
        <v>218</v>
      </c>
      <c r="GB224" s="22" t="s">
        <v>218</v>
      </c>
      <c r="GC224" s="22" t="s">
        <v>218</v>
      </c>
      <c r="GD224" s="22" t="s">
        <v>218</v>
      </c>
      <c r="GE224" s="22" t="s">
        <v>218</v>
      </c>
      <c r="GF224" s="22" t="s">
        <v>218</v>
      </c>
      <c r="GG224" s="22" t="s">
        <v>218</v>
      </c>
      <c r="GH224" s="22" t="s">
        <v>218</v>
      </c>
      <c r="GI224" s="22" t="s">
        <v>218</v>
      </c>
      <c r="GJ224" s="22" t="s">
        <v>218</v>
      </c>
      <c r="GK224" s="22" t="s">
        <v>218</v>
      </c>
      <c r="GL224" s="22" t="s">
        <v>218</v>
      </c>
      <c r="GM224" s="22" t="s">
        <v>218</v>
      </c>
      <c r="GN224" s="22" t="s">
        <v>218</v>
      </c>
      <c r="GO224" s="22" t="s">
        <v>218</v>
      </c>
      <c r="GP224" s="22">
        <v>2005</v>
      </c>
      <c r="GQ224" s="22">
        <v>2005</v>
      </c>
      <c r="GR224" s="22">
        <v>2005</v>
      </c>
      <c r="GS224" s="22">
        <v>2005</v>
      </c>
      <c r="GT224" s="22">
        <v>2005</v>
      </c>
      <c r="GU224" s="22" t="s">
        <v>218</v>
      </c>
      <c r="GV224" s="22">
        <v>2005</v>
      </c>
      <c r="GW224" s="22" t="s">
        <v>218</v>
      </c>
      <c r="GX224" s="22" t="s">
        <v>218</v>
      </c>
      <c r="GY224" s="22" t="s">
        <v>218</v>
      </c>
      <c r="GZ224" s="22" t="s">
        <v>218</v>
      </c>
      <c r="HA224" s="22" t="s">
        <v>218</v>
      </c>
      <c r="HB224" s="22" t="s">
        <v>218</v>
      </c>
      <c r="HC224" s="22" t="s">
        <v>218</v>
      </c>
      <c r="HD224" s="22" t="s">
        <v>218</v>
      </c>
      <c r="HE224" s="22" t="s">
        <v>218</v>
      </c>
      <c r="HF224" s="22" t="s">
        <v>218</v>
      </c>
      <c r="HG224" s="22" t="s">
        <v>218</v>
      </c>
      <c r="HH224" s="22" t="s">
        <v>218</v>
      </c>
      <c r="HI224" s="22" t="s">
        <v>218</v>
      </c>
      <c r="HJ224" s="22" t="s">
        <v>218</v>
      </c>
      <c r="HK224" s="22" t="s">
        <v>218</v>
      </c>
      <c r="HL224" s="22" t="s">
        <v>218</v>
      </c>
      <c r="HM224" s="622">
        <f>'background data'!$G$18</f>
        <v>0.54099999999999993</v>
      </c>
      <c r="HN224" s="622">
        <f>'background data'!$H$18</f>
        <v>0.11600000000000001</v>
      </c>
      <c r="HO224" s="622">
        <f>'background data'!$J$18</f>
        <v>0.25</v>
      </c>
      <c r="HP224" s="622">
        <f>'background data'!$L$18</f>
        <v>1.2999999999999999E-2</v>
      </c>
      <c r="HQ224" s="622">
        <f>'background data'!$M$18</f>
        <v>8.86</v>
      </c>
      <c r="HR224" s="622">
        <f>'background data'!$N$18</f>
        <v>6.9299999999999995E-3</v>
      </c>
      <c r="HS224" s="622">
        <f>'background data'!$O$18</f>
        <v>1.75</v>
      </c>
      <c r="HT224" s="145" t="s">
        <v>1805</v>
      </c>
      <c r="HU224" s="145" t="s">
        <v>1809</v>
      </c>
      <c r="HV224" s="22" t="s">
        <v>1980</v>
      </c>
      <c r="HW224" s="22" t="s">
        <v>651</v>
      </c>
      <c r="HX224" s="22" t="s">
        <v>652</v>
      </c>
      <c r="HY224" s="22">
        <v>0</v>
      </c>
      <c r="HZ224" s="19"/>
      <c r="IA224" s="19"/>
      <c r="IB224" s="622">
        <f>'background data'!$G$18</f>
        <v>0.54099999999999993</v>
      </c>
      <c r="IC224" s="622">
        <f>'background data'!$H$18</f>
        <v>0.11600000000000001</v>
      </c>
      <c r="ID224" s="622">
        <f>'background data'!$J$18</f>
        <v>0.25</v>
      </c>
      <c r="IE224" s="622">
        <f>'background data'!$L$18</f>
        <v>1.2999999999999999E-2</v>
      </c>
      <c r="IF224" s="622">
        <f>'background data'!$M$18</f>
        <v>8.86</v>
      </c>
      <c r="IG224" s="622">
        <f>'background data'!$N$18</f>
        <v>6.9299999999999995E-3</v>
      </c>
      <c r="IH224" s="622">
        <f>'background data'!$O$18</f>
        <v>1.75</v>
      </c>
      <c r="II224" s="145" t="s">
        <v>1805</v>
      </c>
      <c r="IJ224" s="145"/>
      <c r="IK224" s="145"/>
      <c r="IL224" s="145"/>
      <c r="IM224" s="145"/>
      <c r="IN224" s="145"/>
      <c r="IO224" s="145"/>
      <c r="IP224" s="145"/>
      <c r="IQ224" s="145"/>
      <c r="IR224" s="145"/>
      <c r="IS224" s="145"/>
      <c r="IT224" s="145"/>
      <c r="IU224" s="145"/>
      <c r="IV224" s="145"/>
      <c r="IW224" s="145"/>
      <c r="IX224" s="145"/>
      <c r="IY224" s="145"/>
      <c r="IZ224" s="145"/>
      <c r="JA224" s="145"/>
      <c r="JB224" s="145"/>
      <c r="JC224" s="145"/>
      <c r="JD224" s="145"/>
      <c r="JE224" s="145"/>
      <c r="JF224" s="145"/>
      <c r="JG224" s="145"/>
      <c r="JH224" s="145"/>
      <c r="JI224" s="145"/>
      <c r="JJ224" s="145"/>
      <c r="JK224" s="145"/>
      <c r="JL224" s="145"/>
      <c r="JM224" s="145"/>
      <c r="JN224" s="145"/>
      <c r="JO224" s="145"/>
      <c r="JP224" s="145"/>
      <c r="JQ224" s="145"/>
      <c r="JR224" s="145"/>
      <c r="JS224" s="145"/>
      <c r="JT224" s="145"/>
      <c r="JU224" s="145"/>
      <c r="JV224" s="145"/>
      <c r="JW224" s="145"/>
      <c r="JX224" s="145"/>
      <c r="JY224" s="145"/>
      <c r="JZ224" s="145"/>
      <c r="KA224" s="145"/>
      <c r="KB224" s="145"/>
      <c r="KC224" s="145"/>
      <c r="KD224" s="145"/>
      <c r="KE224" s="145"/>
      <c r="KF224" s="145"/>
      <c r="KG224" s="145"/>
      <c r="KH224" s="145"/>
      <c r="KI224" s="145"/>
      <c r="KJ224" s="145"/>
      <c r="KK224" s="145"/>
      <c r="KL224" s="145"/>
      <c r="KM224" s="145"/>
      <c r="KN224" s="145"/>
      <c r="KO224" s="145"/>
      <c r="KP224" s="145"/>
      <c r="KQ224" s="145"/>
      <c r="KR224" s="145"/>
      <c r="KS224" s="145"/>
      <c r="KT224" s="145"/>
      <c r="KU224" s="145"/>
      <c r="KV224" s="145"/>
      <c r="KW224" s="145"/>
      <c r="KX224" s="145"/>
      <c r="KY224" s="145"/>
      <c r="KZ224" s="145"/>
      <c r="LA224" s="145"/>
      <c r="LB224" s="145"/>
      <c r="LC224" s="145"/>
      <c r="LD224" s="145"/>
      <c r="LE224" s="145"/>
      <c r="LF224" s="145"/>
      <c r="LG224" s="145"/>
      <c r="LH224" s="145"/>
      <c r="LI224" s="145"/>
      <c r="LJ224" s="145"/>
      <c r="LK224" s="145"/>
      <c r="LL224" s="145"/>
      <c r="LM224" s="145"/>
      <c r="LN224" s="145"/>
      <c r="LO224" s="145"/>
      <c r="LP224" s="145"/>
      <c r="LQ224" s="145"/>
      <c r="LR224" s="145"/>
      <c r="LS224" s="145"/>
      <c r="LT224" s="145"/>
      <c r="LU224" s="145"/>
      <c r="LV224" s="145"/>
      <c r="LW224" s="145"/>
      <c r="LX224" s="145"/>
      <c r="LY224" s="145"/>
      <c r="LZ224" s="145"/>
      <c r="MA224" s="145"/>
      <c r="MB224" s="145"/>
      <c r="MC224" s="145"/>
      <c r="MD224" s="145"/>
      <c r="ME224" s="145"/>
      <c r="MF224" s="145"/>
      <c r="MG224" s="145"/>
      <c r="MH224" s="145"/>
      <c r="MI224" s="145"/>
      <c r="MJ224" s="145"/>
      <c r="MK224" s="145"/>
      <c r="ML224" s="145"/>
      <c r="MM224" s="145"/>
      <c r="MN224" s="145"/>
      <c r="MO224" s="145"/>
      <c r="MP224" s="145"/>
      <c r="MQ224" s="145"/>
      <c r="MR224" s="145"/>
      <c r="MS224" s="145"/>
      <c r="MT224" s="145"/>
      <c r="MU224" s="145"/>
      <c r="MV224" s="145"/>
      <c r="MW224" s="145"/>
      <c r="MX224" s="145"/>
      <c r="MY224" s="145"/>
      <c r="MZ224" s="145"/>
      <c r="NA224" s="145"/>
      <c r="NB224" s="145"/>
      <c r="NC224" s="145"/>
      <c r="ND224" s="145"/>
      <c r="NE224" s="145"/>
      <c r="NF224" s="145"/>
      <c r="NG224" s="145"/>
      <c r="NH224" s="145"/>
      <c r="NI224" s="145"/>
      <c r="NJ224" s="145"/>
      <c r="NK224" s="145"/>
      <c r="NL224" s="145"/>
      <c r="NM224" s="145"/>
      <c r="NN224" s="145"/>
      <c r="NO224" s="145"/>
      <c r="NP224" s="145"/>
      <c r="NQ224" s="145"/>
      <c r="NR224" s="145"/>
      <c r="NS224" s="145"/>
    </row>
    <row r="225" spans="1:383" s="16" customFormat="1" ht="15" customHeight="1" x14ac:dyDescent="0.2">
      <c r="A225" s="15">
        <v>62200</v>
      </c>
      <c r="B225" s="25">
        <v>622</v>
      </c>
      <c r="C225" s="26">
        <v>0</v>
      </c>
      <c r="D225" s="20" t="s">
        <v>654</v>
      </c>
      <c r="E225" s="14">
        <v>42695</v>
      </c>
      <c r="F225" s="18">
        <v>0.65260048257839698</v>
      </c>
      <c r="G225" s="18">
        <v>0.72132112152133598</v>
      </c>
      <c r="H225" s="21">
        <v>72</v>
      </c>
      <c r="I225" s="21">
        <v>56.900016000000001</v>
      </c>
      <c r="J225" s="21">
        <v>93</v>
      </c>
      <c r="K225" s="18">
        <v>1</v>
      </c>
      <c r="L225" s="18">
        <v>90</v>
      </c>
      <c r="M225" s="18">
        <v>35.298000000000002</v>
      </c>
      <c r="N225" s="18">
        <v>2.52</v>
      </c>
      <c r="O225" s="18">
        <v>6.6150000000000002</v>
      </c>
      <c r="P225" s="18">
        <v>17.73</v>
      </c>
      <c r="Q225" s="19"/>
      <c r="R225" s="18">
        <v>84</v>
      </c>
      <c r="S225" s="18">
        <v>15</v>
      </c>
      <c r="T225" s="18">
        <v>25</v>
      </c>
      <c r="U225" s="18">
        <v>29</v>
      </c>
      <c r="V225" s="18">
        <v>33</v>
      </c>
      <c r="W225" s="18">
        <v>35</v>
      </c>
      <c r="X225" s="18"/>
      <c r="Y225" s="18">
        <v>4.1111111111111107</v>
      </c>
      <c r="Z225" s="18">
        <v>12.555555555555555</v>
      </c>
      <c r="AA225" s="18">
        <v>0.2</v>
      </c>
      <c r="AB225" s="18">
        <v>0</v>
      </c>
      <c r="AC225" s="18">
        <v>17</v>
      </c>
      <c r="AD225" s="18">
        <v>6.7</v>
      </c>
      <c r="AE225" s="18">
        <v>4.8</v>
      </c>
      <c r="AF225" s="18">
        <v>170</v>
      </c>
      <c r="AG225" s="18">
        <v>36</v>
      </c>
      <c r="AH225" s="18">
        <v>47</v>
      </c>
      <c r="AI225" s="18">
        <v>110</v>
      </c>
      <c r="AJ225" s="18">
        <v>0</v>
      </c>
      <c r="AK225" s="18">
        <v>0.15</v>
      </c>
      <c r="AL225" s="18"/>
      <c r="AM225" s="18">
        <v>3.5</v>
      </c>
      <c r="AN225" s="18">
        <v>2.2000000000000002</v>
      </c>
      <c r="AO225" s="18">
        <v>1.8</v>
      </c>
      <c r="AP225" s="18">
        <v>3.7</v>
      </c>
      <c r="AQ225" s="18">
        <v>1.1599999999999999</v>
      </c>
      <c r="AR225" s="18">
        <v>4.0999999999999996</v>
      </c>
      <c r="AS225" s="18">
        <v>6.3</v>
      </c>
      <c r="AT225" s="18">
        <v>2.4</v>
      </c>
      <c r="AU225" s="18">
        <v>4.5</v>
      </c>
      <c r="AV225" s="18">
        <v>2.5</v>
      </c>
      <c r="AW225" s="18">
        <v>5</v>
      </c>
      <c r="AX225" s="18"/>
      <c r="AY225" s="18">
        <v>0.96</v>
      </c>
      <c r="AZ225" s="18">
        <v>1.06</v>
      </c>
      <c r="BA225" s="18">
        <v>1.01</v>
      </c>
      <c r="BB225" s="18">
        <v>0.98</v>
      </c>
      <c r="BC225" s="18">
        <v>1.01</v>
      </c>
      <c r="BD225" s="18">
        <v>0.99</v>
      </c>
      <c r="BE225" s="18">
        <v>0.99</v>
      </c>
      <c r="BF225" s="18">
        <v>1.01</v>
      </c>
      <c r="BG225" s="18">
        <v>1.01</v>
      </c>
      <c r="BH225" s="18">
        <v>0.99</v>
      </c>
      <c r="BI225" s="18">
        <v>0.98</v>
      </c>
      <c r="BJ225" s="19"/>
      <c r="BK225" s="18">
        <v>39.22</v>
      </c>
      <c r="BL225" s="18">
        <v>2.8</v>
      </c>
      <c r="BM225" s="18">
        <v>7.35</v>
      </c>
      <c r="BN225" s="18">
        <v>19.7</v>
      </c>
      <c r="BO225" s="18"/>
      <c r="BP225" s="18">
        <v>130</v>
      </c>
      <c r="BQ225" s="18">
        <v>36.4</v>
      </c>
      <c r="BR225" s="18">
        <v>0.72511164730932998</v>
      </c>
      <c r="BS225" s="18">
        <v>0.80146791280148444</v>
      </c>
      <c r="BT225" s="19"/>
      <c r="BU225" s="18">
        <v>926.5</v>
      </c>
      <c r="BV225" s="18">
        <v>83.158714285714439</v>
      </c>
      <c r="BW225" s="18">
        <v>199.85907394285667</v>
      </c>
      <c r="BX225" s="18">
        <v>16.759776536312778</v>
      </c>
      <c r="BY225" s="18">
        <v>55.865921787709439</v>
      </c>
      <c r="BZ225" s="18">
        <v>60.33794000000011</v>
      </c>
      <c r="CA225" s="18">
        <v>370.64734571428556</v>
      </c>
      <c r="CB225" s="19"/>
      <c r="CC225" s="19">
        <v>3.6999999999999997</v>
      </c>
      <c r="CD225" s="19">
        <v>11.3</v>
      </c>
      <c r="CE225" s="19">
        <v>0.18000000000000002</v>
      </c>
      <c r="CF225" s="19">
        <v>0</v>
      </c>
      <c r="CG225" s="19">
        <v>15.3</v>
      </c>
      <c r="CH225" s="19">
        <v>6.03</v>
      </c>
      <c r="CI225" s="19">
        <v>4.32</v>
      </c>
      <c r="CJ225" s="19"/>
      <c r="CK225" s="19">
        <v>153</v>
      </c>
      <c r="CL225" s="19">
        <v>32.4</v>
      </c>
      <c r="CM225" s="19">
        <v>42.300000000000004</v>
      </c>
      <c r="CN225" s="19">
        <v>99</v>
      </c>
      <c r="CO225" s="19">
        <v>0</v>
      </c>
      <c r="CP225" s="19">
        <v>0.13500000000000001</v>
      </c>
      <c r="CQ225" s="19">
        <v>296.50319999999999</v>
      </c>
      <c r="CR225" s="19">
        <v>454.34106764452326</v>
      </c>
      <c r="CS225" s="19">
        <v>15.265859872855984</v>
      </c>
      <c r="CT225" s="19">
        <v>10.595233697470283</v>
      </c>
      <c r="CU225" s="19">
        <v>8.2599206097774331</v>
      </c>
      <c r="CV225" s="19">
        <v>18.855154307247716</v>
      </c>
      <c r="CW225" s="19">
        <v>16.474407112790416</v>
      </c>
      <c r="CX225" s="19">
        <v>5.3230599485232348</v>
      </c>
      <c r="CY225" s="19">
        <v>18.441703935691201</v>
      </c>
      <c r="CZ225" s="19">
        <v>28.337252388988919</v>
      </c>
      <c r="DA225" s="19">
        <v>11.013227479703243</v>
      </c>
      <c r="DB225" s="19">
        <v>20.649801524443586</v>
      </c>
      <c r="DC225" s="19">
        <v>11.244941424201951</v>
      </c>
      <c r="DD225" s="19">
        <v>31.894742948645533</v>
      </c>
      <c r="DE225" s="19">
        <v>22.262712314581641</v>
      </c>
      <c r="DF225" s="23">
        <v>0</v>
      </c>
      <c r="DG225" s="23">
        <v>0</v>
      </c>
      <c r="DH225" s="23">
        <v>0</v>
      </c>
      <c r="DI225" s="19">
        <v>0</v>
      </c>
      <c r="DJ225" s="19">
        <v>0</v>
      </c>
      <c r="DK225" s="19">
        <v>0</v>
      </c>
      <c r="DL225" s="19">
        <v>0</v>
      </c>
      <c r="DM225" s="19">
        <v>0</v>
      </c>
      <c r="DN225" s="19">
        <v>0</v>
      </c>
      <c r="DO225" s="19">
        <v>0</v>
      </c>
      <c r="DP225" s="19">
        <v>0</v>
      </c>
      <c r="DQ225" s="19">
        <v>0</v>
      </c>
      <c r="DR225" s="19">
        <v>0</v>
      </c>
      <c r="DS225" s="19">
        <v>0</v>
      </c>
      <c r="DT225" s="19">
        <v>0</v>
      </c>
      <c r="DU225" s="19">
        <v>0</v>
      </c>
      <c r="DV225" s="19">
        <v>0</v>
      </c>
      <c r="DW225" s="17" t="s">
        <v>655</v>
      </c>
      <c r="DX225" s="22">
        <v>21</v>
      </c>
      <c r="DY225" s="22">
        <v>21</v>
      </c>
      <c r="DZ225" s="22">
        <v>21</v>
      </c>
      <c r="EA225" s="22">
        <v>21</v>
      </c>
      <c r="EB225" s="22">
        <v>21</v>
      </c>
      <c r="EC225" s="22">
        <v>21</v>
      </c>
      <c r="ED225" s="22">
        <v>21</v>
      </c>
      <c r="EE225" s="22" t="s">
        <v>218</v>
      </c>
      <c r="EF225" s="22">
        <v>21</v>
      </c>
      <c r="EG225" s="22">
        <v>21</v>
      </c>
      <c r="EH225" s="22" t="s">
        <v>218</v>
      </c>
      <c r="EI225" s="22" t="s">
        <v>218</v>
      </c>
      <c r="EJ225" s="22" t="s">
        <v>218</v>
      </c>
      <c r="EK225" s="22" t="s">
        <v>218</v>
      </c>
      <c r="EL225" s="22" t="s">
        <v>218</v>
      </c>
      <c r="EM225" s="22" t="s">
        <v>218</v>
      </c>
      <c r="EN225" s="22" t="s">
        <v>218</v>
      </c>
      <c r="EO225" s="22" t="s">
        <v>218</v>
      </c>
      <c r="EP225" s="22" t="s">
        <v>218</v>
      </c>
      <c r="EQ225" s="22" t="s">
        <v>218</v>
      </c>
      <c r="ER225" s="22" t="s">
        <v>218</v>
      </c>
      <c r="ES225" s="22">
        <v>4</v>
      </c>
      <c r="ET225" s="22">
        <v>4</v>
      </c>
      <c r="EU225" s="22">
        <v>8</v>
      </c>
      <c r="EV225" s="22" t="s">
        <v>218</v>
      </c>
      <c r="EW225" s="22">
        <v>8</v>
      </c>
      <c r="EX225" s="22">
        <v>8</v>
      </c>
      <c r="EY225" s="22">
        <v>8</v>
      </c>
      <c r="EZ225" s="22">
        <v>8</v>
      </c>
      <c r="FA225" s="22">
        <v>8</v>
      </c>
      <c r="FB225" s="22">
        <v>8</v>
      </c>
      <c r="FC225" s="22">
        <v>8</v>
      </c>
      <c r="FD225" s="22" t="s">
        <v>218</v>
      </c>
      <c r="FE225" s="22" t="s">
        <v>218</v>
      </c>
      <c r="FF225" s="22">
        <v>0.6</v>
      </c>
      <c r="FG225" s="22">
        <v>1.5</v>
      </c>
      <c r="FH225" s="22">
        <v>0.9</v>
      </c>
      <c r="FI225" s="22">
        <v>0.6</v>
      </c>
      <c r="FJ225" s="22">
        <v>2</v>
      </c>
      <c r="FK225" s="22">
        <v>4.2</v>
      </c>
      <c r="FL225" s="22">
        <v>3.2</v>
      </c>
      <c r="FM225" s="22" t="s">
        <v>218</v>
      </c>
      <c r="FN225" s="22">
        <v>5.8</v>
      </c>
      <c r="FO225" s="22">
        <v>5.0999999999999996</v>
      </c>
      <c r="FP225" s="22" t="s">
        <v>218</v>
      </c>
      <c r="FQ225" s="22" t="s">
        <v>218</v>
      </c>
      <c r="FR225" s="22" t="s">
        <v>218</v>
      </c>
      <c r="FS225" s="22" t="s">
        <v>218</v>
      </c>
      <c r="FT225" s="22" t="s">
        <v>218</v>
      </c>
      <c r="FU225" s="22" t="s">
        <v>218</v>
      </c>
      <c r="FV225" s="22" t="s">
        <v>218</v>
      </c>
      <c r="FW225" s="22" t="s">
        <v>218</v>
      </c>
      <c r="FX225" s="22" t="s">
        <v>218</v>
      </c>
      <c r="FY225" s="22" t="s">
        <v>218</v>
      </c>
      <c r="FZ225" s="22" t="s">
        <v>218</v>
      </c>
      <c r="GA225" s="22">
        <v>0.3</v>
      </c>
      <c r="GB225" s="22">
        <v>0.3</v>
      </c>
      <c r="GC225" s="22">
        <v>0.09</v>
      </c>
      <c r="GD225" s="22" t="s">
        <v>218</v>
      </c>
      <c r="GE225" s="22">
        <v>0.71</v>
      </c>
      <c r="GF225" s="22">
        <v>0.28999999999999998</v>
      </c>
      <c r="GG225" s="22">
        <v>0.25</v>
      </c>
      <c r="GH225" s="22">
        <v>23.32</v>
      </c>
      <c r="GI225" s="22">
        <v>4.25</v>
      </c>
      <c r="GJ225" s="22">
        <v>1.52</v>
      </c>
      <c r="GK225" s="22">
        <v>6.97</v>
      </c>
      <c r="GL225" s="22" t="s">
        <v>218</v>
      </c>
      <c r="GM225" s="22" t="s">
        <v>218</v>
      </c>
      <c r="GN225" s="22">
        <v>2016</v>
      </c>
      <c r="GO225" s="22">
        <v>2016</v>
      </c>
      <c r="GP225" s="22">
        <v>2016</v>
      </c>
      <c r="GQ225" s="22">
        <v>2016</v>
      </c>
      <c r="GR225" s="22">
        <v>2016</v>
      </c>
      <c r="GS225" s="22">
        <v>2016</v>
      </c>
      <c r="GT225" s="22">
        <v>2016</v>
      </c>
      <c r="GU225" s="22" t="s">
        <v>218</v>
      </c>
      <c r="GV225" s="22">
        <v>2016</v>
      </c>
      <c r="GW225" s="22">
        <v>2016</v>
      </c>
      <c r="GX225" s="22" t="s">
        <v>218</v>
      </c>
      <c r="GY225" s="22" t="s">
        <v>218</v>
      </c>
      <c r="GZ225" s="22" t="s">
        <v>218</v>
      </c>
      <c r="HA225" s="22" t="s">
        <v>218</v>
      </c>
      <c r="HB225" s="22" t="s">
        <v>218</v>
      </c>
      <c r="HC225" s="22" t="s">
        <v>218</v>
      </c>
      <c r="HD225" s="22" t="s">
        <v>218</v>
      </c>
      <c r="HE225" s="22" t="s">
        <v>218</v>
      </c>
      <c r="HF225" s="22" t="s">
        <v>218</v>
      </c>
      <c r="HG225" s="22" t="s">
        <v>218</v>
      </c>
      <c r="HH225" s="22" t="s">
        <v>218</v>
      </c>
      <c r="HI225" s="22">
        <v>2016</v>
      </c>
      <c r="HJ225" s="22">
        <v>2016</v>
      </c>
      <c r="HK225" s="22">
        <v>2005</v>
      </c>
      <c r="HL225" s="22" t="s">
        <v>218</v>
      </c>
      <c r="HM225" s="622">
        <f>'background data'!$G$18</f>
        <v>0.54099999999999993</v>
      </c>
      <c r="HN225" s="622">
        <f>'background data'!$H$18</f>
        <v>0.11600000000000001</v>
      </c>
      <c r="HO225" s="622">
        <f>'background data'!$J$18</f>
        <v>0.25</v>
      </c>
      <c r="HP225" s="622">
        <f>'background data'!$L$18</f>
        <v>1.2999999999999999E-2</v>
      </c>
      <c r="HQ225" s="622">
        <f>'background data'!$M$18</f>
        <v>8.86</v>
      </c>
      <c r="HR225" s="622">
        <f>'background data'!$N$18</f>
        <v>6.9299999999999995E-3</v>
      </c>
      <c r="HS225" s="622">
        <f>'background data'!$O$18</f>
        <v>1.75</v>
      </c>
      <c r="HT225" s="145" t="s">
        <v>1805</v>
      </c>
      <c r="HU225" s="145" t="s">
        <v>1809</v>
      </c>
      <c r="HV225" s="22" t="s">
        <v>1981</v>
      </c>
      <c r="HW225" s="22" t="s">
        <v>656</v>
      </c>
      <c r="HX225" s="22" t="s">
        <v>652</v>
      </c>
      <c r="HY225" s="22" t="s">
        <v>657</v>
      </c>
      <c r="HZ225" s="19"/>
      <c r="IA225" s="19"/>
      <c r="IB225" s="622">
        <f>'background data'!$G$18</f>
        <v>0.54099999999999993</v>
      </c>
      <c r="IC225" s="622">
        <f>'background data'!$H$18</f>
        <v>0.11600000000000001</v>
      </c>
      <c r="ID225" s="622">
        <f>'background data'!$J$18</f>
        <v>0.25</v>
      </c>
      <c r="IE225" s="622">
        <f>'background data'!$L$18</f>
        <v>1.2999999999999999E-2</v>
      </c>
      <c r="IF225" s="622">
        <f>'background data'!$M$18</f>
        <v>8.86</v>
      </c>
      <c r="IG225" s="622">
        <f>'background data'!$N$18</f>
        <v>6.9299999999999995E-3</v>
      </c>
      <c r="IH225" s="622">
        <f>'background data'!$O$18</f>
        <v>1.75</v>
      </c>
      <c r="II225" s="145" t="s">
        <v>1805</v>
      </c>
      <c r="IJ225" s="145"/>
      <c r="IK225" s="145"/>
      <c r="IL225" s="145"/>
      <c r="IM225" s="145"/>
      <c r="IN225" s="145"/>
      <c r="IO225" s="145"/>
      <c r="IP225" s="145"/>
      <c r="IQ225" s="145"/>
      <c r="IR225" s="145"/>
      <c r="IS225" s="145"/>
      <c r="IT225" s="145"/>
      <c r="IU225" s="145"/>
      <c r="IV225" s="145"/>
      <c r="IW225" s="145"/>
      <c r="IX225" s="145"/>
      <c r="IY225" s="145"/>
      <c r="IZ225" s="145"/>
      <c r="JA225" s="145"/>
      <c r="JB225" s="145"/>
      <c r="JC225" s="145"/>
      <c r="JD225" s="145"/>
      <c r="JE225" s="145"/>
      <c r="JF225" s="145"/>
      <c r="JG225" s="145"/>
      <c r="JH225" s="145"/>
      <c r="JI225" s="145"/>
      <c r="JJ225" s="145"/>
      <c r="JK225" s="145"/>
      <c r="JL225" s="145"/>
      <c r="JM225" s="145"/>
      <c r="JN225" s="145"/>
      <c r="JO225" s="145"/>
      <c r="JP225" s="145"/>
      <c r="JQ225" s="145"/>
      <c r="JR225" s="145"/>
      <c r="JS225" s="145"/>
      <c r="JT225" s="145"/>
      <c r="JU225" s="145"/>
      <c r="JV225" s="145"/>
      <c r="JW225" s="145"/>
      <c r="JX225" s="145"/>
      <c r="JY225" s="145"/>
      <c r="JZ225" s="145"/>
      <c r="KA225" s="145"/>
      <c r="KB225" s="145"/>
      <c r="KC225" s="145"/>
      <c r="KD225" s="145"/>
      <c r="KE225" s="145"/>
      <c r="KF225" s="145"/>
      <c r="KG225" s="145"/>
      <c r="KH225" s="145"/>
      <c r="KI225" s="145"/>
      <c r="KJ225" s="145"/>
      <c r="KK225" s="145"/>
      <c r="KL225" s="145"/>
      <c r="KM225" s="145"/>
      <c r="KN225" s="145"/>
      <c r="KO225" s="145"/>
      <c r="KP225" s="145"/>
      <c r="KQ225" s="145"/>
      <c r="KR225" s="145"/>
      <c r="KS225" s="145"/>
      <c r="KT225" s="145"/>
      <c r="KU225" s="145"/>
      <c r="KV225" s="145"/>
      <c r="KW225" s="145"/>
      <c r="KX225" s="145"/>
      <c r="KY225" s="145"/>
      <c r="KZ225" s="145"/>
      <c r="LA225" s="145"/>
      <c r="LB225" s="145"/>
      <c r="LC225" s="145"/>
      <c r="LD225" s="145"/>
      <c r="LE225" s="145"/>
      <c r="LF225" s="145"/>
      <c r="LG225" s="145"/>
      <c r="LH225" s="145"/>
      <c r="LI225" s="145"/>
      <c r="LJ225" s="145"/>
      <c r="LK225" s="145"/>
      <c r="LL225" s="145"/>
      <c r="LM225" s="145"/>
      <c r="LN225" s="145"/>
      <c r="LO225" s="145"/>
      <c r="LP225" s="145"/>
      <c r="LQ225" s="145"/>
      <c r="LR225" s="145"/>
      <c r="LS225" s="145"/>
      <c r="LT225" s="145"/>
      <c r="LU225" s="145"/>
      <c r="LV225" s="145"/>
      <c r="LW225" s="145"/>
      <c r="LX225" s="145"/>
      <c r="LY225" s="145"/>
      <c r="LZ225" s="145"/>
      <c r="MA225" s="145"/>
      <c r="MB225" s="145"/>
      <c r="MC225" s="145"/>
      <c r="MD225" s="145"/>
      <c r="ME225" s="145"/>
      <c r="MF225" s="145"/>
      <c r="MG225" s="145"/>
      <c r="MH225" s="145"/>
      <c r="MI225" s="145"/>
      <c r="MJ225" s="145"/>
      <c r="MK225" s="145"/>
      <c r="ML225" s="145"/>
      <c r="MM225" s="145"/>
      <c r="MN225" s="145"/>
      <c r="MO225" s="145"/>
      <c r="MP225" s="145"/>
      <c r="MQ225" s="145"/>
      <c r="MR225" s="145"/>
      <c r="MS225" s="145"/>
      <c r="MT225" s="145"/>
      <c r="MU225" s="145"/>
      <c r="MV225" s="145"/>
      <c r="MW225" s="145"/>
      <c r="MX225" s="145"/>
      <c r="MY225" s="145"/>
      <c r="MZ225" s="145"/>
      <c r="NA225" s="145"/>
      <c r="NB225" s="145"/>
      <c r="NC225" s="145"/>
      <c r="ND225" s="145"/>
      <c r="NE225" s="145"/>
      <c r="NF225" s="145"/>
      <c r="NG225" s="145"/>
      <c r="NH225" s="145"/>
      <c r="NI225" s="145"/>
      <c r="NJ225" s="145"/>
      <c r="NK225" s="145"/>
      <c r="NL225" s="145"/>
      <c r="NM225" s="145"/>
      <c r="NN225" s="145"/>
      <c r="NO225" s="145"/>
      <c r="NP225" s="145"/>
      <c r="NQ225" s="145"/>
      <c r="NR225" s="145"/>
      <c r="NS225" s="145"/>
    </row>
    <row r="226" spans="1:383" s="16" customFormat="1" ht="15" customHeight="1" x14ac:dyDescent="0.2">
      <c r="A226" s="15">
        <v>62000</v>
      </c>
      <c r="B226" s="25">
        <v>620</v>
      </c>
      <c r="C226" s="26">
        <v>0</v>
      </c>
      <c r="D226" s="20" t="s">
        <v>658</v>
      </c>
      <c r="E226" s="14">
        <v>42695</v>
      </c>
      <c r="F226" s="18">
        <v>0.71467782152535797</v>
      </c>
      <c r="G226" s="18">
        <v>0.77143640402968505</v>
      </c>
      <c r="H226" s="21">
        <v>77.7</v>
      </c>
      <c r="I226" s="21">
        <v>61.7</v>
      </c>
      <c r="J226" s="21">
        <v>93</v>
      </c>
      <c r="K226" s="18">
        <v>1</v>
      </c>
      <c r="L226" s="18">
        <v>89</v>
      </c>
      <c r="M226" s="18">
        <v>37.113</v>
      </c>
      <c r="N226" s="18">
        <v>2.67</v>
      </c>
      <c r="O226" s="18">
        <v>7.6539999999999999</v>
      </c>
      <c r="P226" s="18">
        <v>14.24</v>
      </c>
      <c r="Q226" s="19"/>
      <c r="R226" s="18">
        <v>84</v>
      </c>
      <c r="S226" s="18">
        <v>15</v>
      </c>
      <c r="T226" s="18">
        <v>25</v>
      </c>
      <c r="U226" s="18">
        <v>29</v>
      </c>
      <c r="V226" s="18">
        <v>33</v>
      </c>
      <c r="W226" s="18">
        <v>35</v>
      </c>
      <c r="X226" s="18"/>
      <c r="Y226" s="18">
        <v>4.0999999999999996</v>
      </c>
      <c r="Z226" s="18">
        <v>12.600000000000001</v>
      </c>
      <c r="AA226" s="18">
        <v>0.2</v>
      </c>
      <c r="AB226" s="18">
        <v>0</v>
      </c>
      <c r="AC226" s="18">
        <v>17</v>
      </c>
      <c r="AD226" s="18">
        <v>6.6999999999999993</v>
      </c>
      <c r="AE226" s="18">
        <v>4.8000000000000007</v>
      </c>
      <c r="AF226" s="18">
        <v>170.00000000000003</v>
      </c>
      <c r="AG226" s="18">
        <v>36</v>
      </c>
      <c r="AH226" s="18">
        <v>47</v>
      </c>
      <c r="AI226" s="18">
        <v>110</v>
      </c>
      <c r="AJ226" s="18">
        <v>0</v>
      </c>
      <c r="AK226" s="18">
        <v>0.15000000000000002</v>
      </c>
      <c r="AL226" s="18"/>
      <c r="AM226" s="18">
        <v>3.5</v>
      </c>
      <c r="AN226" s="18">
        <v>2.2000000000000002</v>
      </c>
      <c r="AO226" s="18">
        <v>1.8</v>
      </c>
      <c r="AP226" s="18">
        <v>3.7</v>
      </c>
      <c r="AQ226" s="18">
        <v>1.1599999999999999</v>
      </c>
      <c r="AR226" s="18">
        <v>4.0999999999999996</v>
      </c>
      <c r="AS226" s="18">
        <v>6.3</v>
      </c>
      <c r="AT226" s="18">
        <v>2.4</v>
      </c>
      <c r="AU226" s="18">
        <v>4.5</v>
      </c>
      <c r="AV226" s="18">
        <v>2.5</v>
      </c>
      <c r="AW226" s="18">
        <v>5</v>
      </c>
      <c r="AX226" s="18"/>
      <c r="AY226" s="18">
        <v>0.96</v>
      </c>
      <c r="AZ226" s="18">
        <v>1.06</v>
      </c>
      <c r="BA226" s="18">
        <v>1.01</v>
      </c>
      <c r="BB226" s="18">
        <v>0.98</v>
      </c>
      <c r="BC226" s="18">
        <v>1.01</v>
      </c>
      <c r="BD226" s="18">
        <v>0.99</v>
      </c>
      <c r="BE226" s="18">
        <v>0.99</v>
      </c>
      <c r="BF226" s="18">
        <v>1.01</v>
      </c>
      <c r="BG226" s="18">
        <v>1.01</v>
      </c>
      <c r="BH226" s="18">
        <v>0.99</v>
      </c>
      <c r="BI226" s="18">
        <v>0.98</v>
      </c>
      <c r="BJ226" s="19"/>
      <c r="BK226" s="18">
        <v>41.7</v>
      </c>
      <c r="BL226" s="18">
        <v>3</v>
      </c>
      <c r="BM226" s="18">
        <v>8.6</v>
      </c>
      <c r="BN226" s="18">
        <v>16</v>
      </c>
      <c r="BO226" s="18"/>
      <c r="BP226" s="18">
        <v>130</v>
      </c>
      <c r="BQ226" s="18">
        <v>39</v>
      </c>
      <c r="BR226" s="18">
        <v>0.80300878823073918</v>
      </c>
      <c r="BS226" s="18">
        <v>0.86678247643784834</v>
      </c>
      <c r="BT226" s="19"/>
      <c r="BU226" s="18">
        <v>914</v>
      </c>
      <c r="BV226" s="18">
        <v>92.693714285714151</v>
      </c>
      <c r="BW226" s="18">
        <v>208.91428571428651</v>
      </c>
      <c r="BX226" s="18" t="s">
        <v>217</v>
      </c>
      <c r="BY226" s="18" t="s">
        <v>217</v>
      </c>
      <c r="BZ226" s="18">
        <v>53.570479999999996</v>
      </c>
      <c r="CA226" s="18">
        <v>329.0758057142865</v>
      </c>
      <c r="CB226" s="19"/>
      <c r="CC226" s="19">
        <v>3.6489999999999996</v>
      </c>
      <c r="CD226" s="19">
        <v>11.214000000000002</v>
      </c>
      <c r="CE226" s="19">
        <v>0.17800000000000002</v>
      </c>
      <c r="CF226" s="19">
        <v>0</v>
      </c>
      <c r="CG226" s="19">
        <v>15.13</v>
      </c>
      <c r="CH226" s="19">
        <v>5.9629999999999992</v>
      </c>
      <c r="CI226" s="19">
        <v>4.2720000000000011</v>
      </c>
      <c r="CJ226" s="19"/>
      <c r="CK226" s="19">
        <v>151.30000000000004</v>
      </c>
      <c r="CL226" s="19">
        <v>32.04</v>
      </c>
      <c r="CM226" s="19">
        <v>41.83</v>
      </c>
      <c r="CN226" s="19">
        <v>97.9</v>
      </c>
      <c r="CO226" s="19">
        <v>0</v>
      </c>
      <c r="CP226" s="19">
        <v>0.13350000000000004</v>
      </c>
      <c r="CQ226" s="19">
        <v>311.74919999999997</v>
      </c>
      <c r="CR226" s="19">
        <v>436.20942277825895</v>
      </c>
      <c r="CS226" s="19">
        <v>14.656636605349503</v>
      </c>
      <c r="CT226" s="19">
        <v>10.172403739189001</v>
      </c>
      <c r="CU226" s="19">
        <v>7.930287306108748</v>
      </c>
      <c r="CV226" s="19">
        <v>18.10269104529775</v>
      </c>
      <c r="CW226" s="19">
        <v>15.81695366993967</v>
      </c>
      <c r="CX226" s="19">
        <v>5.1106295972700826</v>
      </c>
      <c r="CY226" s="19">
        <v>17.705740470569534</v>
      </c>
      <c r="CZ226" s="19">
        <v>27.206381698680012</v>
      </c>
      <c r="DA226" s="19">
        <v>10.573716408144998</v>
      </c>
      <c r="DB226" s="19">
        <v>19.82571826527187</v>
      </c>
      <c r="DC226" s="19">
        <v>10.79618321376191</v>
      </c>
      <c r="DD226" s="19">
        <v>30.621901479033781</v>
      </c>
      <c r="DE226" s="19">
        <v>21.37426171613469</v>
      </c>
      <c r="DF226" s="23">
        <v>0</v>
      </c>
      <c r="DG226" s="23">
        <v>0</v>
      </c>
      <c r="DH226" s="23">
        <v>0</v>
      </c>
      <c r="DI226" s="19">
        <v>0</v>
      </c>
      <c r="DJ226" s="19">
        <v>0</v>
      </c>
      <c r="DK226" s="19">
        <v>0</v>
      </c>
      <c r="DL226" s="19">
        <v>0</v>
      </c>
      <c r="DM226" s="19">
        <v>0</v>
      </c>
      <c r="DN226" s="19">
        <v>0</v>
      </c>
      <c r="DO226" s="19">
        <v>0</v>
      </c>
      <c r="DP226" s="19">
        <v>0</v>
      </c>
      <c r="DQ226" s="19">
        <v>0</v>
      </c>
      <c r="DR226" s="19">
        <v>0</v>
      </c>
      <c r="DS226" s="19">
        <v>0</v>
      </c>
      <c r="DT226" s="19">
        <v>0</v>
      </c>
      <c r="DU226" s="19">
        <v>0</v>
      </c>
      <c r="DV226" s="19">
        <v>0</v>
      </c>
      <c r="DW226" s="17" t="s">
        <v>655</v>
      </c>
      <c r="DX226" s="22" t="s">
        <v>218</v>
      </c>
      <c r="DY226" s="22" t="s">
        <v>218</v>
      </c>
      <c r="DZ226" s="22" t="s">
        <v>218</v>
      </c>
      <c r="EA226" s="22" t="s">
        <v>218</v>
      </c>
      <c r="EB226" s="22" t="s">
        <v>218</v>
      </c>
      <c r="EC226" s="22" t="s">
        <v>218</v>
      </c>
      <c r="ED226" s="22" t="s">
        <v>218</v>
      </c>
      <c r="EE226" s="22" t="s">
        <v>218</v>
      </c>
      <c r="EF226" s="22" t="s">
        <v>218</v>
      </c>
      <c r="EG226" s="22" t="s">
        <v>218</v>
      </c>
      <c r="EH226" s="22" t="s">
        <v>218</v>
      </c>
      <c r="EI226" s="22" t="s">
        <v>218</v>
      </c>
      <c r="EJ226" s="22" t="s">
        <v>218</v>
      </c>
      <c r="EK226" s="22" t="s">
        <v>218</v>
      </c>
      <c r="EL226" s="22" t="s">
        <v>218</v>
      </c>
      <c r="EM226" s="22" t="s">
        <v>218</v>
      </c>
      <c r="EN226" s="22" t="s">
        <v>218</v>
      </c>
      <c r="EO226" s="22" t="s">
        <v>218</v>
      </c>
      <c r="EP226" s="22" t="s">
        <v>218</v>
      </c>
      <c r="EQ226" s="22" t="s">
        <v>218</v>
      </c>
      <c r="ER226" s="22" t="s">
        <v>218</v>
      </c>
      <c r="ES226" s="22" t="s">
        <v>218</v>
      </c>
      <c r="ET226" s="22" t="s">
        <v>218</v>
      </c>
      <c r="EU226" s="22" t="s">
        <v>218</v>
      </c>
      <c r="EV226" s="22" t="s">
        <v>218</v>
      </c>
      <c r="EW226" s="22" t="s">
        <v>218</v>
      </c>
      <c r="EX226" s="22" t="s">
        <v>218</v>
      </c>
      <c r="EY226" s="22" t="s">
        <v>218</v>
      </c>
      <c r="EZ226" s="22" t="s">
        <v>218</v>
      </c>
      <c r="FA226" s="22" t="s">
        <v>218</v>
      </c>
      <c r="FB226" s="22" t="s">
        <v>218</v>
      </c>
      <c r="FC226" s="22" t="s">
        <v>218</v>
      </c>
      <c r="FD226" s="22" t="s">
        <v>218</v>
      </c>
      <c r="FE226" s="22" t="s">
        <v>218</v>
      </c>
      <c r="FF226" s="22" t="s">
        <v>218</v>
      </c>
      <c r="FG226" s="22" t="s">
        <v>218</v>
      </c>
      <c r="FH226" s="22" t="s">
        <v>218</v>
      </c>
      <c r="FI226" s="22" t="s">
        <v>218</v>
      </c>
      <c r="FJ226" s="22" t="s">
        <v>218</v>
      </c>
      <c r="FK226" s="22" t="s">
        <v>218</v>
      </c>
      <c r="FL226" s="22" t="s">
        <v>218</v>
      </c>
      <c r="FM226" s="22" t="s">
        <v>218</v>
      </c>
      <c r="FN226" s="22" t="s">
        <v>218</v>
      </c>
      <c r="FO226" s="22" t="s">
        <v>218</v>
      </c>
      <c r="FP226" s="22" t="s">
        <v>218</v>
      </c>
      <c r="FQ226" s="22" t="s">
        <v>218</v>
      </c>
      <c r="FR226" s="22" t="s">
        <v>218</v>
      </c>
      <c r="FS226" s="22" t="s">
        <v>218</v>
      </c>
      <c r="FT226" s="22" t="s">
        <v>218</v>
      </c>
      <c r="FU226" s="22" t="s">
        <v>218</v>
      </c>
      <c r="FV226" s="22" t="s">
        <v>218</v>
      </c>
      <c r="FW226" s="22" t="s">
        <v>218</v>
      </c>
      <c r="FX226" s="22" t="s">
        <v>218</v>
      </c>
      <c r="FY226" s="22" t="s">
        <v>218</v>
      </c>
      <c r="FZ226" s="22" t="s">
        <v>218</v>
      </c>
      <c r="GA226" s="22" t="s">
        <v>218</v>
      </c>
      <c r="GB226" s="22" t="s">
        <v>218</v>
      </c>
      <c r="GC226" s="22" t="s">
        <v>218</v>
      </c>
      <c r="GD226" s="22" t="s">
        <v>218</v>
      </c>
      <c r="GE226" s="22" t="s">
        <v>218</v>
      </c>
      <c r="GF226" s="22" t="s">
        <v>218</v>
      </c>
      <c r="GG226" s="22" t="s">
        <v>218</v>
      </c>
      <c r="GH226" s="22" t="s">
        <v>218</v>
      </c>
      <c r="GI226" s="22" t="s">
        <v>218</v>
      </c>
      <c r="GJ226" s="22" t="s">
        <v>218</v>
      </c>
      <c r="GK226" s="22" t="s">
        <v>218</v>
      </c>
      <c r="GL226" s="22" t="s">
        <v>218</v>
      </c>
      <c r="GM226" s="22" t="s">
        <v>218</v>
      </c>
      <c r="GN226" s="22" t="s">
        <v>218</v>
      </c>
      <c r="GO226" s="22" t="s">
        <v>218</v>
      </c>
      <c r="GP226" s="22" t="s">
        <v>218</v>
      </c>
      <c r="GQ226" s="22" t="s">
        <v>218</v>
      </c>
      <c r="GR226" s="22" t="s">
        <v>218</v>
      </c>
      <c r="GS226" s="22" t="s">
        <v>218</v>
      </c>
      <c r="GT226" s="22" t="s">
        <v>218</v>
      </c>
      <c r="GU226" s="22" t="s">
        <v>218</v>
      </c>
      <c r="GV226" s="22" t="s">
        <v>218</v>
      </c>
      <c r="GW226" s="22" t="s">
        <v>218</v>
      </c>
      <c r="GX226" s="22" t="s">
        <v>218</v>
      </c>
      <c r="GY226" s="22" t="s">
        <v>218</v>
      </c>
      <c r="GZ226" s="22" t="s">
        <v>218</v>
      </c>
      <c r="HA226" s="22" t="s">
        <v>218</v>
      </c>
      <c r="HB226" s="22" t="s">
        <v>218</v>
      </c>
      <c r="HC226" s="22" t="s">
        <v>218</v>
      </c>
      <c r="HD226" s="22" t="s">
        <v>218</v>
      </c>
      <c r="HE226" s="22" t="s">
        <v>218</v>
      </c>
      <c r="HF226" s="22" t="s">
        <v>218</v>
      </c>
      <c r="HG226" s="22" t="s">
        <v>218</v>
      </c>
      <c r="HH226" s="22" t="s">
        <v>218</v>
      </c>
      <c r="HI226" s="22" t="s">
        <v>218</v>
      </c>
      <c r="HJ226" s="22" t="s">
        <v>218</v>
      </c>
      <c r="HK226" s="22" t="s">
        <v>218</v>
      </c>
      <c r="HL226" s="22" t="s">
        <v>218</v>
      </c>
      <c r="HM226" s="622">
        <f>'background data'!$G$18</f>
        <v>0.54099999999999993</v>
      </c>
      <c r="HN226" s="622">
        <f>'background data'!$H$18</f>
        <v>0.11600000000000001</v>
      </c>
      <c r="HO226" s="622">
        <f>'background data'!$J$18</f>
        <v>0.25</v>
      </c>
      <c r="HP226" s="622">
        <f>'background data'!$L$18</f>
        <v>1.2999999999999999E-2</v>
      </c>
      <c r="HQ226" s="622">
        <f>'background data'!$M$18</f>
        <v>8.86</v>
      </c>
      <c r="HR226" s="622">
        <f>'background data'!$N$18</f>
        <v>6.9299999999999995E-3</v>
      </c>
      <c r="HS226" s="622">
        <f>'background data'!$O$18</f>
        <v>1.75</v>
      </c>
      <c r="HT226" s="145" t="s">
        <v>1805</v>
      </c>
      <c r="HU226" s="145" t="s">
        <v>1809</v>
      </c>
      <c r="HV226" s="22" t="s">
        <v>1981</v>
      </c>
      <c r="HW226" s="22" t="s">
        <v>659</v>
      </c>
      <c r="HX226" s="22" t="s">
        <v>652</v>
      </c>
      <c r="HY226" s="22" t="s">
        <v>657</v>
      </c>
      <c r="HZ226" s="19"/>
      <c r="IA226" s="19"/>
      <c r="IB226" s="622">
        <f>'background data'!$G$18</f>
        <v>0.54099999999999993</v>
      </c>
      <c r="IC226" s="622">
        <f>'background data'!$H$18</f>
        <v>0.11600000000000001</v>
      </c>
      <c r="ID226" s="622">
        <f>'background data'!$J$18</f>
        <v>0.25</v>
      </c>
      <c r="IE226" s="622">
        <f>'background data'!$L$18</f>
        <v>1.2999999999999999E-2</v>
      </c>
      <c r="IF226" s="622">
        <f>'background data'!$M$18</f>
        <v>8.86</v>
      </c>
      <c r="IG226" s="622">
        <f>'background data'!$N$18</f>
        <v>6.9299999999999995E-3</v>
      </c>
      <c r="IH226" s="622">
        <f>'background data'!$O$18</f>
        <v>1.75</v>
      </c>
      <c r="II226" s="145" t="s">
        <v>1805</v>
      </c>
      <c r="IJ226" s="145"/>
      <c r="IK226" s="145"/>
      <c r="IL226" s="145"/>
      <c r="IM226" s="145"/>
      <c r="IN226" s="145"/>
      <c r="IO226" s="145"/>
      <c r="IP226" s="145"/>
      <c r="IQ226" s="145"/>
      <c r="IR226" s="145"/>
      <c r="IS226" s="145"/>
      <c r="IT226" s="145"/>
      <c r="IU226" s="145"/>
      <c r="IV226" s="145"/>
      <c r="IW226" s="145"/>
      <c r="IX226" s="145"/>
      <c r="IY226" s="145"/>
      <c r="IZ226" s="145"/>
      <c r="JA226" s="145"/>
      <c r="JB226" s="145"/>
      <c r="JC226" s="145"/>
      <c r="JD226" s="145"/>
      <c r="JE226" s="145"/>
      <c r="JF226" s="145"/>
      <c r="JG226" s="145"/>
      <c r="JH226" s="145"/>
      <c r="JI226" s="145"/>
      <c r="JJ226" s="145"/>
      <c r="JK226" s="145"/>
      <c r="JL226" s="145"/>
      <c r="JM226" s="145"/>
      <c r="JN226" s="145"/>
      <c r="JO226" s="145"/>
      <c r="JP226" s="145"/>
      <c r="JQ226" s="145"/>
      <c r="JR226" s="145"/>
      <c r="JS226" s="145"/>
      <c r="JT226" s="145"/>
      <c r="JU226" s="145"/>
      <c r="JV226" s="145"/>
      <c r="JW226" s="145"/>
      <c r="JX226" s="145"/>
      <c r="JY226" s="145"/>
      <c r="JZ226" s="145"/>
      <c r="KA226" s="145"/>
      <c r="KB226" s="145"/>
      <c r="KC226" s="145"/>
      <c r="KD226" s="145"/>
      <c r="KE226" s="145"/>
      <c r="KF226" s="145"/>
      <c r="KG226" s="145"/>
      <c r="KH226" s="145"/>
      <c r="KI226" s="145"/>
      <c r="KJ226" s="145"/>
      <c r="KK226" s="145"/>
      <c r="KL226" s="145"/>
      <c r="KM226" s="145"/>
      <c r="KN226" s="145"/>
      <c r="KO226" s="145"/>
      <c r="KP226" s="145"/>
      <c r="KQ226" s="145"/>
      <c r="KR226" s="145"/>
      <c r="KS226" s="145"/>
      <c r="KT226" s="145"/>
      <c r="KU226" s="145"/>
      <c r="KV226" s="145"/>
      <c r="KW226" s="145"/>
      <c r="KX226" s="145"/>
      <c r="KY226" s="145"/>
      <c r="KZ226" s="145"/>
      <c r="LA226" s="145"/>
      <c r="LB226" s="145"/>
      <c r="LC226" s="145"/>
      <c r="LD226" s="145"/>
      <c r="LE226" s="145"/>
      <c r="LF226" s="145"/>
      <c r="LG226" s="145"/>
      <c r="LH226" s="145"/>
      <c r="LI226" s="145"/>
      <c r="LJ226" s="145"/>
      <c r="LK226" s="145"/>
      <c r="LL226" s="145"/>
      <c r="LM226" s="145"/>
      <c r="LN226" s="145"/>
      <c r="LO226" s="145"/>
      <c r="LP226" s="145"/>
      <c r="LQ226" s="145"/>
      <c r="LR226" s="145"/>
      <c r="LS226" s="145"/>
      <c r="LT226" s="145"/>
      <c r="LU226" s="145"/>
      <c r="LV226" s="145"/>
      <c r="LW226" s="145"/>
      <c r="LX226" s="145"/>
      <c r="LY226" s="145"/>
      <c r="LZ226" s="145"/>
      <c r="MA226" s="145"/>
      <c r="MB226" s="145"/>
      <c r="MC226" s="145"/>
      <c r="MD226" s="145"/>
      <c r="ME226" s="145"/>
      <c r="MF226" s="145"/>
      <c r="MG226" s="145"/>
      <c r="MH226" s="145"/>
      <c r="MI226" s="145"/>
      <c r="MJ226" s="145"/>
      <c r="MK226" s="145"/>
      <c r="ML226" s="145"/>
      <c r="MM226" s="145"/>
      <c r="MN226" s="145"/>
      <c r="MO226" s="145"/>
      <c r="MP226" s="145"/>
      <c r="MQ226" s="145"/>
      <c r="MR226" s="145"/>
      <c r="MS226" s="145"/>
      <c r="MT226" s="145"/>
      <c r="MU226" s="145"/>
      <c r="MV226" s="145"/>
      <c r="MW226" s="145"/>
      <c r="MX226" s="145"/>
      <c r="MY226" s="145"/>
      <c r="MZ226" s="145"/>
      <c r="NA226" s="145"/>
      <c r="NB226" s="145"/>
      <c r="NC226" s="145"/>
      <c r="ND226" s="145"/>
      <c r="NE226" s="145"/>
      <c r="NF226" s="145"/>
      <c r="NG226" s="145"/>
      <c r="NH226" s="145"/>
      <c r="NI226" s="145"/>
      <c r="NJ226" s="145"/>
      <c r="NK226" s="145"/>
      <c r="NL226" s="145"/>
      <c r="NM226" s="145"/>
      <c r="NN226" s="145"/>
      <c r="NO226" s="145"/>
      <c r="NP226" s="145"/>
      <c r="NQ226" s="145"/>
      <c r="NR226" s="145"/>
      <c r="NS226" s="145"/>
    </row>
    <row r="227" spans="1:383" s="16" customFormat="1" ht="15" customHeight="1" x14ac:dyDescent="0.2">
      <c r="A227" s="15">
        <v>62100</v>
      </c>
      <c r="B227" s="25">
        <v>621</v>
      </c>
      <c r="C227" s="26">
        <v>0</v>
      </c>
      <c r="D227" s="20" t="s">
        <v>660</v>
      </c>
      <c r="E227" s="14">
        <v>42695</v>
      </c>
      <c r="F227" s="18">
        <v>0.54299351045296196</v>
      </c>
      <c r="G227" s="18">
        <v>0.63143809046382204</v>
      </c>
      <c r="H227" s="21">
        <v>65.5</v>
      </c>
      <c r="I227" s="21">
        <v>49</v>
      </c>
      <c r="J227" s="21">
        <v>91</v>
      </c>
      <c r="K227" s="18">
        <v>1</v>
      </c>
      <c r="L227" s="18">
        <v>90</v>
      </c>
      <c r="M227" s="18">
        <v>31.68</v>
      </c>
      <c r="N227" s="18">
        <v>2.9159999999999999</v>
      </c>
      <c r="O227" s="18">
        <v>7.0380000000000003</v>
      </c>
      <c r="P227" s="18">
        <v>21.96</v>
      </c>
      <c r="Q227" s="19"/>
      <c r="R227" s="18">
        <v>84</v>
      </c>
      <c r="S227" s="18">
        <v>15</v>
      </c>
      <c r="T227" s="18">
        <v>25</v>
      </c>
      <c r="U227" s="18">
        <v>29</v>
      </c>
      <c r="V227" s="18">
        <v>33</v>
      </c>
      <c r="W227" s="18">
        <v>35</v>
      </c>
      <c r="X227" s="18"/>
      <c r="Y227" s="18">
        <v>4.0999999999999996</v>
      </c>
      <c r="Z227" s="18">
        <v>12.6</v>
      </c>
      <c r="AA227" s="18">
        <v>0.2</v>
      </c>
      <c r="AB227" s="18">
        <v>0</v>
      </c>
      <c r="AC227" s="18">
        <v>17</v>
      </c>
      <c r="AD227" s="18">
        <v>6.7</v>
      </c>
      <c r="AE227" s="18">
        <v>4.8</v>
      </c>
      <c r="AF227" s="18">
        <v>170</v>
      </c>
      <c r="AG227" s="18">
        <v>36</v>
      </c>
      <c r="AH227" s="18">
        <v>47</v>
      </c>
      <c r="AI227" s="18">
        <v>110</v>
      </c>
      <c r="AJ227" s="18">
        <v>0</v>
      </c>
      <c r="AK227" s="18">
        <v>0.15</v>
      </c>
      <c r="AL227" s="18"/>
      <c r="AM227" s="18">
        <v>3.5</v>
      </c>
      <c r="AN227" s="18">
        <v>2.2000000000000002</v>
      </c>
      <c r="AO227" s="18">
        <v>1.8</v>
      </c>
      <c r="AP227" s="18">
        <v>3.7</v>
      </c>
      <c r="AQ227" s="18">
        <v>1.1599999999999999</v>
      </c>
      <c r="AR227" s="18">
        <v>4.0999999999999996</v>
      </c>
      <c r="AS227" s="18">
        <v>6.3</v>
      </c>
      <c r="AT227" s="18">
        <v>2.4</v>
      </c>
      <c r="AU227" s="18">
        <v>4.5</v>
      </c>
      <c r="AV227" s="18">
        <v>2.5</v>
      </c>
      <c r="AW227" s="18">
        <v>5</v>
      </c>
      <c r="AX227" s="18"/>
      <c r="AY227" s="18">
        <v>0.96</v>
      </c>
      <c r="AZ227" s="18">
        <v>1.06</v>
      </c>
      <c r="BA227" s="18">
        <v>1.01</v>
      </c>
      <c r="BB227" s="18">
        <v>0.98</v>
      </c>
      <c r="BC227" s="18">
        <v>1.01</v>
      </c>
      <c r="BD227" s="18">
        <v>0.99</v>
      </c>
      <c r="BE227" s="18">
        <v>0.99</v>
      </c>
      <c r="BF227" s="18">
        <v>1.01</v>
      </c>
      <c r="BG227" s="18">
        <v>1.01</v>
      </c>
      <c r="BH227" s="18">
        <v>0.99</v>
      </c>
      <c r="BI227" s="18">
        <v>0.98</v>
      </c>
      <c r="BJ227" s="19"/>
      <c r="BK227" s="18">
        <v>35.200000000000003</v>
      </c>
      <c r="BL227" s="18">
        <v>3.2399999999999998</v>
      </c>
      <c r="BM227" s="18">
        <v>7.8200000000000012</v>
      </c>
      <c r="BN227" s="18">
        <v>24.4</v>
      </c>
      <c r="BO227" s="18"/>
      <c r="BP227" s="18">
        <v>130</v>
      </c>
      <c r="BQ227" s="18">
        <v>42.120000000000005</v>
      </c>
      <c r="BR227" s="18">
        <v>0.60332612272551334</v>
      </c>
      <c r="BS227" s="18">
        <v>0.70159787829313558</v>
      </c>
      <c r="BT227" s="19"/>
      <c r="BU227" s="18">
        <v>921.8</v>
      </c>
      <c r="BV227" s="18">
        <v>34.749571428571443</v>
      </c>
      <c r="BW227" s="18">
        <v>217.28142857142888</v>
      </c>
      <c r="BX227" s="18" t="s">
        <v>217</v>
      </c>
      <c r="BY227" s="18" t="s">
        <v>217</v>
      </c>
      <c r="BZ227" s="18">
        <v>70.371060000000099</v>
      </c>
      <c r="CA227" s="18">
        <v>432.2793685714289</v>
      </c>
      <c r="CB227" s="19"/>
      <c r="CC227" s="19">
        <v>3.69</v>
      </c>
      <c r="CD227" s="19">
        <v>11.34</v>
      </c>
      <c r="CE227" s="19">
        <v>0.18000000000000002</v>
      </c>
      <c r="CF227" s="19">
        <v>0</v>
      </c>
      <c r="CG227" s="19">
        <v>15.3</v>
      </c>
      <c r="CH227" s="19">
        <v>6.03</v>
      </c>
      <c r="CI227" s="19">
        <v>4.32</v>
      </c>
      <c r="CJ227" s="19"/>
      <c r="CK227" s="19">
        <v>153</v>
      </c>
      <c r="CL227" s="19">
        <v>32.4</v>
      </c>
      <c r="CM227" s="19">
        <v>42.300000000000004</v>
      </c>
      <c r="CN227" s="19">
        <v>99</v>
      </c>
      <c r="CO227" s="19">
        <v>0</v>
      </c>
      <c r="CP227" s="19">
        <v>0.13500000000000001</v>
      </c>
      <c r="CQ227" s="19">
        <v>266.11200000000002</v>
      </c>
      <c r="CR227" s="19">
        <v>490.08320518971021</v>
      </c>
      <c r="CS227" s="19">
        <v>16.466795694374262</v>
      </c>
      <c r="CT227" s="19">
        <v>11.428740345024043</v>
      </c>
      <c r="CU227" s="19">
        <v>8.9097126703489309</v>
      </c>
      <c r="CV227" s="19">
        <v>20.33845301537297</v>
      </c>
      <c r="CW227" s="19">
        <v>17.77041702017889</v>
      </c>
      <c r="CX227" s="19">
        <v>5.7418148320026452</v>
      </c>
      <c r="CY227" s="19">
        <v>19.892477298650338</v>
      </c>
      <c r="CZ227" s="19">
        <v>30.566489507682224</v>
      </c>
      <c r="DA227" s="19">
        <v>11.879616893798575</v>
      </c>
      <c r="DB227" s="19">
        <v>22.274281675872331</v>
      </c>
      <c r="DC227" s="19">
        <v>12.129559328445328</v>
      </c>
      <c r="DD227" s="19">
        <v>34.403841004317655</v>
      </c>
      <c r="DE227" s="19">
        <v>24.0140770542958</v>
      </c>
      <c r="DF227" s="23">
        <v>0</v>
      </c>
      <c r="DG227" s="23">
        <v>0</v>
      </c>
      <c r="DH227" s="23">
        <v>0</v>
      </c>
      <c r="DI227" s="19">
        <v>0</v>
      </c>
      <c r="DJ227" s="19">
        <v>0</v>
      </c>
      <c r="DK227" s="19">
        <v>0</v>
      </c>
      <c r="DL227" s="19">
        <v>0</v>
      </c>
      <c r="DM227" s="19">
        <v>0</v>
      </c>
      <c r="DN227" s="19">
        <v>0</v>
      </c>
      <c r="DO227" s="19">
        <v>0</v>
      </c>
      <c r="DP227" s="19">
        <v>0</v>
      </c>
      <c r="DQ227" s="19">
        <v>0</v>
      </c>
      <c r="DR227" s="19">
        <v>0</v>
      </c>
      <c r="DS227" s="19">
        <v>0</v>
      </c>
      <c r="DT227" s="19">
        <v>0</v>
      </c>
      <c r="DU227" s="19">
        <v>0</v>
      </c>
      <c r="DV227" s="19">
        <v>0</v>
      </c>
      <c r="DW227" s="17" t="s">
        <v>655</v>
      </c>
      <c r="DX227" s="22" t="s">
        <v>218</v>
      </c>
      <c r="DY227" s="22" t="s">
        <v>218</v>
      </c>
      <c r="DZ227" s="22" t="s">
        <v>218</v>
      </c>
      <c r="EA227" s="22" t="s">
        <v>218</v>
      </c>
      <c r="EB227" s="22" t="s">
        <v>218</v>
      </c>
      <c r="EC227" s="22" t="s">
        <v>218</v>
      </c>
      <c r="ED227" s="22" t="s">
        <v>218</v>
      </c>
      <c r="EE227" s="22" t="s">
        <v>218</v>
      </c>
      <c r="EF227" s="22" t="s">
        <v>218</v>
      </c>
      <c r="EG227" s="22" t="s">
        <v>218</v>
      </c>
      <c r="EH227" s="22" t="s">
        <v>218</v>
      </c>
      <c r="EI227" s="22" t="s">
        <v>218</v>
      </c>
      <c r="EJ227" s="22" t="s">
        <v>218</v>
      </c>
      <c r="EK227" s="22" t="s">
        <v>218</v>
      </c>
      <c r="EL227" s="22" t="s">
        <v>218</v>
      </c>
      <c r="EM227" s="22" t="s">
        <v>218</v>
      </c>
      <c r="EN227" s="22" t="s">
        <v>218</v>
      </c>
      <c r="EO227" s="22" t="s">
        <v>218</v>
      </c>
      <c r="EP227" s="22" t="s">
        <v>218</v>
      </c>
      <c r="EQ227" s="22" t="s">
        <v>218</v>
      </c>
      <c r="ER227" s="22" t="s">
        <v>218</v>
      </c>
      <c r="ES227" s="22" t="s">
        <v>218</v>
      </c>
      <c r="ET227" s="22" t="s">
        <v>218</v>
      </c>
      <c r="EU227" s="22" t="s">
        <v>218</v>
      </c>
      <c r="EV227" s="22" t="s">
        <v>218</v>
      </c>
      <c r="EW227" s="22" t="s">
        <v>218</v>
      </c>
      <c r="EX227" s="22" t="s">
        <v>218</v>
      </c>
      <c r="EY227" s="22" t="s">
        <v>218</v>
      </c>
      <c r="EZ227" s="22" t="s">
        <v>218</v>
      </c>
      <c r="FA227" s="22" t="s">
        <v>218</v>
      </c>
      <c r="FB227" s="22" t="s">
        <v>218</v>
      </c>
      <c r="FC227" s="22" t="s">
        <v>218</v>
      </c>
      <c r="FD227" s="22" t="s">
        <v>218</v>
      </c>
      <c r="FE227" s="22" t="s">
        <v>218</v>
      </c>
      <c r="FF227" s="22" t="s">
        <v>218</v>
      </c>
      <c r="FG227" s="22" t="s">
        <v>218</v>
      </c>
      <c r="FH227" s="22" t="s">
        <v>218</v>
      </c>
      <c r="FI227" s="22" t="s">
        <v>218</v>
      </c>
      <c r="FJ227" s="22" t="s">
        <v>218</v>
      </c>
      <c r="FK227" s="22" t="s">
        <v>218</v>
      </c>
      <c r="FL227" s="22" t="s">
        <v>218</v>
      </c>
      <c r="FM227" s="22" t="s">
        <v>218</v>
      </c>
      <c r="FN227" s="22" t="s">
        <v>218</v>
      </c>
      <c r="FO227" s="22" t="s">
        <v>218</v>
      </c>
      <c r="FP227" s="22" t="s">
        <v>218</v>
      </c>
      <c r="FQ227" s="22" t="s">
        <v>218</v>
      </c>
      <c r="FR227" s="22" t="s">
        <v>218</v>
      </c>
      <c r="FS227" s="22" t="s">
        <v>218</v>
      </c>
      <c r="FT227" s="22" t="s">
        <v>218</v>
      </c>
      <c r="FU227" s="22" t="s">
        <v>218</v>
      </c>
      <c r="FV227" s="22" t="s">
        <v>218</v>
      </c>
      <c r="FW227" s="22" t="s">
        <v>218</v>
      </c>
      <c r="FX227" s="22" t="s">
        <v>218</v>
      </c>
      <c r="FY227" s="22" t="s">
        <v>218</v>
      </c>
      <c r="FZ227" s="22" t="s">
        <v>218</v>
      </c>
      <c r="GA227" s="22" t="s">
        <v>218</v>
      </c>
      <c r="GB227" s="22" t="s">
        <v>218</v>
      </c>
      <c r="GC227" s="22" t="s">
        <v>218</v>
      </c>
      <c r="GD227" s="22" t="s">
        <v>218</v>
      </c>
      <c r="GE227" s="22" t="s">
        <v>218</v>
      </c>
      <c r="GF227" s="22" t="s">
        <v>218</v>
      </c>
      <c r="GG227" s="22" t="s">
        <v>218</v>
      </c>
      <c r="GH227" s="22" t="s">
        <v>218</v>
      </c>
      <c r="GI227" s="22" t="s">
        <v>218</v>
      </c>
      <c r="GJ227" s="22" t="s">
        <v>218</v>
      </c>
      <c r="GK227" s="22" t="s">
        <v>218</v>
      </c>
      <c r="GL227" s="22" t="s">
        <v>218</v>
      </c>
      <c r="GM227" s="22" t="s">
        <v>218</v>
      </c>
      <c r="GN227" s="22" t="s">
        <v>218</v>
      </c>
      <c r="GO227" s="22" t="s">
        <v>218</v>
      </c>
      <c r="GP227" s="22" t="s">
        <v>218</v>
      </c>
      <c r="GQ227" s="22" t="s">
        <v>218</v>
      </c>
      <c r="GR227" s="22" t="s">
        <v>218</v>
      </c>
      <c r="GS227" s="22" t="s">
        <v>218</v>
      </c>
      <c r="GT227" s="22" t="s">
        <v>218</v>
      </c>
      <c r="GU227" s="22" t="s">
        <v>218</v>
      </c>
      <c r="GV227" s="22" t="s">
        <v>218</v>
      </c>
      <c r="GW227" s="22" t="s">
        <v>218</v>
      </c>
      <c r="GX227" s="22" t="s">
        <v>218</v>
      </c>
      <c r="GY227" s="22" t="s">
        <v>218</v>
      </c>
      <c r="GZ227" s="22" t="s">
        <v>218</v>
      </c>
      <c r="HA227" s="22" t="s">
        <v>218</v>
      </c>
      <c r="HB227" s="22" t="s">
        <v>218</v>
      </c>
      <c r="HC227" s="22" t="s">
        <v>218</v>
      </c>
      <c r="HD227" s="22" t="s">
        <v>218</v>
      </c>
      <c r="HE227" s="22" t="s">
        <v>218</v>
      </c>
      <c r="HF227" s="22" t="s">
        <v>218</v>
      </c>
      <c r="HG227" s="22" t="s">
        <v>218</v>
      </c>
      <c r="HH227" s="22" t="s">
        <v>218</v>
      </c>
      <c r="HI227" s="22" t="s">
        <v>218</v>
      </c>
      <c r="HJ227" s="22" t="s">
        <v>218</v>
      </c>
      <c r="HK227" s="22" t="s">
        <v>218</v>
      </c>
      <c r="HL227" s="22" t="s">
        <v>218</v>
      </c>
      <c r="HM227" s="622">
        <f>'background data'!$G$18</f>
        <v>0.54099999999999993</v>
      </c>
      <c r="HN227" s="622">
        <f>'background data'!$H$18</f>
        <v>0.11600000000000001</v>
      </c>
      <c r="HO227" s="622">
        <f>'background data'!$J$18</f>
        <v>0.25</v>
      </c>
      <c r="HP227" s="622">
        <f>'background data'!$L$18</f>
        <v>1.2999999999999999E-2</v>
      </c>
      <c r="HQ227" s="622">
        <f>'background data'!$M$18</f>
        <v>8.86</v>
      </c>
      <c r="HR227" s="622">
        <f>'background data'!$N$18</f>
        <v>6.9299999999999995E-3</v>
      </c>
      <c r="HS227" s="622">
        <f>'background data'!$O$18</f>
        <v>1.75</v>
      </c>
      <c r="HT227" s="145" t="s">
        <v>1805</v>
      </c>
      <c r="HU227" s="145" t="s">
        <v>1809</v>
      </c>
      <c r="HV227" s="22" t="s">
        <v>1981</v>
      </c>
      <c r="HW227" s="22" t="s">
        <v>656</v>
      </c>
      <c r="HX227" s="22" t="s">
        <v>652</v>
      </c>
      <c r="HY227" s="22" t="s">
        <v>657</v>
      </c>
      <c r="HZ227" s="19"/>
      <c r="IA227" s="19"/>
      <c r="IB227" s="622">
        <f>'background data'!$G$18</f>
        <v>0.54099999999999993</v>
      </c>
      <c r="IC227" s="622">
        <f>'background data'!$H$18</f>
        <v>0.11600000000000001</v>
      </c>
      <c r="ID227" s="622">
        <f>'background data'!$J$18</f>
        <v>0.25</v>
      </c>
      <c r="IE227" s="622">
        <f>'background data'!$L$18</f>
        <v>1.2999999999999999E-2</v>
      </c>
      <c r="IF227" s="622">
        <f>'background data'!$M$18</f>
        <v>8.86</v>
      </c>
      <c r="IG227" s="622">
        <f>'background data'!$N$18</f>
        <v>6.9299999999999995E-3</v>
      </c>
      <c r="IH227" s="622">
        <f>'background data'!$O$18</f>
        <v>1.75</v>
      </c>
      <c r="II227" s="145" t="s">
        <v>1805</v>
      </c>
      <c r="IJ227" s="145"/>
      <c r="IK227" s="145"/>
      <c r="IL227" s="145"/>
      <c r="IM227" s="145"/>
      <c r="IN227" s="145"/>
      <c r="IO227" s="145"/>
      <c r="IP227" s="145"/>
      <c r="IQ227" s="145"/>
      <c r="IR227" s="145"/>
      <c r="IS227" s="145"/>
      <c r="IT227" s="145"/>
      <c r="IU227" s="145"/>
      <c r="IV227" s="145"/>
      <c r="IW227" s="145"/>
      <c r="IX227" s="145"/>
      <c r="IY227" s="145"/>
      <c r="IZ227" s="145"/>
      <c r="JA227" s="145"/>
      <c r="JB227" s="145"/>
      <c r="JC227" s="145"/>
      <c r="JD227" s="145"/>
      <c r="JE227" s="145"/>
      <c r="JF227" s="145"/>
      <c r="JG227" s="145"/>
      <c r="JH227" s="145"/>
      <c r="JI227" s="145"/>
      <c r="JJ227" s="145"/>
      <c r="JK227" s="145"/>
      <c r="JL227" s="145"/>
      <c r="JM227" s="145"/>
      <c r="JN227" s="145"/>
      <c r="JO227" s="145"/>
      <c r="JP227" s="145"/>
      <c r="JQ227" s="145"/>
      <c r="JR227" s="145"/>
      <c r="JS227" s="145"/>
      <c r="JT227" s="145"/>
      <c r="JU227" s="145"/>
      <c r="JV227" s="145"/>
      <c r="JW227" s="145"/>
      <c r="JX227" s="145"/>
      <c r="JY227" s="145"/>
      <c r="JZ227" s="145"/>
      <c r="KA227" s="145"/>
      <c r="KB227" s="145"/>
      <c r="KC227" s="145"/>
      <c r="KD227" s="145"/>
      <c r="KE227" s="145"/>
      <c r="KF227" s="145"/>
      <c r="KG227" s="145"/>
      <c r="KH227" s="145"/>
      <c r="KI227" s="145"/>
      <c r="KJ227" s="145"/>
      <c r="KK227" s="145"/>
      <c r="KL227" s="145"/>
      <c r="KM227" s="145"/>
      <c r="KN227" s="145"/>
      <c r="KO227" s="145"/>
      <c r="KP227" s="145"/>
      <c r="KQ227" s="145"/>
      <c r="KR227" s="145"/>
      <c r="KS227" s="145"/>
      <c r="KT227" s="145"/>
      <c r="KU227" s="145"/>
      <c r="KV227" s="145"/>
      <c r="KW227" s="145"/>
      <c r="KX227" s="145"/>
      <c r="KY227" s="145"/>
      <c r="KZ227" s="145"/>
      <c r="LA227" s="145"/>
      <c r="LB227" s="145"/>
      <c r="LC227" s="145"/>
      <c r="LD227" s="145"/>
      <c r="LE227" s="145"/>
      <c r="LF227" s="145"/>
      <c r="LG227" s="145"/>
      <c r="LH227" s="145"/>
      <c r="LI227" s="145"/>
      <c r="LJ227" s="145"/>
      <c r="LK227" s="145"/>
      <c r="LL227" s="145"/>
      <c r="LM227" s="145"/>
      <c r="LN227" s="145"/>
      <c r="LO227" s="145"/>
      <c r="LP227" s="145"/>
      <c r="LQ227" s="145"/>
      <c r="LR227" s="145"/>
      <c r="LS227" s="145"/>
      <c r="LT227" s="145"/>
      <c r="LU227" s="145"/>
      <c r="LV227" s="145"/>
      <c r="LW227" s="145"/>
      <c r="LX227" s="145"/>
      <c r="LY227" s="145"/>
      <c r="LZ227" s="145"/>
      <c r="MA227" s="145"/>
      <c r="MB227" s="145"/>
      <c r="MC227" s="145"/>
      <c r="MD227" s="145"/>
      <c r="ME227" s="145"/>
      <c r="MF227" s="145"/>
      <c r="MG227" s="145"/>
      <c r="MH227" s="145"/>
      <c r="MI227" s="145"/>
      <c r="MJ227" s="145"/>
      <c r="MK227" s="145"/>
      <c r="ML227" s="145"/>
      <c r="MM227" s="145"/>
      <c r="MN227" s="145"/>
      <c r="MO227" s="145"/>
      <c r="MP227" s="145"/>
      <c r="MQ227" s="145"/>
      <c r="MR227" s="145"/>
      <c r="MS227" s="145"/>
      <c r="MT227" s="145"/>
      <c r="MU227" s="145"/>
      <c r="MV227" s="145"/>
      <c r="MW227" s="145"/>
      <c r="MX227" s="145"/>
      <c r="MY227" s="145"/>
      <c r="MZ227" s="145"/>
      <c r="NA227" s="145"/>
      <c r="NB227" s="145"/>
      <c r="NC227" s="145"/>
      <c r="ND227" s="145"/>
      <c r="NE227" s="145"/>
      <c r="NF227" s="145"/>
      <c r="NG227" s="145"/>
      <c r="NH227" s="145"/>
      <c r="NI227" s="145"/>
      <c r="NJ227" s="145"/>
      <c r="NK227" s="145"/>
      <c r="NL227" s="145"/>
      <c r="NM227" s="145"/>
      <c r="NN227" s="145"/>
      <c r="NO227" s="145"/>
      <c r="NP227" s="145"/>
      <c r="NQ227" s="145"/>
      <c r="NR227" s="145"/>
      <c r="NS227" s="145"/>
    </row>
    <row r="228" spans="1:383" s="16" customFormat="1" ht="15" customHeight="1" x14ac:dyDescent="0.2">
      <c r="A228" s="15">
        <v>67400</v>
      </c>
      <c r="B228" s="25">
        <v>674</v>
      </c>
      <c r="C228" s="26">
        <v>0</v>
      </c>
      <c r="D228" s="20" t="s">
        <v>661</v>
      </c>
      <c r="E228" s="14">
        <v>42695</v>
      </c>
      <c r="F228" s="18">
        <v>0.77578839396051003</v>
      </c>
      <c r="G228" s="18">
        <v>0.74817597734471597</v>
      </c>
      <c r="H228" s="21">
        <v>99.8</v>
      </c>
      <c r="I228" s="21">
        <v>97.5</v>
      </c>
      <c r="J228" s="21">
        <v>90</v>
      </c>
      <c r="K228" s="18">
        <v>0.8</v>
      </c>
      <c r="L228" s="18">
        <v>74</v>
      </c>
      <c r="M228" s="18">
        <v>9.6199999999999992</v>
      </c>
      <c r="N228" s="18">
        <v>7.3999999999999996E-2</v>
      </c>
      <c r="O228" s="18">
        <v>9.3979999999999997</v>
      </c>
      <c r="P228" s="18">
        <v>0</v>
      </c>
      <c r="Q228" s="19"/>
      <c r="R228" s="18">
        <v>50</v>
      </c>
      <c r="S228" s="18">
        <v>50</v>
      </c>
      <c r="T228" s="18">
        <v>50</v>
      </c>
      <c r="U228" s="18">
        <v>50</v>
      </c>
      <c r="V228" s="18">
        <v>50</v>
      </c>
      <c r="W228" s="18">
        <v>50</v>
      </c>
      <c r="X228" s="18"/>
      <c r="Y228" s="18">
        <v>5.4</v>
      </c>
      <c r="Z228" s="18">
        <v>0.39999999999999997</v>
      </c>
      <c r="AA228" s="18">
        <v>4.0999999999999996</v>
      </c>
      <c r="AB228" s="18">
        <v>4.3</v>
      </c>
      <c r="AC228" s="18">
        <v>28</v>
      </c>
      <c r="AD228" s="18">
        <v>0.3</v>
      </c>
      <c r="AE228" s="18">
        <v>0</v>
      </c>
      <c r="AF228" s="18">
        <v>74</v>
      </c>
      <c r="AG228" s="18">
        <v>4.0999999999999996</v>
      </c>
      <c r="AH228" s="18">
        <v>17</v>
      </c>
      <c r="AI228" s="18">
        <v>16</v>
      </c>
      <c r="AJ228" s="18">
        <v>0</v>
      </c>
      <c r="AK228" s="18">
        <v>9.9999999999999992E-2</v>
      </c>
      <c r="AL228" s="18"/>
      <c r="AM228" s="18">
        <v>0.28999999999999998</v>
      </c>
      <c r="AN228" s="18">
        <v>0.16</v>
      </c>
      <c r="AO228" s="18">
        <v>0.12</v>
      </c>
      <c r="AP228" s="18">
        <v>0.65</v>
      </c>
      <c r="AQ228" s="18">
        <v>0.28999999999999998</v>
      </c>
      <c r="AR228" s="18">
        <v>1.66</v>
      </c>
      <c r="AS228" s="18">
        <v>1.58</v>
      </c>
      <c r="AT228" s="18">
        <v>0.25</v>
      </c>
      <c r="AU228" s="18">
        <v>0.39</v>
      </c>
      <c r="AV228" s="18">
        <v>1.7</v>
      </c>
      <c r="AW228" s="18">
        <v>1.06</v>
      </c>
      <c r="AX228" s="18"/>
      <c r="AY228" s="18">
        <v>1</v>
      </c>
      <c r="AZ228" s="18">
        <v>1</v>
      </c>
      <c r="BA228" s="18">
        <v>1</v>
      </c>
      <c r="BB228" s="18">
        <v>1</v>
      </c>
      <c r="BC228" s="18">
        <v>1</v>
      </c>
      <c r="BD228" s="18">
        <v>1</v>
      </c>
      <c r="BE228" s="18">
        <v>1</v>
      </c>
      <c r="BF228" s="18">
        <v>1</v>
      </c>
      <c r="BG228" s="18">
        <v>1</v>
      </c>
      <c r="BH228" s="18">
        <v>1</v>
      </c>
      <c r="BI228" s="18">
        <v>1</v>
      </c>
      <c r="BJ228" s="19"/>
      <c r="BK228" s="18">
        <v>12.999999999999998</v>
      </c>
      <c r="BL228" s="18">
        <v>9.9999999999999992E-2</v>
      </c>
      <c r="BM228" s="18">
        <v>12.7</v>
      </c>
      <c r="BN228" s="18">
        <v>0</v>
      </c>
      <c r="BO228" s="18"/>
      <c r="BP228" s="18">
        <v>0</v>
      </c>
      <c r="BQ228" s="18">
        <v>0</v>
      </c>
      <c r="BR228" s="18">
        <v>1.0483626945412299</v>
      </c>
      <c r="BS228" s="18">
        <v>1.0110486180334</v>
      </c>
      <c r="BT228" s="19"/>
      <c r="BU228" s="18">
        <v>873</v>
      </c>
      <c r="BV228" s="18">
        <v>723.29971428571343</v>
      </c>
      <c r="BW228" s="18">
        <v>28.684285714285679</v>
      </c>
      <c r="BX228" s="18" t="s">
        <v>217</v>
      </c>
      <c r="BY228" s="18">
        <v>601</v>
      </c>
      <c r="BZ228" s="18">
        <v>9.0481485714285537</v>
      </c>
      <c r="CA228" s="18">
        <v>8.3521371428571349</v>
      </c>
      <c r="CB228" s="19"/>
      <c r="CC228" s="19">
        <v>3.996</v>
      </c>
      <c r="CD228" s="19">
        <v>0.29599999999999999</v>
      </c>
      <c r="CE228" s="19">
        <v>3.0339999999999998</v>
      </c>
      <c r="CF228" s="19">
        <v>3.1819999999999999</v>
      </c>
      <c r="CG228" s="19">
        <v>20.72</v>
      </c>
      <c r="CH228" s="19">
        <v>0.222</v>
      </c>
      <c r="CI228" s="19">
        <v>0</v>
      </c>
      <c r="CJ228" s="19"/>
      <c r="CK228" s="19">
        <v>54.76</v>
      </c>
      <c r="CL228" s="19">
        <v>3.0339999999999998</v>
      </c>
      <c r="CM228" s="19">
        <v>12.58</v>
      </c>
      <c r="CN228" s="19">
        <v>11.84</v>
      </c>
      <c r="CO228" s="19">
        <v>0</v>
      </c>
      <c r="CP228" s="19">
        <v>7.3999999999999996E-2</v>
      </c>
      <c r="CQ228" s="19">
        <v>48.1</v>
      </c>
      <c r="CR228" s="19">
        <v>62.001443144106169</v>
      </c>
      <c r="CS228" s="19">
        <v>0.17980418511790788</v>
      </c>
      <c r="CT228" s="19">
        <v>9.9202309030569868E-2</v>
      </c>
      <c r="CU228" s="19">
        <v>7.4401731772927401E-2</v>
      </c>
      <c r="CV228" s="19">
        <v>0.17360404080349726</v>
      </c>
      <c r="CW228" s="19">
        <v>0.4030093804366901</v>
      </c>
      <c r="CX228" s="19">
        <v>0.17980418511790788</v>
      </c>
      <c r="CY228" s="19">
        <v>1.0292239561921623</v>
      </c>
      <c r="CZ228" s="19">
        <v>0.97962280167687743</v>
      </c>
      <c r="DA228" s="19">
        <v>0.15500360786026543</v>
      </c>
      <c r="DB228" s="19">
        <v>0.24180562826201407</v>
      </c>
      <c r="DC228" s="19">
        <v>1.0540245334498048</v>
      </c>
      <c r="DD228" s="19">
        <v>1.2958301617118189</v>
      </c>
      <c r="DE228" s="19">
        <v>0.65721529732752537</v>
      </c>
      <c r="DF228" s="23">
        <v>0</v>
      </c>
      <c r="DG228" s="23">
        <v>0</v>
      </c>
      <c r="DH228" s="23">
        <v>0</v>
      </c>
      <c r="DI228" s="19">
        <v>0</v>
      </c>
      <c r="DJ228" s="19">
        <v>0</v>
      </c>
      <c r="DK228" s="19">
        <v>0</v>
      </c>
      <c r="DL228" s="19">
        <v>0</v>
      </c>
      <c r="DM228" s="19">
        <v>0</v>
      </c>
      <c r="DN228" s="19">
        <v>0</v>
      </c>
      <c r="DO228" s="19">
        <v>0</v>
      </c>
      <c r="DP228" s="19">
        <v>0</v>
      </c>
      <c r="DQ228" s="19">
        <v>0</v>
      </c>
      <c r="DR228" s="19">
        <v>0</v>
      </c>
      <c r="DS228" s="19">
        <v>0</v>
      </c>
      <c r="DT228" s="19">
        <v>0</v>
      </c>
      <c r="DU228" s="19">
        <v>0</v>
      </c>
      <c r="DV228" s="19">
        <v>0</v>
      </c>
      <c r="DW228" s="17" t="s">
        <v>662</v>
      </c>
      <c r="DX228" s="22" t="s">
        <v>218</v>
      </c>
      <c r="DY228" s="22" t="s">
        <v>218</v>
      </c>
      <c r="DZ228" s="22">
        <v>2</v>
      </c>
      <c r="EA228" s="22">
        <v>2</v>
      </c>
      <c r="EB228" s="22" t="s">
        <v>218</v>
      </c>
      <c r="EC228" s="22">
        <v>2</v>
      </c>
      <c r="ED228" s="22">
        <v>2</v>
      </c>
      <c r="EE228" s="22" t="s">
        <v>218</v>
      </c>
      <c r="EF228" s="22">
        <v>2</v>
      </c>
      <c r="EG228" s="22">
        <v>2</v>
      </c>
      <c r="EH228" s="22" t="s">
        <v>218</v>
      </c>
      <c r="EI228" s="22" t="s">
        <v>218</v>
      </c>
      <c r="EJ228" s="22" t="s">
        <v>218</v>
      </c>
      <c r="EK228" s="22" t="s">
        <v>218</v>
      </c>
      <c r="EL228" s="22" t="s">
        <v>218</v>
      </c>
      <c r="EM228" s="22" t="s">
        <v>218</v>
      </c>
      <c r="EN228" s="22" t="s">
        <v>218</v>
      </c>
      <c r="EO228" s="22" t="s">
        <v>218</v>
      </c>
      <c r="EP228" s="22" t="s">
        <v>218</v>
      </c>
      <c r="EQ228" s="22" t="s">
        <v>218</v>
      </c>
      <c r="ER228" s="22" t="s">
        <v>218</v>
      </c>
      <c r="ES228" s="22">
        <v>2</v>
      </c>
      <c r="ET228" s="22">
        <v>2</v>
      </c>
      <c r="EU228" s="22">
        <v>2</v>
      </c>
      <c r="EV228" s="22">
        <v>2</v>
      </c>
      <c r="EW228" s="22">
        <v>2</v>
      </c>
      <c r="EX228" s="22">
        <v>2</v>
      </c>
      <c r="EY228" s="22" t="s">
        <v>218</v>
      </c>
      <c r="EZ228" s="22">
        <v>2</v>
      </c>
      <c r="FA228" s="22">
        <v>2</v>
      </c>
      <c r="FB228" s="22">
        <v>2</v>
      </c>
      <c r="FC228" s="22">
        <v>2</v>
      </c>
      <c r="FD228" s="22" t="s">
        <v>218</v>
      </c>
      <c r="FE228" s="22" t="s">
        <v>218</v>
      </c>
      <c r="FF228" s="22" t="s">
        <v>218</v>
      </c>
      <c r="FG228" s="22" t="s">
        <v>218</v>
      </c>
      <c r="FH228" s="22">
        <v>0.1</v>
      </c>
      <c r="FI228" s="22">
        <v>0.3</v>
      </c>
      <c r="FJ228" s="22" t="s">
        <v>218</v>
      </c>
      <c r="FK228" s="22">
        <v>0.1</v>
      </c>
      <c r="FL228" s="22">
        <v>1</v>
      </c>
      <c r="FM228" s="22" t="s">
        <v>218</v>
      </c>
      <c r="FN228" s="22">
        <v>1.6</v>
      </c>
      <c r="FO228" s="22">
        <v>1.6</v>
      </c>
      <c r="FP228" s="22" t="s">
        <v>218</v>
      </c>
      <c r="FQ228" s="22" t="s">
        <v>218</v>
      </c>
      <c r="FR228" s="22" t="s">
        <v>218</v>
      </c>
      <c r="FS228" s="22" t="s">
        <v>218</v>
      </c>
      <c r="FT228" s="22" t="s">
        <v>218</v>
      </c>
      <c r="FU228" s="22" t="s">
        <v>218</v>
      </c>
      <c r="FV228" s="22" t="s">
        <v>218</v>
      </c>
      <c r="FW228" s="22" t="s">
        <v>218</v>
      </c>
      <c r="FX228" s="22" t="s">
        <v>218</v>
      </c>
      <c r="FY228" s="22" t="s">
        <v>218</v>
      </c>
      <c r="FZ228" s="22" t="s">
        <v>218</v>
      </c>
      <c r="GA228" s="22">
        <v>0.36</v>
      </c>
      <c r="GB228" s="22" t="s">
        <v>218</v>
      </c>
      <c r="GC228" s="22">
        <v>0.56000000000000005</v>
      </c>
      <c r="GD228" s="22">
        <v>1.39</v>
      </c>
      <c r="GE228" s="22">
        <v>2.08</v>
      </c>
      <c r="GF228" s="22">
        <v>0.1</v>
      </c>
      <c r="GG228" s="22" t="s">
        <v>218</v>
      </c>
      <c r="GH228" s="22">
        <v>28.62</v>
      </c>
      <c r="GI228" s="22">
        <v>0.02</v>
      </c>
      <c r="GJ228" s="22">
        <v>2.0299999999999998</v>
      </c>
      <c r="GK228" s="22">
        <v>3</v>
      </c>
      <c r="GL228" s="22" t="s">
        <v>218</v>
      </c>
      <c r="GM228" s="22" t="s">
        <v>218</v>
      </c>
      <c r="GN228" s="22" t="s">
        <v>218</v>
      </c>
      <c r="GO228" s="22" t="s">
        <v>218</v>
      </c>
      <c r="GP228" s="22">
        <v>2005</v>
      </c>
      <c r="GQ228" s="22">
        <v>2005</v>
      </c>
      <c r="GR228" s="22" t="s">
        <v>218</v>
      </c>
      <c r="GS228" s="22">
        <v>2005</v>
      </c>
      <c r="GT228" s="22">
        <v>2005</v>
      </c>
      <c r="GU228" s="22" t="s">
        <v>218</v>
      </c>
      <c r="GV228" s="22">
        <v>2005</v>
      </c>
      <c r="GW228" s="22">
        <v>2005</v>
      </c>
      <c r="GX228" s="22" t="s">
        <v>218</v>
      </c>
      <c r="GY228" s="22" t="s">
        <v>218</v>
      </c>
      <c r="GZ228" s="22" t="s">
        <v>218</v>
      </c>
      <c r="HA228" s="22" t="s">
        <v>218</v>
      </c>
      <c r="HB228" s="22" t="s">
        <v>218</v>
      </c>
      <c r="HC228" s="22" t="s">
        <v>218</v>
      </c>
      <c r="HD228" s="22" t="s">
        <v>218</v>
      </c>
      <c r="HE228" s="22" t="s">
        <v>218</v>
      </c>
      <c r="HF228" s="22" t="s">
        <v>218</v>
      </c>
      <c r="HG228" s="22" t="s">
        <v>218</v>
      </c>
      <c r="HH228" s="22" t="s">
        <v>218</v>
      </c>
      <c r="HI228" s="22">
        <v>2005</v>
      </c>
      <c r="HJ228" s="22">
        <v>2005</v>
      </c>
      <c r="HK228" s="22">
        <v>2005</v>
      </c>
      <c r="HL228" s="22">
        <v>2005</v>
      </c>
      <c r="HM228" s="622">
        <v>0.379</v>
      </c>
      <c r="HN228" s="622">
        <f>13/1000</f>
        <v>1.2999999999999999E-2</v>
      </c>
      <c r="HO228" s="622">
        <f>48/1000</f>
        <v>4.8000000000000001E-2</v>
      </c>
      <c r="HP228" s="622">
        <f>7.7/1000</f>
        <v>7.7000000000000002E-3</v>
      </c>
      <c r="HQ228" s="622">
        <v>5.2</v>
      </c>
      <c r="HR228" s="861"/>
      <c r="HS228" s="622">
        <v>0.34</v>
      </c>
      <c r="HT228" s="145" t="s">
        <v>1806</v>
      </c>
      <c r="HU228" s="145" t="s">
        <v>1809</v>
      </c>
      <c r="HV228" s="22" t="s">
        <v>1982</v>
      </c>
      <c r="HW228" s="22" t="s">
        <v>663</v>
      </c>
      <c r="HX228" s="22" t="s">
        <v>664</v>
      </c>
      <c r="HY228" s="22" t="s">
        <v>665</v>
      </c>
      <c r="HZ228" s="19"/>
      <c r="IA228" s="19"/>
      <c r="IB228" s="622">
        <v>0.379</v>
      </c>
      <c r="IC228" s="622">
        <f>13/1000</f>
        <v>1.2999999999999999E-2</v>
      </c>
      <c r="ID228" s="622">
        <f>48/1000</f>
        <v>4.8000000000000001E-2</v>
      </c>
      <c r="IE228" s="622">
        <f>7.7/1000</f>
        <v>7.7000000000000002E-3</v>
      </c>
      <c r="IF228" s="622">
        <v>5.2</v>
      </c>
      <c r="IG228" s="624"/>
      <c r="IH228" s="622">
        <v>0.34</v>
      </c>
      <c r="II228" s="145" t="s">
        <v>1806</v>
      </c>
      <c r="IJ228" s="145"/>
      <c r="IK228" s="145"/>
      <c r="IL228" s="145"/>
      <c r="IM228" s="145"/>
      <c r="IN228" s="145"/>
      <c r="IO228" s="145"/>
      <c r="IP228" s="145"/>
      <c r="IQ228" s="145"/>
      <c r="IR228" s="145"/>
      <c r="IS228" s="145"/>
      <c r="IT228" s="145"/>
      <c r="IU228" s="145"/>
      <c r="IV228" s="145"/>
      <c r="IW228" s="145"/>
      <c r="IX228" s="145"/>
      <c r="IY228" s="145"/>
      <c r="IZ228" s="145"/>
      <c r="JA228" s="145"/>
      <c r="JB228" s="145"/>
      <c r="JC228" s="145"/>
      <c r="JD228" s="145"/>
      <c r="JE228" s="145"/>
      <c r="JF228" s="145"/>
      <c r="JG228" s="145"/>
      <c r="JH228" s="145"/>
      <c r="JI228" s="145"/>
      <c r="JJ228" s="145"/>
      <c r="JK228" s="145"/>
      <c r="JL228" s="145"/>
      <c r="JM228" s="145"/>
      <c r="JN228" s="145"/>
      <c r="JO228" s="145"/>
      <c r="JP228" s="145"/>
      <c r="JQ228" s="145"/>
      <c r="JR228" s="145"/>
      <c r="JS228" s="145"/>
      <c r="JT228" s="145"/>
      <c r="JU228" s="145"/>
      <c r="JV228" s="145"/>
      <c r="JW228" s="145"/>
      <c r="JX228" s="145"/>
      <c r="JY228" s="145"/>
      <c r="JZ228" s="145"/>
      <c r="KA228" s="145"/>
      <c r="KB228" s="145"/>
      <c r="KC228" s="145"/>
      <c r="KD228" s="145"/>
      <c r="KE228" s="145"/>
      <c r="KF228" s="145"/>
      <c r="KG228" s="145"/>
      <c r="KH228" s="145"/>
      <c r="KI228" s="145"/>
      <c r="KJ228" s="145"/>
      <c r="KK228" s="145"/>
      <c r="KL228" s="145"/>
      <c r="KM228" s="145"/>
      <c r="KN228" s="145"/>
      <c r="KO228" s="145"/>
      <c r="KP228" s="145"/>
      <c r="KQ228" s="145"/>
      <c r="KR228" s="145"/>
      <c r="KS228" s="145"/>
      <c r="KT228" s="145"/>
      <c r="KU228" s="145"/>
      <c r="KV228" s="145"/>
      <c r="KW228" s="145"/>
      <c r="KX228" s="145"/>
      <c r="KY228" s="145"/>
      <c r="KZ228" s="145"/>
      <c r="LA228" s="145"/>
      <c r="LB228" s="145"/>
      <c r="LC228" s="145"/>
      <c r="LD228" s="145"/>
      <c r="LE228" s="145"/>
      <c r="LF228" s="145"/>
      <c r="LG228" s="145"/>
      <c r="LH228" s="145"/>
      <c r="LI228" s="145"/>
      <c r="LJ228" s="145"/>
      <c r="LK228" s="145"/>
      <c r="LL228" s="145"/>
      <c r="LM228" s="145"/>
      <c r="LN228" s="145"/>
      <c r="LO228" s="145"/>
      <c r="LP228" s="145"/>
      <c r="LQ228" s="145"/>
      <c r="LR228" s="145"/>
      <c r="LS228" s="145"/>
      <c r="LT228" s="145"/>
      <c r="LU228" s="145"/>
      <c r="LV228" s="145"/>
      <c r="LW228" s="145"/>
      <c r="LX228" s="145"/>
      <c r="LY228" s="145"/>
      <c r="LZ228" s="145"/>
      <c r="MA228" s="145"/>
      <c r="MB228" s="145"/>
      <c r="MC228" s="145"/>
      <c r="MD228" s="145"/>
      <c r="ME228" s="145"/>
      <c r="MF228" s="145"/>
      <c r="MG228" s="145"/>
      <c r="MH228" s="145"/>
      <c r="MI228" s="145"/>
      <c r="MJ228" s="145"/>
      <c r="MK228" s="145"/>
      <c r="ML228" s="145"/>
      <c r="MM228" s="145"/>
      <c r="MN228" s="145"/>
      <c r="MO228" s="145"/>
      <c r="MP228" s="145"/>
      <c r="MQ228" s="145"/>
      <c r="MR228" s="145"/>
      <c r="MS228" s="145"/>
      <c r="MT228" s="145"/>
      <c r="MU228" s="145"/>
      <c r="MV228" s="145"/>
      <c r="MW228" s="145"/>
      <c r="MX228" s="145"/>
      <c r="MY228" s="145"/>
      <c r="MZ228" s="145"/>
      <c r="NA228" s="145"/>
      <c r="NB228" s="145"/>
      <c r="NC228" s="145"/>
      <c r="ND228" s="145"/>
      <c r="NE228" s="145"/>
      <c r="NF228" s="145"/>
      <c r="NG228" s="145"/>
      <c r="NH228" s="145"/>
      <c r="NI228" s="145"/>
      <c r="NJ228" s="145"/>
      <c r="NK228" s="145"/>
      <c r="NL228" s="145"/>
      <c r="NM228" s="145"/>
      <c r="NN228" s="145"/>
      <c r="NO228" s="145"/>
      <c r="NP228" s="145"/>
      <c r="NQ228" s="145"/>
      <c r="NR228" s="145"/>
      <c r="NS228" s="145"/>
    </row>
    <row r="229" spans="1:383" s="16" customFormat="1" ht="15" customHeight="1" x14ac:dyDescent="0.2">
      <c r="A229" s="15">
        <v>67100</v>
      </c>
      <c r="B229" s="25">
        <v>671</v>
      </c>
      <c r="C229" s="26">
        <v>0</v>
      </c>
      <c r="D229" s="20" t="s">
        <v>666</v>
      </c>
      <c r="E229" s="14">
        <v>42695</v>
      </c>
      <c r="F229" s="18">
        <v>0.50833453863631495</v>
      </c>
      <c r="G229" s="18">
        <v>0.67112933560602595</v>
      </c>
      <c r="H229" s="21">
        <v>87</v>
      </c>
      <c r="I229" s="21">
        <v>35.900027999999999</v>
      </c>
      <c r="J229" s="21">
        <v>83</v>
      </c>
      <c r="K229" s="18">
        <v>1</v>
      </c>
      <c r="L229" s="18">
        <v>89.8</v>
      </c>
      <c r="M229" s="18">
        <v>7.9024000000000001</v>
      </c>
      <c r="N229" s="18">
        <v>1.4368000000000001</v>
      </c>
      <c r="O229" s="18">
        <v>5.0288000000000004</v>
      </c>
      <c r="P229" s="18">
        <v>17.421199999999999</v>
      </c>
      <c r="Q229" s="19"/>
      <c r="R229" s="18">
        <v>50</v>
      </c>
      <c r="S229" s="18">
        <v>50</v>
      </c>
      <c r="T229" s="18">
        <v>50</v>
      </c>
      <c r="U229" s="18">
        <v>50</v>
      </c>
      <c r="V229" s="18">
        <v>50</v>
      </c>
      <c r="W229" s="18">
        <v>50</v>
      </c>
      <c r="X229" s="18"/>
      <c r="Y229" s="18">
        <v>7.2000000000000011</v>
      </c>
      <c r="Z229" s="18">
        <v>0.70000000000000007</v>
      </c>
      <c r="AA229" s="18">
        <v>0.6</v>
      </c>
      <c r="AB229" s="18">
        <v>0</v>
      </c>
      <c r="AC229" s="18">
        <v>3.7</v>
      </c>
      <c r="AD229" s="18">
        <v>2.2999999999999998</v>
      </c>
      <c r="AE229" s="18">
        <v>2.6999999999999997</v>
      </c>
      <c r="AF229" s="18">
        <v>659.99999999999989</v>
      </c>
      <c r="AG229" s="18">
        <v>6.9</v>
      </c>
      <c r="AH229" s="18">
        <v>54</v>
      </c>
      <c r="AI229" s="18">
        <v>16</v>
      </c>
      <c r="AJ229" s="18">
        <v>0</v>
      </c>
      <c r="AK229" s="18">
        <v>0.11</v>
      </c>
      <c r="AL229" s="18"/>
      <c r="AM229" s="18">
        <v>4.8600000000000003</v>
      </c>
      <c r="AN229" s="18">
        <v>1.51</v>
      </c>
      <c r="AO229" s="18">
        <v>1.1499999999999999</v>
      </c>
      <c r="AP229" s="18">
        <v>3.74</v>
      </c>
      <c r="AQ229" s="18">
        <v>0.76</v>
      </c>
      <c r="AR229" s="18">
        <v>3.5</v>
      </c>
      <c r="AS229" s="18">
        <v>5.49</v>
      </c>
      <c r="AT229" s="18">
        <v>3.25</v>
      </c>
      <c r="AU229" s="18">
        <v>3.12</v>
      </c>
      <c r="AV229" s="18">
        <v>4.0599999999999996</v>
      </c>
      <c r="AW229" s="18">
        <v>5.3</v>
      </c>
      <c r="AX229" s="18"/>
      <c r="AY229" s="18">
        <v>1.04</v>
      </c>
      <c r="AZ229" s="18">
        <v>1.22</v>
      </c>
      <c r="BA229" s="18">
        <v>0.44</v>
      </c>
      <c r="BB229" s="18">
        <v>0.6</v>
      </c>
      <c r="BC229" s="18">
        <v>0.82</v>
      </c>
      <c r="BD229" s="18">
        <v>1.2</v>
      </c>
      <c r="BE229" s="18">
        <v>1.18</v>
      </c>
      <c r="BF229" s="18">
        <v>1.18</v>
      </c>
      <c r="BG229" s="18">
        <v>1.02</v>
      </c>
      <c r="BH229" s="18">
        <v>1.04</v>
      </c>
      <c r="BI229" s="18">
        <v>0.84</v>
      </c>
      <c r="BJ229" s="19"/>
      <c r="BK229" s="18">
        <v>8.8000000000000007</v>
      </c>
      <c r="BL229" s="18">
        <v>1.6</v>
      </c>
      <c r="BM229" s="18">
        <v>5.6000000000000005</v>
      </c>
      <c r="BN229" s="18">
        <v>19.399999999999999</v>
      </c>
      <c r="BO229" s="18"/>
      <c r="BP229" s="18">
        <v>0</v>
      </c>
      <c r="BQ229" s="18">
        <v>0</v>
      </c>
      <c r="BR229" s="18">
        <v>0.56607409647696549</v>
      </c>
      <c r="BS229" s="18">
        <v>0.74736006192207793</v>
      </c>
      <c r="BT229" s="19"/>
      <c r="BU229" s="18">
        <v>944</v>
      </c>
      <c r="BV229" s="18">
        <v>36.560377599999882</v>
      </c>
      <c r="BW229" s="18">
        <v>689.11962240000003</v>
      </c>
      <c r="BX229" s="18">
        <v>0</v>
      </c>
      <c r="BY229" s="18" t="s">
        <v>217</v>
      </c>
      <c r="BZ229" s="18">
        <v>414.12780364800005</v>
      </c>
      <c r="CA229" s="18">
        <v>382.271818752</v>
      </c>
      <c r="CB229" s="19"/>
      <c r="CC229" s="19">
        <v>6.4656000000000011</v>
      </c>
      <c r="CD229" s="19">
        <v>0.62860000000000005</v>
      </c>
      <c r="CE229" s="19">
        <v>0.53879999999999995</v>
      </c>
      <c r="CF229" s="19">
        <v>0</v>
      </c>
      <c r="CG229" s="19">
        <v>3.3226000000000004</v>
      </c>
      <c r="CH229" s="19">
        <v>2.0653999999999999</v>
      </c>
      <c r="CI229" s="19">
        <v>2.4245999999999999</v>
      </c>
      <c r="CJ229" s="19"/>
      <c r="CK229" s="19">
        <v>592.67999999999995</v>
      </c>
      <c r="CL229" s="19">
        <v>6.1962000000000002</v>
      </c>
      <c r="CM229" s="19">
        <v>48.492000000000004</v>
      </c>
      <c r="CN229" s="19">
        <v>14.368</v>
      </c>
      <c r="CO229" s="19">
        <v>0</v>
      </c>
      <c r="CP229" s="19">
        <v>9.8780000000000007E-2</v>
      </c>
      <c r="CQ229" s="19">
        <v>39.512</v>
      </c>
      <c r="CR229" s="19">
        <v>77.728340289442016</v>
      </c>
      <c r="CS229" s="19">
        <v>3.9287012315895575</v>
      </c>
      <c r="CT229" s="19">
        <v>1.4319114848121008</v>
      </c>
      <c r="CU229" s="19">
        <v>0.39330540186457663</v>
      </c>
      <c r="CV229" s="19">
        <v>1.8252168866766776</v>
      </c>
      <c r="CW229" s="19">
        <v>1.744223956095079</v>
      </c>
      <c r="CX229" s="19">
        <v>0.48440301668380265</v>
      </c>
      <c r="CY229" s="19">
        <v>3.2645902921565648</v>
      </c>
      <c r="CZ229" s="19">
        <v>5.0353973406306327</v>
      </c>
      <c r="DA229" s="19">
        <v>2.9808818501001015</v>
      </c>
      <c r="DB229" s="19">
        <v>2.4736267013712032</v>
      </c>
      <c r="DC229" s="19">
        <v>3.2820014403814</v>
      </c>
      <c r="DD229" s="19">
        <v>5.7556281417526023</v>
      </c>
      <c r="DE229" s="19">
        <v>3.4604657096859586</v>
      </c>
      <c r="DF229" s="23">
        <v>0</v>
      </c>
      <c r="DG229" s="23">
        <v>0</v>
      </c>
      <c r="DH229" s="23">
        <v>0</v>
      </c>
      <c r="DI229" s="19">
        <v>0</v>
      </c>
      <c r="DJ229" s="19">
        <v>0</v>
      </c>
      <c r="DK229" s="19">
        <v>0</v>
      </c>
      <c r="DL229" s="19">
        <v>0</v>
      </c>
      <c r="DM229" s="19">
        <v>0</v>
      </c>
      <c r="DN229" s="19">
        <v>0</v>
      </c>
      <c r="DO229" s="19">
        <v>0</v>
      </c>
      <c r="DP229" s="19">
        <v>0</v>
      </c>
      <c r="DQ229" s="19">
        <v>0</v>
      </c>
      <c r="DR229" s="19">
        <v>0</v>
      </c>
      <c r="DS229" s="19">
        <v>0</v>
      </c>
      <c r="DT229" s="19">
        <v>0</v>
      </c>
      <c r="DU229" s="19">
        <v>0</v>
      </c>
      <c r="DV229" s="19">
        <v>0</v>
      </c>
      <c r="DW229" s="17" t="s">
        <v>667</v>
      </c>
      <c r="DX229" s="22">
        <v>23</v>
      </c>
      <c r="DY229" s="22">
        <v>23</v>
      </c>
      <c r="DZ229" s="22">
        <v>23</v>
      </c>
      <c r="EA229" s="22">
        <v>23</v>
      </c>
      <c r="EB229" s="22">
        <v>23</v>
      </c>
      <c r="EC229" s="22">
        <v>23</v>
      </c>
      <c r="ED229" s="22">
        <v>23</v>
      </c>
      <c r="EE229" s="22" t="s">
        <v>218</v>
      </c>
      <c r="EF229" s="22">
        <v>23</v>
      </c>
      <c r="EG229" s="22">
        <v>23</v>
      </c>
      <c r="EH229" s="22" t="s">
        <v>218</v>
      </c>
      <c r="EI229" s="22" t="s">
        <v>218</v>
      </c>
      <c r="EJ229" s="22" t="s">
        <v>218</v>
      </c>
      <c r="EK229" s="22" t="s">
        <v>218</v>
      </c>
      <c r="EL229" s="22" t="s">
        <v>218</v>
      </c>
      <c r="EM229" s="22" t="s">
        <v>218</v>
      </c>
      <c r="EN229" s="22" t="s">
        <v>218</v>
      </c>
      <c r="EO229" s="22" t="s">
        <v>218</v>
      </c>
      <c r="EP229" s="22" t="s">
        <v>218</v>
      </c>
      <c r="EQ229" s="22" t="s">
        <v>218</v>
      </c>
      <c r="ER229" s="22" t="s">
        <v>218</v>
      </c>
      <c r="ES229" s="22">
        <v>5</v>
      </c>
      <c r="ET229" s="22">
        <v>5</v>
      </c>
      <c r="EU229" s="22">
        <v>7</v>
      </c>
      <c r="EV229" s="22" t="s">
        <v>218</v>
      </c>
      <c r="EW229" s="22">
        <v>7</v>
      </c>
      <c r="EX229" s="22">
        <v>7</v>
      </c>
      <c r="EY229" s="22">
        <v>7</v>
      </c>
      <c r="EZ229" s="22">
        <v>6</v>
      </c>
      <c r="FA229" s="22">
        <v>7</v>
      </c>
      <c r="FB229" s="22">
        <v>7</v>
      </c>
      <c r="FC229" s="22">
        <v>7</v>
      </c>
      <c r="FD229" s="22" t="s">
        <v>218</v>
      </c>
      <c r="FE229" s="22" t="s">
        <v>218</v>
      </c>
      <c r="FF229" s="22">
        <v>0.9</v>
      </c>
      <c r="FG229" s="22">
        <v>1.1000000000000001</v>
      </c>
      <c r="FH229" s="22">
        <v>0.2</v>
      </c>
      <c r="FI229" s="22">
        <v>2.6</v>
      </c>
      <c r="FJ229" s="22">
        <v>0.9</v>
      </c>
      <c r="FK229" s="22">
        <v>3.4</v>
      </c>
      <c r="FL229" s="22">
        <v>8.5</v>
      </c>
      <c r="FM229" s="22" t="s">
        <v>218</v>
      </c>
      <c r="FN229" s="22">
        <v>9.5</v>
      </c>
      <c r="FO229" s="22">
        <v>6.4</v>
      </c>
      <c r="FP229" s="22" t="s">
        <v>218</v>
      </c>
      <c r="FQ229" s="22" t="s">
        <v>218</v>
      </c>
      <c r="FR229" s="22" t="s">
        <v>218</v>
      </c>
      <c r="FS229" s="22" t="s">
        <v>218</v>
      </c>
      <c r="FT229" s="22" t="s">
        <v>218</v>
      </c>
      <c r="FU229" s="22" t="s">
        <v>218</v>
      </c>
      <c r="FV229" s="22" t="s">
        <v>218</v>
      </c>
      <c r="FW229" s="22" t="s">
        <v>218</v>
      </c>
      <c r="FX229" s="22" t="s">
        <v>218</v>
      </c>
      <c r="FY229" s="22" t="s">
        <v>218</v>
      </c>
      <c r="FZ229" s="22" t="s">
        <v>218</v>
      </c>
      <c r="GA229" s="22">
        <v>3.8</v>
      </c>
      <c r="GB229" s="22">
        <v>0.05</v>
      </c>
      <c r="GC229" s="22">
        <v>0.18</v>
      </c>
      <c r="GD229" s="22" t="s">
        <v>218</v>
      </c>
      <c r="GE229" s="22">
        <v>0.62</v>
      </c>
      <c r="GF229" s="22">
        <v>0.18</v>
      </c>
      <c r="GG229" s="22">
        <v>0.77</v>
      </c>
      <c r="GH229" s="22">
        <v>107.6</v>
      </c>
      <c r="GI229" s="22">
        <v>1.4</v>
      </c>
      <c r="GJ229" s="22">
        <v>31.16</v>
      </c>
      <c r="GK229" s="22">
        <v>4.29</v>
      </c>
      <c r="GL229" s="22" t="s">
        <v>218</v>
      </c>
      <c r="GM229" s="22" t="s">
        <v>218</v>
      </c>
      <c r="GN229" s="22">
        <v>2016</v>
      </c>
      <c r="GO229" s="22">
        <v>2016</v>
      </c>
      <c r="GP229" s="22">
        <v>2016</v>
      </c>
      <c r="GQ229" s="22">
        <v>2016</v>
      </c>
      <c r="GR229" s="22">
        <v>2016</v>
      </c>
      <c r="GS229" s="22">
        <v>2016</v>
      </c>
      <c r="GT229" s="22">
        <v>2016</v>
      </c>
      <c r="GU229" s="22" t="s">
        <v>218</v>
      </c>
      <c r="GV229" s="22">
        <v>2016</v>
      </c>
      <c r="GW229" s="22">
        <v>2016</v>
      </c>
      <c r="GX229" s="22" t="s">
        <v>218</v>
      </c>
      <c r="GY229" s="22" t="s">
        <v>218</v>
      </c>
      <c r="GZ229" s="22" t="s">
        <v>218</v>
      </c>
      <c r="HA229" s="22" t="s">
        <v>218</v>
      </c>
      <c r="HB229" s="22" t="s">
        <v>218</v>
      </c>
      <c r="HC229" s="22" t="s">
        <v>218</v>
      </c>
      <c r="HD229" s="22" t="s">
        <v>218</v>
      </c>
      <c r="HE229" s="22" t="s">
        <v>218</v>
      </c>
      <c r="HF229" s="22" t="s">
        <v>218</v>
      </c>
      <c r="HG229" s="22" t="s">
        <v>218</v>
      </c>
      <c r="HH229" s="22" t="s">
        <v>218</v>
      </c>
      <c r="HI229" s="22">
        <v>2016</v>
      </c>
      <c r="HJ229" s="22">
        <v>2016</v>
      </c>
      <c r="HK229" s="22">
        <v>2005</v>
      </c>
      <c r="HL229" s="22" t="s">
        <v>218</v>
      </c>
      <c r="HM229" s="622">
        <v>0.379</v>
      </c>
      <c r="HN229" s="622">
        <f>13/1000</f>
        <v>1.2999999999999999E-2</v>
      </c>
      <c r="HO229" s="622">
        <f>48/1000</f>
        <v>4.8000000000000001E-2</v>
      </c>
      <c r="HP229" s="622">
        <f>7.7/1000</f>
        <v>7.7000000000000002E-3</v>
      </c>
      <c r="HQ229" s="622">
        <v>5.2</v>
      </c>
      <c r="HR229" s="861"/>
      <c r="HS229" s="622">
        <v>0.34</v>
      </c>
      <c r="HT229" s="145" t="s">
        <v>1806</v>
      </c>
      <c r="HU229" s="145" t="s">
        <v>1809</v>
      </c>
      <c r="HV229" s="22" t="s">
        <v>1983</v>
      </c>
      <c r="HW229" s="22" t="s">
        <v>668</v>
      </c>
      <c r="HX229" s="22">
        <v>0</v>
      </c>
      <c r="HY229" s="22">
        <v>0</v>
      </c>
      <c r="HZ229" s="19"/>
      <c r="IA229" s="19"/>
      <c r="IB229" s="622">
        <v>0.379</v>
      </c>
      <c r="IC229" s="622">
        <f>13/1000</f>
        <v>1.2999999999999999E-2</v>
      </c>
      <c r="ID229" s="622">
        <f>48/1000</f>
        <v>4.8000000000000001E-2</v>
      </c>
      <c r="IE229" s="622">
        <f>7.7/1000</f>
        <v>7.7000000000000002E-3</v>
      </c>
      <c r="IF229" s="622">
        <v>5.2</v>
      </c>
      <c r="IG229" s="624"/>
      <c r="IH229" s="622">
        <v>0.34</v>
      </c>
      <c r="II229" s="145" t="s">
        <v>1806</v>
      </c>
      <c r="IJ229" s="145"/>
      <c r="IK229" s="145"/>
      <c r="IL229" s="145"/>
      <c r="IM229" s="145"/>
      <c r="IN229" s="145"/>
      <c r="IO229" s="145"/>
      <c r="IP229" s="145"/>
      <c r="IQ229" s="145"/>
      <c r="IR229" s="145"/>
      <c r="IS229" s="145"/>
      <c r="IT229" s="145"/>
      <c r="IU229" s="145"/>
      <c r="IV229" s="145"/>
      <c r="IW229" s="145"/>
      <c r="IX229" s="145"/>
      <c r="IY229" s="145"/>
      <c r="IZ229" s="145"/>
      <c r="JA229" s="145"/>
      <c r="JB229" s="145"/>
      <c r="JC229" s="145"/>
      <c r="JD229" s="145"/>
      <c r="JE229" s="145"/>
      <c r="JF229" s="145"/>
      <c r="JG229" s="145"/>
      <c r="JH229" s="145"/>
      <c r="JI229" s="145"/>
      <c r="JJ229" s="145"/>
      <c r="JK229" s="145"/>
      <c r="JL229" s="145"/>
      <c r="JM229" s="145"/>
      <c r="JN229" s="145"/>
      <c r="JO229" s="145"/>
      <c r="JP229" s="145"/>
      <c r="JQ229" s="145"/>
      <c r="JR229" s="145"/>
      <c r="JS229" s="145"/>
      <c r="JT229" s="145"/>
      <c r="JU229" s="145"/>
      <c r="JV229" s="145"/>
      <c r="JW229" s="145"/>
      <c r="JX229" s="145"/>
      <c r="JY229" s="145"/>
      <c r="JZ229" s="145"/>
      <c r="KA229" s="145"/>
      <c r="KB229" s="145"/>
      <c r="KC229" s="145"/>
      <c r="KD229" s="145"/>
      <c r="KE229" s="145"/>
      <c r="KF229" s="145"/>
      <c r="KG229" s="145"/>
      <c r="KH229" s="145"/>
      <c r="KI229" s="145"/>
      <c r="KJ229" s="145"/>
      <c r="KK229" s="145"/>
      <c r="KL229" s="145"/>
      <c r="KM229" s="145"/>
      <c r="KN229" s="145"/>
      <c r="KO229" s="145"/>
      <c r="KP229" s="145"/>
      <c r="KQ229" s="145"/>
      <c r="KR229" s="145"/>
      <c r="KS229" s="145"/>
      <c r="KT229" s="145"/>
      <c r="KU229" s="145"/>
      <c r="KV229" s="145"/>
      <c r="KW229" s="145"/>
      <c r="KX229" s="145"/>
      <c r="KY229" s="145"/>
      <c r="KZ229" s="145"/>
      <c r="LA229" s="145"/>
      <c r="LB229" s="145"/>
      <c r="LC229" s="145"/>
      <c r="LD229" s="145"/>
      <c r="LE229" s="145"/>
      <c r="LF229" s="145"/>
      <c r="LG229" s="145"/>
      <c r="LH229" s="145"/>
      <c r="LI229" s="145"/>
      <c r="LJ229" s="145"/>
      <c r="LK229" s="145"/>
      <c r="LL229" s="145"/>
      <c r="LM229" s="145"/>
      <c r="LN229" s="145"/>
      <c r="LO229" s="145"/>
      <c r="LP229" s="145"/>
      <c r="LQ229" s="145"/>
      <c r="LR229" s="145"/>
      <c r="LS229" s="145"/>
      <c r="LT229" s="145"/>
      <c r="LU229" s="145"/>
      <c r="LV229" s="145"/>
      <c r="LW229" s="145"/>
      <c r="LX229" s="145"/>
      <c r="LY229" s="145"/>
      <c r="LZ229" s="145"/>
      <c r="MA229" s="145"/>
      <c r="MB229" s="145"/>
      <c r="MC229" s="145"/>
      <c r="MD229" s="145"/>
      <c r="ME229" s="145"/>
      <c r="MF229" s="145"/>
      <c r="MG229" s="145"/>
      <c r="MH229" s="145"/>
      <c r="MI229" s="145"/>
      <c r="MJ229" s="145"/>
      <c r="MK229" s="145"/>
      <c r="ML229" s="145"/>
      <c r="MM229" s="145"/>
      <c r="MN229" s="145"/>
      <c r="MO229" s="145"/>
      <c r="MP229" s="145"/>
      <c r="MQ229" s="145"/>
      <c r="MR229" s="145"/>
      <c r="MS229" s="145"/>
      <c r="MT229" s="145"/>
      <c r="MU229" s="145"/>
      <c r="MV229" s="145"/>
      <c r="MW229" s="145"/>
      <c r="MX229" s="145"/>
      <c r="MY229" s="145"/>
      <c r="MZ229" s="145"/>
      <c r="NA229" s="145"/>
      <c r="NB229" s="145"/>
      <c r="NC229" s="145"/>
      <c r="ND229" s="145"/>
      <c r="NE229" s="145"/>
      <c r="NF229" s="145"/>
      <c r="NG229" s="145"/>
      <c r="NH229" s="145"/>
      <c r="NI229" s="145"/>
      <c r="NJ229" s="145"/>
      <c r="NK229" s="145"/>
      <c r="NL229" s="145"/>
      <c r="NM229" s="145"/>
      <c r="NN229" s="145"/>
      <c r="NO229" s="145"/>
      <c r="NP229" s="145"/>
      <c r="NQ229" s="145"/>
      <c r="NR229" s="145"/>
      <c r="NS229" s="145"/>
    </row>
    <row r="230" spans="1:383" s="16" customFormat="1" ht="15" customHeight="1" x14ac:dyDescent="0.2">
      <c r="A230" s="15">
        <v>67200</v>
      </c>
      <c r="B230" s="25">
        <v>672</v>
      </c>
      <c r="C230" s="26">
        <v>0</v>
      </c>
      <c r="D230" s="20" t="s">
        <v>669</v>
      </c>
      <c r="E230" s="14">
        <v>42695</v>
      </c>
      <c r="F230" s="18">
        <v>0.527736069396051</v>
      </c>
      <c r="G230" s="18">
        <v>0.66667809903524999</v>
      </c>
      <c r="H230" s="21">
        <v>86.9</v>
      </c>
      <c r="I230" s="21">
        <v>40.5</v>
      </c>
      <c r="J230" s="21">
        <v>83</v>
      </c>
      <c r="K230" s="18">
        <v>1</v>
      </c>
      <c r="L230" s="18">
        <v>89</v>
      </c>
      <c r="M230" s="18">
        <v>8.2769999999999992</v>
      </c>
      <c r="N230" s="18">
        <v>1.246</v>
      </c>
      <c r="O230" s="18">
        <v>8.4550000000000001</v>
      </c>
      <c r="P230" s="18">
        <v>14.952</v>
      </c>
      <c r="Q230" s="19"/>
      <c r="R230" s="18">
        <v>50</v>
      </c>
      <c r="S230" s="18">
        <v>50</v>
      </c>
      <c r="T230" s="18">
        <v>50</v>
      </c>
      <c r="U230" s="18">
        <v>50</v>
      </c>
      <c r="V230" s="18">
        <v>50</v>
      </c>
      <c r="W230" s="18">
        <v>50</v>
      </c>
      <c r="X230" s="18"/>
      <c r="Y230" s="18">
        <v>13</v>
      </c>
      <c r="Z230" s="18">
        <v>0.90000000000000013</v>
      </c>
      <c r="AA230" s="18">
        <v>1</v>
      </c>
      <c r="AB230" s="18">
        <v>0</v>
      </c>
      <c r="AC230" s="18">
        <v>5.4</v>
      </c>
      <c r="AD230" s="18">
        <v>2.4000000000000004</v>
      </c>
      <c r="AE230" s="18">
        <v>3.3</v>
      </c>
      <c r="AF230" s="18">
        <v>660</v>
      </c>
      <c r="AG230" s="18">
        <v>7.5</v>
      </c>
      <c r="AH230" s="18">
        <v>78</v>
      </c>
      <c r="AI230" s="18">
        <v>37</v>
      </c>
      <c r="AJ230" s="18">
        <v>0</v>
      </c>
      <c r="AK230" s="18">
        <v>0.10886644219977595</v>
      </c>
      <c r="AL230" s="18"/>
      <c r="AM230" s="18">
        <v>4.8600000000000003</v>
      </c>
      <c r="AN230" s="18">
        <v>1.51</v>
      </c>
      <c r="AO230" s="18">
        <v>1.1499999999999999</v>
      </c>
      <c r="AP230" s="18">
        <v>3.74</v>
      </c>
      <c r="AQ230" s="18">
        <v>0.76</v>
      </c>
      <c r="AR230" s="18">
        <v>3.5</v>
      </c>
      <c r="AS230" s="18">
        <v>5.49</v>
      </c>
      <c r="AT230" s="18">
        <v>3.25</v>
      </c>
      <c r="AU230" s="18">
        <v>3.12</v>
      </c>
      <c r="AV230" s="18">
        <v>4.0599999999999996</v>
      </c>
      <c r="AW230" s="18">
        <v>5.3</v>
      </c>
      <c r="AX230" s="18"/>
      <c r="AY230" s="18">
        <v>1.04</v>
      </c>
      <c r="AZ230" s="18">
        <v>1.22</v>
      </c>
      <c r="BA230" s="18">
        <v>0.44</v>
      </c>
      <c r="BB230" s="18">
        <v>0.6</v>
      </c>
      <c r="BC230" s="18">
        <v>0.82</v>
      </c>
      <c r="BD230" s="18">
        <v>1.2</v>
      </c>
      <c r="BE230" s="18">
        <v>1.18</v>
      </c>
      <c r="BF230" s="18">
        <v>1.18</v>
      </c>
      <c r="BG230" s="18">
        <v>1.02</v>
      </c>
      <c r="BH230" s="18">
        <v>1.04</v>
      </c>
      <c r="BI230" s="18">
        <v>0.84</v>
      </c>
      <c r="BJ230" s="19"/>
      <c r="BK230" s="18">
        <v>9.2999999999999989</v>
      </c>
      <c r="BL230" s="18">
        <v>1.4</v>
      </c>
      <c r="BM230" s="18">
        <v>9.5</v>
      </c>
      <c r="BN230" s="18">
        <v>16.8</v>
      </c>
      <c r="BO230" s="18"/>
      <c r="BP230" s="18">
        <v>0</v>
      </c>
      <c r="BQ230" s="18">
        <v>0</v>
      </c>
      <c r="BR230" s="18">
        <v>0.59296187572589998</v>
      </c>
      <c r="BS230" s="18">
        <v>0.74907651576994383</v>
      </c>
      <c r="BT230" s="19"/>
      <c r="BU230" s="18">
        <v>905</v>
      </c>
      <c r="BV230" s="18">
        <v>88.349285714285728</v>
      </c>
      <c r="BW230" s="18">
        <v>599.88571428571345</v>
      </c>
      <c r="BX230" s="18">
        <v>0</v>
      </c>
      <c r="BY230" s="18" t="s">
        <v>217</v>
      </c>
      <c r="BZ230" s="18">
        <v>365.14957142857185</v>
      </c>
      <c r="CA230" s="18">
        <v>337.06114285714273</v>
      </c>
      <c r="CB230" s="19"/>
      <c r="CC230" s="19">
        <v>11.57</v>
      </c>
      <c r="CD230" s="19">
        <v>0.80100000000000016</v>
      </c>
      <c r="CE230" s="19">
        <v>0.89</v>
      </c>
      <c r="CF230" s="19">
        <v>0</v>
      </c>
      <c r="CG230" s="19">
        <v>4.806</v>
      </c>
      <c r="CH230" s="19">
        <v>2.1360000000000006</v>
      </c>
      <c r="CI230" s="19">
        <v>2.9369999999999998</v>
      </c>
      <c r="CJ230" s="19"/>
      <c r="CK230" s="19">
        <v>587.4</v>
      </c>
      <c r="CL230" s="19">
        <v>6.6749999999999998</v>
      </c>
      <c r="CM230" s="19">
        <v>69.42</v>
      </c>
      <c r="CN230" s="19">
        <v>32.93</v>
      </c>
      <c r="CO230" s="19">
        <v>0</v>
      </c>
      <c r="CP230" s="19">
        <v>9.6891133557800602E-2</v>
      </c>
      <c r="CQ230" s="19">
        <v>41.384999999999998</v>
      </c>
      <c r="CR230" s="19">
        <v>78.419881452032655</v>
      </c>
      <c r="CS230" s="19">
        <v>3.9636544881115383</v>
      </c>
      <c r="CT230" s="19">
        <v>1.4446510561093457</v>
      </c>
      <c r="CU230" s="19">
        <v>0.3968046001472853</v>
      </c>
      <c r="CV230" s="19">
        <v>1.8414556562566309</v>
      </c>
      <c r="CW230" s="19">
        <v>1.759742139783613</v>
      </c>
      <c r="CX230" s="19">
        <v>0.48871270120906751</v>
      </c>
      <c r="CY230" s="19">
        <v>3.2936350209853718</v>
      </c>
      <c r="CZ230" s="19">
        <v>5.0801967602255802</v>
      </c>
      <c r="DA230" s="19">
        <v>3.0074024536854527</v>
      </c>
      <c r="DB230" s="19">
        <v>2.4956343073294871</v>
      </c>
      <c r="DC230" s="19">
        <v>3.3112010744306271</v>
      </c>
      <c r="DD230" s="19">
        <v>5.8068353817601146</v>
      </c>
      <c r="DE230" s="19">
        <v>3.491253122244494</v>
      </c>
      <c r="DF230" s="23">
        <v>0</v>
      </c>
      <c r="DG230" s="23">
        <v>0</v>
      </c>
      <c r="DH230" s="23">
        <v>0</v>
      </c>
      <c r="DI230" s="19">
        <v>0</v>
      </c>
      <c r="DJ230" s="19">
        <v>0</v>
      </c>
      <c r="DK230" s="19">
        <v>0</v>
      </c>
      <c r="DL230" s="19">
        <v>0</v>
      </c>
      <c r="DM230" s="19">
        <v>0</v>
      </c>
      <c r="DN230" s="19">
        <v>0</v>
      </c>
      <c r="DO230" s="19">
        <v>0</v>
      </c>
      <c r="DP230" s="19">
        <v>0</v>
      </c>
      <c r="DQ230" s="19">
        <v>0</v>
      </c>
      <c r="DR230" s="19">
        <v>0</v>
      </c>
      <c r="DS230" s="19">
        <v>0</v>
      </c>
      <c r="DT230" s="19">
        <v>0</v>
      </c>
      <c r="DU230" s="19">
        <v>0</v>
      </c>
      <c r="DV230" s="19">
        <v>0</v>
      </c>
      <c r="DW230" s="17" t="s">
        <v>670</v>
      </c>
      <c r="DX230" s="22" t="s">
        <v>218</v>
      </c>
      <c r="DY230" s="22" t="s">
        <v>218</v>
      </c>
      <c r="DZ230" s="22">
        <v>3</v>
      </c>
      <c r="EA230" s="22">
        <v>3</v>
      </c>
      <c r="EB230" s="22" t="s">
        <v>218</v>
      </c>
      <c r="EC230" s="22">
        <v>2</v>
      </c>
      <c r="ED230" s="22" t="s">
        <v>218</v>
      </c>
      <c r="EE230" s="22" t="s">
        <v>218</v>
      </c>
      <c r="EF230" s="22" t="s">
        <v>218</v>
      </c>
      <c r="EG230" s="22" t="s">
        <v>218</v>
      </c>
      <c r="EH230" s="22" t="s">
        <v>218</v>
      </c>
      <c r="EI230" s="22" t="s">
        <v>218</v>
      </c>
      <c r="EJ230" s="22" t="s">
        <v>218</v>
      </c>
      <c r="EK230" s="22" t="s">
        <v>218</v>
      </c>
      <c r="EL230" s="22" t="s">
        <v>218</v>
      </c>
      <c r="EM230" s="22" t="s">
        <v>218</v>
      </c>
      <c r="EN230" s="22" t="s">
        <v>218</v>
      </c>
      <c r="EO230" s="22" t="s">
        <v>218</v>
      </c>
      <c r="EP230" s="22" t="s">
        <v>218</v>
      </c>
      <c r="EQ230" s="22" t="s">
        <v>218</v>
      </c>
      <c r="ER230" s="22" t="s">
        <v>218</v>
      </c>
      <c r="ES230" s="22">
        <v>3</v>
      </c>
      <c r="ET230" s="22">
        <v>3</v>
      </c>
      <c r="EU230" s="22">
        <v>3</v>
      </c>
      <c r="EV230" s="22" t="s">
        <v>218</v>
      </c>
      <c r="EW230" s="22">
        <v>3</v>
      </c>
      <c r="EX230" s="22">
        <v>3</v>
      </c>
      <c r="EY230" s="22">
        <v>2</v>
      </c>
      <c r="EZ230" s="22">
        <v>3</v>
      </c>
      <c r="FA230" s="22">
        <v>3</v>
      </c>
      <c r="FB230" s="22">
        <v>3</v>
      </c>
      <c r="FC230" s="22">
        <v>3</v>
      </c>
      <c r="FD230" s="22" t="s">
        <v>218</v>
      </c>
      <c r="FE230" s="22" t="s">
        <v>218</v>
      </c>
      <c r="FF230" s="22" t="s">
        <v>218</v>
      </c>
      <c r="FG230" s="22" t="s">
        <v>218</v>
      </c>
      <c r="FH230" s="22">
        <v>0.2</v>
      </c>
      <c r="FI230" s="22">
        <v>0.8</v>
      </c>
      <c r="FJ230" s="22" t="s">
        <v>218</v>
      </c>
      <c r="FK230" s="22">
        <v>1.1000000000000001</v>
      </c>
      <c r="FL230" s="22" t="s">
        <v>218</v>
      </c>
      <c r="FM230" s="22" t="s">
        <v>218</v>
      </c>
      <c r="FN230" s="22" t="s">
        <v>218</v>
      </c>
      <c r="FO230" s="22" t="s">
        <v>218</v>
      </c>
      <c r="FP230" s="22" t="s">
        <v>218</v>
      </c>
      <c r="FQ230" s="22" t="s">
        <v>218</v>
      </c>
      <c r="FR230" s="22" t="s">
        <v>218</v>
      </c>
      <c r="FS230" s="22" t="s">
        <v>218</v>
      </c>
      <c r="FT230" s="22" t="s">
        <v>218</v>
      </c>
      <c r="FU230" s="22" t="s">
        <v>218</v>
      </c>
      <c r="FV230" s="22" t="s">
        <v>218</v>
      </c>
      <c r="FW230" s="22" t="s">
        <v>218</v>
      </c>
      <c r="FX230" s="22" t="s">
        <v>218</v>
      </c>
      <c r="FY230" s="22" t="s">
        <v>218</v>
      </c>
      <c r="FZ230" s="22" t="s">
        <v>218</v>
      </c>
      <c r="GA230" s="22">
        <v>2.27</v>
      </c>
      <c r="GB230" s="22">
        <v>0.06</v>
      </c>
      <c r="GC230" s="22">
        <v>0.27</v>
      </c>
      <c r="GD230" s="22" t="s">
        <v>218</v>
      </c>
      <c r="GE230" s="22">
        <v>0.81</v>
      </c>
      <c r="GF230" s="22">
        <v>0.56000000000000005</v>
      </c>
      <c r="GG230" s="22">
        <v>1.31</v>
      </c>
      <c r="GH230" s="22">
        <v>197.1</v>
      </c>
      <c r="GI230" s="22">
        <v>1.69</v>
      </c>
      <c r="GJ230" s="22">
        <v>24.97</v>
      </c>
      <c r="GK230" s="22">
        <v>28.06</v>
      </c>
      <c r="GL230" s="22" t="s">
        <v>218</v>
      </c>
      <c r="GM230" s="22" t="s">
        <v>218</v>
      </c>
      <c r="GN230" s="22" t="s">
        <v>218</v>
      </c>
      <c r="GO230" s="22" t="s">
        <v>218</v>
      </c>
      <c r="GP230" s="22">
        <v>2005</v>
      </c>
      <c r="GQ230" s="22">
        <v>2005</v>
      </c>
      <c r="GR230" s="22" t="s">
        <v>218</v>
      </c>
      <c r="GS230" s="22">
        <v>2005</v>
      </c>
      <c r="GT230" s="22" t="s">
        <v>218</v>
      </c>
      <c r="GU230" s="22" t="s">
        <v>218</v>
      </c>
      <c r="GV230" s="22" t="s">
        <v>218</v>
      </c>
      <c r="GW230" s="22" t="s">
        <v>218</v>
      </c>
      <c r="GX230" s="22" t="s">
        <v>218</v>
      </c>
      <c r="GY230" s="22" t="s">
        <v>218</v>
      </c>
      <c r="GZ230" s="22" t="s">
        <v>218</v>
      </c>
      <c r="HA230" s="22" t="s">
        <v>218</v>
      </c>
      <c r="HB230" s="22" t="s">
        <v>218</v>
      </c>
      <c r="HC230" s="22" t="s">
        <v>218</v>
      </c>
      <c r="HD230" s="22" t="s">
        <v>218</v>
      </c>
      <c r="HE230" s="22" t="s">
        <v>218</v>
      </c>
      <c r="HF230" s="22" t="s">
        <v>218</v>
      </c>
      <c r="HG230" s="22" t="s">
        <v>218</v>
      </c>
      <c r="HH230" s="22" t="s">
        <v>218</v>
      </c>
      <c r="HI230" s="22">
        <v>2005</v>
      </c>
      <c r="HJ230" s="22">
        <v>2005</v>
      </c>
      <c r="HK230" s="22">
        <v>2005</v>
      </c>
      <c r="HL230" s="22" t="s">
        <v>218</v>
      </c>
      <c r="HM230" s="622">
        <v>0.379</v>
      </c>
      <c r="HN230" s="622">
        <f t="shared" ref="HN230:HN233" si="0">13/1000</f>
        <v>1.2999999999999999E-2</v>
      </c>
      <c r="HO230" s="622">
        <f t="shared" ref="HO230:HO233" si="1">48/1000</f>
        <v>4.8000000000000001E-2</v>
      </c>
      <c r="HP230" s="622">
        <f t="shared" ref="HP230:HP233" si="2">7.7/1000</f>
        <v>7.7000000000000002E-3</v>
      </c>
      <c r="HQ230" s="622">
        <v>5.2</v>
      </c>
      <c r="HR230" s="861"/>
      <c r="HS230" s="622">
        <v>0.34</v>
      </c>
      <c r="HT230" s="145" t="s">
        <v>1806</v>
      </c>
      <c r="HU230" s="145" t="s">
        <v>1809</v>
      </c>
      <c r="HV230" s="22" t="s">
        <v>1983</v>
      </c>
      <c r="HW230" s="22" t="s">
        <v>668</v>
      </c>
      <c r="HX230" s="22">
        <v>0</v>
      </c>
      <c r="HY230" s="22">
        <v>0</v>
      </c>
      <c r="HZ230" s="19"/>
      <c r="IA230" s="19"/>
      <c r="IB230" s="622">
        <v>0.379</v>
      </c>
      <c r="IC230" s="622">
        <f t="shared" ref="IC230:IC233" si="3">13/1000</f>
        <v>1.2999999999999999E-2</v>
      </c>
      <c r="ID230" s="622">
        <f t="shared" ref="ID230:ID233" si="4">48/1000</f>
        <v>4.8000000000000001E-2</v>
      </c>
      <c r="IE230" s="622">
        <f t="shared" ref="IE230:IE233" si="5">7.7/1000</f>
        <v>7.7000000000000002E-3</v>
      </c>
      <c r="IF230" s="622">
        <v>5.2</v>
      </c>
      <c r="IG230" s="624"/>
      <c r="IH230" s="622">
        <v>0.34</v>
      </c>
      <c r="II230" s="145" t="s">
        <v>1806</v>
      </c>
      <c r="IJ230" s="145"/>
      <c r="IK230" s="145"/>
      <c r="IL230" s="145"/>
      <c r="IM230" s="145"/>
      <c r="IN230" s="145"/>
      <c r="IO230" s="145"/>
      <c r="IP230" s="145"/>
      <c r="IQ230" s="145"/>
      <c r="IR230" s="145"/>
      <c r="IS230" s="145"/>
      <c r="IT230" s="145"/>
      <c r="IU230" s="145"/>
      <c r="IV230" s="145"/>
      <c r="IW230" s="145"/>
      <c r="IX230" s="145"/>
      <c r="IY230" s="145"/>
      <c r="IZ230" s="145"/>
      <c r="JA230" s="145"/>
      <c r="JB230" s="145"/>
      <c r="JC230" s="145"/>
      <c r="JD230" s="145"/>
      <c r="JE230" s="145"/>
      <c r="JF230" s="145"/>
      <c r="JG230" s="145"/>
      <c r="JH230" s="145"/>
      <c r="JI230" s="145"/>
      <c r="JJ230" s="145"/>
      <c r="JK230" s="145"/>
      <c r="JL230" s="145"/>
      <c r="JM230" s="145"/>
      <c r="JN230" s="145"/>
      <c r="JO230" s="145"/>
      <c r="JP230" s="145"/>
      <c r="JQ230" s="145"/>
      <c r="JR230" s="145"/>
      <c r="JS230" s="145"/>
      <c r="JT230" s="145"/>
      <c r="JU230" s="145"/>
      <c r="JV230" s="145"/>
      <c r="JW230" s="145"/>
      <c r="JX230" s="145"/>
      <c r="JY230" s="145"/>
      <c r="JZ230" s="145"/>
      <c r="KA230" s="145"/>
      <c r="KB230" s="145"/>
      <c r="KC230" s="145"/>
      <c r="KD230" s="145"/>
      <c r="KE230" s="145"/>
      <c r="KF230" s="145"/>
      <c r="KG230" s="145"/>
      <c r="KH230" s="145"/>
      <c r="KI230" s="145"/>
      <c r="KJ230" s="145"/>
      <c r="KK230" s="145"/>
      <c r="KL230" s="145"/>
      <c r="KM230" s="145"/>
      <c r="KN230" s="145"/>
      <c r="KO230" s="145"/>
      <c r="KP230" s="145"/>
      <c r="KQ230" s="145"/>
      <c r="KR230" s="145"/>
      <c r="KS230" s="145"/>
      <c r="KT230" s="145"/>
      <c r="KU230" s="145"/>
      <c r="KV230" s="145"/>
      <c r="KW230" s="145"/>
      <c r="KX230" s="145"/>
      <c r="KY230" s="145"/>
      <c r="KZ230" s="145"/>
      <c r="LA230" s="145"/>
      <c r="LB230" s="145"/>
      <c r="LC230" s="145"/>
      <c r="LD230" s="145"/>
      <c r="LE230" s="145"/>
      <c r="LF230" s="145"/>
      <c r="LG230" s="145"/>
      <c r="LH230" s="145"/>
      <c r="LI230" s="145"/>
      <c r="LJ230" s="145"/>
      <c r="LK230" s="145"/>
      <c r="LL230" s="145"/>
      <c r="LM230" s="145"/>
      <c r="LN230" s="145"/>
      <c r="LO230" s="145"/>
      <c r="LP230" s="145"/>
      <c r="LQ230" s="145"/>
      <c r="LR230" s="145"/>
      <c r="LS230" s="145"/>
      <c r="LT230" s="145"/>
      <c r="LU230" s="145"/>
      <c r="LV230" s="145"/>
      <c r="LW230" s="145"/>
      <c r="LX230" s="145"/>
      <c r="LY230" s="145"/>
      <c r="LZ230" s="145"/>
      <c r="MA230" s="145"/>
      <c r="MB230" s="145"/>
      <c r="MC230" s="145"/>
      <c r="MD230" s="145"/>
      <c r="ME230" s="145"/>
      <c r="MF230" s="145"/>
      <c r="MG230" s="145"/>
      <c r="MH230" s="145"/>
      <c r="MI230" s="145"/>
      <c r="MJ230" s="145"/>
      <c r="MK230" s="145"/>
      <c r="ML230" s="145"/>
      <c r="MM230" s="145"/>
      <c r="MN230" s="145"/>
      <c r="MO230" s="145"/>
      <c r="MP230" s="145"/>
      <c r="MQ230" s="145"/>
      <c r="MR230" s="145"/>
      <c r="MS230" s="145"/>
      <c r="MT230" s="145"/>
      <c r="MU230" s="145"/>
      <c r="MV230" s="145"/>
      <c r="MW230" s="145"/>
      <c r="MX230" s="145"/>
      <c r="MY230" s="145"/>
      <c r="MZ230" s="145"/>
      <c r="NA230" s="145"/>
      <c r="NB230" s="145"/>
      <c r="NC230" s="145"/>
      <c r="ND230" s="145"/>
      <c r="NE230" s="145"/>
      <c r="NF230" s="145"/>
      <c r="NG230" s="145"/>
      <c r="NH230" s="145"/>
      <c r="NI230" s="145"/>
      <c r="NJ230" s="145"/>
      <c r="NK230" s="145"/>
      <c r="NL230" s="145"/>
      <c r="NM230" s="145"/>
      <c r="NN230" s="145"/>
      <c r="NO230" s="145"/>
      <c r="NP230" s="145"/>
      <c r="NQ230" s="145"/>
      <c r="NR230" s="145"/>
      <c r="NS230" s="145"/>
    </row>
    <row r="231" spans="1:383" s="16" customFormat="1" ht="15" customHeight="1" x14ac:dyDescent="0.2">
      <c r="A231" s="15">
        <v>67300</v>
      </c>
      <c r="B231" s="25">
        <v>673</v>
      </c>
      <c r="C231" s="26">
        <v>0</v>
      </c>
      <c r="D231" s="20" t="s">
        <v>671</v>
      </c>
      <c r="E231" s="14">
        <v>42695</v>
      </c>
      <c r="F231" s="18">
        <v>0.64830138776616397</v>
      </c>
      <c r="G231" s="18">
        <v>0.75974956356586298</v>
      </c>
      <c r="H231" s="21">
        <v>90.3</v>
      </c>
      <c r="I231" s="21">
        <v>49.8</v>
      </c>
      <c r="J231" s="21">
        <v>83</v>
      </c>
      <c r="K231" s="18">
        <v>1</v>
      </c>
      <c r="L231" s="18">
        <v>91.1</v>
      </c>
      <c r="M231" s="18">
        <v>8.8367000000000004</v>
      </c>
      <c r="N231" s="18">
        <v>1.0931999999999999</v>
      </c>
      <c r="O231" s="18">
        <v>10.021000000000001</v>
      </c>
      <c r="P231" s="18">
        <v>13.482799999999999</v>
      </c>
      <c r="Q231" s="19"/>
      <c r="R231" s="18">
        <v>50</v>
      </c>
      <c r="S231" s="18">
        <v>50</v>
      </c>
      <c r="T231" s="18">
        <v>50</v>
      </c>
      <c r="U231" s="18">
        <v>50</v>
      </c>
      <c r="V231" s="18">
        <v>50</v>
      </c>
      <c r="W231" s="18">
        <v>50</v>
      </c>
      <c r="X231" s="18"/>
      <c r="Y231" s="18">
        <v>11.7</v>
      </c>
      <c r="Z231" s="18">
        <v>0.8</v>
      </c>
      <c r="AA231" s="18">
        <v>2.0000000000000004</v>
      </c>
      <c r="AB231" s="18">
        <v>0</v>
      </c>
      <c r="AC231" s="18">
        <v>18.500000000000004</v>
      </c>
      <c r="AD231" s="18">
        <v>1.8</v>
      </c>
      <c r="AE231" s="18">
        <v>4.9000000000000004</v>
      </c>
      <c r="AF231" s="18">
        <v>510.00000000000006</v>
      </c>
      <c r="AG231" s="18">
        <v>5.8000000000000007</v>
      </c>
      <c r="AH231" s="18">
        <v>59.000000000000007</v>
      </c>
      <c r="AI231" s="18">
        <v>41</v>
      </c>
      <c r="AJ231" s="18">
        <v>0</v>
      </c>
      <c r="AK231" s="18">
        <v>6.0000000000000005E-2</v>
      </c>
      <c r="AL231" s="18"/>
      <c r="AM231" s="18">
        <v>4.24</v>
      </c>
      <c r="AN231" s="18">
        <v>1.17</v>
      </c>
      <c r="AO231" s="18">
        <v>0.97</v>
      </c>
      <c r="AP231" s="18">
        <v>3.09</v>
      </c>
      <c r="AQ231" s="18">
        <v>0.84</v>
      </c>
      <c r="AR231" s="18">
        <v>3.31</v>
      </c>
      <c r="AS231" s="18">
        <v>5</v>
      </c>
      <c r="AT231" s="18">
        <v>2.25</v>
      </c>
      <c r="AU231" s="18">
        <v>2.57</v>
      </c>
      <c r="AV231" s="18">
        <v>3.57</v>
      </c>
      <c r="AW231" s="18">
        <v>4.59</v>
      </c>
      <c r="AX231" s="18"/>
      <c r="AY231" s="18">
        <v>1.04</v>
      </c>
      <c r="AZ231" s="18">
        <v>1.22</v>
      </c>
      <c r="BA231" s="18">
        <v>0.44</v>
      </c>
      <c r="BB231" s="18">
        <v>0.6</v>
      </c>
      <c r="BC231" s="18">
        <v>0.82</v>
      </c>
      <c r="BD231" s="18">
        <v>1.2</v>
      </c>
      <c r="BE231" s="18">
        <v>1.18</v>
      </c>
      <c r="BF231" s="18">
        <v>1.18</v>
      </c>
      <c r="BG231" s="18">
        <v>1.02</v>
      </c>
      <c r="BH231" s="18">
        <v>1.04</v>
      </c>
      <c r="BI231" s="18">
        <v>0.84</v>
      </c>
      <c r="BJ231" s="19"/>
      <c r="BK231" s="18">
        <v>9.7000000000000011</v>
      </c>
      <c r="BL231" s="18">
        <v>1.2</v>
      </c>
      <c r="BM231" s="18">
        <v>11.000000000000002</v>
      </c>
      <c r="BN231" s="18">
        <v>14.8</v>
      </c>
      <c r="BO231" s="18"/>
      <c r="BP231" s="18">
        <v>0</v>
      </c>
      <c r="BQ231" s="18">
        <v>0</v>
      </c>
      <c r="BR231" s="18">
        <v>0.71163708865660147</v>
      </c>
      <c r="BS231" s="18">
        <v>0.83397317625231948</v>
      </c>
      <c r="BT231" s="19"/>
      <c r="BU231" s="18">
        <v>890</v>
      </c>
      <c r="BV231" s="18">
        <v>188.83142857142923</v>
      </c>
      <c r="BW231" s="18">
        <v>514.92857142857088</v>
      </c>
      <c r="BX231" s="18">
        <v>0</v>
      </c>
      <c r="BY231" s="18">
        <v>185</v>
      </c>
      <c r="BZ231" s="18">
        <v>303.89245714285732</v>
      </c>
      <c r="CA231" s="18">
        <v>280.51611428571465</v>
      </c>
      <c r="CB231" s="19"/>
      <c r="CC231" s="19">
        <v>10.658699999999998</v>
      </c>
      <c r="CD231" s="19">
        <v>0.7288</v>
      </c>
      <c r="CE231" s="19">
        <v>1.8220000000000003</v>
      </c>
      <c r="CF231" s="19">
        <v>0</v>
      </c>
      <c r="CG231" s="19">
        <v>16.8535</v>
      </c>
      <c r="CH231" s="19">
        <v>1.6397999999999999</v>
      </c>
      <c r="CI231" s="19">
        <v>4.4638999999999998</v>
      </c>
      <c r="CJ231" s="19"/>
      <c r="CK231" s="19">
        <v>464.61</v>
      </c>
      <c r="CL231" s="19">
        <v>5.2838000000000003</v>
      </c>
      <c r="CM231" s="19">
        <v>53.749000000000002</v>
      </c>
      <c r="CN231" s="19">
        <v>37.350999999999999</v>
      </c>
      <c r="CO231" s="19">
        <v>0</v>
      </c>
      <c r="CP231" s="19">
        <v>5.466E-2</v>
      </c>
      <c r="CQ231" s="19">
        <v>44.183500000000002</v>
      </c>
      <c r="CR231" s="19">
        <v>68.152715440332457</v>
      </c>
      <c r="CS231" s="19">
        <v>3.0052621400568995</v>
      </c>
      <c r="CT231" s="19">
        <v>0.97281186019530541</v>
      </c>
      <c r="CU231" s="19">
        <v>0.2908757894993389</v>
      </c>
      <c r="CV231" s="19">
        <v>1.2636876496946443</v>
      </c>
      <c r="CW231" s="19">
        <v>1.2635513442637636</v>
      </c>
      <c r="CX231" s="19">
        <v>0.46943590395300999</v>
      </c>
      <c r="CY231" s="19">
        <v>2.707025857290005</v>
      </c>
      <c r="CZ231" s="19">
        <v>4.0210102109796146</v>
      </c>
      <c r="DA231" s="19">
        <v>1.8094545949408265</v>
      </c>
      <c r="DB231" s="19">
        <v>1.786555282552875</v>
      </c>
      <c r="DC231" s="19">
        <v>2.5303740188686632</v>
      </c>
      <c r="DD231" s="19">
        <v>4.3169293014215384</v>
      </c>
      <c r="DE231" s="19">
        <v>2.6276960965174583</v>
      </c>
      <c r="DF231" s="23">
        <v>0</v>
      </c>
      <c r="DG231" s="23">
        <v>0</v>
      </c>
      <c r="DH231" s="23">
        <v>0</v>
      </c>
      <c r="DI231" s="19">
        <v>0</v>
      </c>
      <c r="DJ231" s="19">
        <v>0</v>
      </c>
      <c r="DK231" s="19">
        <v>0</v>
      </c>
      <c r="DL231" s="19">
        <v>0</v>
      </c>
      <c r="DM231" s="19">
        <v>0</v>
      </c>
      <c r="DN231" s="19">
        <v>0</v>
      </c>
      <c r="DO231" s="19">
        <v>0</v>
      </c>
      <c r="DP231" s="19">
        <v>0</v>
      </c>
      <c r="DQ231" s="19">
        <v>0</v>
      </c>
      <c r="DR231" s="19">
        <v>0</v>
      </c>
      <c r="DS231" s="19">
        <v>0</v>
      </c>
      <c r="DT231" s="19">
        <v>0</v>
      </c>
      <c r="DU231" s="19">
        <v>0</v>
      </c>
      <c r="DV231" s="19">
        <v>0</v>
      </c>
      <c r="DW231" s="17" t="s">
        <v>670</v>
      </c>
      <c r="DX231" s="22" t="s">
        <v>218</v>
      </c>
      <c r="DY231" s="22" t="s">
        <v>218</v>
      </c>
      <c r="DZ231" s="22">
        <v>4</v>
      </c>
      <c r="EA231" s="22">
        <v>4</v>
      </c>
      <c r="EB231" s="22">
        <v>1</v>
      </c>
      <c r="EC231" s="22">
        <v>4</v>
      </c>
      <c r="ED231" s="22">
        <v>1</v>
      </c>
      <c r="EE231" s="22" t="s">
        <v>218</v>
      </c>
      <c r="EF231" s="22">
        <v>1</v>
      </c>
      <c r="EG231" s="22" t="s">
        <v>218</v>
      </c>
      <c r="EH231" s="22" t="s">
        <v>218</v>
      </c>
      <c r="EI231" s="22" t="s">
        <v>218</v>
      </c>
      <c r="EJ231" s="22" t="s">
        <v>218</v>
      </c>
      <c r="EK231" s="22" t="s">
        <v>218</v>
      </c>
      <c r="EL231" s="22" t="s">
        <v>218</v>
      </c>
      <c r="EM231" s="22" t="s">
        <v>218</v>
      </c>
      <c r="EN231" s="22" t="s">
        <v>218</v>
      </c>
      <c r="EO231" s="22" t="s">
        <v>218</v>
      </c>
      <c r="EP231" s="22" t="s">
        <v>218</v>
      </c>
      <c r="EQ231" s="22" t="s">
        <v>218</v>
      </c>
      <c r="ER231" s="22" t="s">
        <v>218</v>
      </c>
      <c r="ES231" s="22">
        <v>3</v>
      </c>
      <c r="ET231" s="22">
        <v>4</v>
      </c>
      <c r="EU231" s="22">
        <v>4</v>
      </c>
      <c r="EV231" s="22" t="s">
        <v>218</v>
      </c>
      <c r="EW231" s="22">
        <v>4</v>
      </c>
      <c r="EX231" s="22">
        <v>4</v>
      </c>
      <c r="EY231" s="22">
        <v>3</v>
      </c>
      <c r="EZ231" s="22">
        <v>4</v>
      </c>
      <c r="FA231" s="22">
        <v>4</v>
      </c>
      <c r="FB231" s="22">
        <v>4</v>
      </c>
      <c r="FC231" s="22">
        <v>4</v>
      </c>
      <c r="FD231" s="22" t="s">
        <v>218</v>
      </c>
      <c r="FE231" s="22" t="s">
        <v>218</v>
      </c>
      <c r="FF231" s="22" t="s">
        <v>218</v>
      </c>
      <c r="FG231" s="22" t="s">
        <v>218</v>
      </c>
      <c r="FH231" s="22">
        <v>0.2</v>
      </c>
      <c r="FI231" s="22">
        <v>3.2</v>
      </c>
      <c r="FJ231" s="22" t="s">
        <v>218</v>
      </c>
      <c r="FK231" s="22">
        <v>1.2</v>
      </c>
      <c r="FL231" s="22" t="s">
        <v>218</v>
      </c>
      <c r="FM231" s="22" t="s">
        <v>218</v>
      </c>
      <c r="FN231" s="22" t="s">
        <v>218</v>
      </c>
      <c r="FO231" s="22" t="s">
        <v>218</v>
      </c>
      <c r="FP231" s="22" t="s">
        <v>218</v>
      </c>
      <c r="FQ231" s="22" t="s">
        <v>218</v>
      </c>
      <c r="FR231" s="22" t="s">
        <v>218</v>
      </c>
      <c r="FS231" s="22" t="s">
        <v>218</v>
      </c>
      <c r="FT231" s="22" t="s">
        <v>218</v>
      </c>
      <c r="FU231" s="22" t="s">
        <v>218</v>
      </c>
      <c r="FV231" s="22" t="s">
        <v>218</v>
      </c>
      <c r="FW231" s="22" t="s">
        <v>218</v>
      </c>
      <c r="FX231" s="22" t="s">
        <v>218</v>
      </c>
      <c r="FY231" s="22" t="s">
        <v>218</v>
      </c>
      <c r="FZ231" s="22" t="s">
        <v>218</v>
      </c>
      <c r="GA231" s="22">
        <v>1.38</v>
      </c>
      <c r="GB231" s="22">
        <v>0.08</v>
      </c>
      <c r="GC231" s="22">
        <v>0.54</v>
      </c>
      <c r="GD231" s="22" t="s">
        <v>218</v>
      </c>
      <c r="GE231" s="22">
        <v>3.76</v>
      </c>
      <c r="GF231" s="22">
        <v>0.2</v>
      </c>
      <c r="GG231" s="22">
        <v>0.43</v>
      </c>
      <c r="GH231" s="22">
        <v>102.7</v>
      </c>
      <c r="GI231" s="22">
        <v>1.42</v>
      </c>
      <c r="GJ231" s="22">
        <v>5.61</v>
      </c>
      <c r="GK231" s="22">
        <v>27.62</v>
      </c>
      <c r="GL231" s="22" t="s">
        <v>218</v>
      </c>
      <c r="GM231" s="22" t="s">
        <v>218</v>
      </c>
      <c r="GN231" s="22" t="s">
        <v>218</v>
      </c>
      <c r="GO231" s="22" t="s">
        <v>218</v>
      </c>
      <c r="GP231" s="22">
        <v>2005</v>
      </c>
      <c r="GQ231" s="22">
        <v>2005</v>
      </c>
      <c r="GR231" s="22">
        <v>2005</v>
      </c>
      <c r="GS231" s="22">
        <v>2005</v>
      </c>
      <c r="GT231" s="22">
        <v>2005</v>
      </c>
      <c r="GU231" s="22" t="s">
        <v>218</v>
      </c>
      <c r="GV231" s="22">
        <v>2005</v>
      </c>
      <c r="GW231" s="22" t="s">
        <v>218</v>
      </c>
      <c r="GX231" s="22" t="s">
        <v>218</v>
      </c>
      <c r="GY231" s="22" t="s">
        <v>218</v>
      </c>
      <c r="GZ231" s="22" t="s">
        <v>218</v>
      </c>
      <c r="HA231" s="22" t="s">
        <v>218</v>
      </c>
      <c r="HB231" s="22" t="s">
        <v>218</v>
      </c>
      <c r="HC231" s="22" t="s">
        <v>218</v>
      </c>
      <c r="HD231" s="22" t="s">
        <v>218</v>
      </c>
      <c r="HE231" s="22" t="s">
        <v>218</v>
      </c>
      <c r="HF231" s="22" t="s">
        <v>218</v>
      </c>
      <c r="HG231" s="22" t="s">
        <v>218</v>
      </c>
      <c r="HH231" s="22" t="s">
        <v>218</v>
      </c>
      <c r="HI231" s="22">
        <v>2005</v>
      </c>
      <c r="HJ231" s="22">
        <v>2005</v>
      </c>
      <c r="HK231" s="22">
        <v>2005</v>
      </c>
      <c r="HL231" s="22" t="s">
        <v>218</v>
      </c>
      <c r="HM231" s="622">
        <v>0.379</v>
      </c>
      <c r="HN231" s="622">
        <f t="shared" si="0"/>
        <v>1.2999999999999999E-2</v>
      </c>
      <c r="HO231" s="622">
        <f t="shared" si="1"/>
        <v>4.8000000000000001E-2</v>
      </c>
      <c r="HP231" s="622">
        <f t="shared" si="2"/>
        <v>7.7000000000000002E-3</v>
      </c>
      <c r="HQ231" s="622">
        <v>5.2</v>
      </c>
      <c r="HR231" s="861"/>
      <c r="HS231" s="622">
        <v>0.34</v>
      </c>
      <c r="HT231" s="145" t="s">
        <v>1806</v>
      </c>
      <c r="HU231" s="145" t="s">
        <v>1809</v>
      </c>
      <c r="HV231" s="22" t="s">
        <v>1983</v>
      </c>
      <c r="HW231" s="22" t="s">
        <v>668</v>
      </c>
      <c r="HX231" s="22">
        <v>0</v>
      </c>
      <c r="HY231" s="22">
        <v>0</v>
      </c>
      <c r="HZ231" s="19"/>
      <c r="IA231" s="19"/>
      <c r="IB231" s="622">
        <v>0.379</v>
      </c>
      <c r="IC231" s="622">
        <f t="shared" si="3"/>
        <v>1.2999999999999999E-2</v>
      </c>
      <c r="ID231" s="622">
        <f t="shared" si="4"/>
        <v>4.8000000000000001E-2</v>
      </c>
      <c r="IE231" s="622">
        <f t="shared" si="5"/>
        <v>7.7000000000000002E-3</v>
      </c>
      <c r="IF231" s="622">
        <v>5.2</v>
      </c>
      <c r="IG231" s="624"/>
      <c r="IH231" s="622">
        <v>0.34</v>
      </c>
      <c r="II231" s="145" t="s">
        <v>1806</v>
      </c>
      <c r="IJ231" s="145"/>
      <c r="IK231" s="145"/>
      <c r="IL231" s="145"/>
      <c r="IM231" s="145"/>
      <c r="IN231" s="145"/>
      <c r="IO231" s="145"/>
      <c r="IP231" s="145"/>
      <c r="IQ231" s="145"/>
      <c r="IR231" s="145"/>
      <c r="IS231" s="145"/>
      <c r="IT231" s="145"/>
      <c r="IU231" s="145"/>
      <c r="IV231" s="145"/>
      <c r="IW231" s="145"/>
      <c r="IX231" s="145"/>
      <c r="IY231" s="145"/>
      <c r="IZ231" s="145"/>
      <c r="JA231" s="145"/>
      <c r="JB231" s="145"/>
      <c r="JC231" s="145"/>
      <c r="JD231" s="145"/>
      <c r="JE231" s="145"/>
      <c r="JF231" s="145"/>
      <c r="JG231" s="145"/>
      <c r="JH231" s="145"/>
      <c r="JI231" s="145"/>
      <c r="JJ231" s="145"/>
      <c r="JK231" s="145"/>
      <c r="JL231" s="145"/>
      <c r="JM231" s="145"/>
      <c r="JN231" s="145"/>
      <c r="JO231" s="145"/>
      <c r="JP231" s="145"/>
      <c r="JQ231" s="145"/>
      <c r="JR231" s="145"/>
      <c r="JS231" s="145"/>
      <c r="JT231" s="145"/>
      <c r="JU231" s="145"/>
      <c r="JV231" s="145"/>
      <c r="JW231" s="145"/>
      <c r="JX231" s="145"/>
      <c r="JY231" s="145"/>
      <c r="JZ231" s="145"/>
      <c r="KA231" s="145"/>
      <c r="KB231" s="145"/>
      <c r="KC231" s="145"/>
      <c r="KD231" s="145"/>
      <c r="KE231" s="145"/>
      <c r="KF231" s="145"/>
      <c r="KG231" s="145"/>
      <c r="KH231" s="145"/>
      <c r="KI231" s="145"/>
      <c r="KJ231" s="145"/>
      <c r="KK231" s="145"/>
      <c r="KL231" s="145"/>
      <c r="KM231" s="145"/>
      <c r="KN231" s="145"/>
      <c r="KO231" s="145"/>
      <c r="KP231" s="145"/>
      <c r="KQ231" s="145"/>
      <c r="KR231" s="145"/>
      <c r="KS231" s="145"/>
      <c r="KT231" s="145"/>
      <c r="KU231" s="145"/>
      <c r="KV231" s="145"/>
      <c r="KW231" s="145"/>
      <c r="KX231" s="145"/>
      <c r="KY231" s="145"/>
      <c r="KZ231" s="145"/>
      <c r="LA231" s="145"/>
      <c r="LB231" s="145"/>
      <c r="LC231" s="145"/>
      <c r="LD231" s="145"/>
      <c r="LE231" s="145"/>
      <c r="LF231" s="145"/>
      <c r="LG231" s="145"/>
      <c r="LH231" s="145"/>
      <c r="LI231" s="145"/>
      <c r="LJ231" s="145"/>
      <c r="LK231" s="145"/>
      <c r="LL231" s="145"/>
      <c r="LM231" s="145"/>
      <c r="LN231" s="145"/>
      <c r="LO231" s="145"/>
      <c r="LP231" s="145"/>
      <c r="LQ231" s="145"/>
      <c r="LR231" s="145"/>
      <c r="LS231" s="145"/>
      <c r="LT231" s="145"/>
      <c r="LU231" s="145"/>
      <c r="LV231" s="145"/>
      <c r="LW231" s="145"/>
      <c r="LX231" s="145"/>
      <c r="LY231" s="145"/>
      <c r="LZ231" s="145"/>
      <c r="MA231" s="145"/>
      <c r="MB231" s="145"/>
      <c r="MC231" s="145"/>
      <c r="MD231" s="145"/>
      <c r="ME231" s="145"/>
      <c r="MF231" s="145"/>
      <c r="MG231" s="145"/>
      <c r="MH231" s="145"/>
      <c r="MI231" s="145"/>
      <c r="MJ231" s="145"/>
      <c r="MK231" s="145"/>
      <c r="ML231" s="145"/>
      <c r="MM231" s="145"/>
      <c r="MN231" s="145"/>
      <c r="MO231" s="145"/>
      <c r="MP231" s="145"/>
      <c r="MQ231" s="145"/>
      <c r="MR231" s="145"/>
      <c r="MS231" s="145"/>
      <c r="MT231" s="145"/>
      <c r="MU231" s="145"/>
      <c r="MV231" s="145"/>
      <c r="MW231" s="145"/>
      <c r="MX231" s="145"/>
      <c r="MY231" s="145"/>
      <c r="MZ231" s="145"/>
      <c r="NA231" s="145"/>
      <c r="NB231" s="145"/>
      <c r="NC231" s="145"/>
      <c r="ND231" s="145"/>
      <c r="NE231" s="145"/>
      <c r="NF231" s="145"/>
      <c r="NG231" s="145"/>
      <c r="NH231" s="145"/>
      <c r="NI231" s="145"/>
      <c r="NJ231" s="145"/>
      <c r="NK231" s="145"/>
      <c r="NL231" s="145"/>
      <c r="NM231" s="145"/>
      <c r="NN231" s="145"/>
      <c r="NO231" s="145"/>
      <c r="NP231" s="145"/>
      <c r="NQ231" s="145"/>
      <c r="NR231" s="145"/>
      <c r="NS231" s="145"/>
    </row>
    <row r="232" spans="1:383" s="16" customFormat="1" ht="15" customHeight="1" x14ac:dyDescent="0.2">
      <c r="A232" s="15">
        <v>67000</v>
      </c>
      <c r="B232" s="25">
        <v>670</v>
      </c>
      <c r="C232" s="26">
        <v>0</v>
      </c>
      <c r="D232" s="20" t="s">
        <v>672</v>
      </c>
      <c r="E232" s="14">
        <v>41494</v>
      </c>
      <c r="F232" s="18" t="s">
        <v>217</v>
      </c>
      <c r="G232" s="18" t="s">
        <v>217</v>
      </c>
      <c r="H232" s="21" t="s">
        <v>217</v>
      </c>
      <c r="I232" s="21" t="s">
        <v>217</v>
      </c>
      <c r="J232" s="21">
        <v>86</v>
      </c>
      <c r="K232" s="18">
        <v>1</v>
      </c>
      <c r="L232" s="18">
        <v>93</v>
      </c>
      <c r="M232" s="18">
        <v>5.4000003599999999</v>
      </c>
      <c r="N232" s="18">
        <v>0</v>
      </c>
      <c r="O232" s="18">
        <v>6.0000000900000003</v>
      </c>
      <c r="P232" s="18">
        <v>6.0000000900000003</v>
      </c>
      <c r="Q232" s="19"/>
      <c r="R232" s="18">
        <v>50</v>
      </c>
      <c r="S232" s="18">
        <v>50</v>
      </c>
      <c r="T232" s="18">
        <v>50</v>
      </c>
      <c r="U232" s="18">
        <v>50</v>
      </c>
      <c r="V232" s="18">
        <v>50</v>
      </c>
      <c r="W232" s="18">
        <v>50</v>
      </c>
      <c r="X232" s="18"/>
      <c r="Y232" s="18">
        <v>3.1182799999999999</v>
      </c>
      <c r="Z232" s="18">
        <v>1.82796</v>
      </c>
      <c r="AA232" s="18">
        <v>0.96773999999999993</v>
      </c>
      <c r="AB232" s="18">
        <v>0</v>
      </c>
      <c r="AC232" s="18">
        <v>10.967739999999999</v>
      </c>
      <c r="AD232" s="18">
        <v>1.5</v>
      </c>
      <c r="AE232" s="18">
        <v>0</v>
      </c>
      <c r="AF232" s="18">
        <v>1100</v>
      </c>
      <c r="AG232" s="18">
        <v>6</v>
      </c>
      <c r="AH232" s="18">
        <v>102</v>
      </c>
      <c r="AI232" s="18">
        <v>28</v>
      </c>
      <c r="AJ232" s="18">
        <v>0</v>
      </c>
      <c r="AK232" s="18">
        <v>6.0000000000000005E-2</v>
      </c>
      <c r="AL232" s="18"/>
      <c r="AM232" s="18">
        <v>2.71</v>
      </c>
      <c r="AN232" s="18">
        <v>1.1299999999999999</v>
      </c>
      <c r="AO232" s="18">
        <v>0.82</v>
      </c>
      <c r="AP232" s="18">
        <v>2.4700000000000002</v>
      </c>
      <c r="AQ232" s="18">
        <v>0.52</v>
      </c>
      <c r="AR232" s="18">
        <v>2.4700000000000002</v>
      </c>
      <c r="AS232" s="18">
        <v>3.82</v>
      </c>
      <c r="AT232" s="18">
        <v>1.5</v>
      </c>
      <c r="AU232" s="18">
        <v>1.95</v>
      </c>
      <c r="AV232" s="18">
        <v>2.3199999999999998</v>
      </c>
      <c r="AW232" s="18">
        <v>3.29</v>
      </c>
      <c r="AX232" s="18"/>
      <c r="AY232" s="18">
        <v>1</v>
      </c>
      <c r="AZ232" s="18">
        <v>1</v>
      </c>
      <c r="BA232" s="18">
        <v>1</v>
      </c>
      <c r="BB232" s="18">
        <v>1</v>
      </c>
      <c r="BC232" s="18">
        <v>1</v>
      </c>
      <c r="BD232" s="18">
        <v>1</v>
      </c>
      <c r="BE232" s="18">
        <v>1</v>
      </c>
      <c r="BF232" s="18">
        <v>1</v>
      </c>
      <c r="BG232" s="18">
        <v>1</v>
      </c>
      <c r="BH232" s="18">
        <v>1</v>
      </c>
      <c r="BI232" s="18">
        <v>1</v>
      </c>
      <c r="BJ232" s="19"/>
      <c r="BK232" s="18">
        <v>5.8064520000000002</v>
      </c>
      <c r="BL232" s="18">
        <v>0</v>
      </c>
      <c r="BM232" s="18">
        <v>6.451613</v>
      </c>
      <c r="BN232" s="18">
        <v>6.451613</v>
      </c>
      <c r="BO232" s="18"/>
      <c r="BP232" s="18">
        <v>0</v>
      </c>
      <c r="BQ232" s="18">
        <v>0</v>
      </c>
      <c r="BR232" s="18" t="s">
        <v>217</v>
      </c>
      <c r="BS232" s="18" t="s">
        <v>217</v>
      </c>
      <c r="BT232" s="19"/>
      <c r="BU232" s="18">
        <v>935.48386999999991</v>
      </c>
      <c r="BV232" s="18" t="s">
        <v>217</v>
      </c>
      <c r="BW232" s="18" t="s">
        <v>217</v>
      </c>
      <c r="BX232" s="18" t="s">
        <v>217</v>
      </c>
      <c r="BY232" s="18" t="s">
        <v>217</v>
      </c>
      <c r="BZ232" s="18" t="s">
        <v>217</v>
      </c>
      <c r="CA232" s="18" t="s">
        <v>217</v>
      </c>
      <c r="CB232" s="19"/>
      <c r="CC232" s="19">
        <v>2.9000004000000001</v>
      </c>
      <c r="CD232" s="19">
        <v>1.7000028</v>
      </c>
      <c r="CE232" s="19">
        <v>0.89999819999999997</v>
      </c>
      <c r="CF232" s="19">
        <v>0</v>
      </c>
      <c r="CG232" s="19">
        <v>10.1999982</v>
      </c>
      <c r="CH232" s="19">
        <v>1.395</v>
      </c>
      <c r="CI232" s="19">
        <v>0</v>
      </c>
      <c r="CJ232" s="19"/>
      <c r="CK232" s="19">
        <v>1023</v>
      </c>
      <c r="CL232" s="19">
        <v>5.58</v>
      </c>
      <c r="CM232" s="19">
        <v>94.86</v>
      </c>
      <c r="CN232" s="19">
        <v>26.040000000000003</v>
      </c>
      <c r="CO232" s="19">
        <v>0</v>
      </c>
      <c r="CP232" s="19">
        <v>5.5800000000000009E-2</v>
      </c>
      <c r="CQ232" s="19">
        <v>27.0000018</v>
      </c>
      <c r="CR232" s="19" t="s">
        <v>217</v>
      </c>
      <c r="CS232" s="19" t="s">
        <v>217</v>
      </c>
      <c r="CT232" s="19" t="s">
        <v>217</v>
      </c>
      <c r="CU232" s="19" t="s">
        <v>217</v>
      </c>
      <c r="CV232" s="19" t="s">
        <v>217</v>
      </c>
      <c r="CW232" s="19" t="s">
        <v>217</v>
      </c>
      <c r="CX232" s="19" t="s">
        <v>217</v>
      </c>
      <c r="CY232" s="19" t="s">
        <v>217</v>
      </c>
      <c r="CZ232" s="19" t="s">
        <v>217</v>
      </c>
      <c r="DA232" s="19" t="s">
        <v>217</v>
      </c>
      <c r="DB232" s="19" t="s">
        <v>217</v>
      </c>
      <c r="DC232" s="19" t="s">
        <v>217</v>
      </c>
      <c r="DD232" s="19" t="s">
        <v>217</v>
      </c>
      <c r="DE232" s="19" t="s">
        <v>217</v>
      </c>
      <c r="DF232" s="23">
        <v>0</v>
      </c>
      <c r="DG232" s="23">
        <v>0</v>
      </c>
      <c r="DH232" s="23">
        <v>0</v>
      </c>
      <c r="DI232" s="19">
        <v>0</v>
      </c>
      <c r="DJ232" s="19">
        <v>0</v>
      </c>
      <c r="DK232" s="19">
        <v>0</v>
      </c>
      <c r="DL232" s="19">
        <v>0</v>
      </c>
      <c r="DM232" s="19">
        <v>0</v>
      </c>
      <c r="DN232" s="19">
        <v>0</v>
      </c>
      <c r="DO232" s="19">
        <v>0</v>
      </c>
      <c r="DP232" s="19">
        <v>0</v>
      </c>
      <c r="DQ232" s="19">
        <v>0</v>
      </c>
      <c r="DR232" s="19">
        <v>0</v>
      </c>
      <c r="DS232" s="19">
        <v>0</v>
      </c>
      <c r="DT232" s="19">
        <v>0</v>
      </c>
      <c r="DU232" s="19">
        <v>0</v>
      </c>
      <c r="DV232" s="19">
        <v>0</v>
      </c>
      <c r="DW232" s="17" t="s">
        <v>673</v>
      </c>
      <c r="DX232" s="22" t="s">
        <v>218</v>
      </c>
      <c r="DY232" s="22" t="s">
        <v>218</v>
      </c>
      <c r="DZ232" s="22" t="s">
        <v>218</v>
      </c>
      <c r="EA232" s="22" t="s">
        <v>218</v>
      </c>
      <c r="EB232" s="22" t="s">
        <v>218</v>
      </c>
      <c r="EC232" s="22" t="s">
        <v>218</v>
      </c>
      <c r="ED232" s="22" t="s">
        <v>218</v>
      </c>
      <c r="EE232" s="22" t="s">
        <v>218</v>
      </c>
      <c r="EF232" s="22" t="s">
        <v>218</v>
      </c>
      <c r="EG232" s="22" t="s">
        <v>218</v>
      </c>
      <c r="EH232" s="22" t="s">
        <v>218</v>
      </c>
      <c r="EI232" s="22" t="s">
        <v>218</v>
      </c>
      <c r="EJ232" s="22" t="s">
        <v>218</v>
      </c>
      <c r="EK232" s="22" t="s">
        <v>218</v>
      </c>
      <c r="EL232" s="22" t="s">
        <v>218</v>
      </c>
      <c r="EM232" s="22" t="s">
        <v>218</v>
      </c>
      <c r="EN232" s="22" t="s">
        <v>218</v>
      </c>
      <c r="EO232" s="22" t="s">
        <v>218</v>
      </c>
      <c r="EP232" s="22" t="s">
        <v>218</v>
      </c>
      <c r="EQ232" s="22" t="s">
        <v>218</v>
      </c>
      <c r="ER232" s="22" t="s">
        <v>218</v>
      </c>
      <c r="ES232" s="22" t="s">
        <v>218</v>
      </c>
      <c r="ET232" s="22" t="s">
        <v>218</v>
      </c>
      <c r="EU232" s="22" t="s">
        <v>218</v>
      </c>
      <c r="EV232" s="22" t="s">
        <v>218</v>
      </c>
      <c r="EW232" s="22" t="s">
        <v>218</v>
      </c>
      <c r="EX232" s="22" t="s">
        <v>218</v>
      </c>
      <c r="EY232" s="22" t="s">
        <v>218</v>
      </c>
      <c r="EZ232" s="22" t="s">
        <v>218</v>
      </c>
      <c r="FA232" s="22" t="s">
        <v>218</v>
      </c>
      <c r="FB232" s="22" t="s">
        <v>218</v>
      </c>
      <c r="FC232" s="22" t="s">
        <v>218</v>
      </c>
      <c r="FD232" s="22" t="s">
        <v>218</v>
      </c>
      <c r="FE232" s="22" t="s">
        <v>218</v>
      </c>
      <c r="FF232" s="22" t="s">
        <v>218</v>
      </c>
      <c r="FG232" s="22" t="s">
        <v>218</v>
      </c>
      <c r="FH232" s="22" t="s">
        <v>218</v>
      </c>
      <c r="FI232" s="22" t="s">
        <v>218</v>
      </c>
      <c r="FJ232" s="22" t="s">
        <v>218</v>
      </c>
      <c r="FK232" s="22" t="s">
        <v>218</v>
      </c>
      <c r="FL232" s="22" t="s">
        <v>218</v>
      </c>
      <c r="FM232" s="22" t="s">
        <v>218</v>
      </c>
      <c r="FN232" s="22" t="s">
        <v>218</v>
      </c>
      <c r="FO232" s="22" t="s">
        <v>218</v>
      </c>
      <c r="FP232" s="22" t="s">
        <v>218</v>
      </c>
      <c r="FQ232" s="22" t="s">
        <v>218</v>
      </c>
      <c r="FR232" s="22" t="s">
        <v>218</v>
      </c>
      <c r="FS232" s="22" t="s">
        <v>218</v>
      </c>
      <c r="FT232" s="22" t="s">
        <v>218</v>
      </c>
      <c r="FU232" s="22" t="s">
        <v>218</v>
      </c>
      <c r="FV232" s="22" t="s">
        <v>218</v>
      </c>
      <c r="FW232" s="22" t="s">
        <v>218</v>
      </c>
      <c r="FX232" s="22" t="s">
        <v>218</v>
      </c>
      <c r="FY232" s="22" t="s">
        <v>218</v>
      </c>
      <c r="FZ232" s="22" t="s">
        <v>218</v>
      </c>
      <c r="GA232" s="22" t="s">
        <v>218</v>
      </c>
      <c r="GB232" s="22" t="s">
        <v>218</v>
      </c>
      <c r="GC232" s="22" t="s">
        <v>218</v>
      </c>
      <c r="GD232" s="22" t="s">
        <v>218</v>
      </c>
      <c r="GE232" s="22" t="s">
        <v>218</v>
      </c>
      <c r="GF232" s="22" t="s">
        <v>218</v>
      </c>
      <c r="GG232" s="22" t="s">
        <v>218</v>
      </c>
      <c r="GH232" s="22" t="s">
        <v>218</v>
      </c>
      <c r="GI232" s="22" t="s">
        <v>218</v>
      </c>
      <c r="GJ232" s="22" t="s">
        <v>218</v>
      </c>
      <c r="GK232" s="22" t="s">
        <v>218</v>
      </c>
      <c r="GL232" s="22" t="s">
        <v>218</v>
      </c>
      <c r="GM232" s="22" t="s">
        <v>218</v>
      </c>
      <c r="GN232" s="22" t="s">
        <v>218</v>
      </c>
      <c r="GO232" s="22" t="s">
        <v>218</v>
      </c>
      <c r="GP232" s="22" t="s">
        <v>218</v>
      </c>
      <c r="GQ232" s="22" t="s">
        <v>218</v>
      </c>
      <c r="GR232" s="22" t="s">
        <v>218</v>
      </c>
      <c r="GS232" s="22" t="s">
        <v>218</v>
      </c>
      <c r="GT232" s="22" t="s">
        <v>218</v>
      </c>
      <c r="GU232" s="22" t="s">
        <v>218</v>
      </c>
      <c r="GV232" s="22" t="s">
        <v>218</v>
      </c>
      <c r="GW232" s="22" t="s">
        <v>218</v>
      </c>
      <c r="GX232" s="22" t="s">
        <v>218</v>
      </c>
      <c r="GY232" s="22" t="s">
        <v>218</v>
      </c>
      <c r="GZ232" s="22" t="s">
        <v>218</v>
      </c>
      <c r="HA232" s="22" t="s">
        <v>218</v>
      </c>
      <c r="HB232" s="22" t="s">
        <v>218</v>
      </c>
      <c r="HC232" s="22" t="s">
        <v>218</v>
      </c>
      <c r="HD232" s="22" t="s">
        <v>218</v>
      </c>
      <c r="HE232" s="22" t="s">
        <v>218</v>
      </c>
      <c r="HF232" s="22" t="s">
        <v>218</v>
      </c>
      <c r="HG232" s="22" t="s">
        <v>218</v>
      </c>
      <c r="HH232" s="22" t="s">
        <v>218</v>
      </c>
      <c r="HI232" s="22" t="s">
        <v>218</v>
      </c>
      <c r="HJ232" s="22" t="s">
        <v>218</v>
      </c>
      <c r="HK232" s="22" t="s">
        <v>218</v>
      </c>
      <c r="HL232" s="22" t="s">
        <v>218</v>
      </c>
      <c r="HM232" s="622">
        <v>0.379</v>
      </c>
      <c r="HN232" s="622">
        <f t="shared" si="0"/>
        <v>1.2999999999999999E-2</v>
      </c>
      <c r="HO232" s="622">
        <f t="shared" si="1"/>
        <v>4.8000000000000001E-2</v>
      </c>
      <c r="HP232" s="622">
        <f t="shared" si="2"/>
        <v>7.7000000000000002E-3</v>
      </c>
      <c r="HQ232" s="622">
        <v>5.2</v>
      </c>
      <c r="HR232" s="861"/>
      <c r="HS232" s="622">
        <v>0.34</v>
      </c>
      <c r="HT232" s="145" t="s">
        <v>1806</v>
      </c>
      <c r="HU232" s="145" t="s">
        <v>1809</v>
      </c>
      <c r="HV232" s="22" t="s">
        <v>1983</v>
      </c>
      <c r="HW232" s="22" t="s">
        <v>674</v>
      </c>
      <c r="HX232" s="22" t="s">
        <v>675</v>
      </c>
      <c r="HY232" s="22" t="s">
        <v>676</v>
      </c>
      <c r="HZ232" s="19"/>
      <c r="IA232" s="19"/>
      <c r="IB232" s="622">
        <v>0.379</v>
      </c>
      <c r="IC232" s="622">
        <f t="shared" si="3"/>
        <v>1.2999999999999999E-2</v>
      </c>
      <c r="ID232" s="622">
        <f t="shared" si="4"/>
        <v>4.8000000000000001E-2</v>
      </c>
      <c r="IE232" s="622">
        <f t="shared" si="5"/>
        <v>7.7000000000000002E-3</v>
      </c>
      <c r="IF232" s="622">
        <v>5.2</v>
      </c>
      <c r="IG232" s="624"/>
      <c r="IH232" s="622">
        <v>0.34</v>
      </c>
      <c r="II232" s="145" t="s">
        <v>1806</v>
      </c>
      <c r="IJ232" s="145"/>
      <c r="IK232" s="145"/>
      <c r="IL232" s="145"/>
      <c r="IM232" s="145"/>
      <c r="IN232" s="145"/>
      <c r="IO232" s="145"/>
      <c r="IP232" s="145"/>
      <c r="IQ232" s="145"/>
      <c r="IR232" s="145"/>
      <c r="IS232" s="145"/>
      <c r="IT232" s="145"/>
      <c r="IU232" s="145"/>
      <c r="IV232" s="145"/>
      <c r="IW232" s="145"/>
      <c r="IX232" s="145"/>
      <c r="IY232" s="145"/>
      <c r="IZ232" s="145"/>
      <c r="JA232" s="145"/>
      <c r="JB232" s="145"/>
      <c r="JC232" s="145"/>
      <c r="JD232" s="145"/>
      <c r="JE232" s="145"/>
      <c r="JF232" s="145"/>
      <c r="JG232" s="145"/>
      <c r="JH232" s="145"/>
      <c r="JI232" s="145"/>
      <c r="JJ232" s="145"/>
      <c r="JK232" s="145"/>
      <c r="JL232" s="145"/>
      <c r="JM232" s="145"/>
      <c r="JN232" s="145"/>
      <c r="JO232" s="145"/>
      <c r="JP232" s="145"/>
      <c r="JQ232" s="145"/>
      <c r="JR232" s="145"/>
      <c r="JS232" s="145"/>
      <c r="JT232" s="145"/>
      <c r="JU232" s="145"/>
      <c r="JV232" s="145"/>
      <c r="JW232" s="145"/>
      <c r="JX232" s="145"/>
      <c r="JY232" s="145"/>
      <c r="JZ232" s="145"/>
      <c r="KA232" s="145"/>
      <c r="KB232" s="145"/>
      <c r="KC232" s="145"/>
      <c r="KD232" s="145"/>
      <c r="KE232" s="145"/>
      <c r="KF232" s="145"/>
      <c r="KG232" s="145"/>
      <c r="KH232" s="145"/>
      <c r="KI232" s="145"/>
      <c r="KJ232" s="145"/>
      <c r="KK232" s="145"/>
      <c r="KL232" s="145"/>
      <c r="KM232" s="145"/>
      <c r="KN232" s="145"/>
      <c r="KO232" s="145"/>
      <c r="KP232" s="145"/>
      <c r="KQ232" s="145"/>
      <c r="KR232" s="145"/>
      <c r="KS232" s="145"/>
      <c r="KT232" s="145"/>
      <c r="KU232" s="145"/>
      <c r="KV232" s="145"/>
      <c r="KW232" s="145"/>
      <c r="KX232" s="145"/>
      <c r="KY232" s="145"/>
      <c r="KZ232" s="145"/>
      <c r="LA232" s="145"/>
      <c r="LB232" s="145"/>
      <c r="LC232" s="145"/>
      <c r="LD232" s="145"/>
      <c r="LE232" s="145"/>
      <c r="LF232" s="145"/>
      <c r="LG232" s="145"/>
      <c r="LH232" s="145"/>
      <c r="LI232" s="145"/>
      <c r="LJ232" s="145"/>
      <c r="LK232" s="145"/>
      <c r="LL232" s="145"/>
      <c r="LM232" s="145"/>
      <c r="LN232" s="145"/>
      <c r="LO232" s="145"/>
      <c r="LP232" s="145"/>
      <c r="LQ232" s="145"/>
      <c r="LR232" s="145"/>
      <c r="LS232" s="145"/>
      <c r="LT232" s="145"/>
      <c r="LU232" s="145"/>
      <c r="LV232" s="145"/>
      <c r="LW232" s="145"/>
      <c r="LX232" s="145"/>
      <c r="LY232" s="145"/>
      <c r="LZ232" s="145"/>
      <c r="MA232" s="145"/>
      <c r="MB232" s="145"/>
      <c r="MC232" s="145"/>
      <c r="MD232" s="145"/>
      <c r="ME232" s="145"/>
      <c r="MF232" s="145"/>
      <c r="MG232" s="145"/>
      <c r="MH232" s="145"/>
      <c r="MI232" s="145"/>
      <c r="MJ232" s="145"/>
      <c r="MK232" s="145"/>
      <c r="ML232" s="145"/>
      <c r="MM232" s="145"/>
      <c r="MN232" s="145"/>
      <c r="MO232" s="145"/>
      <c r="MP232" s="145"/>
      <c r="MQ232" s="145"/>
      <c r="MR232" s="145"/>
      <c r="MS232" s="145"/>
      <c r="MT232" s="145"/>
      <c r="MU232" s="145"/>
      <c r="MV232" s="145"/>
      <c r="MW232" s="145"/>
      <c r="MX232" s="145"/>
      <c r="MY232" s="145"/>
      <c r="MZ232" s="145"/>
      <c r="NA232" s="145"/>
      <c r="NB232" s="145"/>
      <c r="NC232" s="145"/>
      <c r="ND232" s="145"/>
      <c r="NE232" s="145"/>
      <c r="NF232" s="145"/>
      <c r="NG232" s="145"/>
      <c r="NH232" s="145"/>
      <c r="NI232" s="145"/>
      <c r="NJ232" s="145"/>
      <c r="NK232" s="145"/>
      <c r="NL232" s="145"/>
      <c r="NM232" s="145"/>
      <c r="NN232" s="145"/>
      <c r="NO232" s="145"/>
      <c r="NP232" s="145"/>
      <c r="NQ232" s="145"/>
      <c r="NR232" s="145"/>
      <c r="NS232" s="145"/>
    </row>
    <row r="233" spans="1:383" s="16" customFormat="1" ht="15" customHeight="1" x14ac:dyDescent="0.2">
      <c r="A233" s="15">
        <v>72500</v>
      </c>
      <c r="B233" s="25">
        <v>725</v>
      </c>
      <c r="C233" s="26">
        <v>0</v>
      </c>
      <c r="D233" s="20" t="s">
        <v>677</v>
      </c>
      <c r="E233" s="14">
        <v>40310</v>
      </c>
      <c r="F233" s="18">
        <v>0.68235393681765399</v>
      </c>
      <c r="G233" s="18">
        <v>0.65834463810612298</v>
      </c>
      <c r="H233" s="21">
        <v>99</v>
      </c>
      <c r="I233" s="21">
        <v>97</v>
      </c>
      <c r="J233" s="21">
        <v>90</v>
      </c>
      <c r="K233" s="18">
        <v>0.8</v>
      </c>
      <c r="L233" s="18">
        <v>72.599999999999994</v>
      </c>
      <c r="M233" s="18">
        <v>5.0819999999999999</v>
      </c>
      <c r="N233" s="18">
        <v>0.21779999999999999</v>
      </c>
      <c r="O233" s="18">
        <v>15.5364</v>
      </c>
      <c r="P233" s="18">
        <v>0</v>
      </c>
      <c r="Q233" s="19"/>
      <c r="R233" s="18">
        <v>50</v>
      </c>
      <c r="S233" s="18">
        <v>50</v>
      </c>
      <c r="T233" s="18">
        <v>50</v>
      </c>
      <c r="U233" s="18">
        <v>50</v>
      </c>
      <c r="V233" s="18">
        <v>50</v>
      </c>
      <c r="W233" s="18">
        <v>50</v>
      </c>
      <c r="X233" s="18"/>
      <c r="Y233" s="18">
        <v>5.4</v>
      </c>
      <c r="Z233" s="18">
        <v>0.70000000000000007</v>
      </c>
      <c r="AA233" s="18">
        <v>2.3000000000000003</v>
      </c>
      <c r="AB233" s="18">
        <v>0</v>
      </c>
      <c r="AC233" s="18">
        <v>49</v>
      </c>
      <c r="AD233" s="18">
        <v>4</v>
      </c>
      <c r="AE233" s="18">
        <v>6.6999999999999993</v>
      </c>
      <c r="AF233" s="18">
        <v>150.00000000000003</v>
      </c>
      <c r="AG233" s="18">
        <v>4.6000000000000005</v>
      </c>
      <c r="AH233" s="18">
        <v>13.000000000000002</v>
      </c>
      <c r="AI233" s="18">
        <v>7.8000000000000007</v>
      </c>
      <c r="AJ233" s="18">
        <v>0</v>
      </c>
      <c r="AK233" s="18">
        <v>0.44000000000000006</v>
      </c>
      <c r="AL233" s="18"/>
      <c r="AM233" s="18">
        <v>0.67</v>
      </c>
      <c r="AN233" s="18">
        <v>0.46</v>
      </c>
      <c r="AO233" s="18">
        <v>0.59</v>
      </c>
      <c r="AP233" s="18">
        <v>1.19</v>
      </c>
      <c r="AQ233" s="18">
        <v>0</v>
      </c>
      <c r="AR233" s="18">
        <v>0.81</v>
      </c>
      <c r="AS233" s="18">
        <v>0.53</v>
      </c>
      <c r="AT233" s="18">
        <v>0.19</v>
      </c>
      <c r="AU233" s="18">
        <v>0.43</v>
      </c>
      <c r="AV233" s="18">
        <v>0.4</v>
      </c>
      <c r="AW233" s="18">
        <v>1.56</v>
      </c>
      <c r="AX233" s="18"/>
      <c r="AY233" s="18">
        <v>1</v>
      </c>
      <c r="AZ233" s="18">
        <v>1</v>
      </c>
      <c r="BA233" s="18">
        <v>1</v>
      </c>
      <c r="BB233" s="18">
        <v>1</v>
      </c>
      <c r="BC233" s="18">
        <v>1</v>
      </c>
      <c r="BD233" s="18">
        <v>1</v>
      </c>
      <c r="BE233" s="18">
        <v>1</v>
      </c>
      <c r="BF233" s="18">
        <v>1</v>
      </c>
      <c r="BG233" s="18">
        <v>1</v>
      </c>
      <c r="BH233" s="18">
        <v>1</v>
      </c>
      <c r="BI233" s="18">
        <v>1</v>
      </c>
      <c r="BJ233" s="19"/>
      <c r="BK233" s="18">
        <v>7</v>
      </c>
      <c r="BL233" s="18">
        <v>0.3</v>
      </c>
      <c r="BM233" s="18">
        <v>21.400000000000002</v>
      </c>
      <c r="BN233" s="18">
        <v>0</v>
      </c>
      <c r="BO233" s="18"/>
      <c r="BP233" s="18">
        <v>0</v>
      </c>
      <c r="BQ233" s="18">
        <v>0</v>
      </c>
      <c r="BR233" s="18">
        <v>0.93988145567169978</v>
      </c>
      <c r="BS233" s="18">
        <v>0.90681079628942562</v>
      </c>
      <c r="BT233" s="19"/>
      <c r="BU233" s="18">
        <v>786</v>
      </c>
      <c r="BV233" s="18">
        <v>689.07285714285683</v>
      </c>
      <c r="BW233" s="18">
        <v>22.457142857142838</v>
      </c>
      <c r="BX233" s="18" t="s">
        <v>217</v>
      </c>
      <c r="BY233" s="18">
        <v>566</v>
      </c>
      <c r="BZ233" s="18">
        <v>0</v>
      </c>
      <c r="CA233" s="18">
        <v>0</v>
      </c>
      <c r="CB233" s="19"/>
      <c r="CC233" s="19">
        <v>3.9204000000000003</v>
      </c>
      <c r="CD233" s="19">
        <v>0.50819999999999999</v>
      </c>
      <c r="CE233" s="19">
        <v>1.6698000000000002</v>
      </c>
      <c r="CF233" s="19">
        <v>0</v>
      </c>
      <c r="CG233" s="19">
        <v>35.573999999999998</v>
      </c>
      <c r="CH233" s="19">
        <v>2.9039999999999999</v>
      </c>
      <c r="CI233" s="19">
        <v>4.8641999999999994</v>
      </c>
      <c r="CJ233" s="19"/>
      <c r="CK233" s="19">
        <v>108.90000000000002</v>
      </c>
      <c r="CL233" s="19">
        <v>3.3396000000000003</v>
      </c>
      <c r="CM233" s="19">
        <v>9.4380000000000006</v>
      </c>
      <c r="CN233" s="19">
        <v>5.6628000000000007</v>
      </c>
      <c r="CO233" s="19">
        <v>0</v>
      </c>
      <c r="CP233" s="19">
        <v>0.31944000000000006</v>
      </c>
      <c r="CQ233" s="19">
        <v>25.41</v>
      </c>
      <c r="CR233" s="19">
        <v>37.238738767312682</v>
      </c>
      <c r="CS233" s="19">
        <v>0.24949954974099497</v>
      </c>
      <c r="CT233" s="19">
        <v>0.17129819832963833</v>
      </c>
      <c r="CU233" s="19">
        <v>0.21970855872714481</v>
      </c>
      <c r="CV233" s="19">
        <v>0.39100675705678317</v>
      </c>
      <c r="CW233" s="19">
        <v>0.44314099133102092</v>
      </c>
      <c r="CX233" s="19">
        <v>0</v>
      </c>
      <c r="CY233" s="19">
        <v>0.30163378401523272</v>
      </c>
      <c r="CZ233" s="19">
        <v>0.1973653154667572</v>
      </c>
      <c r="DA233" s="19">
        <v>7.0753603657894099E-2</v>
      </c>
      <c r="DB233" s="19">
        <v>0.16012657669944452</v>
      </c>
      <c r="DC233" s="19">
        <v>0.14895495506925072</v>
      </c>
      <c r="DD233" s="19">
        <v>0.30908153176869529</v>
      </c>
      <c r="DE233" s="19">
        <v>0.58092432477007783</v>
      </c>
      <c r="DF233" s="23">
        <v>0</v>
      </c>
      <c r="DG233" s="23">
        <v>0</v>
      </c>
      <c r="DH233" s="23">
        <v>0</v>
      </c>
      <c r="DI233" s="19">
        <v>0</v>
      </c>
      <c r="DJ233" s="19">
        <v>0</v>
      </c>
      <c r="DK233" s="19">
        <v>0</v>
      </c>
      <c r="DL233" s="19">
        <v>0</v>
      </c>
      <c r="DM233" s="19">
        <v>0</v>
      </c>
      <c r="DN233" s="19">
        <v>0</v>
      </c>
      <c r="DO233" s="19">
        <v>0</v>
      </c>
      <c r="DP233" s="19">
        <v>0</v>
      </c>
      <c r="DQ233" s="19">
        <v>0</v>
      </c>
      <c r="DR233" s="19">
        <v>0</v>
      </c>
      <c r="DS233" s="19">
        <v>0</v>
      </c>
      <c r="DT233" s="19">
        <v>0</v>
      </c>
      <c r="DU233" s="19">
        <v>0</v>
      </c>
      <c r="DV233" s="19">
        <v>0</v>
      </c>
      <c r="DW233" s="17" t="s">
        <v>678</v>
      </c>
      <c r="DX233" s="22" t="s">
        <v>218</v>
      </c>
      <c r="DY233" s="22" t="s">
        <v>218</v>
      </c>
      <c r="DZ233" s="22">
        <v>3</v>
      </c>
      <c r="EA233" s="22">
        <v>3</v>
      </c>
      <c r="EB233" s="22" t="s">
        <v>218</v>
      </c>
      <c r="EC233" s="22">
        <v>3</v>
      </c>
      <c r="ED233" s="22">
        <v>3</v>
      </c>
      <c r="EE233" s="22" t="s">
        <v>218</v>
      </c>
      <c r="EF233" s="22">
        <v>3</v>
      </c>
      <c r="EG233" s="22" t="s">
        <v>218</v>
      </c>
      <c r="EH233" s="22" t="s">
        <v>218</v>
      </c>
      <c r="EI233" s="22" t="s">
        <v>218</v>
      </c>
      <c r="EJ233" s="22" t="s">
        <v>218</v>
      </c>
      <c r="EK233" s="22" t="s">
        <v>218</v>
      </c>
      <c r="EL233" s="22" t="s">
        <v>218</v>
      </c>
      <c r="EM233" s="22" t="s">
        <v>218</v>
      </c>
      <c r="EN233" s="22" t="s">
        <v>218</v>
      </c>
      <c r="EO233" s="22" t="s">
        <v>218</v>
      </c>
      <c r="EP233" s="22" t="s">
        <v>218</v>
      </c>
      <c r="EQ233" s="22" t="s">
        <v>218</v>
      </c>
      <c r="ER233" s="22" t="s">
        <v>218</v>
      </c>
      <c r="ES233" s="22" t="s">
        <v>218</v>
      </c>
      <c r="ET233" s="22" t="s">
        <v>218</v>
      </c>
      <c r="EU233" s="22" t="s">
        <v>218</v>
      </c>
      <c r="EV233" s="22" t="s">
        <v>218</v>
      </c>
      <c r="EW233" s="22" t="s">
        <v>218</v>
      </c>
      <c r="EX233" s="22" t="s">
        <v>218</v>
      </c>
      <c r="EY233" s="22" t="s">
        <v>218</v>
      </c>
      <c r="EZ233" s="22" t="s">
        <v>218</v>
      </c>
      <c r="FA233" s="22" t="s">
        <v>218</v>
      </c>
      <c r="FB233" s="22" t="s">
        <v>218</v>
      </c>
      <c r="FC233" s="22" t="s">
        <v>218</v>
      </c>
      <c r="FD233" s="22" t="s">
        <v>218</v>
      </c>
      <c r="FE233" s="22" t="s">
        <v>218</v>
      </c>
      <c r="FF233" s="22" t="s">
        <v>218</v>
      </c>
      <c r="FG233" s="22" t="s">
        <v>218</v>
      </c>
      <c r="FH233" s="22">
        <v>0.1</v>
      </c>
      <c r="FI233" s="22">
        <v>0.5</v>
      </c>
      <c r="FJ233" s="22" t="s">
        <v>218</v>
      </c>
      <c r="FK233" s="22">
        <v>0.6</v>
      </c>
      <c r="FL233" s="22">
        <v>0.4</v>
      </c>
      <c r="FM233" s="22" t="s">
        <v>218</v>
      </c>
      <c r="FN233" s="22">
        <v>1.5</v>
      </c>
      <c r="FO233" s="22" t="s">
        <v>218</v>
      </c>
      <c r="FP233" s="22" t="s">
        <v>218</v>
      </c>
      <c r="FQ233" s="22" t="s">
        <v>218</v>
      </c>
      <c r="FR233" s="22" t="s">
        <v>218</v>
      </c>
      <c r="FS233" s="22" t="s">
        <v>218</v>
      </c>
      <c r="FT233" s="22" t="s">
        <v>218</v>
      </c>
      <c r="FU233" s="22" t="s">
        <v>218</v>
      </c>
      <c r="FV233" s="22" t="s">
        <v>218</v>
      </c>
      <c r="FW233" s="22" t="s">
        <v>218</v>
      </c>
      <c r="FX233" s="22" t="s">
        <v>218</v>
      </c>
      <c r="FY233" s="22" t="s">
        <v>218</v>
      </c>
      <c r="FZ233" s="22" t="s">
        <v>218</v>
      </c>
      <c r="GA233" s="22" t="s">
        <v>218</v>
      </c>
      <c r="GB233" s="22" t="s">
        <v>218</v>
      </c>
      <c r="GC233" s="22" t="s">
        <v>218</v>
      </c>
      <c r="GD233" s="22" t="s">
        <v>218</v>
      </c>
      <c r="GE233" s="22" t="s">
        <v>218</v>
      </c>
      <c r="GF233" s="22" t="s">
        <v>218</v>
      </c>
      <c r="GG233" s="22" t="s">
        <v>218</v>
      </c>
      <c r="GH233" s="22" t="s">
        <v>218</v>
      </c>
      <c r="GI233" s="22" t="s">
        <v>218</v>
      </c>
      <c r="GJ233" s="22" t="s">
        <v>218</v>
      </c>
      <c r="GK233" s="22" t="s">
        <v>218</v>
      </c>
      <c r="GL233" s="22" t="s">
        <v>218</v>
      </c>
      <c r="GM233" s="22" t="s">
        <v>218</v>
      </c>
      <c r="GN233" s="22" t="s">
        <v>218</v>
      </c>
      <c r="GO233" s="22" t="s">
        <v>218</v>
      </c>
      <c r="GP233" s="22">
        <v>2005</v>
      </c>
      <c r="GQ233" s="22">
        <v>2005</v>
      </c>
      <c r="GR233" s="22" t="s">
        <v>218</v>
      </c>
      <c r="GS233" s="22">
        <v>2005</v>
      </c>
      <c r="GT233" s="22">
        <v>2005</v>
      </c>
      <c r="GU233" s="22" t="s">
        <v>218</v>
      </c>
      <c r="GV233" s="22">
        <v>2005</v>
      </c>
      <c r="GW233" s="22" t="s">
        <v>218</v>
      </c>
      <c r="GX233" s="22" t="s">
        <v>218</v>
      </c>
      <c r="GY233" s="22" t="s">
        <v>218</v>
      </c>
      <c r="GZ233" s="22" t="s">
        <v>218</v>
      </c>
      <c r="HA233" s="22" t="s">
        <v>218</v>
      </c>
      <c r="HB233" s="22" t="s">
        <v>218</v>
      </c>
      <c r="HC233" s="22" t="s">
        <v>218</v>
      </c>
      <c r="HD233" s="22" t="s">
        <v>218</v>
      </c>
      <c r="HE233" s="22" t="s">
        <v>218</v>
      </c>
      <c r="HF233" s="22" t="s">
        <v>218</v>
      </c>
      <c r="HG233" s="22" t="s">
        <v>218</v>
      </c>
      <c r="HH233" s="22" t="s">
        <v>218</v>
      </c>
      <c r="HI233" s="22" t="s">
        <v>218</v>
      </c>
      <c r="HJ233" s="22" t="s">
        <v>218</v>
      </c>
      <c r="HK233" s="22" t="s">
        <v>218</v>
      </c>
      <c r="HL233" s="22" t="s">
        <v>218</v>
      </c>
      <c r="HM233" s="622">
        <v>0.379</v>
      </c>
      <c r="HN233" s="622">
        <f t="shared" si="0"/>
        <v>1.2999999999999999E-2</v>
      </c>
      <c r="HO233" s="622">
        <f t="shared" si="1"/>
        <v>4.8000000000000001E-2</v>
      </c>
      <c r="HP233" s="622">
        <f t="shared" si="2"/>
        <v>7.7000000000000002E-3</v>
      </c>
      <c r="HQ233" s="622">
        <v>5.2</v>
      </c>
      <c r="HR233" s="861"/>
      <c r="HS233" s="622">
        <v>0.34</v>
      </c>
      <c r="HT233" s="145" t="s">
        <v>1806</v>
      </c>
      <c r="HU233" s="145" t="s">
        <v>1809</v>
      </c>
      <c r="HV233" s="22" t="s">
        <v>1982</v>
      </c>
      <c r="HW233" s="22" t="s">
        <v>679</v>
      </c>
      <c r="HX233" s="22" t="s">
        <v>680</v>
      </c>
      <c r="HY233" s="22" t="s">
        <v>681</v>
      </c>
      <c r="HZ233" s="19"/>
      <c r="IA233" s="19"/>
      <c r="IB233" s="622">
        <v>0.379</v>
      </c>
      <c r="IC233" s="622">
        <f t="shared" si="3"/>
        <v>1.2999999999999999E-2</v>
      </c>
      <c r="ID233" s="622">
        <f t="shared" si="4"/>
        <v>4.8000000000000001E-2</v>
      </c>
      <c r="IE233" s="622">
        <f t="shared" si="5"/>
        <v>7.7000000000000002E-3</v>
      </c>
      <c r="IF233" s="622">
        <v>5.2</v>
      </c>
      <c r="IG233" s="624"/>
      <c r="IH233" s="622">
        <v>0.34</v>
      </c>
      <c r="II233" s="145" t="s">
        <v>1806</v>
      </c>
      <c r="IJ233" s="145"/>
      <c r="IK233" s="145"/>
      <c r="IL233" s="145"/>
      <c r="IM233" s="145"/>
      <c r="IN233" s="145"/>
      <c r="IO233" s="145"/>
      <c r="IP233" s="145"/>
      <c r="IQ233" s="145"/>
      <c r="IR233" s="145"/>
      <c r="IS233" s="145"/>
      <c r="IT233" s="145"/>
      <c r="IU233" s="145"/>
      <c r="IV233" s="145"/>
      <c r="IW233" s="145"/>
      <c r="IX233" s="145"/>
      <c r="IY233" s="145"/>
      <c r="IZ233" s="145"/>
      <c r="JA233" s="145"/>
      <c r="JB233" s="145"/>
      <c r="JC233" s="145"/>
      <c r="JD233" s="145"/>
      <c r="JE233" s="145"/>
      <c r="JF233" s="145"/>
      <c r="JG233" s="145"/>
      <c r="JH233" s="145"/>
      <c r="JI233" s="145"/>
      <c r="JJ233" s="145"/>
      <c r="JK233" s="145"/>
      <c r="JL233" s="145"/>
      <c r="JM233" s="145"/>
      <c r="JN233" s="145"/>
      <c r="JO233" s="145"/>
      <c r="JP233" s="145"/>
      <c r="JQ233" s="145"/>
      <c r="JR233" s="145"/>
      <c r="JS233" s="145"/>
      <c r="JT233" s="145"/>
      <c r="JU233" s="145"/>
      <c r="JV233" s="145"/>
      <c r="JW233" s="145"/>
      <c r="JX233" s="145"/>
      <c r="JY233" s="145"/>
      <c r="JZ233" s="145"/>
      <c r="KA233" s="145"/>
      <c r="KB233" s="145"/>
      <c r="KC233" s="145"/>
      <c r="KD233" s="145"/>
      <c r="KE233" s="145"/>
      <c r="KF233" s="145"/>
      <c r="KG233" s="145"/>
      <c r="KH233" s="145"/>
      <c r="KI233" s="145"/>
      <c r="KJ233" s="145"/>
      <c r="KK233" s="145"/>
      <c r="KL233" s="145"/>
      <c r="KM233" s="145"/>
      <c r="KN233" s="145"/>
      <c r="KO233" s="145"/>
      <c r="KP233" s="145"/>
      <c r="KQ233" s="145"/>
      <c r="KR233" s="145"/>
      <c r="KS233" s="145"/>
      <c r="KT233" s="145"/>
      <c r="KU233" s="145"/>
      <c r="KV233" s="145"/>
      <c r="KW233" s="145"/>
      <c r="KX233" s="145"/>
      <c r="KY233" s="145"/>
      <c r="KZ233" s="145"/>
      <c r="LA233" s="145"/>
      <c r="LB233" s="145"/>
      <c r="LC233" s="145"/>
      <c r="LD233" s="145"/>
      <c r="LE233" s="145"/>
      <c r="LF233" s="145"/>
      <c r="LG233" s="145"/>
      <c r="LH233" s="145"/>
      <c r="LI233" s="145"/>
      <c r="LJ233" s="145"/>
      <c r="LK233" s="145"/>
      <c r="LL233" s="145"/>
      <c r="LM233" s="145"/>
      <c r="LN233" s="145"/>
      <c r="LO233" s="145"/>
      <c r="LP233" s="145"/>
      <c r="LQ233" s="145"/>
      <c r="LR233" s="145"/>
      <c r="LS233" s="145"/>
      <c r="LT233" s="145"/>
      <c r="LU233" s="145"/>
      <c r="LV233" s="145"/>
      <c r="LW233" s="145"/>
      <c r="LX233" s="145"/>
      <c r="LY233" s="145"/>
      <c r="LZ233" s="145"/>
      <c r="MA233" s="145"/>
      <c r="MB233" s="145"/>
      <c r="MC233" s="145"/>
      <c r="MD233" s="145"/>
      <c r="ME233" s="145"/>
      <c r="MF233" s="145"/>
      <c r="MG233" s="145"/>
      <c r="MH233" s="145"/>
      <c r="MI233" s="145"/>
      <c r="MJ233" s="145"/>
      <c r="MK233" s="145"/>
      <c r="ML233" s="145"/>
      <c r="MM233" s="145"/>
      <c r="MN233" s="145"/>
      <c r="MO233" s="145"/>
      <c r="MP233" s="145"/>
      <c r="MQ233" s="145"/>
      <c r="MR233" s="145"/>
      <c r="MS233" s="145"/>
      <c r="MT233" s="145"/>
      <c r="MU233" s="145"/>
      <c r="MV233" s="145"/>
      <c r="MW233" s="145"/>
      <c r="MX233" s="145"/>
      <c r="MY233" s="145"/>
      <c r="MZ233" s="145"/>
      <c r="NA233" s="145"/>
      <c r="NB233" s="145"/>
      <c r="NC233" s="145"/>
      <c r="ND233" s="145"/>
      <c r="NE233" s="145"/>
      <c r="NF233" s="145"/>
      <c r="NG233" s="145"/>
      <c r="NH233" s="145"/>
      <c r="NI233" s="145"/>
      <c r="NJ233" s="145"/>
      <c r="NK233" s="145"/>
      <c r="NL233" s="145"/>
      <c r="NM233" s="145"/>
      <c r="NN233" s="145"/>
      <c r="NO233" s="145"/>
      <c r="NP233" s="145"/>
      <c r="NQ233" s="145"/>
      <c r="NR233" s="145"/>
      <c r="NS233" s="145"/>
    </row>
    <row r="234" spans="1:383" s="16" customFormat="1" ht="15" customHeight="1" x14ac:dyDescent="0.2">
      <c r="A234" s="15">
        <v>88300</v>
      </c>
      <c r="B234" s="25">
        <v>883</v>
      </c>
      <c r="C234" s="26">
        <v>0</v>
      </c>
      <c r="D234" s="20" t="s">
        <v>682</v>
      </c>
      <c r="E234" s="14">
        <v>40310</v>
      </c>
      <c r="F234" s="18">
        <v>3.8146383271994999</v>
      </c>
      <c r="G234" s="18">
        <v>3.6617600200951101</v>
      </c>
      <c r="H234" s="21">
        <v>97.3</v>
      </c>
      <c r="I234" s="21">
        <v>97.3</v>
      </c>
      <c r="J234" s="21">
        <v>90</v>
      </c>
      <c r="K234" s="18">
        <v>1</v>
      </c>
      <c r="L234" s="18">
        <v>99.5</v>
      </c>
      <c r="M234" s="18">
        <v>1.0050505050505E-4</v>
      </c>
      <c r="N234" s="18">
        <v>99.5</v>
      </c>
      <c r="O234" s="18">
        <v>0</v>
      </c>
      <c r="P234" s="18">
        <v>0</v>
      </c>
      <c r="Q234" s="19"/>
      <c r="R234" s="18">
        <v>0</v>
      </c>
      <c r="S234" s="18">
        <v>0</v>
      </c>
      <c r="T234" s="18">
        <v>0</v>
      </c>
      <c r="U234" s="18">
        <v>0</v>
      </c>
      <c r="V234" s="18">
        <v>0</v>
      </c>
      <c r="W234" s="18">
        <v>0</v>
      </c>
      <c r="X234" s="18"/>
      <c r="Y234" s="18">
        <v>0</v>
      </c>
      <c r="Z234" s="18">
        <v>0</v>
      </c>
      <c r="AA234" s="18">
        <v>0</v>
      </c>
      <c r="AB234" s="18">
        <v>0</v>
      </c>
      <c r="AC234" s="18">
        <v>0</v>
      </c>
      <c r="AD234" s="18">
        <v>0</v>
      </c>
      <c r="AE234" s="18">
        <v>0</v>
      </c>
      <c r="AF234" s="18">
        <v>0</v>
      </c>
      <c r="AG234" s="18">
        <v>0.43216080402009949</v>
      </c>
      <c r="AH234" s="18">
        <v>0</v>
      </c>
      <c r="AI234" s="18">
        <v>0</v>
      </c>
      <c r="AJ234" s="18">
        <v>0</v>
      </c>
      <c r="AK234" s="18">
        <v>0</v>
      </c>
      <c r="AL234" s="18"/>
      <c r="AM234" s="18">
        <v>0</v>
      </c>
      <c r="AN234" s="18">
        <v>0</v>
      </c>
      <c r="AO234" s="18">
        <v>0</v>
      </c>
      <c r="AP234" s="18">
        <v>0</v>
      </c>
      <c r="AQ234" s="18">
        <v>0</v>
      </c>
      <c r="AR234" s="18">
        <v>0</v>
      </c>
      <c r="AS234" s="18">
        <v>0</v>
      </c>
      <c r="AT234" s="18">
        <v>0</v>
      </c>
      <c r="AU234" s="18">
        <v>0</v>
      </c>
      <c r="AV234" s="18">
        <v>0</v>
      </c>
      <c r="AW234" s="18">
        <v>0</v>
      </c>
      <c r="AX234" s="18"/>
      <c r="AY234" s="18">
        <v>1</v>
      </c>
      <c r="AZ234" s="18">
        <v>1</v>
      </c>
      <c r="BA234" s="18">
        <v>1</v>
      </c>
      <c r="BB234" s="18">
        <v>1</v>
      </c>
      <c r="BC234" s="18">
        <v>1</v>
      </c>
      <c r="BD234" s="18">
        <v>1</v>
      </c>
      <c r="BE234" s="18">
        <v>1</v>
      </c>
      <c r="BF234" s="18">
        <v>1</v>
      </c>
      <c r="BG234" s="18">
        <v>1</v>
      </c>
      <c r="BH234" s="18">
        <v>1</v>
      </c>
      <c r="BI234" s="18">
        <v>1</v>
      </c>
      <c r="BJ234" s="19"/>
      <c r="BK234" s="18">
        <v>1.010101010101005E-4</v>
      </c>
      <c r="BL234" s="18">
        <v>100</v>
      </c>
      <c r="BM234" s="18">
        <v>0</v>
      </c>
      <c r="BN234" s="18">
        <v>0</v>
      </c>
      <c r="BO234" s="18"/>
      <c r="BP234" s="18">
        <v>60</v>
      </c>
      <c r="BQ234" s="18">
        <v>600</v>
      </c>
      <c r="BR234" s="18">
        <v>3.8338073640195978</v>
      </c>
      <c r="BS234" s="18">
        <v>3.6801608242161912</v>
      </c>
      <c r="BT234" s="19"/>
      <c r="BU234" s="18">
        <v>1000</v>
      </c>
      <c r="BV234" s="18">
        <v>2.9990808080809246</v>
      </c>
      <c r="BW234" s="18">
        <v>0</v>
      </c>
      <c r="BX234" s="18">
        <v>0</v>
      </c>
      <c r="BY234" s="18">
        <v>0</v>
      </c>
      <c r="BZ234" s="18" t="s">
        <v>217</v>
      </c>
      <c r="CA234" s="18" t="s">
        <v>217</v>
      </c>
      <c r="CB234" s="19"/>
      <c r="CC234" s="19">
        <v>0</v>
      </c>
      <c r="CD234" s="19">
        <v>0</v>
      </c>
      <c r="CE234" s="19">
        <v>0</v>
      </c>
      <c r="CF234" s="19">
        <v>0</v>
      </c>
      <c r="CG234" s="19">
        <v>0</v>
      </c>
      <c r="CH234" s="19">
        <v>0</v>
      </c>
      <c r="CI234" s="19">
        <v>0</v>
      </c>
      <c r="CJ234" s="19"/>
      <c r="CK234" s="19">
        <v>0</v>
      </c>
      <c r="CL234" s="19">
        <v>0.42999999999999899</v>
      </c>
      <c r="CM234" s="19">
        <v>0</v>
      </c>
      <c r="CN234" s="19">
        <v>0</v>
      </c>
      <c r="CO234" s="19">
        <v>0</v>
      </c>
      <c r="CP234" s="19">
        <v>0</v>
      </c>
      <c r="CQ234" s="19">
        <v>0</v>
      </c>
      <c r="CR234" s="19">
        <v>0</v>
      </c>
      <c r="CS234" s="19">
        <v>0</v>
      </c>
      <c r="CT234" s="19">
        <v>0</v>
      </c>
      <c r="CU234" s="19">
        <v>0</v>
      </c>
      <c r="CV234" s="19">
        <v>0</v>
      </c>
      <c r="CW234" s="19">
        <v>0</v>
      </c>
      <c r="CX234" s="19">
        <v>0</v>
      </c>
      <c r="CY234" s="19">
        <v>0</v>
      </c>
      <c r="CZ234" s="19">
        <v>0</v>
      </c>
      <c r="DA234" s="19">
        <v>0</v>
      </c>
      <c r="DB234" s="19">
        <v>0</v>
      </c>
      <c r="DC234" s="19">
        <v>0</v>
      </c>
      <c r="DD234" s="19">
        <v>0</v>
      </c>
      <c r="DE234" s="19">
        <v>0</v>
      </c>
      <c r="DF234" s="23">
        <v>0</v>
      </c>
      <c r="DG234" s="23">
        <v>0</v>
      </c>
      <c r="DH234" s="23">
        <v>0</v>
      </c>
      <c r="DI234" s="19">
        <v>0</v>
      </c>
      <c r="DJ234" s="19">
        <v>0</v>
      </c>
      <c r="DK234" s="19">
        <v>0</v>
      </c>
      <c r="DL234" s="19">
        <v>0</v>
      </c>
      <c r="DM234" s="19">
        <v>0</v>
      </c>
      <c r="DN234" s="19">
        <v>0</v>
      </c>
      <c r="DO234" s="19">
        <v>0</v>
      </c>
      <c r="DP234" s="19">
        <v>0</v>
      </c>
      <c r="DQ234" s="19">
        <v>0</v>
      </c>
      <c r="DR234" s="19">
        <v>0</v>
      </c>
      <c r="DS234" s="19">
        <v>0</v>
      </c>
      <c r="DT234" s="19">
        <v>0</v>
      </c>
      <c r="DU234" s="19">
        <v>0</v>
      </c>
      <c r="DV234" s="19">
        <v>0</v>
      </c>
      <c r="DW234" s="17" t="s">
        <v>683</v>
      </c>
      <c r="DX234" s="22" t="s">
        <v>218</v>
      </c>
      <c r="DY234" s="22" t="s">
        <v>218</v>
      </c>
      <c r="DZ234" s="22" t="s">
        <v>218</v>
      </c>
      <c r="EA234" s="22" t="s">
        <v>218</v>
      </c>
      <c r="EB234" s="22" t="s">
        <v>218</v>
      </c>
      <c r="EC234" s="22" t="s">
        <v>218</v>
      </c>
      <c r="ED234" s="22" t="s">
        <v>218</v>
      </c>
      <c r="EE234" s="22" t="s">
        <v>218</v>
      </c>
      <c r="EF234" s="22" t="s">
        <v>218</v>
      </c>
      <c r="EG234" s="22" t="s">
        <v>218</v>
      </c>
      <c r="EH234" s="22" t="s">
        <v>218</v>
      </c>
      <c r="EI234" s="22" t="s">
        <v>218</v>
      </c>
      <c r="EJ234" s="22" t="s">
        <v>218</v>
      </c>
      <c r="EK234" s="22" t="s">
        <v>218</v>
      </c>
      <c r="EL234" s="22" t="s">
        <v>218</v>
      </c>
      <c r="EM234" s="22" t="s">
        <v>218</v>
      </c>
      <c r="EN234" s="22" t="s">
        <v>218</v>
      </c>
      <c r="EO234" s="22" t="s">
        <v>218</v>
      </c>
      <c r="EP234" s="22" t="s">
        <v>218</v>
      </c>
      <c r="EQ234" s="22" t="s">
        <v>218</v>
      </c>
      <c r="ER234" s="22" t="s">
        <v>218</v>
      </c>
      <c r="ES234" s="22" t="s">
        <v>218</v>
      </c>
      <c r="ET234" s="22" t="s">
        <v>218</v>
      </c>
      <c r="EU234" s="22" t="s">
        <v>218</v>
      </c>
      <c r="EV234" s="22" t="s">
        <v>218</v>
      </c>
      <c r="EW234" s="22" t="s">
        <v>218</v>
      </c>
      <c r="EX234" s="22" t="s">
        <v>218</v>
      </c>
      <c r="EY234" s="22" t="s">
        <v>218</v>
      </c>
      <c r="EZ234" s="22" t="s">
        <v>218</v>
      </c>
      <c r="FA234" s="22" t="s">
        <v>218</v>
      </c>
      <c r="FB234" s="22" t="s">
        <v>218</v>
      </c>
      <c r="FC234" s="22" t="s">
        <v>218</v>
      </c>
      <c r="FD234" s="22" t="s">
        <v>218</v>
      </c>
      <c r="FE234" s="22" t="s">
        <v>218</v>
      </c>
      <c r="FF234" s="22" t="s">
        <v>218</v>
      </c>
      <c r="FG234" s="22" t="s">
        <v>218</v>
      </c>
      <c r="FH234" s="22" t="s">
        <v>218</v>
      </c>
      <c r="FI234" s="22" t="s">
        <v>218</v>
      </c>
      <c r="FJ234" s="22" t="s">
        <v>218</v>
      </c>
      <c r="FK234" s="22" t="s">
        <v>218</v>
      </c>
      <c r="FL234" s="22" t="s">
        <v>218</v>
      </c>
      <c r="FM234" s="22" t="s">
        <v>218</v>
      </c>
      <c r="FN234" s="22" t="s">
        <v>218</v>
      </c>
      <c r="FO234" s="22" t="s">
        <v>218</v>
      </c>
      <c r="FP234" s="22" t="s">
        <v>218</v>
      </c>
      <c r="FQ234" s="22" t="s">
        <v>218</v>
      </c>
      <c r="FR234" s="22" t="s">
        <v>218</v>
      </c>
      <c r="FS234" s="22" t="s">
        <v>218</v>
      </c>
      <c r="FT234" s="22" t="s">
        <v>218</v>
      </c>
      <c r="FU234" s="22" t="s">
        <v>218</v>
      </c>
      <c r="FV234" s="22" t="s">
        <v>218</v>
      </c>
      <c r="FW234" s="22" t="s">
        <v>218</v>
      </c>
      <c r="FX234" s="22" t="s">
        <v>218</v>
      </c>
      <c r="FY234" s="22" t="s">
        <v>218</v>
      </c>
      <c r="FZ234" s="22" t="s">
        <v>218</v>
      </c>
      <c r="GA234" s="22" t="s">
        <v>218</v>
      </c>
      <c r="GB234" s="22" t="s">
        <v>218</v>
      </c>
      <c r="GC234" s="22" t="s">
        <v>218</v>
      </c>
      <c r="GD234" s="22" t="s">
        <v>218</v>
      </c>
      <c r="GE234" s="22" t="s">
        <v>218</v>
      </c>
      <c r="GF234" s="22" t="s">
        <v>218</v>
      </c>
      <c r="GG234" s="22" t="s">
        <v>218</v>
      </c>
      <c r="GH234" s="22" t="s">
        <v>218</v>
      </c>
      <c r="GI234" s="22" t="s">
        <v>218</v>
      </c>
      <c r="GJ234" s="22" t="s">
        <v>218</v>
      </c>
      <c r="GK234" s="22" t="s">
        <v>218</v>
      </c>
      <c r="GL234" s="22" t="s">
        <v>218</v>
      </c>
      <c r="GM234" s="22" t="s">
        <v>218</v>
      </c>
      <c r="GN234" s="22" t="s">
        <v>218</v>
      </c>
      <c r="GO234" s="22" t="s">
        <v>218</v>
      </c>
      <c r="GP234" s="22" t="s">
        <v>218</v>
      </c>
      <c r="GQ234" s="22" t="s">
        <v>218</v>
      </c>
      <c r="GR234" s="22" t="s">
        <v>218</v>
      </c>
      <c r="GS234" s="22" t="s">
        <v>218</v>
      </c>
      <c r="GT234" s="22" t="s">
        <v>218</v>
      </c>
      <c r="GU234" s="22" t="s">
        <v>218</v>
      </c>
      <c r="GV234" s="22" t="s">
        <v>218</v>
      </c>
      <c r="GW234" s="22" t="s">
        <v>218</v>
      </c>
      <c r="GX234" s="22" t="s">
        <v>218</v>
      </c>
      <c r="GY234" s="22" t="s">
        <v>218</v>
      </c>
      <c r="GZ234" s="22" t="s">
        <v>218</v>
      </c>
      <c r="HA234" s="22" t="s">
        <v>218</v>
      </c>
      <c r="HB234" s="22" t="s">
        <v>218</v>
      </c>
      <c r="HC234" s="22" t="s">
        <v>218</v>
      </c>
      <c r="HD234" s="22" t="s">
        <v>218</v>
      </c>
      <c r="HE234" s="22" t="s">
        <v>218</v>
      </c>
      <c r="HF234" s="22" t="s">
        <v>218</v>
      </c>
      <c r="HG234" s="22" t="s">
        <v>218</v>
      </c>
      <c r="HH234" s="22" t="s">
        <v>218</v>
      </c>
      <c r="HI234" s="22" t="s">
        <v>218</v>
      </c>
      <c r="HJ234" s="22" t="s">
        <v>218</v>
      </c>
      <c r="HK234" s="22" t="s">
        <v>218</v>
      </c>
      <c r="HL234" s="22" t="s">
        <v>218</v>
      </c>
      <c r="HM234" s="860"/>
      <c r="HN234" s="860"/>
      <c r="HO234" s="860"/>
      <c r="HP234" s="860"/>
      <c r="HQ234" s="860"/>
      <c r="HR234" s="860"/>
      <c r="HS234" s="860"/>
      <c r="HT234" s="145"/>
      <c r="HU234" s="145" t="s">
        <v>1809</v>
      </c>
      <c r="HV234" s="22" t="s">
        <v>1984</v>
      </c>
      <c r="HW234" s="22" t="s">
        <v>315</v>
      </c>
      <c r="HX234" s="22" t="s">
        <v>315</v>
      </c>
      <c r="HY234" s="22">
        <v>0</v>
      </c>
      <c r="HZ234" s="19"/>
      <c r="IA234" s="19"/>
      <c r="IB234" s="621">
        <f>'background data'!$G$10</f>
        <v>0.47300000000000003</v>
      </c>
      <c r="IC234" s="621">
        <f>'background data'!$H$10</f>
        <v>0.13</v>
      </c>
      <c r="ID234" s="621">
        <f>'background data'!$J$10</f>
        <v>0.39100000000000001</v>
      </c>
      <c r="IE234" s="621">
        <f>'background data'!$L$10</f>
        <v>5.5E-2</v>
      </c>
      <c r="IF234" s="621">
        <f>'background data'!$M$10</f>
        <v>3.97</v>
      </c>
      <c r="IG234" s="621">
        <f>'background data'!$N$10</f>
        <v>4.5999999999999999E-3</v>
      </c>
      <c r="IH234" s="621">
        <f>'background data'!$O$10</f>
        <v>2.73</v>
      </c>
      <c r="II234" s="145"/>
      <c r="IJ234" s="145"/>
      <c r="IK234" s="145"/>
      <c r="IL234" s="145"/>
      <c r="IM234" s="145"/>
      <c r="IN234" s="145"/>
      <c r="IO234" s="145"/>
      <c r="IP234" s="145"/>
      <c r="IQ234" s="145"/>
      <c r="IR234" s="145"/>
      <c r="IS234" s="145"/>
      <c r="IT234" s="145"/>
      <c r="IU234" s="145"/>
      <c r="IV234" s="145"/>
      <c r="IW234" s="145"/>
      <c r="IX234" s="145"/>
      <c r="IY234" s="145"/>
      <c r="IZ234" s="145"/>
      <c r="JA234" s="145"/>
      <c r="JB234" s="145"/>
      <c r="JC234" s="145"/>
      <c r="JD234" s="145"/>
      <c r="JE234" s="145"/>
      <c r="JF234" s="145"/>
      <c r="JG234" s="145"/>
      <c r="JH234" s="145"/>
      <c r="JI234" s="145"/>
      <c r="JJ234" s="145"/>
      <c r="JK234" s="145"/>
      <c r="JL234" s="145"/>
      <c r="JM234" s="145"/>
      <c r="JN234" s="145"/>
      <c r="JO234" s="145"/>
      <c r="JP234" s="145"/>
      <c r="JQ234" s="145"/>
      <c r="JR234" s="145"/>
      <c r="JS234" s="145"/>
      <c r="JT234" s="145"/>
      <c r="JU234" s="145"/>
      <c r="JV234" s="145"/>
      <c r="JW234" s="145"/>
      <c r="JX234" s="145"/>
      <c r="JY234" s="145"/>
      <c r="JZ234" s="145"/>
      <c r="KA234" s="145"/>
      <c r="KB234" s="145"/>
      <c r="KC234" s="145"/>
      <c r="KD234" s="145"/>
      <c r="KE234" s="145"/>
      <c r="KF234" s="145"/>
      <c r="KG234" s="145"/>
      <c r="KH234" s="145"/>
      <c r="KI234" s="145"/>
      <c r="KJ234" s="145"/>
      <c r="KK234" s="145"/>
      <c r="KL234" s="145"/>
      <c r="KM234" s="145"/>
      <c r="KN234" s="145"/>
      <c r="KO234" s="145"/>
      <c r="KP234" s="145"/>
      <c r="KQ234" s="145"/>
      <c r="KR234" s="145"/>
      <c r="KS234" s="145"/>
      <c r="KT234" s="145"/>
      <c r="KU234" s="145"/>
      <c r="KV234" s="145"/>
      <c r="KW234" s="145"/>
      <c r="KX234" s="145"/>
      <c r="KY234" s="145"/>
      <c r="KZ234" s="145"/>
      <c r="LA234" s="145"/>
      <c r="LB234" s="145"/>
      <c r="LC234" s="145"/>
      <c r="LD234" s="145"/>
      <c r="LE234" s="145"/>
      <c r="LF234" s="145"/>
      <c r="LG234" s="145"/>
      <c r="LH234" s="145"/>
      <c r="LI234" s="145"/>
      <c r="LJ234" s="145"/>
      <c r="LK234" s="145"/>
      <c r="LL234" s="145"/>
      <c r="LM234" s="145"/>
      <c r="LN234" s="145"/>
      <c r="LO234" s="145"/>
      <c r="LP234" s="145"/>
      <c r="LQ234" s="145"/>
      <c r="LR234" s="145"/>
      <c r="LS234" s="145"/>
      <c r="LT234" s="145"/>
      <c r="LU234" s="145"/>
      <c r="LV234" s="145"/>
      <c r="LW234" s="145"/>
      <c r="LX234" s="145"/>
      <c r="LY234" s="145"/>
      <c r="LZ234" s="145"/>
      <c r="MA234" s="145"/>
      <c r="MB234" s="145"/>
      <c r="MC234" s="145"/>
      <c r="MD234" s="145"/>
      <c r="ME234" s="145"/>
      <c r="MF234" s="145"/>
      <c r="MG234" s="145"/>
      <c r="MH234" s="145"/>
      <c r="MI234" s="145"/>
      <c r="MJ234" s="145"/>
      <c r="MK234" s="145"/>
      <c r="ML234" s="145"/>
      <c r="MM234" s="145"/>
      <c r="MN234" s="145"/>
      <c r="MO234" s="145"/>
      <c r="MP234" s="145"/>
      <c r="MQ234" s="145"/>
      <c r="MR234" s="145"/>
      <c r="MS234" s="145"/>
      <c r="MT234" s="145"/>
      <c r="MU234" s="145"/>
      <c r="MV234" s="145"/>
      <c r="MW234" s="145"/>
      <c r="MX234" s="145"/>
      <c r="MY234" s="145"/>
      <c r="MZ234" s="145"/>
      <c r="NA234" s="145"/>
      <c r="NB234" s="145"/>
      <c r="NC234" s="145"/>
      <c r="ND234" s="145"/>
      <c r="NE234" s="145"/>
      <c r="NF234" s="145"/>
      <c r="NG234" s="145"/>
      <c r="NH234" s="145"/>
      <c r="NI234" s="145"/>
      <c r="NJ234" s="145"/>
      <c r="NK234" s="145"/>
      <c r="NL234" s="145"/>
      <c r="NM234" s="145"/>
      <c r="NN234" s="145"/>
      <c r="NO234" s="145"/>
      <c r="NP234" s="145"/>
      <c r="NQ234" s="145"/>
      <c r="NR234" s="145"/>
      <c r="NS234" s="145"/>
    </row>
    <row r="235" spans="1:383" s="16" customFormat="1" ht="15" customHeight="1" x14ac:dyDescent="0.2">
      <c r="A235" s="15">
        <v>6100</v>
      </c>
      <c r="B235" s="25">
        <v>61</v>
      </c>
      <c r="C235" s="26">
        <v>0</v>
      </c>
      <c r="D235" s="20" t="s">
        <v>684</v>
      </c>
      <c r="E235" s="14">
        <v>41698</v>
      </c>
      <c r="F235" s="18">
        <v>1.14990424440197</v>
      </c>
      <c r="G235" s="18">
        <v>1.1318391022837</v>
      </c>
      <c r="H235" s="21">
        <v>92.028694969529894</v>
      </c>
      <c r="I235" s="21">
        <v>86.670999243570506</v>
      </c>
      <c r="J235" s="21">
        <v>94.193115217026303</v>
      </c>
      <c r="K235" s="18">
        <v>1</v>
      </c>
      <c r="L235" s="18">
        <v>86.461725775112498</v>
      </c>
      <c r="M235" s="18">
        <v>20.147297595758499</v>
      </c>
      <c r="N235" s="18">
        <v>4.5664733290493</v>
      </c>
      <c r="O235" s="18">
        <v>5.3639580229213104</v>
      </c>
      <c r="P235" s="18">
        <v>2.3684218615241899</v>
      </c>
      <c r="Q235" s="19"/>
      <c r="R235" s="18">
        <v>87.584391806861504</v>
      </c>
      <c r="S235" s="18">
        <v>57.709320383821201</v>
      </c>
      <c r="T235" s="18">
        <v>60.7481941816377</v>
      </c>
      <c r="U235" s="18">
        <v>62.037177806340502</v>
      </c>
      <c r="V235" s="18">
        <v>62.960627863027902</v>
      </c>
      <c r="W235" s="18">
        <v>63.720346312482</v>
      </c>
      <c r="X235" s="18"/>
      <c r="Y235" s="18">
        <v>8.6454439036326125</v>
      </c>
      <c r="Z235" s="18">
        <v>7.5144692887233049</v>
      </c>
      <c r="AA235" s="18">
        <v>1.9951024392998309</v>
      </c>
      <c r="AB235" s="18">
        <v>4.225923626223925</v>
      </c>
      <c r="AC235" s="18">
        <v>7.7576912791770525</v>
      </c>
      <c r="AD235" s="18">
        <v>1.4523838013979846</v>
      </c>
      <c r="AE235" s="18">
        <v>2.4423143283134201</v>
      </c>
      <c r="AF235" s="18">
        <v>283.94561039526343</v>
      </c>
      <c r="AG235" s="18">
        <v>48.6287722109182</v>
      </c>
      <c r="AH235" s="18">
        <v>117.17807599968897</v>
      </c>
      <c r="AI235" s="18">
        <v>261.39747390265751</v>
      </c>
      <c r="AJ235" s="18">
        <v>0.43980924884120637</v>
      </c>
      <c r="AK235" s="18">
        <v>1.0044955800629702</v>
      </c>
      <c r="AL235" s="18"/>
      <c r="AM235" s="18">
        <v>6.9369185923927796</v>
      </c>
      <c r="AN235" s="18">
        <v>2.1663697867068801</v>
      </c>
      <c r="AO235" s="18">
        <v>1.69268226739765</v>
      </c>
      <c r="AP235" s="18">
        <v>4.3702458789892296</v>
      </c>
      <c r="AQ235" s="18">
        <v>1.4360495013313499</v>
      </c>
      <c r="AR235" s="18">
        <v>4.0382640819580597</v>
      </c>
      <c r="AS235" s="18">
        <v>7.4790128302092196</v>
      </c>
      <c r="AT235" s="18">
        <v>2.3780986161949702</v>
      </c>
      <c r="AU235" s="18">
        <v>4.5828468913573399</v>
      </c>
      <c r="AV235" s="18">
        <v>3.4525309135136899</v>
      </c>
      <c r="AW235" s="18">
        <v>4.8424528368419502</v>
      </c>
      <c r="AX235" s="18"/>
      <c r="AY235" s="18">
        <v>1.03342843628907</v>
      </c>
      <c r="AZ235" s="18">
        <v>1.0529064219265101</v>
      </c>
      <c r="BA235" s="18">
        <v>0.943067494201277</v>
      </c>
      <c r="BB235" s="18">
        <v>0.99913287979027299</v>
      </c>
      <c r="BC235" s="18">
        <v>0.99840693889101995</v>
      </c>
      <c r="BD235" s="18">
        <v>1.0033438308781</v>
      </c>
      <c r="BE235" s="18">
        <v>1.0138224509093401</v>
      </c>
      <c r="BF235" s="18">
        <v>1.0114312088467601</v>
      </c>
      <c r="BG235" s="18">
        <v>1.0221570199210499</v>
      </c>
      <c r="BH235" s="18">
        <v>0.99009655405681296</v>
      </c>
      <c r="BI235" s="18">
        <v>0.99591125512116796</v>
      </c>
      <c r="BJ235" s="19"/>
      <c r="BK235" s="18">
        <v>23.301984103534721</v>
      </c>
      <c r="BL235" s="18">
        <v>5.2814968566863056</v>
      </c>
      <c r="BM235" s="18">
        <v>6.2038526004824375</v>
      </c>
      <c r="BN235" s="18">
        <v>2.739272019256787</v>
      </c>
      <c r="BO235" s="18"/>
      <c r="BP235" s="18">
        <v>0</v>
      </c>
      <c r="BQ235" s="18">
        <v>0</v>
      </c>
      <c r="BR235" s="18">
        <v>1.3299575437493329</v>
      </c>
      <c r="BS235" s="18">
        <v>1.3090637413687771</v>
      </c>
      <c r="BT235" s="19"/>
      <c r="BU235" s="18">
        <v>937.96147399517577</v>
      </c>
      <c r="BV235" s="18">
        <v>528.12495497786847</v>
      </c>
      <c r="BW235" s="18">
        <v>71.790174004836004</v>
      </c>
      <c r="BX235" s="18">
        <v>478.49023604341619</v>
      </c>
      <c r="BY235" s="18">
        <v>24.917021840636249</v>
      </c>
      <c r="BZ235" s="18">
        <v>19.813307960799271</v>
      </c>
      <c r="CA235" s="18">
        <v>97.145637320021805</v>
      </c>
      <c r="CB235" s="19"/>
      <c r="CC235" s="19">
        <v>7.4750000000000103</v>
      </c>
      <c r="CD235" s="19">
        <v>6.4971398298709904</v>
      </c>
      <c r="CE235" s="19">
        <v>1.7250000000000001</v>
      </c>
      <c r="CF235" s="19">
        <v>3.6538064971714199</v>
      </c>
      <c r="CG235" s="19">
        <v>6.7074337602818801</v>
      </c>
      <c r="CH235" s="19">
        <v>1.2557560995668799</v>
      </c>
      <c r="CI235" s="19">
        <v>2.11166711711263</v>
      </c>
      <c r="CJ235" s="19"/>
      <c r="CK235" s="19">
        <v>245.50427501042199</v>
      </c>
      <c r="CL235" s="19">
        <v>42.045275676808203</v>
      </c>
      <c r="CM235" s="19">
        <v>101.31418673940399</v>
      </c>
      <c r="CN235" s="19">
        <v>226.00876706878699</v>
      </c>
      <c r="CO235" s="19">
        <v>0.38026666666666598</v>
      </c>
      <c r="CP235" s="19">
        <v>0.86850421385717091</v>
      </c>
      <c r="CQ235" s="19">
        <v>176.458880647635</v>
      </c>
      <c r="CR235" s="19">
        <v>153.45528247824311</v>
      </c>
      <c r="CS235" s="19">
        <v>11.000915999382956</v>
      </c>
      <c r="CT235" s="19">
        <v>3.5002914543491395</v>
      </c>
      <c r="CU235" s="19">
        <v>2.4496275815519235</v>
      </c>
      <c r="CV235" s="19">
        <v>5.9499190359010719</v>
      </c>
      <c r="CW235" s="19">
        <v>6.7005579268969075</v>
      </c>
      <c r="CX235" s="19">
        <v>2.2001831998766082</v>
      </c>
      <c r="CY235" s="19">
        <v>6.217651038578853</v>
      </c>
      <c r="CZ235" s="19">
        <v>11.635579708586539</v>
      </c>
      <c r="DA235" s="19">
        <v>3.691034064717492</v>
      </c>
      <c r="DB235" s="19">
        <v>7.1884425583547733</v>
      </c>
      <c r="DC235" s="19">
        <v>5.2456217075070706</v>
      </c>
      <c r="DD235" s="19">
        <v>12.434064265861844</v>
      </c>
      <c r="DE235" s="19">
        <v>7.4006162177667241</v>
      </c>
      <c r="DF235" s="23">
        <v>2456.2990277020599</v>
      </c>
      <c r="DG235" s="23">
        <v>0</v>
      </c>
      <c r="DH235" s="23">
        <v>0</v>
      </c>
      <c r="DI235" s="19">
        <v>9.1999999999999709</v>
      </c>
      <c r="DJ235" s="19">
        <v>0.91999999999999704</v>
      </c>
      <c r="DK235" s="19">
        <v>245.333333333333</v>
      </c>
      <c r="DL235" s="19">
        <v>3.68</v>
      </c>
      <c r="DM235" s="19">
        <v>0</v>
      </c>
      <c r="DN235" s="19">
        <v>3.68</v>
      </c>
      <c r="DO235" s="19">
        <v>7.36</v>
      </c>
      <c r="DP235" s="19">
        <v>5.5200000000000102</v>
      </c>
      <c r="DQ235" s="19">
        <v>36.799999999999997</v>
      </c>
      <c r="DR235" s="19">
        <v>36.799999999999997</v>
      </c>
      <c r="DS235" s="19">
        <v>18.399999999999999</v>
      </c>
      <c r="DT235" s="19">
        <v>0</v>
      </c>
      <c r="DU235" s="19">
        <v>0</v>
      </c>
      <c r="DV235" s="19">
        <v>0.36799999999999999</v>
      </c>
      <c r="DW235" s="17" t="s">
        <v>218</v>
      </c>
      <c r="DX235" s="22" t="s">
        <v>218</v>
      </c>
      <c r="DY235" s="22" t="s">
        <v>218</v>
      </c>
      <c r="DZ235" s="22" t="s">
        <v>218</v>
      </c>
      <c r="EA235" s="22" t="s">
        <v>218</v>
      </c>
      <c r="EB235" s="22" t="s">
        <v>218</v>
      </c>
      <c r="EC235" s="22" t="s">
        <v>218</v>
      </c>
      <c r="ED235" s="22" t="s">
        <v>218</v>
      </c>
      <c r="EE235" s="22" t="s">
        <v>218</v>
      </c>
      <c r="EF235" s="22" t="s">
        <v>218</v>
      </c>
      <c r="EG235" s="22" t="s">
        <v>218</v>
      </c>
      <c r="EH235" s="22" t="s">
        <v>218</v>
      </c>
      <c r="EI235" s="22" t="s">
        <v>218</v>
      </c>
      <c r="EJ235" s="22" t="s">
        <v>218</v>
      </c>
      <c r="EK235" s="22" t="s">
        <v>218</v>
      </c>
      <c r="EL235" s="22" t="s">
        <v>218</v>
      </c>
      <c r="EM235" s="22" t="s">
        <v>218</v>
      </c>
      <c r="EN235" s="22" t="s">
        <v>218</v>
      </c>
      <c r="EO235" s="22" t="s">
        <v>218</v>
      </c>
      <c r="EP235" s="22" t="s">
        <v>218</v>
      </c>
      <c r="EQ235" s="22" t="s">
        <v>218</v>
      </c>
      <c r="ER235" s="22" t="s">
        <v>218</v>
      </c>
      <c r="ES235" s="22" t="s">
        <v>218</v>
      </c>
      <c r="ET235" s="22" t="s">
        <v>218</v>
      </c>
      <c r="EU235" s="22" t="s">
        <v>218</v>
      </c>
      <c r="EV235" s="22" t="s">
        <v>218</v>
      </c>
      <c r="EW235" s="22" t="s">
        <v>218</v>
      </c>
      <c r="EX235" s="22" t="s">
        <v>218</v>
      </c>
      <c r="EY235" s="22" t="s">
        <v>218</v>
      </c>
      <c r="EZ235" s="22" t="s">
        <v>218</v>
      </c>
      <c r="FA235" s="22" t="s">
        <v>218</v>
      </c>
      <c r="FB235" s="22" t="s">
        <v>218</v>
      </c>
      <c r="FC235" s="22" t="s">
        <v>218</v>
      </c>
      <c r="FD235" s="22" t="s">
        <v>218</v>
      </c>
      <c r="FE235" s="22" t="s">
        <v>218</v>
      </c>
      <c r="FF235" s="22" t="s">
        <v>218</v>
      </c>
      <c r="FG235" s="22" t="s">
        <v>218</v>
      </c>
      <c r="FH235" s="22" t="s">
        <v>218</v>
      </c>
      <c r="FI235" s="22" t="s">
        <v>218</v>
      </c>
      <c r="FJ235" s="22" t="s">
        <v>218</v>
      </c>
      <c r="FK235" s="22" t="s">
        <v>218</v>
      </c>
      <c r="FL235" s="22" t="s">
        <v>218</v>
      </c>
      <c r="FM235" s="22" t="s">
        <v>218</v>
      </c>
      <c r="FN235" s="22" t="s">
        <v>218</v>
      </c>
      <c r="FO235" s="22" t="s">
        <v>218</v>
      </c>
      <c r="FP235" s="22" t="s">
        <v>218</v>
      </c>
      <c r="FQ235" s="22" t="s">
        <v>218</v>
      </c>
      <c r="FR235" s="22" t="s">
        <v>218</v>
      </c>
      <c r="FS235" s="22" t="s">
        <v>218</v>
      </c>
      <c r="FT235" s="22" t="s">
        <v>218</v>
      </c>
      <c r="FU235" s="22" t="s">
        <v>218</v>
      </c>
      <c r="FV235" s="22" t="s">
        <v>218</v>
      </c>
      <c r="FW235" s="22" t="s">
        <v>218</v>
      </c>
      <c r="FX235" s="22" t="s">
        <v>218</v>
      </c>
      <c r="FY235" s="22" t="s">
        <v>218</v>
      </c>
      <c r="FZ235" s="22" t="s">
        <v>218</v>
      </c>
      <c r="GA235" s="22" t="s">
        <v>218</v>
      </c>
      <c r="GB235" s="22" t="s">
        <v>218</v>
      </c>
      <c r="GC235" s="22" t="s">
        <v>218</v>
      </c>
      <c r="GD235" s="22" t="s">
        <v>218</v>
      </c>
      <c r="GE235" s="22" t="s">
        <v>218</v>
      </c>
      <c r="GF235" s="22" t="s">
        <v>218</v>
      </c>
      <c r="GG235" s="22" t="s">
        <v>218</v>
      </c>
      <c r="GH235" s="22" t="s">
        <v>218</v>
      </c>
      <c r="GI235" s="22" t="s">
        <v>218</v>
      </c>
      <c r="GJ235" s="22" t="s">
        <v>218</v>
      </c>
      <c r="GK235" s="22" t="s">
        <v>218</v>
      </c>
      <c r="GL235" s="22" t="s">
        <v>218</v>
      </c>
      <c r="GM235" s="22" t="s">
        <v>218</v>
      </c>
      <c r="GN235" s="22" t="s">
        <v>218</v>
      </c>
      <c r="GO235" s="22" t="s">
        <v>218</v>
      </c>
      <c r="GP235" s="22" t="s">
        <v>218</v>
      </c>
      <c r="GQ235" s="22" t="s">
        <v>218</v>
      </c>
      <c r="GR235" s="22" t="s">
        <v>218</v>
      </c>
      <c r="GS235" s="22" t="s">
        <v>218</v>
      </c>
      <c r="GT235" s="22" t="s">
        <v>218</v>
      </c>
      <c r="GU235" s="22" t="s">
        <v>218</v>
      </c>
      <c r="GV235" s="22" t="s">
        <v>218</v>
      </c>
      <c r="GW235" s="22" t="s">
        <v>218</v>
      </c>
      <c r="GX235" s="22" t="s">
        <v>218</v>
      </c>
      <c r="GY235" s="22" t="s">
        <v>218</v>
      </c>
      <c r="GZ235" s="22" t="s">
        <v>218</v>
      </c>
      <c r="HA235" s="22" t="s">
        <v>218</v>
      </c>
      <c r="HB235" s="22" t="s">
        <v>218</v>
      </c>
      <c r="HC235" s="22" t="s">
        <v>218</v>
      </c>
      <c r="HD235" s="22" t="s">
        <v>218</v>
      </c>
      <c r="HE235" s="22" t="s">
        <v>218</v>
      </c>
      <c r="HF235" s="22" t="s">
        <v>218</v>
      </c>
      <c r="HG235" s="22" t="s">
        <v>218</v>
      </c>
      <c r="HH235" s="22" t="s">
        <v>218</v>
      </c>
      <c r="HI235" s="22" t="s">
        <v>218</v>
      </c>
      <c r="HJ235" s="22" t="s">
        <v>218</v>
      </c>
      <c r="HK235" s="22" t="s">
        <v>218</v>
      </c>
      <c r="HL235" s="22" t="s">
        <v>218</v>
      </c>
      <c r="HM235" s="622">
        <f>'background data'!$G$10</f>
        <v>0.47300000000000003</v>
      </c>
      <c r="HN235" s="622">
        <f>'background data'!$H$10</f>
        <v>0.13</v>
      </c>
      <c r="HO235" s="622">
        <f>'background data'!$J$10</f>
        <v>0.39100000000000001</v>
      </c>
      <c r="HP235" s="622">
        <f>'background data'!$L$10</f>
        <v>5.5E-2</v>
      </c>
      <c r="HQ235" s="622">
        <f>'background data'!$M$10</f>
        <v>3.97</v>
      </c>
      <c r="HR235" s="622">
        <f>'background data'!$N$10</f>
        <v>4.5999999999999999E-3</v>
      </c>
      <c r="HS235" s="622">
        <f>'background data'!$O$10</f>
        <v>2.73</v>
      </c>
      <c r="HT235" s="145" t="s">
        <v>1797</v>
      </c>
      <c r="HU235" s="145" t="s">
        <v>1809</v>
      </c>
      <c r="HV235" s="22" t="s">
        <v>1926</v>
      </c>
      <c r="HW235" s="22">
        <v>0</v>
      </c>
      <c r="HX235" s="22">
        <v>0</v>
      </c>
      <c r="HY235" s="22">
        <v>0</v>
      </c>
      <c r="HZ235" s="19"/>
      <c r="IA235" s="19"/>
      <c r="IB235" s="622">
        <f>'background data'!$G$10</f>
        <v>0.47300000000000003</v>
      </c>
      <c r="IC235" s="622">
        <f>'background data'!$H$10</f>
        <v>0.13</v>
      </c>
      <c r="ID235" s="622">
        <f>'background data'!$J$10</f>
        <v>0.39100000000000001</v>
      </c>
      <c r="IE235" s="622">
        <f>'background data'!$L$10</f>
        <v>5.5E-2</v>
      </c>
      <c r="IF235" s="622">
        <f>'background data'!$M$10</f>
        <v>3.97</v>
      </c>
      <c r="IG235" s="622">
        <f>'background data'!$N$10</f>
        <v>4.5999999999999999E-3</v>
      </c>
      <c r="IH235" s="622">
        <f>'background data'!$O$10</f>
        <v>2.73</v>
      </c>
      <c r="II235" s="145" t="s">
        <v>1797</v>
      </c>
      <c r="IJ235" s="145"/>
      <c r="IK235" s="145"/>
      <c r="IL235" s="145"/>
      <c r="IM235" s="145"/>
      <c r="IN235" s="145"/>
      <c r="IO235" s="145"/>
      <c r="IP235" s="145"/>
      <c r="IQ235" s="145"/>
      <c r="IR235" s="145"/>
      <c r="IS235" s="145"/>
      <c r="IT235" s="145"/>
      <c r="IU235" s="145"/>
      <c r="IV235" s="145"/>
      <c r="IW235" s="145"/>
      <c r="IX235" s="145"/>
      <c r="IY235" s="145"/>
      <c r="IZ235" s="145"/>
      <c r="JA235" s="145"/>
      <c r="JB235" s="145"/>
      <c r="JC235" s="145"/>
      <c r="JD235" s="145"/>
      <c r="JE235" s="145"/>
      <c r="JF235" s="145"/>
      <c r="JG235" s="145"/>
      <c r="JH235" s="145"/>
      <c r="JI235" s="145"/>
      <c r="JJ235" s="145"/>
      <c r="JK235" s="145"/>
      <c r="JL235" s="145"/>
      <c r="JM235" s="145"/>
      <c r="JN235" s="145"/>
      <c r="JO235" s="145"/>
      <c r="JP235" s="145"/>
      <c r="JQ235" s="145"/>
      <c r="JR235" s="145"/>
      <c r="JS235" s="145"/>
      <c r="JT235" s="145"/>
      <c r="JU235" s="145"/>
      <c r="JV235" s="145"/>
      <c r="JW235" s="145"/>
      <c r="JX235" s="145"/>
      <c r="JY235" s="145"/>
      <c r="JZ235" s="145"/>
      <c r="KA235" s="145"/>
      <c r="KB235" s="145"/>
      <c r="KC235" s="145"/>
      <c r="KD235" s="145"/>
      <c r="KE235" s="145"/>
      <c r="KF235" s="145"/>
      <c r="KG235" s="145"/>
      <c r="KH235" s="145"/>
      <c r="KI235" s="145"/>
      <c r="KJ235" s="145"/>
      <c r="KK235" s="145"/>
      <c r="KL235" s="145"/>
      <c r="KM235" s="145"/>
      <c r="KN235" s="145"/>
      <c r="KO235" s="145"/>
      <c r="KP235" s="145"/>
      <c r="KQ235" s="145"/>
      <c r="KR235" s="145"/>
      <c r="KS235" s="145"/>
      <c r="KT235" s="145"/>
      <c r="KU235" s="145"/>
      <c r="KV235" s="145"/>
      <c r="KW235" s="145"/>
      <c r="KX235" s="145"/>
      <c r="KY235" s="145"/>
      <c r="KZ235" s="145"/>
      <c r="LA235" s="145"/>
      <c r="LB235" s="145"/>
      <c r="LC235" s="145"/>
      <c r="LD235" s="145"/>
      <c r="LE235" s="145"/>
      <c r="LF235" s="145"/>
      <c r="LG235" s="145"/>
      <c r="LH235" s="145"/>
      <c r="LI235" s="145"/>
      <c r="LJ235" s="145"/>
      <c r="LK235" s="145"/>
      <c r="LL235" s="145"/>
      <c r="LM235" s="145"/>
      <c r="LN235" s="145"/>
      <c r="LO235" s="145"/>
      <c r="LP235" s="145"/>
      <c r="LQ235" s="145"/>
      <c r="LR235" s="145"/>
      <c r="LS235" s="145"/>
      <c r="LT235" s="145"/>
      <c r="LU235" s="145"/>
      <c r="LV235" s="145"/>
      <c r="LW235" s="145"/>
      <c r="LX235" s="145"/>
      <c r="LY235" s="145"/>
      <c r="LZ235" s="145"/>
      <c r="MA235" s="145"/>
      <c r="MB235" s="145"/>
      <c r="MC235" s="145"/>
      <c r="MD235" s="145"/>
      <c r="ME235" s="145"/>
      <c r="MF235" s="145"/>
      <c r="MG235" s="145"/>
      <c r="MH235" s="145"/>
      <c r="MI235" s="145"/>
      <c r="MJ235" s="145"/>
      <c r="MK235" s="145"/>
      <c r="ML235" s="145"/>
      <c r="MM235" s="145"/>
      <c r="MN235" s="145"/>
      <c r="MO235" s="145"/>
      <c r="MP235" s="145"/>
      <c r="MQ235" s="145"/>
      <c r="MR235" s="145"/>
      <c r="MS235" s="145"/>
      <c r="MT235" s="145"/>
      <c r="MU235" s="145"/>
      <c r="MV235" s="145"/>
      <c r="MW235" s="145"/>
      <c r="MX235" s="145"/>
      <c r="MY235" s="145"/>
      <c r="MZ235" s="145"/>
      <c r="NA235" s="145"/>
      <c r="NB235" s="145"/>
      <c r="NC235" s="145"/>
      <c r="ND235" s="145"/>
      <c r="NE235" s="145"/>
      <c r="NF235" s="145"/>
      <c r="NG235" s="145"/>
      <c r="NH235" s="145"/>
      <c r="NI235" s="145"/>
      <c r="NJ235" s="145"/>
      <c r="NK235" s="145"/>
      <c r="NL235" s="145"/>
      <c r="NM235" s="145"/>
      <c r="NN235" s="145"/>
      <c r="NO235" s="145"/>
      <c r="NP235" s="145"/>
      <c r="NQ235" s="145"/>
      <c r="NR235" s="145"/>
      <c r="NS235" s="145"/>
    </row>
    <row r="236" spans="1:383" s="16" customFormat="1" ht="15" customHeight="1" x14ac:dyDescent="0.2">
      <c r="A236" s="15">
        <v>6200</v>
      </c>
      <c r="B236" s="25">
        <v>62</v>
      </c>
      <c r="C236" s="26">
        <v>0</v>
      </c>
      <c r="D236" s="20" t="s">
        <v>685</v>
      </c>
      <c r="E236" s="14">
        <v>41698</v>
      </c>
      <c r="F236" s="18">
        <v>1.12999985795375</v>
      </c>
      <c r="G236" s="18">
        <v>1.1178459505462499</v>
      </c>
      <c r="H236" s="21">
        <v>91.355276741705794</v>
      </c>
      <c r="I236" s="21">
        <v>84.640573433569799</v>
      </c>
      <c r="J236" s="21">
        <v>94.072506058515799</v>
      </c>
      <c r="K236" s="18">
        <v>1</v>
      </c>
      <c r="L236" s="18">
        <v>86.748468144433801</v>
      </c>
      <c r="M236" s="18">
        <v>19.129506260032901</v>
      </c>
      <c r="N236" s="18">
        <v>4.9924212662354597</v>
      </c>
      <c r="O236" s="18">
        <v>5.9951169300407496</v>
      </c>
      <c r="P236" s="18">
        <v>2.8245467045572799</v>
      </c>
      <c r="Q236" s="19"/>
      <c r="R236" s="18">
        <v>86.447664616932002</v>
      </c>
      <c r="S236" s="18">
        <v>54.948445423995501</v>
      </c>
      <c r="T236" s="18">
        <v>58.989531032442898</v>
      </c>
      <c r="U236" s="18">
        <v>60.741743595420502</v>
      </c>
      <c r="V236" s="18">
        <v>61.995960673923499</v>
      </c>
      <c r="W236" s="18">
        <v>62.981847511180398</v>
      </c>
      <c r="X236" s="18"/>
      <c r="Y236" s="18">
        <v>10.420933295269998</v>
      </c>
      <c r="Z236" s="18">
        <v>6.6183725673783229</v>
      </c>
      <c r="AA236" s="18">
        <v>1.9539249928631268</v>
      </c>
      <c r="AB236" s="18">
        <v>4.642670932103151</v>
      </c>
      <c r="AC236" s="18">
        <v>9.0685491899441484</v>
      </c>
      <c r="AD236" s="18">
        <v>1.5011404580505856</v>
      </c>
      <c r="AE236" s="18">
        <v>1.9725515348809262</v>
      </c>
      <c r="AF236" s="18">
        <v>205.62039322042975</v>
      </c>
      <c r="AG236" s="18">
        <v>32.32199797685535</v>
      </c>
      <c r="AH236" s="18">
        <v>82.126673874726094</v>
      </c>
      <c r="AI236" s="18">
        <v>171.69099263996938</v>
      </c>
      <c r="AJ236" s="18">
        <v>0.26920744346114156</v>
      </c>
      <c r="AK236" s="18">
        <v>0.55032538066867887</v>
      </c>
      <c r="AL236" s="18"/>
      <c r="AM236" s="18">
        <v>6.9074655058235104</v>
      </c>
      <c r="AN236" s="18">
        <v>2.1844273384333501</v>
      </c>
      <c r="AO236" s="18">
        <v>1.7186286515273901</v>
      </c>
      <c r="AP236" s="18">
        <v>4.3854015218314304</v>
      </c>
      <c r="AQ236" s="18">
        <v>1.44077424899274</v>
      </c>
      <c r="AR236" s="18">
        <v>4.1611393218804897</v>
      </c>
      <c r="AS236" s="18">
        <v>7.5385003545601297</v>
      </c>
      <c r="AT236" s="18">
        <v>2.3739772931480299</v>
      </c>
      <c r="AU236" s="18">
        <v>4.85693838988173</v>
      </c>
      <c r="AV236" s="18">
        <v>3.6252330672834399</v>
      </c>
      <c r="AW236" s="18">
        <v>4.8465854562947097</v>
      </c>
      <c r="AX236" s="18"/>
      <c r="AY236" s="18">
        <v>1.03870444839229</v>
      </c>
      <c r="AZ236" s="18">
        <v>1.0635618020448201</v>
      </c>
      <c r="BA236" s="18">
        <v>0.94786109240499705</v>
      </c>
      <c r="BB236" s="18">
        <v>0.99722240708781995</v>
      </c>
      <c r="BC236" s="18">
        <v>0.99596659962949297</v>
      </c>
      <c r="BD236" s="18">
        <v>0.99735171371450904</v>
      </c>
      <c r="BE236" s="18">
        <v>1.00231018771362</v>
      </c>
      <c r="BF236" s="18">
        <v>1.00744494478814</v>
      </c>
      <c r="BG236" s="18">
        <v>1.01499666689599</v>
      </c>
      <c r="BH236" s="18">
        <v>1.00103176391797</v>
      </c>
      <c r="BI236" s="18">
        <v>0.98692370985935496</v>
      </c>
      <c r="BJ236" s="19"/>
      <c r="BK236" s="18">
        <v>22.051693441067805</v>
      </c>
      <c r="BL236" s="18">
        <v>5.755054092624686</v>
      </c>
      <c r="BM236" s="18">
        <v>6.9109196488162139</v>
      </c>
      <c r="BN236" s="18">
        <v>3.2560191147750155</v>
      </c>
      <c r="BO236" s="18"/>
      <c r="BP236" s="18">
        <v>0</v>
      </c>
      <c r="BQ236" s="18">
        <v>0</v>
      </c>
      <c r="BR236" s="18">
        <v>1.3026164981637849</v>
      </c>
      <c r="BS236" s="18">
        <v>1.2886059828573195</v>
      </c>
      <c r="BT236" s="19"/>
      <c r="BU236" s="18">
        <v>930.8908035118385</v>
      </c>
      <c r="BV236" s="18">
        <v>504.62835530123266</v>
      </c>
      <c r="BW236" s="18">
        <v>89.295079397918727</v>
      </c>
      <c r="BX236" s="18">
        <v>460.984764079299</v>
      </c>
      <c r="BY236" s="18">
        <v>35.162895615693976</v>
      </c>
      <c r="BZ236" s="18">
        <v>19.990508716858546</v>
      </c>
      <c r="CA236" s="18">
        <v>81.72271062052863</v>
      </c>
      <c r="CB236" s="19"/>
      <c r="CC236" s="19">
        <v>9.0399999999999903</v>
      </c>
      <c r="CD236" s="19">
        <v>5.7413368182921296</v>
      </c>
      <c r="CE236" s="19">
        <v>1.6949999999999998</v>
      </c>
      <c r="CF236" s="19">
        <v>4.0274459145863899</v>
      </c>
      <c r="CG236" s="19">
        <v>7.8668275052010088</v>
      </c>
      <c r="CH236" s="19">
        <v>1.3022163520552199</v>
      </c>
      <c r="CI236" s="19">
        <v>1.7111582398687202</v>
      </c>
      <c r="CJ236" s="19"/>
      <c r="CK236" s="19">
        <v>178.37254131128401</v>
      </c>
      <c r="CL236" s="19">
        <v>28.0388381185969</v>
      </c>
      <c r="CM236" s="19">
        <v>71.243631524299801</v>
      </c>
      <c r="CN236" s="19">
        <v>148.93930605714601</v>
      </c>
      <c r="CO236" s="19">
        <v>0.23353333333333301</v>
      </c>
      <c r="CP236" s="19">
        <v>0.47739883754010293</v>
      </c>
      <c r="CQ236" s="19">
        <v>165.370114145483</v>
      </c>
      <c r="CR236" s="19">
        <v>146.34525215334273</v>
      </c>
      <c r="CS236" s="19">
        <v>10.500001319898949</v>
      </c>
      <c r="CT236" s="19">
        <v>3.4000004273958591</v>
      </c>
      <c r="CU236" s="19">
        <v>2.3839952282485952</v>
      </c>
      <c r="CV236" s="19">
        <v>5.7839956556444445</v>
      </c>
      <c r="CW236" s="19">
        <v>6.4000008045098529</v>
      </c>
      <c r="CX236" s="19">
        <v>2.1000002639798079</v>
      </c>
      <c r="CY236" s="19">
        <v>6.0735027498872913</v>
      </c>
      <c r="CZ236" s="19">
        <v>11.057723891647003</v>
      </c>
      <c r="DA236" s="19">
        <v>3.5000683056532194</v>
      </c>
      <c r="DB236" s="19">
        <v>7.2144935232432044</v>
      </c>
      <c r="DC236" s="19">
        <v>5.3108303488435977</v>
      </c>
      <c r="DD236" s="19">
        <v>12.525323872086803</v>
      </c>
      <c r="DE236" s="19">
        <v>7.0000008799326592</v>
      </c>
      <c r="DF236" s="23">
        <v>2464.4451177395999</v>
      </c>
      <c r="DG236" s="23">
        <v>0</v>
      </c>
      <c r="DH236" s="23">
        <v>0</v>
      </c>
      <c r="DI236" s="19">
        <v>5.65</v>
      </c>
      <c r="DJ236" s="19">
        <v>0.56499999999999995</v>
      </c>
      <c r="DK236" s="19">
        <v>150.666666666667</v>
      </c>
      <c r="DL236" s="19">
        <v>2.2599999999999998</v>
      </c>
      <c r="DM236" s="19">
        <v>0</v>
      </c>
      <c r="DN236" s="19">
        <v>2.2599999999999998</v>
      </c>
      <c r="DO236" s="19">
        <v>4.5199999999999996</v>
      </c>
      <c r="DP236" s="19">
        <v>3.3900000000000099</v>
      </c>
      <c r="DQ236" s="19">
        <v>22.6</v>
      </c>
      <c r="DR236" s="19">
        <v>22.6</v>
      </c>
      <c r="DS236" s="19">
        <v>11.3</v>
      </c>
      <c r="DT236" s="19">
        <v>0</v>
      </c>
      <c r="DU236" s="19">
        <v>0</v>
      </c>
      <c r="DV236" s="19">
        <v>0.22600000000000001</v>
      </c>
      <c r="DW236" s="17" t="s">
        <v>218</v>
      </c>
      <c r="DX236" s="22" t="s">
        <v>218</v>
      </c>
      <c r="DY236" s="22" t="s">
        <v>218</v>
      </c>
      <c r="DZ236" s="22" t="s">
        <v>218</v>
      </c>
      <c r="EA236" s="22" t="s">
        <v>218</v>
      </c>
      <c r="EB236" s="22" t="s">
        <v>218</v>
      </c>
      <c r="EC236" s="22" t="s">
        <v>218</v>
      </c>
      <c r="ED236" s="22" t="s">
        <v>218</v>
      </c>
      <c r="EE236" s="22" t="s">
        <v>218</v>
      </c>
      <c r="EF236" s="22" t="s">
        <v>218</v>
      </c>
      <c r="EG236" s="22" t="s">
        <v>218</v>
      </c>
      <c r="EH236" s="22" t="s">
        <v>218</v>
      </c>
      <c r="EI236" s="22" t="s">
        <v>218</v>
      </c>
      <c r="EJ236" s="22" t="s">
        <v>218</v>
      </c>
      <c r="EK236" s="22" t="s">
        <v>218</v>
      </c>
      <c r="EL236" s="22" t="s">
        <v>218</v>
      </c>
      <c r="EM236" s="22" t="s">
        <v>218</v>
      </c>
      <c r="EN236" s="22" t="s">
        <v>218</v>
      </c>
      <c r="EO236" s="22" t="s">
        <v>218</v>
      </c>
      <c r="EP236" s="22" t="s">
        <v>218</v>
      </c>
      <c r="EQ236" s="22" t="s">
        <v>218</v>
      </c>
      <c r="ER236" s="22" t="s">
        <v>218</v>
      </c>
      <c r="ES236" s="22" t="s">
        <v>218</v>
      </c>
      <c r="ET236" s="22" t="s">
        <v>218</v>
      </c>
      <c r="EU236" s="22" t="s">
        <v>218</v>
      </c>
      <c r="EV236" s="22" t="s">
        <v>218</v>
      </c>
      <c r="EW236" s="22" t="s">
        <v>218</v>
      </c>
      <c r="EX236" s="22" t="s">
        <v>218</v>
      </c>
      <c r="EY236" s="22" t="s">
        <v>218</v>
      </c>
      <c r="EZ236" s="22" t="s">
        <v>218</v>
      </c>
      <c r="FA236" s="22" t="s">
        <v>218</v>
      </c>
      <c r="FB236" s="22" t="s">
        <v>218</v>
      </c>
      <c r="FC236" s="22" t="s">
        <v>218</v>
      </c>
      <c r="FD236" s="22" t="s">
        <v>218</v>
      </c>
      <c r="FE236" s="22" t="s">
        <v>218</v>
      </c>
      <c r="FF236" s="22" t="s">
        <v>218</v>
      </c>
      <c r="FG236" s="22" t="s">
        <v>218</v>
      </c>
      <c r="FH236" s="22" t="s">
        <v>218</v>
      </c>
      <c r="FI236" s="22" t="s">
        <v>218</v>
      </c>
      <c r="FJ236" s="22" t="s">
        <v>218</v>
      </c>
      <c r="FK236" s="22" t="s">
        <v>218</v>
      </c>
      <c r="FL236" s="22" t="s">
        <v>218</v>
      </c>
      <c r="FM236" s="22" t="s">
        <v>218</v>
      </c>
      <c r="FN236" s="22" t="s">
        <v>218</v>
      </c>
      <c r="FO236" s="22" t="s">
        <v>218</v>
      </c>
      <c r="FP236" s="22" t="s">
        <v>218</v>
      </c>
      <c r="FQ236" s="22" t="s">
        <v>218</v>
      </c>
      <c r="FR236" s="22" t="s">
        <v>218</v>
      </c>
      <c r="FS236" s="22" t="s">
        <v>218</v>
      </c>
      <c r="FT236" s="22" t="s">
        <v>218</v>
      </c>
      <c r="FU236" s="22" t="s">
        <v>218</v>
      </c>
      <c r="FV236" s="22" t="s">
        <v>218</v>
      </c>
      <c r="FW236" s="22" t="s">
        <v>218</v>
      </c>
      <c r="FX236" s="22" t="s">
        <v>218</v>
      </c>
      <c r="FY236" s="22" t="s">
        <v>218</v>
      </c>
      <c r="FZ236" s="22" t="s">
        <v>218</v>
      </c>
      <c r="GA236" s="22" t="s">
        <v>218</v>
      </c>
      <c r="GB236" s="22" t="s">
        <v>218</v>
      </c>
      <c r="GC236" s="22" t="s">
        <v>218</v>
      </c>
      <c r="GD236" s="22" t="s">
        <v>218</v>
      </c>
      <c r="GE236" s="22" t="s">
        <v>218</v>
      </c>
      <c r="GF236" s="22" t="s">
        <v>218</v>
      </c>
      <c r="GG236" s="22" t="s">
        <v>218</v>
      </c>
      <c r="GH236" s="22" t="s">
        <v>218</v>
      </c>
      <c r="GI236" s="22" t="s">
        <v>218</v>
      </c>
      <c r="GJ236" s="22" t="s">
        <v>218</v>
      </c>
      <c r="GK236" s="22" t="s">
        <v>218</v>
      </c>
      <c r="GL236" s="22" t="s">
        <v>218</v>
      </c>
      <c r="GM236" s="22" t="s">
        <v>218</v>
      </c>
      <c r="GN236" s="22" t="s">
        <v>218</v>
      </c>
      <c r="GO236" s="22" t="s">
        <v>218</v>
      </c>
      <c r="GP236" s="22" t="s">
        <v>218</v>
      </c>
      <c r="GQ236" s="22" t="s">
        <v>218</v>
      </c>
      <c r="GR236" s="22" t="s">
        <v>218</v>
      </c>
      <c r="GS236" s="22" t="s">
        <v>218</v>
      </c>
      <c r="GT236" s="22" t="s">
        <v>218</v>
      </c>
      <c r="GU236" s="22" t="s">
        <v>218</v>
      </c>
      <c r="GV236" s="22" t="s">
        <v>218</v>
      </c>
      <c r="GW236" s="22" t="s">
        <v>218</v>
      </c>
      <c r="GX236" s="22" t="s">
        <v>218</v>
      </c>
      <c r="GY236" s="22" t="s">
        <v>218</v>
      </c>
      <c r="GZ236" s="22" t="s">
        <v>218</v>
      </c>
      <c r="HA236" s="22" t="s">
        <v>218</v>
      </c>
      <c r="HB236" s="22" t="s">
        <v>218</v>
      </c>
      <c r="HC236" s="22" t="s">
        <v>218</v>
      </c>
      <c r="HD236" s="22" t="s">
        <v>218</v>
      </c>
      <c r="HE236" s="22" t="s">
        <v>218</v>
      </c>
      <c r="HF236" s="22" t="s">
        <v>218</v>
      </c>
      <c r="HG236" s="22" t="s">
        <v>218</v>
      </c>
      <c r="HH236" s="22" t="s">
        <v>218</v>
      </c>
      <c r="HI236" s="22" t="s">
        <v>218</v>
      </c>
      <c r="HJ236" s="22" t="s">
        <v>218</v>
      </c>
      <c r="HK236" s="22" t="s">
        <v>218</v>
      </c>
      <c r="HL236" s="22" t="s">
        <v>218</v>
      </c>
      <c r="HM236" s="622">
        <f>'background data'!$G$10</f>
        <v>0.47300000000000003</v>
      </c>
      <c r="HN236" s="622">
        <f>'background data'!$H$10</f>
        <v>0.13</v>
      </c>
      <c r="HO236" s="622">
        <f>'background data'!$J$10</f>
        <v>0.39100000000000001</v>
      </c>
      <c r="HP236" s="622">
        <f>'background data'!$L$10</f>
        <v>5.5E-2</v>
      </c>
      <c r="HQ236" s="622">
        <f>'background data'!$M$10</f>
        <v>3.97</v>
      </c>
      <c r="HR236" s="622">
        <f>'background data'!$N$10</f>
        <v>4.5999999999999999E-3</v>
      </c>
      <c r="HS236" s="622">
        <f>'background data'!$O$10</f>
        <v>2.73</v>
      </c>
      <c r="HT236" s="145" t="s">
        <v>1797</v>
      </c>
      <c r="HU236" s="145" t="s">
        <v>1809</v>
      </c>
      <c r="HV236" s="22" t="s">
        <v>1926</v>
      </c>
      <c r="HW236" s="22">
        <v>0</v>
      </c>
      <c r="HX236" s="22">
        <v>0</v>
      </c>
      <c r="HY236" s="22">
        <v>0</v>
      </c>
      <c r="HZ236" s="19"/>
      <c r="IA236" s="19"/>
      <c r="IB236" s="622">
        <f>'background data'!$G$10</f>
        <v>0.47300000000000003</v>
      </c>
      <c r="IC236" s="622">
        <f>'background data'!$H$10</f>
        <v>0.13</v>
      </c>
      <c r="ID236" s="622">
        <f>'background data'!$J$10</f>
        <v>0.39100000000000001</v>
      </c>
      <c r="IE236" s="622">
        <f>'background data'!$L$10</f>
        <v>5.5E-2</v>
      </c>
      <c r="IF236" s="622">
        <f>'background data'!$M$10</f>
        <v>3.97</v>
      </c>
      <c r="IG236" s="622">
        <f>'background data'!$N$10</f>
        <v>4.5999999999999999E-3</v>
      </c>
      <c r="IH236" s="622">
        <f>'background data'!$O$10</f>
        <v>2.73</v>
      </c>
      <c r="II236" s="145" t="s">
        <v>1797</v>
      </c>
      <c r="IJ236" s="145"/>
      <c r="IK236" s="145"/>
      <c r="IL236" s="145"/>
      <c r="IM236" s="145"/>
      <c r="IN236" s="145"/>
      <c r="IO236" s="145"/>
      <c r="IP236" s="145"/>
      <c r="IQ236" s="145"/>
      <c r="IR236" s="145"/>
      <c r="IS236" s="145"/>
      <c r="IT236" s="145"/>
      <c r="IU236" s="145"/>
      <c r="IV236" s="145"/>
      <c r="IW236" s="145"/>
      <c r="IX236" s="145"/>
      <c r="IY236" s="145"/>
      <c r="IZ236" s="145"/>
      <c r="JA236" s="145"/>
      <c r="JB236" s="145"/>
      <c r="JC236" s="145"/>
      <c r="JD236" s="145"/>
      <c r="JE236" s="145"/>
      <c r="JF236" s="145"/>
      <c r="JG236" s="145"/>
      <c r="JH236" s="145"/>
      <c r="JI236" s="145"/>
      <c r="JJ236" s="145"/>
      <c r="JK236" s="145"/>
      <c r="JL236" s="145"/>
      <c r="JM236" s="145"/>
      <c r="JN236" s="145"/>
      <c r="JO236" s="145"/>
      <c r="JP236" s="145"/>
      <c r="JQ236" s="145"/>
      <c r="JR236" s="145"/>
      <c r="JS236" s="145"/>
      <c r="JT236" s="145"/>
      <c r="JU236" s="145"/>
      <c r="JV236" s="145"/>
      <c r="JW236" s="145"/>
      <c r="JX236" s="145"/>
      <c r="JY236" s="145"/>
      <c r="JZ236" s="145"/>
      <c r="KA236" s="145"/>
      <c r="KB236" s="145"/>
      <c r="KC236" s="145"/>
      <c r="KD236" s="145"/>
      <c r="KE236" s="145"/>
      <c r="KF236" s="145"/>
      <c r="KG236" s="145"/>
      <c r="KH236" s="145"/>
      <c r="KI236" s="145"/>
      <c r="KJ236" s="145"/>
      <c r="KK236" s="145"/>
      <c r="KL236" s="145"/>
      <c r="KM236" s="145"/>
      <c r="KN236" s="145"/>
      <c r="KO236" s="145"/>
      <c r="KP236" s="145"/>
      <c r="KQ236" s="145"/>
      <c r="KR236" s="145"/>
      <c r="KS236" s="145"/>
      <c r="KT236" s="145"/>
      <c r="KU236" s="145"/>
      <c r="KV236" s="145"/>
      <c r="KW236" s="145"/>
      <c r="KX236" s="145"/>
      <c r="KY236" s="145"/>
      <c r="KZ236" s="145"/>
      <c r="LA236" s="145"/>
      <c r="LB236" s="145"/>
      <c r="LC236" s="145"/>
      <c r="LD236" s="145"/>
      <c r="LE236" s="145"/>
      <c r="LF236" s="145"/>
      <c r="LG236" s="145"/>
      <c r="LH236" s="145"/>
      <c r="LI236" s="145"/>
      <c r="LJ236" s="145"/>
      <c r="LK236" s="145"/>
      <c r="LL236" s="145"/>
      <c r="LM236" s="145"/>
      <c r="LN236" s="145"/>
      <c r="LO236" s="145"/>
      <c r="LP236" s="145"/>
      <c r="LQ236" s="145"/>
      <c r="LR236" s="145"/>
      <c r="LS236" s="145"/>
      <c r="LT236" s="145"/>
      <c r="LU236" s="145"/>
      <c r="LV236" s="145"/>
      <c r="LW236" s="145"/>
      <c r="LX236" s="145"/>
      <c r="LY236" s="145"/>
      <c r="LZ236" s="145"/>
      <c r="MA236" s="145"/>
      <c r="MB236" s="145"/>
      <c r="MC236" s="145"/>
      <c r="MD236" s="145"/>
      <c r="ME236" s="145"/>
      <c r="MF236" s="145"/>
      <c r="MG236" s="145"/>
      <c r="MH236" s="145"/>
      <c r="MI236" s="145"/>
      <c r="MJ236" s="145"/>
      <c r="MK236" s="145"/>
      <c r="ML236" s="145"/>
      <c r="MM236" s="145"/>
      <c r="MN236" s="145"/>
      <c r="MO236" s="145"/>
      <c r="MP236" s="145"/>
      <c r="MQ236" s="145"/>
      <c r="MR236" s="145"/>
      <c r="MS236" s="145"/>
      <c r="MT236" s="145"/>
      <c r="MU236" s="145"/>
      <c r="MV236" s="145"/>
      <c r="MW236" s="145"/>
      <c r="MX236" s="145"/>
      <c r="MY236" s="145"/>
      <c r="MZ236" s="145"/>
      <c r="NA236" s="145"/>
      <c r="NB236" s="145"/>
      <c r="NC236" s="145"/>
      <c r="ND236" s="145"/>
      <c r="NE236" s="145"/>
      <c r="NF236" s="145"/>
      <c r="NG236" s="145"/>
      <c r="NH236" s="145"/>
      <c r="NI236" s="145"/>
      <c r="NJ236" s="145"/>
      <c r="NK236" s="145"/>
      <c r="NL236" s="145"/>
      <c r="NM236" s="145"/>
      <c r="NN236" s="145"/>
      <c r="NO236" s="145"/>
      <c r="NP236" s="145"/>
      <c r="NQ236" s="145"/>
      <c r="NR236" s="145"/>
      <c r="NS236" s="145"/>
    </row>
    <row r="237" spans="1:383" s="16" customFormat="1" ht="15" customHeight="1" x14ac:dyDescent="0.2">
      <c r="A237" s="15">
        <v>6300</v>
      </c>
      <c r="B237" s="25">
        <v>63</v>
      </c>
      <c r="C237" s="26">
        <v>0</v>
      </c>
      <c r="D237" s="20" t="s">
        <v>686</v>
      </c>
      <c r="E237" s="14">
        <v>41698</v>
      </c>
      <c r="F237" s="18">
        <v>1.12999992086164</v>
      </c>
      <c r="G237" s="18">
        <v>1.1217383622346</v>
      </c>
      <c r="H237" s="21">
        <v>90.440299547533797</v>
      </c>
      <c r="I237" s="21">
        <v>82.989559884459098</v>
      </c>
      <c r="J237" s="21">
        <v>92.476040388172606</v>
      </c>
      <c r="K237" s="18">
        <v>1</v>
      </c>
      <c r="L237" s="18">
        <v>87.202746049105798</v>
      </c>
      <c r="M237" s="18">
        <v>20.392606768790099</v>
      </c>
      <c r="N237" s="18">
        <v>5.9733593750862601</v>
      </c>
      <c r="O237" s="18">
        <v>6.1722411748313304</v>
      </c>
      <c r="P237" s="18">
        <v>3.6284660276531899</v>
      </c>
      <c r="Q237" s="19"/>
      <c r="R237" s="18">
        <v>85.334848052054198</v>
      </c>
      <c r="S237" s="18">
        <v>51.730001734478698</v>
      </c>
      <c r="T237" s="18">
        <v>56.259406424396303</v>
      </c>
      <c r="U237" s="18">
        <v>58.2351231997296</v>
      </c>
      <c r="V237" s="18">
        <v>59.6321846450235</v>
      </c>
      <c r="W237" s="18">
        <v>60.740260520691898</v>
      </c>
      <c r="X237" s="18"/>
      <c r="Y237" s="18">
        <v>10.3666460169836</v>
      </c>
      <c r="Z237" s="18">
        <v>6.6135299670186685</v>
      </c>
      <c r="AA237" s="18">
        <v>1.9437461281844244</v>
      </c>
      <c r="AB237" s="18">
        <v>4.2513031731349651</v>
      </c>
      <c r="AC237" s="18">
        <v>10.255363056936995</v>
      </c>
      <c r="AD237" s="18">
        <v>1.5744124800280741</v>
      </c>
      <c r="AE237" s="18">
        <v>1.9411522012650744</v>
      </c>
      <c r="AF237" s="18">
        <v>210.99205739380463</v>
      </c>
      <c r="AG237" s="18">
        <v>33.589014007963407</v>
      </c>
      <c r="AH237" s="18">
        <v>81.161169725401606</v>
      </c>
      <c r="AI237" s="18">
        <v>172.8878252732145</v>
      </c>
      <c r="AJ237" s="18">
        <v>0.26780502210540963</v>
      </c>
      <c r="AK237" s="18">
        <v>0.54617887709678492</v>
      </c>
      <c r="AL237" s="18"/>
      <c r="AM237" s="18">
        <v>6.5610016982465096</v>
      </c>
      <c r="AN237" s="18">
        <v>2.0472367022920599</v>
      </c>
      <c r="AO237" s="18">
        <v>1.59041266083939</v>
      </c>
      <c r="AP237" s="18">
        <v>4.1525970033085899</v>
      </c>
      <c r="AQ237" s="18">
        <v>1.34376222526518</v>
      </c>
      <c r="AR237" s="18">
        <v>4.03637186979355</v>
      </c>
      <c r="AS237" s="18">
        <v>7.2990351258880501</v>
      </c>
      <c r="AT237" s="18">
        <v>2.4541521717052999</v>
      </c>
      <c r="AU237" s="18">
        <v>4.6616723755351703</v>
      </c>
      <c r="AV237" s="18">
        <v>3.49273933045041</v>
      </c>
      <c r="AW237" s="18">
        <v>4.5940783653377801</v>
      </c>
      <c r="AX237" s="18"/>
      <c r="AY237" s="18">
        <v>1.03919830107711</v>
      </c>
      <c r="AZ237" s="18">
        <v>1.0784254724040401</v>
      </c>
      <c r="BA237" s="18">
        <v>0.96484860761879998</v>
      </c>
      <c r="BB237" s="18">
        <v>1.0007819570579499</v>
      </c>
      <c r="BC237" s="18">
        <v>1.0147899219054599</v>
      </c>
      <c r="BD237" s="18">
        <v>1.00071727591531</v>
      </c>
      <c r="BE237" s="18">
        <v>1.00860011048802</v>
      </c>
      <c r="BF237" s="18">
        <v>1.0193049342228999</v>
      </c>
      <c r="BG237" s="18">
        <v>1.01572731776595</v>
      </c>
      <c r="BH237" s="18">
        <v>0.99971190344787397</v>
      </c>
      <c r="BI237" s="18">
        <v>0.98941597943776904</v>
      </c>
      <c r="BJ237" s="19"/>
      <c r="BK237" s="18">
        <v>23.385280501724761</v>
      </c>
      <c r="BL237" s="18">
        <v>6.8499670546183591</v>
      </c>
      <c r="BM237" s="18">
        <v>7.0780353308548385</v>
      </c>
      <c r="BN237" s="18">
        <v>4.1609538598817979</v>
      </c>
      <c r="BO237" s="18"/>
      <c r="BP237" s="18">
        <v>0</v>
      </c>
      <c r="BQ237" s="18">
        <v>0</v>
      </c>
      <c r="BR237" s="18">
        <v>1.295830661370815</v>
      </c>
      <c r="BS237" s="18">
        <v>1.2863566952386158</v>
      </c>
      <c r="BT237" s="19"/>
      <c r="BU237" s="18">
        <v>929.219646691452</v>
      </c>
      <c r="BV237" s="18">
        <v>462.23296067947194</v>
      </c>
      <c r="BW237" s="18">
        <v>98.905338247317971</v>
      </c>
      <c r="BX237" s="18">
        <v>427.34709900823736</v>
      </c>
      <c r="BY237" s="18">
        <v>38.114769500664046</v>
      </c>
      <c r="BZ237" s="18">
        <v>16.565435186389212</v>
      </c>
      <c r="CA237" s="18">
        <v>66.286358635796574</v>
      </c>
      <c r="CB237" s="19"/>
      <c r="CC237" s="19">
        <v>9.0399999999999494</v>
      </c>
      <c r="CD237" s="19">
        <v>5.7671797420208</v>
      </c>
      <c r="CE237" s="19">
        <v>1.6949999999999901</v>
      </c>
      <c r="CF237" s="19">
        <v>3.7072531098464601</v>
      </c>
      <c r="CG237" s="19">
        <v>8.9429582029545802</v>
      </c>
      <c r="CH237" s="19">
        <v>1.37293091672431</v>
      </c>
      <c r="CI237" s="19">
        <v>1.6927380244958099</v>
      </c>
      <c r="CJ237" s="19"/>
      <c r="CK237" s="19">
        <v>183.99086799290299</v>
      </c>
      <c r="CL237" s="19">
        <v>29.2905425857629</v>
      </c>
      <c r="CM237" s="19">
        <v>70.7747687261257</v>
      </c>
      <c r="CN237" s="19">
        <v>150.762931222823</v>
      </c>
      <c r="CO237" s="19">
        <v>0.23353333333333198</v>
      </c>
      <c r="CP237" s="19">
        <v>0.47628297916856699</v>
      </c>
      <c r="CQ237" s="19">
        <v>174.02</v>
      </c>
      <c r="CR237" s="19">
        <v>154.0000107852286</v>
      </c>
      <c r="CS237" s="19">
        <v>10.500000735356494</v>
      </c>
      <c r="CT237" s="19">
        <v>3.4000002381154446</v>
      </c>
      <c r="CU237" s="19">
        <v>2.3631416251794448</v>
      </c>
      <c r="CV237" s="19">
        <v>5.7631418632948721</v>
      </c>
      <c r="CW237" s="19">
        <v>6.4000004482172734</v>
      </c>
      <c r="CX237" s="19">
        <v>2.100000147071281</v>
      </c>
      <c r="CY237" s="19">
        <v>6.2204717113104868</v>
      </c>
      <c r="CZ237" s="19">
        <v>11.337184551004771</v>
      </c>
      <c r="DA237" s="19">
        <v>3.852355573443373</v>
      </c>
      <c r="DB237" s="19">
        <v>7.2918819972704716</v>
      </c>
      <c r="DC237" s="19">
        <v>5.3772693264008105</v>
      </c>
      <c r="DD237" s="19">
        <v>12.66915132367129</v>
      </c>
      <c r="DE237" s="19">
        <v>7.0000004902376629</v>
      </c>
      <c r="DF237" s="23">
        <v>2477.3507400314102</v>
      </c>
      <c r="DG237" s="23">
        <v>0</v>
      </c>
      <c r="DH237" s="23">
        <v>0</v>
      </c>
      <c r="DI237" s="19">
        <v>5.65</v>
      </c>
      <c r="DJ237" s="19">
        <v>0.56499999999999895</v>
      </c>
      <c r="DK237" s="19">
        <v>150.666666666666</v>
      </c>
      <c r="DL237" s="19">
        <v>2.2599999999999998</v>
      </c>
      <c r="DM237" s="19">
        <v>0</v>
      </c>
      <c r="DN237" s="19">
        <v>2.2599999999999998</v>
      </c>
      <c r="DO237" s="19">
        <v>4.5199999999999898</v>
      </c>
      <c r="DP237" s="19">
        <v>3.39</v>
      </c>
      <c r="DQ237" s="19">
        <v>22.6</v>
      </c>
      <c r="DR237" s="19">
        <v>22.6</v>
      </c>
      <c r="DS237" s="19">
        <v>11.3</v>
      </c>
      <c r="DT237" s="19">
        <v>0</v>
      </c>
      <c r="DU237" s="19">
        <v>0</v>
      </c>
      <c r="DV237" s="19">
        <v>0.22600000000000001</v>
      </c>
      <c r="DW237" s="17" t="s">
        <v>218</v>
      </c>
      <c r="DX237" s="22" t="s">
        <v>218</v>
      </c>
      <c r="DY237" s="22" t="s">
        <v>218</v>
      </c>
      <c r="DZ237" s="22" t="s">
        <v>218</v>
      </c>
      <c r="EA237" s="22" t="s">
        <v>218</v>
      </c>
      <c r="EB237" s="22" t="s">
        <v>218</v>
      </c>
      <c r="EC237" s="22" t="s">
        <v>218</v>
      </c>
      <c r="ED237" s="22" t="s">
        <v>218</v>
      </c>
      <c r="EE237" s="22" t="s">
        <v>218</v>
      </c>
      <c r="EF237" s="22" t="s">
        <v>218</v>
      </c>
      <c r="EG237" s="22" t="s">
        <v>218</v>
      </c>
      <c r="EH237" s="22" t="s">
        <v>218</v>
      </c>
      <c r="EI237" s="22" t="s">
        <v>218</v>
      </c>
      <c r="EJ237" s="22" t="s">
        <v>218</v>
      </c>
      <c r="EK237" s="22" t="s">
        <v>218</v>
      </c>
      <c r="EL237" s="22" t="s">
        <v>218</v>
      </c>
      <c r="EM237" s="22" t="s">
        <v>218</v>
      </c>
      <c r="EN237" s="22" t="s">
        <v>218</v>
      </c>
      <c r="EO237" s="22" t="s">
        <v>218</v>
      </c>
      <c r="EP237" s="22" t="s">
        <v>218</v>
      </c>
      <c r="EQ237" s="22" t="s">
        <v>218</v>
      </c>
      <c r="ER237" s="22" t="s">
        <v>218</v>
      </c>
      <c r="ES237" s="22" t="s">
        <v>218</v>
      </c>
      <c r="ET237" s="22" t="s">
        <v>218</v>
      </c>
      <c r="EU237" s="22" t="s">
        <v>218</v>
      </c>
      <c r="EV237" s="22" t="s">
        <v>218</v>
      </c>
      <c r="EW237" s="22" t="s">
        <v>218</v>
      </c>
      <c r="EX237" s="22" t="s">
        <v>218</v>
      </c>
      <c r="EY237" s="22" t="s">
        <v>218</v>
      </c>
      <c r="EZ237" s="22" t="s">
        <v>218</v>
      </c>
      <c r="FA237" s="22" t="s">
        <v>218</v>
      </c>
      <c r="FB237" s="22" t="s">
        <v>218</v>
      </c>
      <c r="FC237" s="22" t="s">
        <v>218</v>
      </c>
      <c r="FD237" s="22" t="s">
        <v>218</v>
      </c>
      <c r="FE237" s="22" t="s">
        <v>218</v>
      </c>
      <c r="FF237" s="22" t="s">
        <v>218</v>
      </c>
      <c r="FG237" s="22" t="s">
        <v>218</v>
      </c>
      <c r="FH237" s="22" t="s">
        <v>218</v>
      </c>
      <c r="FI237" s="22" t="s">
        <v>218</v>
      </c>
      <c r="FJ237" s="22" t="s">
        <v>218</v>
      </c>
      <c r="FK237" s="22" t="s">
        <v>218</v>
      </c>
      <c r="FL237" s="22" t="s">
        <v>218</v>
      </c>
      <c r="FM237" s="22" t="s">
        <v>218</v>
      </c>
      <c r="FN237" s="22" t="s">
        <v>218</v>
      </c>
      <c r="FO237" s="22" t="s">
        <v>218</v>
      </c>
      <c r="FP237" s="22" t="s">
        <v>218</v>
      </c>
      <c r="FQ237" s="22" t="s">
        <v>218</v>
      </c>
      <c r="FR237" s="22" t="s">
        <v>218</v>
      </c>
      <c r="FS237" s="22" t="s">
        <v>218</v>
      </c>
      <c r="FT237" s="22" t="s">
        <v>218</v>
      </c>
      <c r="FU237" s="22" t="s">
        <v>218</v>
      </c>
      <c r="FV237" s="22" t="s">
        <v>218</v>
      </c>
      <c r="FW237" s="22" t="s">
        <v>218</v>
      </c>
      <c r="FX237" s="22" t="s">
        <v>218</v>
      </c>
      <c r="FY237" s="22" t="s">
        <v>218</v>
      </c>
      <c r="FZ237" s="22" t="s">
        <v>218</v>
      </c>
      <c r="GA237" s="22" t="s">
        <v>218</v>
      </c>
      <c r="GB237" s="22" t="s">
        <v>218</v>
      </c>
      <c r="GC237" s="22" t="s">
        <v>218</v>
      </c>
      <c r="GD237" s="22" t="s">
        <v>218</v>
      </c>
      <c r="GE237" s="22" t="s">
        <v>218</v>
      </c>
      <c r="GF237" s="22" t="s">
        <v>218</v>
      </c>
      <c r="GG237" s="22" t="s">
        <v>218</v>
      </c>
      <c r="GH237" s="22" t="s">
        <v>218</v>
      </c>
      <c r="GI237" s="22" t="s">
        <v>218</v>
      </c>
      <c r="GJ237" s="22" t="s">
        <v>218</v>
      </c>
      <c r="GK237" s="22" t="s">
        <v>218</v>
      </c>
      <c r="GL237" s="22" t="s">
        <v>218</v>
      </c>
      <c r="GM237" s="22" t="s">
        <v>218</v>
      </c>
      <c r="GN237" s="22" t="s">
        <v>218</v>
      </c>
      <c r="GO237" s="22" t="s">
        <v>218</v>
      </c>
      <c r="GP237" s="22" t="s">
        <v>218</v>
      </c>
      <c r="GQ237" s="22" t="s">
        <v>218</v>
      </c>
      <c r="GR237" s="22" t="s">
        <v>218</v>
      </c>
      <c r="GS237" s="22" t="s">
        <v>218</v>
      </c>
      <c r="GT237" s="22" t="s">
        <v>218</v>
      </c>
      <c r="GU237" s="22" t="s">
        <v>218</v>
      </c>
      <c r="GV237" s="22" t="s">
        <v>218</v>
      </c>
      <c r="GW237" s="22" t="s">
        <v>218</v>
      </c>
      <c r="GX237" s="22" t="s">
        <v>218</v>
      </c>
      <c r="GY237" s="22" t="s">
        <v>218</v>
      </c>
      <c r="GZ237" s="22" t="s">
        <v>218</v>
      </c>
      <c r="HA237" s="22" t="s">
        <v>218</v>
      </c>
      <c r="HB237" s="22" t="s">
        <v>218</v>
      </c>
      <c r="HC237" s="22" t="s">
        <v>218</v>
      </c>
      <c r="HD237" s="22" t="s">
        <v>218</v>
      </c>
      <c r="HE237" s="22" t="s">
        <v>218</v>
      </c>
      <c r="HF237" s="22" t="s">
        <v>218</v>
      </c>
      <c r="HG237" s="22" t="s">
        <v>218</v>
      </c>
      <c r="HH237" s="22" t="s">
        <v>218</v>
      </c>
      <c r="HI237" s="22" t="s">
        <v>218</v>
      </c>
      <c r="HJ237" s="22" t="s">
        <v>218</v>
      </c>
      <c r="HK237" s="22" t="s">
        <v>218</v>
      </c>
      <c r="HL237" s="22" t="s">
        <v>218</v>
      </c>
      <c r="HM237" s="622">
        <f>'background data'!$G$10</f>
        <v>0.47300000000000003</v>
      </c>
      <c r="HN237" s="622">
        <f>'background data'!$H$10</f>
        <v>0.13</v>
      </c>
      <c r="HO237" s="622">
        <f>'background data'!$J$10</f>
        <v>0.39100000000000001</v>
      </c>
      <c r="HP237" s="622">
        <f>'background data'!$L$10</f>
        <v>5.5E-2</v>
      </c>
      <c r="HQ237" s="622">
        <f>'background data'!$M$10</f>
        <v>3.97</v>
      </c>
      <c r="HR237" s="622">
        <f>'background data'!$N$10</f>
        <v>4.5999999999999999E-3</v>
      </c>
      <c r="HS237" s="622">
        <f>'background data'!$O$10</f>
        <v>2.73</v>
      </c>
      <c r="HT237" s="145" t="s">
        <v>1797</v>
      </c>
      <c r="HU237" s="145" t="s">
        <v>1809</v>
      </c>
      <c r="HV237" s="22" t="s">
        <v>1926</v>
      </c>
      <c r="HW237" s="22">
        <v>0</v>
      </c>
      <c r="HX237" s="22">
        <v>0</v>
      </c>
      <c r="HY237" s="22">
        <v>0</v>
      </c>
      <c r="HZ237" s="19"/>
      <c r="IA237" s="19"/>
      <c r="IB237" s="622">
        <f>'background data'!$G$10</f>
        <v>0.47300000000000003</v>
      </c>
      <c r="IC237" s="622">
        <f>'background data'!$H$10</f>
        <v>0.13</v>
      </c>
      <c r="ID237" s="622">
        <f>'background data'!$J$10</f>
        <v>0.39100000000000001</v>
      </c>
      <c r="IE237" s="622">
        <f>'background data'!$L$10</f>
        <v>5.5E-2</v>
      </c>
      <c r="IF237" s="622">
        <f>'background data'!$M$10</f>
        <v>3.97</v>
      </c>
      <c r="IG237" s="622">
        <f>'background data'!$N$10</f>
        <v>4.5999999999999999E-3</v>
      </c>
      <c r="IH237" s="622">
        <f>'background data'!$O$10</f>
        <v>2.73</v>
      </c>
      <c r="II237" s="145" t="s">
        <v>1797</v>
      </c>
      <c r="IJ237" s="145"/>
      <c r="IK237" s="145"/>
      <c r="IL237" s="145"/>
      <c r="IM237" s="145"/>
      <c r="IN237" s="145"/>
      <c r="IO237" s="145"/>
      <c r="IP237" s="145"/>
      <c r="IQ237" s="145"/>
      <c r="IR237" s="145"/>
      <c r="IS237" s="145"/>
      <c r="IT237" s="145"/>
      <c r="IU237" s="145"/>
      <c r="IV237" s="145"/>
      <c r="IW237" s="145"/>
      <c r="IX237" s="145"/>
      <c r="IY237" s="145"/>
      <c r="IZ237" s="145"/>
      <c r="JA237" s="145"/>
      <c r="JB237" s="145"/>
      <c r="JC237" s="145"/>
      <c r="JD237" s="145"/>
      <c r="JE237" s="145"/>
      <c r="JF237" s="145"/>
      <c r="JG237" s="145"/>
      <c r="JH237" s="145"/>
      <c r="JI237" s="145"/>
      <c r="JJ237" s="145"/>
      <c r="JK237" s="145"/>
      <c r="JL237" s="145"/>
      <c r="JM237" s="145"/>
      <c r="JN237" s="145"/>
      <c r="JO237" s="145"/>
      <c r="JP237" s="145"/>
      <c r="JQ237" s="145"/>
      <c r="JR237" s="145"/>
      <c r="JS237" s="145"/>
      <c r="JT237" s="145"/>
      <c r="JU237" s="145"/>
      <c r="JV237" s="145"/>
      <c r="JW237" s="145"/>
      <c r="JX237" s="145"/>
      <c r="JY237" s="145"/>
      <c r="JZ237" s="145"/>
      <c r="KA237" s="145"/>
      <c r="KB237" s="145"/>
      <c r="KC237" s="145"/>
      <c r="KD237" s="145"/>
      <c r="KE237" s="145"/>
      <c r="KF237" s="145"/>
      <c r="KG237" s="145"/>
      <c r="KH237" s="145"/>
      <c r="KI237" s="145"/>
      <c r="KJ237" s="145"/>
      <c r="KK237" s="145"/>
      <c r="KL237" s="145"/>
      <c r="KM237" s="145"/>
      <c r="KN237" s="145"/>
      <c r="KO237" s="145"/>
      <c r="KP237" s="145"/>
      <c r="KQ237" s="145"/>
      <c r="KR237" s="145"/>
      <c r="KS237" s="145"/>
      <c r="KT237" s="145"/>
      <c r="KU237" s="145"/>
      <c r="KV237" s="145"/>
      <c r="KW237" s="145"/>
      <c r="KX237" s="145"/>
      <c r="KY237" s="145"/>
      <c r="KZ237" s="145"/>
      <c r="LA237" s="145"/>
      <c r="LB237" s="145"/>
      <c r="LC237" s="145"/>
      <c r="LD237" s="145"/>
      <c r="LE237" s="145"/>
      <c r="LF237" s="145"/>
      <c r="LG237" s="145"/>
      <c r="LH237" s="145"/>
      <c r="LI237" s="145"/>
      <c r="LJ237" s="145"/>
      <c r="LK237" s="145"/>
      <c r="LL237" s="145"/>
      <c r="LM237" s="145"/>
      <c r="LN237" s="145"/>
      <c r="LO237" s="145"/>
      <c r="LP237" s="145"/>
      <c r="LQ237" s="145"/>
      <c r="LR237" s="145"/>
      <c r="LS237" s="145"/>
      <c r="LT237" s="145"/>
      <c r="LU237" s="145"/>
      <c r="LV237" s="145"/>
      <c r="LW237" s="145"/>
      <c r="LX237" s="145"/>
      <c r="LY237" s="145"/>
      <c r="LZ237" s="145"/>
      <c r="MA237" s="145"/>
      <c r="MB237" s="145"/>
      <c r="MC237" s="145"/>
      <c r="MD237" s="145"/>
      <c r="ME237" s="145"/>
      <c r="MF237" s="145"/>
      <c r="MG237" s="145"/>
      <c r="MH237" s="145"/>
      <c r="MI237" s="145"/>
      <c r="MJ237" s="145"/>
      <c r="MK237" s="145"/>
      <c r="ML237" s="145"/>
      <c r="MM237" s="145"/>
      <c r="MN237" s="145"/>
      <c r="MO237" s="145"/>
      <c r="MP237" s="145"/>
      <c r="MQ237" s="145"/>
      <c r="MR237" s="145"/>
      <c r="MS237" s="145"/>
      <c r="MT237" s="145"/>
      <c r="MU237" s="145"/>
      <c r="MV237" s="145"/>
      <c r="MW237" s="145"/>
      <c r="MX237" s="145"/>
      <c r="MY237" s="145"/>
      <c r="MZ237" s="145"/>
      <c r="NA237" s="145"/>
      <c r="NB237" s="145"/>
      <c r="NC237" s="145"/>
      <c r="ND237" s="145"/>
      <c r="NE237" s="145"/>
      <c r="NF237" s="145"/>
      <c r="NG237" s="145"/>
      <c r="NH237" s="145"/>
      <c r="NI237" s="145"/>
      <c r="NJ237" s="145"/>
      <c r="NK237" s="145"/>
      <c r="NL237" s="145"/>
      <c r="NM237" s="145"/>
      <c r="NN237" s="145"/>
      <c r="NO237" s="145"/>
      <c r="NP237" s="145"/>
      <c r="NQ237" s="145"/>
      <c r="NR237" s="145"/>
      <c r="NS237" s="145"/>
    </row>
    <row r="238" spans="1:383" s="16" customFormat="1" ht="15" customHeight="1" x14ac:dyDescent="0.2">
      <c r="A238" s="15">
        <v>14100</v>
      </c>
      <c r="B238" s="25">
        <v>141</v>
      </c>
      <c r="C238" s="26">
        <v>0</v>
      </c>
      <c r="D238" s="20" t="s">
        <v>687</v>
      </c>
      <c r="E238" s="14">
        <v>41698</v>
      </c>
      <c r="F238" s="18">
        <v>1.07</v>
      </c>
      <c r="G238" s="18">
        <v>1.0617431262345101</v>
      </c>
      <c r="H238" s="21">
        <v>90.713658615586994</v>
      </c>
      <c r="I238" s="21">
        <v>83.9405385936968</v>
      </c>
      <c r="J238" s="21">
        <v>93.400059161724798</v>
      </c>
      <c r="K238" s="18">
        <v>1</v>
      </c>
      <c r="L238" s="18">
        <v>86.001544950149906</v>
      </c>
      <c r="M238" s="18">
        <v>15.6605533172826</v>
      </c>
      <c r="N238" s="18">
        <v>2.2952222434262999</v>
      </c>
      <c r="O238" s="18">
        <v>4.9382782715524103</v>
      </c>
      <c r="P238" s="18">
        <v>3.1971270045281401</v>
      </c>
      <c r="Q238" s="19"/>
      <c r="R238" s="18">
        <v>84.934960214588102</v>
      </c>
      <c r="S238" s="18">
        <v>50.954987420561402</v>
      </c>
      <c r="T238" s="18">
        <v>55.6865780493073</v>
      </c>
      <c r="U238" s="18">
        <v>57.795284175406898</v>
      </c>
      <c r="V238" s="18">
        <v>59.210888412967797</v>
      </c>
      <c r="W238" s="18">
        <v>60.369403462255299</v>
      </c>
      <c r="X238" s="18"/>
      <c r="Y238" s="18">
        <v>8.0870640219677554</v>
      </c>
      <c r="Z238" s="18">
        <v>5.1522941437761425</v>
      </c>
      <c r="AA238" s="18">
        <v>1.8662455435310203</v>
      </c>
      <c r="AB238" s="18">
        <v>4.2603614174810049</v>
      </c>
      <c r="AC238" s="18">
        <v>8.659539971665648</v>
      </c>
      <c r="AD238" s="18">
        <v>1.480316664693744</v>
      </c>
      <c r="AE238" s="18">
        <v>1.6570241109835502</v>
      </c>
      <c r="AF238" s="18">
        <v>97.573489022778574</v>
      </c>
      <c r="AG238" s="18">
        <v>30.105546814242629</v>
      </c>
      <c r="AH238" s="18">
        <v>79.004350750653188</v>
      </c>
      <c r="AI238" s="18">
        <v>164.28599906861061</v>
      </c>
      <c r="AJ238" s="18">
        <v>0.24883273913746939</v>
      </c>
      <c r="AK238" s="18">
        <v>0.32399817567618977</v>
      </c>
      <c r="AL238" s="18"/>
      <c r="AM238" s="18">
        <v>5.9683294479742601</v>
      </c>
      <c r="AN238" s="18">
        <v>1.82369955352084</v>
      </c>
      <c r="AO238" s="18">
        <v>1.79133364797212</v>
      </c>
      <c r="AP238" s="18">
        <v>4.0892569522798397</v>
      </c>
      <c r="AQ238" s="18">
        <v>1.27997389583361</v>
      </c>
      <c r="AR238" s="18">
        <v>3.79316706455465</v>
      </c>
      <c r="AS238" s="18">
        <v>7.01084456942408</v>
      </c>
      <c r="AT238" s="18">
        <v>2.4079446990557898</v>
      </c>
      <c r="AU238" s="18">
        <v>4.5389849345261402</v>
      </c>
      <c r="AV238" s="18">
        <v>3.1981927468687501</v>
      </c>
      <c r="AW238" s="18">
        <v>4.4228247622862504</v>
      </c>
      <c r="AX238" s="18"/>
      <c r="AY238" s="18">
        <v>1.0378345508364231</v>
      </c>
      <c r="AZ238" s="18">
        <v>1.0586396050845164</v>
      </c>
      <c r="BA238" s="18">
        <v>0.97355354203005062</v>
      </c>
      <c r="BB238" s="18">
        <v>1.0032656959520323</v>
      </c>
      <c r="BC238" s="18">
        <v>1.0067741582751266</v>
      </c>
      <c r="BD238" s="18">
        <v>1.0006349297519934</v>
      </c>
      <c r="BE238" s="18">
        <v>1.0054975676651752</v>
      </c>
      <c r="BF238" s="18">
        <v>1.0127320826627284</v>
      </c>
      <c r="BG238" s="18">
        <v>1.017150934931309</v>
      </c>
      <c r="BH238" s="18">
        <v>1.004891166237988</v>
      </c>
      <c r="BI238" s="18">
        <v>0.98216445993708235</v>
      </c>
      <c r="BJ238" s="19"/>
      <c r="BK238" s="18">
        <v>18.209618590410336</v>
      </c>
      <c r="BL238" s="18">
        <v>2.6688151297243632</v>
      </c>
      <c r="BM238" s="18">
        <v>5.7420808828665146</v>
      </c>
      <c r="BN238" s="18">
        <v>3.7175227565752786</v>
      </c>
      <c r="BO238" s="18"/>
      <c r="BP238" s="18" t="s">
        <v>217</v>
      </c>
      <c r="BQ238" s="18">
        <v>28.439647381846211</v>
      </c>
      <c r="BR238" s="18">
        <v>1.244163695687347</v>
      </c>
      <c r="BS238" s="18">
        <v>1.2345628521556686</v>
      </c>
      <c r="BT238" s="19"/>
      <c r="BU238" s="18">
        <v>942.57919117133486</v>
      </c>
      <c r="BV238" s="18">
        <v>572.25029844022947</v>
      </c>
      <c r="BW238" s="18">
        <v>91.202885599137232</v>
      </c>
      <c r="BX238" s="18">
        <v>537.66250067529279</v>
      </c>
      <c r="BY238" s="18">
        <v>32.303866213242458</v>
      </c>
      <c r="BZ238" s="18">
        <v>21.432755692875226</v>
      </c>
      <c r="CA238" s="18">
        <v>90.154865583553288</v>
      </c>
      <c r="CB238" s="19"/>
      <c r="CC238" s="19">
        <v>6.9550000000000001</v>
      </c>
      <c r="CD238" s="19">
        <v>4.4310525640235809</v>
      </c>
      <c r="CE238" s="19">
        <v>1.605</v>
      </c>
      <c r="CF238" s="19">
        <v>3.6639766394937703</v>
      </c>
      <c r="CG238" s="19">
        <v>7.447338161208231</v>
      </c>
      <c r="CH238" s="19">
        <v>1.2730952017911501</v>
      </c>
      <c r="CI238" s="19">
        <v>1.4250663356423399</v>
      </c>
      <c r="CJ238" s="19"/>
      <c r="CK238" s="19">
        <v>83.9147080213545</v>
      </c>
      <c r="CL238" s="19">
        <v>25.891235375939299</v>
      </c>
      <c r="CM238" s="19">
        <v>67.944962223397098</v>
      </c>
      <c r="CN238" s="19">
        <v>141.28849733579401</v>
      </c>
      <c r="CO238" s="19">
        <v>0.21400000000000002</v>
      </c>
      <c r="CP238" s="19">
        <v>0.27864343669182401</v>
      </c>
      <c r="CQ238" s="19">
        <v>133.01284729418299</v>
      </c>
      <c r="CR238" s="19">
        <v>124.31107223755419</v>
      </c>
      <c r="CS238" s="19">
        <v>7.7</v>
      </c>
      <c r="CT238" s="19">
        <v>2.4000000000000092</v>
      </c>
      <c r="CU238" s="19">
        <v>2.1679344032079628</v>
      </c>
      <c r="CV238" s="19">
        <v>4.5679344032079721</v>
      </c>
      <c r="CW238" s="19">
        <v>5.1000000000000085</v>
      </c>
      <c r="CX238" s="19">
        <v>1.6019279712948222</v>
      </c>
      <c r="CY238" s="19">
        <v>4.7183205508899153</v>
      </c>
      <c r="CZ238" s="19">
        <v>8.7631687670529992</v>
      </c>
      <c r="DA238" s="19">
        <v>3.0314533504647847</v>
      </c>
      <c r="DB238" s="19">
        <v>5.7392343195436908</v>
      </c>
      <c r="DC238" s="19">
        <v>3.9951535431103173</v>
      </c>
      <c r="DD238" s="19">
        <v>9.7343878626540175</v>
      </c>
      <c r="DE238" s="19">
        <v>5.3999999999999995</v>
      </c>
      <c r="DF238" s="23">
        <v>2443.22570881108</v>
      </c>
      <c r="DG238" s="23">
        <v>0</v>
      </c>
      <c r="DH238" s="23">
        <v>2970.9624619142701</v>
      </c>
      <c r="DI238" s="19">
        <v>4.28</v>
      </c>
      <c r="DJ238" s="19">
        <v>0.42799999999999999</v>
      </c>
      <c r="DK238" s="19">
        <v>38.909090909090999</v>
      </c>
      <c r="DL238" s="19">
        <v>2.14</v>
      </c>
      <c r="DM238" s="19">
        <v>0</v>
      </c>
      <c r="DN238" s="19">
        <v>2.14</v>
      </c>
      <c r="DO238" s="19">
        <v>2.14</v>
      </c>
      <c r="DP238" s="19">
        <v>3.3072727272727298</v>
      </c>
      <c r="DQ238" s="19">
        <v>2.33454545454546E-2</v>
      </c>
      <c r="DR238" s="19">
        <v>21.4</v>
      </c>
      <c r="DS238" s="19">
        <v>10.7</v>
      </c>
      <c r="DT238" s="19">
        <v>0</v>
      </c>
      <c r="DU238" s="19">
        <v>0</v>
      </c>
      <c r="DV238" s="19">
        <v>5.8363636363636402E-2</v>
      </c>
      <c r="DW238" s="17" t="s">
        <v>218</v>
      </c>
      <c r="DX238" s="22" t="s">
        <v>218</v>
      </c>
      <c r="DY238" s="22" t="s">
        <v>218</v>
      </c>
      <c r="DZ238" s="22" t="s">
        <v>218</v>
      </c>
      <c r="EA238" s="22" t="s">
        <v>218</v>
      </c>
      <c r="EB238" s="22" t="s">
        <v>218</v>
      </c>
      <c r="EC238" s="22" t="s">
        <v>218</v>
      </c>
      <c r="ED238" s="22" t="s">
        <v>218</v>
      </c>
      <c r="EE238" s="22" t="s">
        <v>218</v>
      </c>
      <c r="EF238" s="22" t="s">
        <v>218</v>
      </c>
      <c r="EG238" s="22" t="s">
        <v>218</v>
      </c>
      <c r="EH238" s="22" t="s">
        <v>218</v>
      </c>
      <c r="EI238" s="22" t="s">
        <v>218</v>
      </c>
      <c r="EJ238" s="22" t="s">
        <v>218</v>
      </c>
      <c r="EK238" s="22" t="s">
        <v>218</v>
      </c>
      <c r="EL238" s="22" t="s">
        <v>218</v>
      </c>
      <c r="EM238" s="22" t="s">
        <v>218</v>
      </c>
      <c r="EN238" s="22" t="s">
        <v>218</v>
      </c>
      <c r="EO238" s="22" t="s">
        <v>218</v>
      </c>
      <c r="EP238" s="22" t="s">
        <v>218</v>
      </c>
      <c r="EQ238" s="22" t="s">
        <v>218</v>
      </c>
      <c r="ER238" s="22" t="s">
        <v>218</v>
      </c>
      <c r="ES238" s="22" t="s">
        <v>218</v>
      </c>
      <c r="ET238" s="22" t="s">
        <v>218</v>
      </c>
      <c r="EU238" s="22" t="s">
        <v>218</v>
      </c>
      <c r="EV238" s="22" t="s">
        <v>218</v>
      </c>
      <c r="EW238" s="22" t="s">
        <v>218</v>
      </c>
      <c r="EX238" s="22" t="s">
        <v>218</v>
      </c>
      <c r="EY238" s="22" t="s">
        <v>218</v>
      </c>
      <c r="EZ238" s="22" t="s">
        <v>218</v>
      </c>
      <c r="FA238" s="22" t="s">
        <v>218</v>
      </c>
      <c r="FB238" s="22" t="s">
        <v>218</v>
      </c>
      <c r="FC238" s="22" t="s">
        <v>218</v>
      </c>
      <c r="FD238" s="22" t="s">
        <v>218</v>
      </c>
      <c r="FE238" s="22" t="s">
        <v>218</v>
      </c>
      <c r="FF238" s="22" t="s">
        <v>218</v>
      </c>
      <c r="FG238" s="22" t="s">
        <v>218</v>
      </c>
      <c r="FH238" s="22" t="s">
        <v>218</v>
      </c>
      <c r="FI238" s="22" t="s">
        <v>218</v>
      </c>
      <c r="FJ238" s="22" t="s">
        <v>218</v>
      </c>
      <c r="FK238" s="22" t="s">
        <v>218</v>
      </c>
      <c r="FL238" s="22" t="s">
        <v>218</v>
      </c>
      <c r="FM238" s="22" t="s">
        <v>218</v>
      </c>
      <c r="FN238" s="22" t="s">
        <v>218</v>
      </c>
      <c r="FO238" s="22" t="s">
        <v>218</v>
      </c>
      <c r="FP238" s="22" t="s">
        <v>218</v>
      </c>
      <c r="FQ238" s="22" t="s">
        <v>218</v>
      </c>
      <c r="FR238" s="22" t="s">
        <v>218</v>
      </c>
      <c r="FS238" s="22" t="s">
        <v>218</v>
      </c>
      <c r="FT238" s="22" t="s">
        <v>218</v>
      </c>
      <c r="FU238" s="22" t="s">
        <v>218</v>
      </c>
      <c r="FV238" s="22" t="s">
        <v>218</v>
      </c>
      <c r="FW238" s="22" t="s">
        <v>218</v>
      </c>
      <c r="FX238" s="22" t="s">
        <v>218</v>
      </c>
      <c r="FY238" s="22" t="s">
        <v>218</v>
      </c>
      <c r="FZ238" s="22" t="s">
        <v>218</v>
      </c>
      <c r="GA238" s="22" t="s">
        <v>218</v>
      </c>
      <c r="GB238" s="22" t="s">
        <v>218</v>
      </c>
      <c r="GC238" s="22" t="s">
        <v>218</v>
      </c>
      <c r="GD238" s="22" t="s">
        <v>218</v>
      </c>
      <c r="GE238" s="22" t="s">
        <v>218</v>
      </c>
      <c r="GF238" s="22" t="s">
        <v>218</v>
      </c>
      <c r="GG238" s="22" t="s">
        <v>218</v>
      </c>
      <c r="GH238" s="22" t="s">
        <v>218</v>
      </c>
      <c r="GI238" s="22" t="s">
        <v>218</v>
      </c>
      <c r="GJ238" s="22" t="s">
        <v>218</v>
      </c>
      <c r="GK238" s="22" t="s">
        <v>218</v>
      </c>
      <c r="GL238" s="22" t="s">
        <v>218</v>
      </c>
      <c r="GM238" s="22" t="s">
        <v>218</v>
      </c>
      <c r="GN238" s="22" t="s">
        <v>218</v>
      </c>
      <c r="GO238" s="22" t="s">
        <v>218</v>
      </c>
      <c r="GP238" s="22" t="s">
        <v>218</v>
      </c>
      <c r="GQ238" s="22" t="s">
        <v>218</v>
      </c>
      <c r="GR238" s="22" t="s">
        <v>218</v>
      </c>
      <c r="GS238" s="22" t="s">
        <v>218</v>
      </c>
      <c r="GT238" s="22" t="s">
        <v>218</v>
      </c>
      <c r="GU238" s="22" t="s">
        <v>218</v>
      </c>
      <c r="GV238" s="22" t="s">
        <v>218</v>
      </c>
      <c r="GW238" s="22" t="s">
        <v>218</v>
      </c>
      <c r="GX238" s="22" t="s">
        <v>218</v>
      </c>
      <c r="GY238" s="22" t="s">
        <v>218</v>
      </c>
      <c r="GZ238" s="22" t="s">
        <v>218</v>
      </c>
      <c r="HA238" s="22" t="s">
        <v>218</v>
      </c>
      <c r="HB238" s="22" t="s">
        <v>218</v>
      </c>
      <c r="HC238" s="22" t="s">
        <v>218</v>
      </c>
      <c r="HD238" s="22" t="s">
        <v>218</v>
      </c>
      <c r="HE238" s="22" t="s">
        <v>218</v>
      </c>
      <c r="HF238" s="22" t="s">
        <v>218</v>
      </c>
      <c r="HG238" s="22" t="s">
        <v>218</v>
      </c>
      <c r="HH238" s="22" t="s">
        <v>218</v>
      </c>
      <c r="HI238" s="22" t="s">
        <v>218</v>
      </c>
      <c r="HJ238" s="22" t="s">
        <v>218</v>
      </c>
      <c r="HK238" s="22" t="s">
        <v>218</v>
      </c>
      <c r="HL238" s="22" t="s">
        <v>218</v>
      </c>
      <c r="HM238" s="622">
        <f>'background data'!$G$10</f>
        <v>0.47300000000000003</v>
      </c>
      <c r="HN238" s="622">
        <f>'background data'!$H$10</f>
        <v>0.13</v>
      </c>
      <c r="HO238" s="622">
        <f>'background data'!$J$10</f>
        <v>0.39100000000000001</v>
      </c>
      <c r="HP238" s="622">
        <f>'background data'!$L$10</f>
        <v>5.5E-2</v>
      </c>
      <c r="HQ238" s="622">
        <f>'background data'!$M$10</f>
        <v>3.97</v>
      </c>
      <c r="HR238" s="622">
        <f>'background data'!$N$10</f>
        <v>4.5999999999999999E-3</v>
      </c>
      <c r="HS238" s="622">
        <f>'background data'!$O$10</f>
        <v>2.73</v>
      </c>
      <c r="HT238" s="145" t="s">
        <v>1797</v>
      </c>
      <c r="HU238" s="145" t="s">
        <v>1809</v>
      </c>
      <c r="HV238" s="22" t="s">
        <v>1926</v>
      </c>
      <c r="HW238" s="22">
        <v>0</v>
      </c>
      <c r="HX238" s="22">
        <v>0</v>
      </c>
      <c r="HY238" s="22">
        <v>0</v>
      </c>
      <c r="HZ238" s="19"/>
      <c r="IA238" s="19"/>
      <c r="IB238" s="622">
        <f>'background data'!$G$10</f>
        <v>0.47300000000000003</v>
      </c>
      <c r="IC238" s="622">
        <f>'background data'!$H$10</f>
        <v>0.13</v>
      </c>
      <c r="ID238" s="622">
        <f>'background data'!$J$10</f>
        <v>0.39100000000000001</v>
      </c>
      <c r="IE238" s="622">
        <f>'background data'!$L$10</f>
        <v>5.5E-2</v>
      </c>
      <c r="IF238" s="622">
        <f>'background data'!$M$10</f>
        <v>3.97</v>
      </c>
      <c r="IG238" s="622">
        <f>'background data'!$N$10</f>
        <v>4.5999999999999999E-3</v>
      </c>
      <c r="IH238" s="622">
        <f>'background data'!$O$10</f>
        <v>2.73</v>
      </c>
      <c r="II238" s="145" t="s">
        <v>1797</v>
      </c>
      <c r="IJ238" s="145"/>
      <c r="IK238" s="145"/>
      <c r="IL238" s="145"/>
      <c r="IM238" s="145"/>
      <c r="IN238" s="145"/>
      <c r="IO238" s="145"/>
      <c r="IP238" s="145"/>
      <c r="IQ238" s="145"/>
      <c r="IR238" s="145"/>
      <c r="IS238" s="145"/>
      <c r="IT238" s="145"/>
      <c r="IU238" s="145"/>
      <c r="IV238" s="145"/>
      <c r="IW238" s="145"/>
      <c r="IX238" s="145"/>
      <c r="IY238" s="145"/>
      <c r="IZ238" s="145"/>
      <c r="JA238" s="145"/>
      <c r="JB238" s="145"/>
      <c r="JC238" s="145"/>
      <c r="JD238" s="145"/>
      <c r="JE238" s="145"/>
      <c r="JF238" s="145"/>
      <c r="JG238" s="145"/>
      <c r="JH238" s="145"/>
      <c r="JI238" s="145"/>
      <c r="JJ238" s="145"/>
      <c r="JK238" s="145"/>
      <c r="JL238" s="145"/>
      <c r="JM238" s="145"/>
      <c r="JN238" s="145"/>
      <c r="JO238" s="145"/>
      <c r="JP238" s="145"/>
      <c r="JQ238" s="145"/>
      <c r="JR238" s="145"/>
      <c r="JS238" s="145"/>
      <c r="JT238" s="145"/>
      <c r="JU238" s="145"/>
      <c r="JV238" s="145"/>
      <c r="JW238" s="145"/>
      <c r="JX238" s="145"/>
      <c r="JY238" s="145"/>
      <c r="JZ238" s="145"/>
      <c r="KA238" s="145"/>
      <c r="KB238" s="145"/>
      <c r="KC238" s="145"/>
      <c r="KD238" s="145"/>
      <c r="KE238" s="145"/>
      <c r="KF238" s="145"/>
      <c r="KG238" s="145"/>
      <c r="KH238" s="145"/>
      <c r="KI238" s="145"/>
      <c r="KJ238" s="145"/>
      <c r="KK238" s="145"/>
      <c r="KL238" s="145"/>
      <c r="KM238" s="145"/>
      <c r="KN238" s="145"/>
      <c r="KO238" s="145"/>
      <c r="KP238" s="145"/>
      <c r="KQ238" s="145"/>
      <c r="KR238" s="145"/>
      <c r="KS238" s="145"/>
      <c r="KT238" s="145"/>
      <c r="KU238" s="145"/>
      <c r="KV238" s="145"/>
      <c r="KW238" s="145"/>
      <c r="KX238" s="145"/>
      <c r="KY238" s="145"/>
      <c r="KZ238" s="145"/>
      <c r="LA238" s="145"/>
      <c r="LB238" s="145"/>
      <c r="LC238" s="145"/>
      <c r="LD238" s="145"/>
      <c r="LE238" s="145"/>
      <c r="LF238" s="145"/>
      <c r="LG238" s="145"/>
      <c r="LH238" s="145"/>
      <c r="LI238" s="145"/>
      <c r="LJ238" s="145"/>
      <c r="LK238" s="145"/>
      <c r="LL238" s="145"/>
      <c r="LM238" s="145"/>
      <c r="LN238" s="145"/>
      <c r="LO238" s="145"/>
      <c r="LP238" s="145"/>
      <c r="LQ238" s="145"/>
      <c r="LR238" s="145"/>
      <c r="LS238" s="145"/>
      <c r="LT238" s="145"/>
      <c r="LU238" s="145"/>
      <c r="LV238" s="145"/>
      <c r="LW238" s="145"/>
      <c r="LX238" s="145"/>
      <c r="LY238" s="145"/>
      <c r="LZ238" s="145"/>
      <c r="MA238" s="145"/>
      <c r="MB238" s="145"/>
      <c r="MC238" s="145"/>
      <c r="MD238" s="145"/>
      <c r="ME238" s="145"/>
      <c r="MF238" s="145"/>
      <c r="MG238" s="145"/>
      <c r="MH238" s="145"/>
      <c r="MI238" s="145"/>
      <c r="MJ238" s="145"/>
      <c r="MK238" s="145"/>
      <c r="ML238" s="145"/>
      <c r="MM238" s="145"/>
      <c r="MN238" s="145"/>
      <c r="MO238" s="145"/>
      <c r="MP238" s="145"/>
      <c r="MQ238" s="145"/>
      <c r="MR238" s="145"/>
      <c r="MS238" s="145"/>
      <c r="MT238" s="145"/>
      <c r="MU238" s="145"/>
      <c r="MV238" s="145"/>
      <c r="MW238" s="145"/>
      <c r="MX238" s="145"/>
      <c r="MY238" s="145"/>
      <c r="MZ238" s="145"/>
      <c r="NA238" s="145"/>
      <c r="NB238" s="145"/>
      <c r="NC238" s="145"/>
      <c r="ND238" s="145"/>
      <c r="NE238" s="145"/>
      <c r="NF238" s="145"/>
      <c r="NG238" s="145"/>
      <c r="NH238" s="145"/>
      <c r="NI238" s="145"/>
      <c r="NJ238" s="145"/>
      <c r="NK238" s="145"/>
      <c r="NL238" s="145"/>
      <c r="NM238" s="145"/>
      <c r="NN238" s="145"/>
      <c r="NO238" s="145"/>
      <c r="NP238" s="145"/>
      <c r="NQ238" s="145"/>
      <c r="NR238" s="145"/>
      <c r="NS238" s="145"/>
    </row>
    <row r="239" spans="1:383" s="16" customFormat="1" ht="15" customHeight="1" x14ac:dyDescent="0.2">
      <c r="A239" s="15">
        <v>10100</v>
      </c>
      <c r="B239" s="25">
        <v>101</v>
      </c>
      <c r="C239" s="26">
        <v>0</v>
      </c>
      <c r="D239" s="20" t="s">
        <v>688</v>
      </c>
      <c r="E239" s="14">
        <v>41697</v>
      </c>
      <c r="F239" s="18">
        <v>1.08999982927987</v>
      </c>
      <c r="G239" s="18">
        <v>1.08092893568316</v>
      </c>
      <c r="H239" s="21">
        <v>90.955421095269799</v>
      </c>
      <c r="I239" s="21">
        <v>84.009436413753406</v>
      </c>
      <c r="J239" s="21">
        <v>94.560527566907197</v>
      </c>
      <c r="K239" s="18">
        <v>1</v>
      </c>
      <c r="L239" s="18">
        <v>86.149937370976602</v>
      </c>
      <c r="M239" s="18">
        <v>16.190688925869999</v>
      </c>
      <c r="N239" s="18">
        <v>3.2684726156766599</v>
      </c>
      <c r="O239" s="18">
        <v>5.2887374357576897</v>
      </c>
      <c r="P239" s="18">
        <v>3.0643202550879902</v>
      </c>
      <c r="Q239" s="19"/>
      <c r="R239" s="18">
        <v>85.499758925521505</v>
      </c>
      <c r="S239" s="18">
        <v>51.510952787349197</v>
      </c>
      <c r="T239" s="18">
        <v>56.565359919570199</v>
      </c>
      <c r="U239" s="18">
        <v>58.746795055641201</v>
      </c>
      <c r="V239" s="18">
        <v>60.310572459628503</v>
      </c>
      <c r="W239" s="18">
        <v>61.528581433576299</v>
      </c>
      <c r="X239" s="18"/>
      <c r="Y239" s="18">
        <v>8.8566518245322623</v>
      </c>
      <c r="Z239" s="18">
        <v>5.3464803806302594</v>
      </c>
      <c r="AA239" s="18">
        <v>1.8978539623997703</v>
      </c>
      <c r="AB239" s="18">
        <v>4.4753210285184846</v>
      </c>
      <c r="AC239" s="18">
        <v>8.9385803261253436</v>
      </c>
      <c r="AD239" s="18">
        <v>1.5366306478694347</v>
      </c>
      <c r="AE239" s="18">
        <v>1.6777450973184207</v>
      </c>
      <c r="AF239" s="18">
        <v>102.74109268010004</v>
      </c>
      <c r="AG239" s="18">
        <v>30.343955463352952</v>
      </c>
      <c r="AH239" s="18">
        <v>79.694314331503492</v>
      </c>
      <c r="AI239" s="18">
        <v>164.78186473348188</v>
      </c>
      <c r="AJ239" s="18">
        <v>0.25304719498663603</v>
      </c>
      <c r="AK239" s="18">
        <v>0.33355499763007374</v>
      </c>
      <c r="AL239" s="18"/>
      <c r="AM239" s="18">
        <v>6.2696686875797401</v>
      </c>
      <c r="AN239" s="18">
        <v>1.92604176471432</v>
      </c>
      <c r="AO239" s="18">
        <v>1.7911155910857399</v>
      </c>
      <c r="AP239" s="18">
        <v>4.2251388418681497</v>
      </c>
      <c r="AQ239" s="18">
        <v>1.31793550946733</v>
      </c>
      <c r="AR239" s="18">
        <v>3.8544529788241899</v>
      </c>
      <c r="AS239" s="18">
        <v>7.0522898683398401</v>
      </c>
      <c r="AT239" s="18">
        <v>2.4055187497498198</v>
      </c>
      <c r="AU239" s="18">
        <v>4.6108737458735698</v>
      </c>
      <c r="AV239" s="18">
        <v>3.22845335968222</v>
      </c>
      <c r="AW239" s="18">
        <v>4.6147910650506399</v>
      </c>
      <c r="AX239" s="18"/>
      <c r="AY239" s="18">
        <v>1.0423889038687</v>
      </c>
      <c r="AZ239" s="18">
        <v>1.0629281939749899</v>
      </c>
      <c r="BA239" s="18">
        <v>0.97454216694848605</v>
      </c>
      <c r="BB239" s="18">
        <v>1.0063500072004701</v>
      </c>
      <c r="BC239" s="18">
        <v>1.0106733875259499</v>
      </c>
      <c r="BD239" s="18">
        <v>1.0027730842504601</v>
      </c>
      <c r="BE239" s="18">
        <v>1.0039575749193399</v>
      </c>
      <c r="BF239" s="18">
        <v>1.0121596164583899</v>
      </c>
      <c r="BG239" s="18">
        <v>1.01810467617098</v>
      </c>
      <c r="BH239" s="18">
        <v>1.0097692437567001</v>
      </c>
      <c r="BI239" s="18">
        <v>0.989628581117172</v>
      </c>
      <c r="BJ239" s="19"/>
      <c r="BK239" s="18">
        <v>18.793616594461444</v>
      </c>
      <c r="BL239" s="18">
        <v>3.7939349875578539</v>
      </c>
      <c r="BM239" s="18">
        <v>6.1389916199050347</v>
      </c>
      <c r="BN239" s="18">
        <v>3.5569616747282065</v>
      </c>
      <c r="BO239" s="18"/>
      <c r="BP239" s="18">
        <v>0</v>
      </c>
      <c r="BQ239" s="18">
        <v>0</v>
      </c>
      <c r="BR239" s="18">
        <v>1.2652357767668958</v>
      </c>
      <c r="BS239" s="18">
        <v>1.2547065832775852</v>
      </c>
      <c r="BT239" s="19"/>
      <c r="BU239" s="18">
        <v>938.6100838009495</v>
      </c>
      <c r="BV239" s="18">
        <v>552.75694143207568</v>
      </c>
      <c r="BW239" s="18">
        <v>93.136732342831564</v>
      </c>
      <c r="BX239" s="18">
        <v>511.40961788046343</v>
      </c>
      <c r="BY239" s="18">
        <v>35.421754704633592</v>
      </c>
      <c r="BZ239" s="18">
        <v>23.565625993216269</v>
      </c>
      <c r="CA239" s="18">
        <v>93.475064581845004</v>
      </c>
      <c r="CB239" s="19"/>
      <c r="CC239" s="19">
        <v>7.6300000000000008</v>
      </c>
      <c r="CD239" s="19">
        <v>4.6059894994645196</v>
      </c>
      <c r="CE239" s="19">
        <v>1.635</v>
      </c>
      <c r="CF239" s="19">
        <v>3.8554862632188205</v>
      </c>
      <c r="CG239" s="19">
        <v>7.7005813528114198</v>
      </c>
      <c r="CH239" s="19">
        <v>1.3238063407627501</v>
      </c>
      <c r="CI239" s="19">
        <v>1.4453763505844499</v>
      </c>
      <c r="CJ239" s="19"/>
      <c r="CK239" s="19">
        <v>88.511386998163218</v>
      </c>
      <c r="CL239" s="19">
        <v>26.141298627555603</v>
      </c>
      <c r="CM239" s="19">
        <v>68.656601884819494</v>
      </c>
      <c r="CN239" s="19">
        <v>141.95947326662201</v>
      </c>
      <c r="CO239" s="19">
        <v>0.21799999999999997</v>
      </c>
      <c r="CP239" s="19">
        <v>0.28735742155607102</v>
      </c>
      <c r="CQ239" s="19">
        <v>138.43</v>
      </c>
      <c r="CR239" s="19">
        <v>127.00001989124762</v>
      </c>
      <c r="CS239" s="19">
        <v>8.3000012999791561</v>
      </c>
      <c r="CT239" s="19">
        <v>2.6000004072223923</v>
      </c>
      <c r="CU239" s="19">
        <v>2.2168077873329755</v>
      </c>
      <c r="CV239" s="19">
        <v>4.8168081945553674</v>
      </c>
      <c r="CW239" s="19">
        <v>5.4000008457695925</v>
      </c>
      <c r="CX239" s="19">
        <v>1.691643244237371</v>
      </c>
      <c r="CY239" s="19">
        <v>4.9087307299507508</v>
      </c>
      <c r="CZ239" s="19">
        <v>8.9918551973253553</v>
      </c>
      <c r="DA239" s="19">
        <v>3.0921570319213214</v>
      </c>
      <c r="DB239" s="19">
        <v>5.961828128588242</v>
      </c>
      <c r="DC239" s="19">
        <v>4.1401916409910777</v>
      </c>
      <c r="DD239" s="19">
        <v>10.102019769579293</v>
      </c>
      <c r="DE239" s="19">
        <v>5.8000009084191912</v>
      </c>
      <c r="DF239" s="23">
        <v>2447.4414025845599</v>
      </c>
      <c r="DG239" s="23">
        <v>0</v>
      </c>
      <c r="DH239" s="23">
        <v>0</v>
      </c>
      <c r="DI239" s="19">
        <v>4.3600000000000003</v>
      </c>
      <c r="DJ239" s="19">
        <v>0.436</v>
      </c>
      <c r="DK239" s="19">
        <v>39.636363636363598</v>
      </c>
      <c r="DL239" s="19">
        <v>2.1800000000000002</v>
      </c>
      <c r="DM239" s="19">
        <v>0</v>
      </c>
      <c r="DN239" s="19">
        <v>2.1800000000000002</v>
      </c>
      <c r="DO239" s="19">
        <v>2.1800000000000002</v>
      </c>
      <c r="DP239" s="19">
        <v>3.36909090909091</v>
      </c>
      <c r="DQ239" s="19">
        <v>2.3781818181818098E-2</v>
      </c>
      <c r="DR239" s="19">
        <v>21.8</v>
      </c>
      <c r="DS239" s="19">
        <v>10.9</v>
      </c>
      <c r="DT239" s="19">
        <v>0</v>
      </c>
      <c r="DU239" s="19">
        <v>0</v>
      </c>
      <c r="DV239" s="19">
        <v>5.9454545454545503E-2</v>
      </c>
      <c r="DW239" s="17" t="s">
        <v>218</v>
      </c>
      <c r="DX239" s="22" t="s">
        <v>218</v>
      </c>
      <c r="DY239" s="22" t="s">
        <v>218</v>
      </c>
      <c r="DZ239" s="22" t="s">
        <v>218</v>
      </c>
      <c r="EA239" s="22" t="s">
        <v>218</v>
      </c>
      <c r="EB239" s="22" t="s">
        <v>218</v>
      </c>
      <c r="EC239" s="22" t="s">
        <v>218</v>
      </c>
      <c r="ED239" s="22" t="s">
        <v>218</v>
      </c>
      <c r="EE239" s="22" t="s">
        <v>218</v>
      </c>
      <c r="EF239" s="22" t="s">
        <v>218</v>
      </c>
      <c r="EG239" s="22" t="s">
        <v>218</v>
      </c>
      <c r="EH239" s="22" t="s">
        <v>218</v>
      </c>
      <c r="EI239" s="22" t="s">
        <v>218</v>
      </c>
      <c r="EJ239" s="22" t="s">
        <v>218</v>
      </c>
      <c r="EK239" s="22" t="s">
        <v>218</v>
      </c>
      <c r="EL239" s="22" t="s">
        <v>218</v>
      </c>
      <c r="EM239" s="22" t="s">
        <v>218</v>
      </c>
      <c r="EN239" s="22" t="s">
        <v>218</v>
      </c>
      <c r="EO239" s="22" t="s">
        <v>218</v>
      </c>
      <c r="EP239" s="22" t="s">
        <v>218</v>
      </c>
      <c r="EQ239" s="22" t="s">
        <v>218</v>
      </c>
      <c r="ER239" s="22" t="s">
        <v>218</v>
      </c>
      <c r="ES239" s="22" t="s">
        <v>218</v>
      </c>
      <c r="ET239" s="22" t="s">
        <v>218</v>
      </c>
      <c r="EU239" s="22" t="s">
        <v>218</v>
      </c>
      <c r="EV239" s="22" t="s">
        <v>218</v>
      </c>
      <c r="EW239" s="22" t="s">
        <v>218</v>
      </c>
      <c r="EX239" s="22" t="s">
        <v>218</v>
      </c>
      <c r="EY239" s="22" t="s">
        <v>218</v>
      </c>
      <c r="EZ239" s="22" t="s">
        <v>218</v>
      </c>
      <c r="FA239" s="22" t="s">
        <v>218</v>
      </c>
      <c r="FB239" s="22" t="s">
        <v>218</v>
      </c>
      <c r="FC239" s="22" t="s">
        <v>218</v>
      </c>
      <c r="FD239" s="22" t="s">
        <v>218</v>
      </c>
      <c r="FE239" s="22" t="s">
        <v>218</v>
      </c>
      <c r="FF239" s="22" t="s">
        <v>218</v>
      </c>
      <c r="FG239" s="22" t="s">
        <v>218</v>
      </c>
      <c r="FH239" s="22" t="s">
        <v>218</v>
      </c>
      <c r="FI239" s="22" t="s">
        <v>218</v>
      </c>
      <c r="FJ239" s="22" t="s">
        <v>218</v>
      </c>
      <c r="FK239" s="22" t="s">
        <v>218</v>
      </c>
      <c r="FL239" s="22" t="s">
        <v>218</v>
      </c>
      <c r="FM239" s="22" t="s">
        <v>218</v>
      </c>
      <c r="FN239" s="22" t="s">
        <v>218</v>
      </c>
      <c r="FO239" s="22" t="s">
        <v>218</v>
      </c>
      <c r="FP239" s="22" t="s">
        <v>218</v>
      </c>
      <c r="FQ239" s="22" t="s">
        <v>218</v>
      </c>
      <c r="FR239" s="22" t="s">
        <v>218</v>
      </c>
      <c r="FS239" s="22" t="s">
        <v>218</v>
      </c>
      <c r="FT239" s="22" t="s">
        <v>218</v>
      </c>
      <c r="FU239" s="22" t="s">
        <v>218</v>
      </c>
      <c r="FV239" s="22" t="s">
        <v>218</v>
      </c>
      <c r="FW239" s="22" t="s">
        <v>218</v>
      </c>
      <c r="FX239" s="22" t="s">
        <v>218</v>
      </c>
      <c r="FY239" s="22" t="s">
        <v>218</v>
      </c>
      <c r="FZ239" s="22" t="s">
        <v>218</v>
      </c>
      <c r="GA239" s="22" t="s">
        <v>218</v>
      </c>
      <c r="GB239" s="22" t="s">
        <v>218</v>
      </c>
      <c r="GC239" s="22" t="s">
        <v>218</v>
      </c>
      <c r="GD239" s="22" t="s">
        <v>218</v>
      </c>
      <c r="GE239" s="22" t="s">
        <v>218</v>
      </c>
      <c r="GF239" s="22" t="s">
        <v>218</v>
      </c>
      <c r="GG239" s="22" t="s">
        <v>218</v>
      </c>
      <c r="GH239" s="22" t="s">
        <v>218</v>
      </c>
      <c r="GI239" s="22" t="s">
        <v>218</v>
      </c>
      <c r="GJ239" s="22" t="s">
        <v>218</v>
      </c>
      <c r="GK239" s="22" t="s">
        <v>218</v>
      </c>
      <c r="GL239" s="22" t="s">
        <v>218</v>
      </c>
      <c r="GM239" s="22" t="s">
        <v>218</v>
      </c>
      <c r="GN239" s="22" t="s">
        <v>218</v>
      </c>
      <c r="GO239" s="22" t="s">
        <v>218</v>
      </c>
      <c r="GP239" s="22" t="s">
        <v>218</v>
      </c>
      <c r="GQ239" s="22" t="s">
        <v>218</v>
      </c>
      <c r="GR239" s="22" t="s">
        <v>218</v>
      </c>
      <c r="GS239" s="22" t="s">
        <v>218</v>
      </c>
      <c r="GT239" s="22" t="s">
        <v>218</v>
      </c>
      <c r="GU239" s="22" t="s">
        <v>218</v>
      </c>
      <c r="GV239" s="22" t="s">
        <v>218</v>
      </c>
      <c r="GW239" s="22" t="s">
        <v>218</v>
      </c>
      <c r="GX239" s="22" t="s">
        <v>218</v>
      </c>
      <c r="GY239" s="22" t="s">
        <v>218</v>
      </c>
      <c r="GZ239" s="22" t="s">
        <v>218</v>
      </c>
      <c r="HA239" s="22" t="s">
        <v>218</v>
      </c>
      <c r="HB239" s="22" t="s">
        <v>218</v>
      </c>
      <c r="HC239" s="22" t="s">
        <v>218</v>
      </c>
      <c r="HD239" s="22" t="s">
        <v>218</v>
      </c>
      <c r="HE239" s="22" t="s">
        <v>218</v>
      </c>
      <c r="HF239" s="22" t="s">
        <v>218</v>
      </c>
      <c r="HG239" s="22" t="s">
        <v>218</v>
      </c>
      <c r="HH239" s="22" t="s">
        <v>218</v>
      </c>
      <c r="HI239" s="22" t="s">
        <v>218</v>
      </c>
      <c r="HJ239" s="22" t="s">
        <v>218</v>
      </c>
      <c r="HK239" s="22" t="s">
        <v>218</v>
      </c>
      <c r="HL239" s="22" t="s">
        <v>218</v>
      </c>
      <c r="HM239" s="622">
        <f>'background data'!$G$10</f>
        <v>0.47300000000000003</v>
      </c>
      <c r="HN239" s="622">
        <f>'background data'!$H$10</f>
        <v>0.13</v>
      </c>
      <c r="HO239" s="622">
        <f>'background data'!$J$10</f>
        <v>0.39100000000000001</v>
      </c>
      <c r="HP239" s="622">
        <f>'background data'!$L$10</f>
        <v>5.5E-2</v>
      </c>
      <c r="HQ239" s="622">
        <f>'background data'!$M$10</f>
        <v>3.97</v>
      </c>
      <c r="HR239" s="622">
        <f>'background data'!$N$10</f>
        <v>4.5999999999999999E-3</v>
      </c>
      <c r="HS239" s="622">
        <f>'background data'!$O$10</f>
        <v>2.73</v>
      </c>
      <c r="HT239" s="145" t="s">
        <v>1797</v>
      </c>
      <c r="HU239" s="145" t="s">
        <v>1809</v>
      </c>
      <c r="HV239" s="22" t="s">
        <v>1926</v>
      </c>
      <c r="HW239" s="22">
        <v>0</v>
      </c>
      <c r="HX239" s="22">
        <v>0</v>
      </c>
      <c r="HY239" s="22">
        <v>0</v>
      </c>
      <c r="HZ239" s="19"/>
      <c r="IA239" s="19"/>
      <c r="IB239" s="622">
        <f>'background data'!$G$10</f>
        <v>0.47300000000000003</v>
      </c>
      <c r="IC239" s="622">
        <f>'background data'!$H$10</f>
        <v>0.13</v>
      </c>
      <c r="ID239" s="622">
        <f>'background data'!$J$10</f>
        <v>0.39100000000000001</v>
      </c>
      <c r="IE239" s="622">
        <f>'background data'!$L$10</f>
        <v>5.5E-2</v>
      </c>
      <c r="IF239" s="622">
        <f>'background data'!$M$10</f>
        <v>3.97</v>
      </c>
      <c r="IG239" s="622">
        <f>'background data'!$N$10</f>
        <v>4.5999999999999999E-3</v>
      </c>
      <c r="IH239" s="622">
        <f>'background data'!$O$10</f>
        <v>2.73</v>
      </c>
      <c r="II239" s="145" t="s">
        <v>1797</v>
      </c>
      <c r="IJ239" s="145"/>
      <c r="IK239" s="145"/>
      <c r="IL239" s="145"/>
      <c r="IM239" s="145"/>
      <c r="IN239" s="145"/>
      <c r="IO239" s="145"/>
      <c r="IP239" s="145"/>
      <c r="IQ239" s="145"/>
      <c r="IR239" s="145"/>
      <c r="IS239" s="145"/>
      <c r="IT239" s="145"/>
      <c r="IU239" s="145"/>
      <c r="IV239" s="145"/>
      <c r="IW239" s="145"/>
      <c r="IX239" s="145"/>
      <c r="IY239" s="145"/>
      <c r="IZ239" s="145"/>
      <c r="JA239" s="145"/>
      <c r="JB239" s="145"/>
      <c r="JC239" s="145"/>
      <c r="JD239" s="145"/>
      <c r="JE239" s="145"/>
      <c r="JF239" s="145"/>
      <c r="JG239" s="145"/>
      <c r="JH239" s="145"/>
      <c r="JI239" s="145"/>
      <c r="JJ239" s="145"/>
      <c r="JK239" s="145"/>
      <c r="JL239" s="145"/>
      <c r="JM239" s="145"/>
      <c r="JN239" s="145"/>
      <c r="JO239" s="145"/>
      <c r="JP239" s="145"/>
      <c r="JQ239" s="145"/>
      <c r="JR239" s="145"/>
      <c r="JS239" s="145"/>
      <c r="JT239" s="145"/>
      <c r="JU239" s="145"/>
      <c r="JV239" s="145"/>
      <c r="JW239" s="145"/>
      <c r="JX239" s="145"/>
      <c r="JY239" s="145"/>
      <c r="JZ239" s="145"/>
      <c r="KA239" s="145"/>
      <c r="KB239" s="145"/>
      <c r="KC239" s="145"/>
      <c r="KD239" s="145"/>
      <c r="KE239" s="145"/>
      <c r="KF239" s="145"/>
      <c r="KG239" s="145"/>
      <c r="KH239" s="145"/>
      <c r="KI239" s="145"/>
      <c r="KJ239" s="145"/>
      <c r="KK239" s="145"/>
      <c r="KL239" s="145"/>
      <c r="KM239" s="145"/>
      <c r="KN239" s="145"/>
      <c r="KO239" s="145"/>
      <c r="KP239" s="145"/>
      <c r="KQ239" s="145"/>
      <c r="KR239" s="145"/>
      <c r="KS239" s="145"/>
      <c r="KT239" s="145"/>
      <c r="KU239" s="145"/>
      <c r="KV239" s="145"/>
      <c r="KW239" s="145"/>
      <c r="KX239" s="145"/>
      <c r="KY239" s="145"/>
      <c r="KZ239" s="145"/>
      <c r="LA239" s="145"/>
      <c r="LB239" s="145"/>
      <c r="LC239" s="145"/>
      <c r="LD239" s="145"/>
      <c r="LE239" s="145"/>
      <c r="LF239" s="145"/>
      <c r="LG239" s="145"/>
      <c r="LH239" s="145"/>
      <c r="LI239" s="145"/>
      <c r="LJ239" s="145"/>
      <c r="LK239" s="145"/>
      <c r="LL239" s="145"/>
      <c r="LM239" s="145"/>
      <c r="LN239" s="145"/>
      <c r="LO239" s="145"/>
      <c r="LP239" s="145"/>
      <c r="LQ239" s="145"/>
      <c r="LR239" s="145"/>
      <c r="LS239" s="145"/>
      <c r="LT239" s="145"/>
      <c r="LU239" s="145"/>
      <c r="LV239" s="145"/>
      <c r="LW239" s="145"/>
      <c r="LX239" s="145"/>
      <c r="LY239" s="145"/>
      <c r="LZ239" s="145"/>
      <c r="MA239" s="145"/>
      <c r="MB239" s="145"/>
      <c r="MC239" s="145"/>
      <c r="MD239" s="145"/>
      <c r="ME239" s="145"/>
      <c r="MF239" s="145"/>
      <c r="MG239" s="145"/>
      <c r="MH239" s="145"/>
      <c r="MI239" s="145"/>
      <c r="MJ239" s="145"/>
      <c r="MK239" s="145"/>
      <c r="ML239" s="145"/>
      <c r="MM239" s="145"/>
      <c r="MN239" s="145"/>
      <c r="MO239" s="145"/>
      <c r="MP239" s="145"/>
      <c r="MQ239" s="145"/>
      <c r="MR239" s="145"/>
      <c r="MS239" s="145"/>
      <c r="MT239" s="145"/>
      <c r="MU239" s="145"/>
      <c r="MV239" s="145"/>
      <c r="MW239" s="145"/>
      <c r="MX239" s="145"/>
      <c r="MY239" s="145"/>
      <c r="MZ239" s="145"/>
      <c r="NA239" s="145"/>
      <c r="NB239" s="145"/>
      <c r="NC239" s="145"/>
      <c r="ND239" s="145"/>
      <c r="NE239" s="145"/>
      <c r="NF239" s="145"/>
      <c r="NG239" s="145"/>
      <c r="NH239" s="145"/>
      <c r="NI239" s="145"/>
      <c r="NJ239" s="145"/>
      <c r="NK239" s="145"/>
      <c r="NL239" s="145"/>
      <c r="NM239" s="145"/>
      <c r="NN239" s="145"/>
      <c r="NO239" s="145"/>
      <c r="NP239" s="145"/>
      <c r="NQ239" s="145"/>
      <c r="NR239" s="145"/>
      <c r="NS239" s="145"/>
    </row>
    <row r="240" spans="1:383" s="16" customFormat="1" ht="15" customHeight="1" x14ac:dyDescent="0.2">
      <c r="A240" s="15">
        <v>2100</v>
      </c>
      <c r="B240" s="25">
        <v>21</v>
      </c>
      <c r="C240" s="26">
        <v>0</v>
      </c>
      <c r="D240" s="20" t="s">
        <v>689</v>
      </c>
      <c r="E240" s="14">
        <v>41698</v>
      </c>
      <c r="F240" s="18">
        <v>1.06727685083183</v>
      </c>
      <c r="G240" s="18">
        <v>1.05999983250081</v>
      </c>
      <c r="H240" s="21">
        <v>89.834753942126696</v>
      </c>
      <c r="I240" s="21">
        <v>83.211472898286104</v>
      </c>
      <c r="J240" s="21">
        <v>93.856616973345197</v>
      </c>
      <c r="K240" s="18">
        <v>1</v>
      </c>
      <c r="L240" s="18">
        <v>85.913178103667093</v>
      </c>
      <c r="M240" s="18">
        <v>14.0540617840095</v>
      </c>
      <c r="N240" s="18">
        <v>2.7902306218777602</v>
      </c>
      <c r="O240" s="18">
        <v>5.2450259644203197</v>
      </c>
      <c r="P240" s="18">
        <v>3.40701309490326</v>
      </c>
      <c r="Q240" s="19"/>
      <c r="R240" s="18">
        <v>83.984485890047196</v>
      </c>
      <c r="S240" s="18">
        <v>52.326770528364897</v>
      </c>
      <c r="T240" s="18">
        <v>56.828871638818498</v>
      </c>
      <c r="U240" s="18">
        <v>58.702998583155797</v>
      </c>
      <c r="V240" s="18">
        <v>60.107574383224602</v>
      </c>
      <c r="W240" s="18">
        <v>61.135226572403901</v>
      </c>
      <c r="X240" s="18"/>
      <c r="Y240" s="18">
        <v>9.2535280098789237</v>
      </c>
      <c r="Z240" s="18">
        <v>5.4490189540904312</v>
      </c>
      <c r="AA240" s="18">
        <v>1.8507056019757846</v>
      </c>
      <c r="AB240" s="18">
        <v>4.2635321987947767</v>
      </c>
      <c r="AC240" s="18">
        <v>8.0153931530534166</v>
      </c>
      <c r="AD240" s="18">
        <v>1.4360078582583367</v>
      </c>
      <c r="AE240" s="18">
        <v>1.5218587268381265</v>
      </c>
      <c r="AF240" s="18">
        <v>93.008224158001667</v>
      </c>
      <c r="AG240" s="18">
        <v>11.850162455708926</v>
      </c>
      <c r="AH240" s="18">
        <v>74.969858268979905</v>
      </c>
      <c r="AI240" s="18">
        <v>159.24782506818499</v>
      </c>
      <c r="AJ240" s="18">
        <v>0.24676074693010344</v>
      </c>
      <c r="AK240" s="18">
        <v>0.31689854451936056</v>
      </c>
      <c r="AL240" s="18"/>
      <c r="AM240" s="18">
        <v>5.7247360540933796</v>
      </c>
      <c r="AN240" s="18">
        <v>1.7831073755629301</v>
      </c>
      <c r="AO240" s="18">
        <v>1.9070395519307599</v>
      </c>
      <c r="AP240" s="18">
        <v>3.8930915455878599</v>
      </c>
      <c r="AQ240" s="18">
        <v>1.3312317604738599</v>
      </c>
      <c r="AR240" s="18">
        <v>3.8249195980321899</v>
      </c>
      <c r="AS240" s="18">
        <v>7.05242422997582</v>
      </c>
      <c r="AT240" s="18">
        <v>2.3996759082002201</v>
      </c>
      <c r="AU240" s="18">
        <v>4.6408990437335502</v>
      </c>
      <c r="AV240" s="18">
        <v>3.2228162758406902</v>
      </c>
      <c r="AW240" s="18">
        <v>4.5873497950517796</v>
      </c>
      <c r="AX240" s="18"/>
      <c r="AY240" s="18">
        <v>1.0353648253841701</v>
      </c>
      <c r="AZ240" s="18">
        <v>1.05766160049211</v>
      </c>
      <c r="BA240" s="18">
        <v>0.979691992285043</v>
      </c>
      <c r="BB240" s="18">
        <v>0.991924867543717</v>
      </c>
      <c r="BC240" s="18">
        <v>1.0040581675503499</v>
      </c>
      <c r="BD240" s="18">
        <v>1.00382666231561</v>
      </c>
      <c r="BE240" s="18">
        <v>1.00577966375253</v>
      </c>
      <c r="BF240" s="18">
        <v>1.0114859790158901</v>
      </c>
      <c r="BG240" s="18">
        <v>1.02149306013478</v>
      </c>
      <c r="BH240" s="18">
        <v>1.00573566093148</v>
      </c>
      <c r="BI240" s="18">
        <v>0.97884310474108405</v>
      </c>
      <c r="BJ240" s="19"/>
      <c r="BK240" s="18">
        <v>16.358447090679352</v>
      </c>
      <c r="BL240" s="18">
        <v>3.2477329828387091</v>
      </c>
      <c r="BM240" s="18">
        <v>6.1050307766422183</v>
      </c>
      <c r="BN240" s="18">
        <v>3.9656466797121501</v>
      </c>
      <c r="BO240" s="18"/>
      <c r="BP240" s="18">
        <v>0</v>
      </c>
      <c r="BQ240" s="18">
        <v>0</v>
      </c>
      <c r="BR240" s="18">
        <v>1.2422737400588311</v>
      </c>
      <c r="BS240" s="18">
        <v>1.2338035396871965</v>
      </c>
      <c r="BT240" s="19"/>
      <c r="BU240" s="18">
        <v>938.94969223357805</v>
      </c>
      <c r="BV240" s="18">
        <v>574.29644294694879</v>
      </c>
      <c r="BW240" s="18">
        <v>88.841824252722972</v>
      </c>
      <c r="BX240" s="18">
        <v>535.92030663768958</v>
      </c>
      <c r="BY240" s="18">
        <v>31.20137366093202</v>
      </c>
      <c r="BZ240" s="18">
        <v>30.499755166262027</v>
      </c>
      <c r="CA240" s="18">
        <v>109.325922679231</v>
      </c>
      <c r="CB240" s="19"/>
      <c r="CC240" s="19">
        <v>7.9500000000000011</v>
      </c>
      <c r="CD240" s="19">
        <v>4.6814253589302899</v>
      </c>
      <c r="CE240" s="19">
        <v>1.59</v>
      </c>
      <c r="CF240" s="19">
        <v>3.6629360114577505</v>
      </c>
      <c r="CG240" s="19">
        <v>6.8862789952919199</v>
      </c>
      <c r="CH240" s="19">
        <v>1.23371998884814</v>
      </c>
      <c r="CI240" s="19">
        <v>1.3074771984746403</v>
      </c>
      <c r="CJ240" s="19"/>
      <c r="CK240" s="19">
        <v>79.906321271921897</v>
      </c>
      <c r="CL240" s="19">
        <v>10.180851176147101</v>
      </c>
      <c r="CM240" s="19">
        <v>64.408987858695497</v>
      </c>
      <c r="CN240" s="19">
        <v>136.81486757704599</v>
      </c>
      <c r="CO240" s="19">
        <v>0.21199999999999902</v>
      </c>
      <c r="CP240" s="19">
        <v>0.272257610960847</v>
      </c>
      <c r="CQ240" s="19">
        <v>118.03231535969999</v>
      </c>
      <c r="CR240" s="19">
        <v>110.59203173731935</v>
      </c>
      <c r="CS240" s="19">
        <v>6.555000227492374</v>
      </c>
      <c r="CT240" s="19">
        <v>2.0856818905657581</v>
      </c>
      <c r="CU240" s="19">
        <v>2.066203512106854</v>
      </c>
      <c r="CV240" s="19">
        <v>4.1518854026726117</v>
      </c>
      <c r="CW240" s="19">
        <v>4.2706819663965527</v>
      </c>
      <c r="CX240" s="19">
        <v>1.4782108324209506</v>
      </c>
      <c r="CY240" s="19">
        <v>4.2462432928027036</v>
      </c>
      <c r="CZ240" s="19">
        <v>7.8444972633528796</v>
      </c>
      <c r="DA240" s="19">
        <v>2.6843324113290024</v>
      </c>
      <c r="DB240" s="19">
        <v>5.2427769124124746</v>
      </c>
      <c r="DC240" s="19">
        <v>3.5846209151127044</v>
      </c>
      <c r="DD240" s="19">
        <v>8.8273978275251697</v>
      </c>
      <c r="DE240" s="19">
        <v>4.9659092632518052</v>
      </c>
      <c r="DF240" s="23">
        <v>2440.7152870360001</v>
      </c>
      <c r="DG240" s="23">
        <v>0</v>
      </c>
      <c r="DH240" s="23">
        <v>0</v>
      </c>
      <c r="DI240" s="19">
        <v>8.48</v>
      </c>
      <c r="DJ240" s="19">
        <v>0.84799999999999998</v>
      </c>
      <c r="DK240" s="19">
        <v>159</v>
      </c>
      <c r="DL240" s="19">
        <v>2.1199999999999899</v>
      </c>
      <c r="DM240" s="19">
        <v>0</v>
      </c>
      <c r="DN240" s="19">
        <v>2.1199999999999899</v>
      </c>
      <c r="DO240" s="19">
        <v>5.3</v>
      </c>
      <c r="DP240" s="19">
        <v>3.1800000000000099</v>
      </c>
      <c r="DQ240" s="19">
        <v>21.1999999999999</v>
      </c>
      <c r="DR240" s="19">
        <v>21.1999999999999</v>
      </c>
      <c r="DS240" s="19">
        <v>15.9</v>
      </c>
      <c r="DT240" s="19">
        <v>0</v>
      </c>
      <c r="DU240" s="19">
        <v>1.59</v>
      </c>
      <c r="DV240" s="19">
        <v>0.21199999999999899</v>
      </c>
      <c r="DW240" s="17" t="s">
        <v>218</v>
      </c>
      <c r="DX240" s="22" t="s">
        <v>218</v>
      </c>
      <c r="DY240" s="22" t="s">
        <v>218</v>
      </c>
      <c r="DZ240" s="22" t="s">
        <v>218</v>
      </c>
      <c r="EA240" s="22" t="s">
        <v>218</v>
      </c>
      <c r="EB240" s="22" t="s">
        <v>218</v>
      </c>
      <c r="EC240" s="22" t="s">
        <v>218</v>
      </c>
      <c r="ED240" s="22" t="s">
        <v>218</v>
      </c>
      <c r="EE240" s="22" t="s">
        <v>218</v>
      </c>
      <c r="EF240" s="22" t="s">
        <v>218</v>
      </c>
      <c r="EG240" s="22" t="s">
        <v>218</v>
      </c>
      <c r="EH240" s="22" t="s">
        <v>218</v>
      </c>
      <c r="EI240" s="22" t="s">
        <v>218</v>
      </c>
      <c r="EJ240" s="22" t="s">
        <v>218</v>
      </c>
      <c r="EK240" s="22" t="s">
        <v>218</v>
      </c>
      <c r="EL240" s="22" t="s">
        <v>218</v>
      </c>
      <c r="EM240" s="22" t="s">
        <v>218</v>
      </c>
      <c r="EN240" s="22" t="s">
        <v>218</v>
      </c>
      <c r="EO240" s="22" t="s">
        <v>218</v>
      </c>
      <c r="EP240" s="22" t="s">
        <v>218</v>
      </c>
      <c r="EQ240" s="22" t="s">
        <v>218</v>
      </c>
      <c r="ER240" s="22" t="s">
        <v>218</v>
      </c>
      <c r="ES240" s="22" t="s">
        <v>218</v>
      </c>
      <c r="ET240" s="22" t="s">
        <v>218</v>
      </c>
      <c r="EU240" s="22" t="s">
        <v>218</v>
      </c>
      <c r="EV240" s="22" t="s">
        <v>218</v>
      </c>
      <c r="EW240" s="22" t="s">
        <v>218</v>
      </c>
      <c r="EX240" s="22" t="s">
        <v>218</v>
      </c>
      <c r="EY240" s="22" t="s">
        <v>218</v>
      </c>
      <c r="EZ240" s="22" t="s">
        <v>218</v>
      </c>
      <c r="FA240" s="22" t="s">
        <v>218</v>
      </c>
      <c r="FB240" s="22" t="s">
        <v>218</v>
      </c>
      <c r="FC240" s="22" t="s">
        <v>218</v>
      </c>
      <c r="FD240" s="22" t="s">
        <v>218</v>
      </c>
      <c r="FE240" s="22" t="s">
        <v>218</v>
      </c>
      <c r="FF240" s="22" t="s">
        <v>218</v>
      </c>
      <c r="FG240" s="22" t="s">
        <v>218</v>
      </c>
      <c r="FH240" s="22" t="s">
        <v>218</v>
      </c>
      <c r="FI240" s="22" t="s">
        <v>218</v>
      </c>
      <c r="FJ240" s="22" t="s">
        <v>218</v>
      </c>
      <c r="FK240" s="22" t="s">
        <v>218</v>
      </c>
      <c r="FL240" s="22" t="s">
        <v>218</v>
      </c>
      <c r="FM240" s="22" t="s">
        <v>218</v>
      </c>
      <c r="FN240" s="22" t="s">
        <v>218</v>
      </c>
      <c r="FO240" s="22" t="s">
        <v>218</v>
      </c>
      <c r="FP240" s="22" t="s">
        <v>218</v>
      </c>
      <c r="FQ240" s="22" t="s">
        <v>218</v>
      </c>
      <c r="FR240" s="22" t="s">
        <v>218</v>
      </c>
      <c r="FS240" s="22" t="s">
        <v>218</v>
      </c>
      <c r="FT240" s="22" t="s">
        <v>218</v>
      </c>
      <c r="FU240" s="22" t="s">
        <v>218</v>
      </c>
      <c r="FV240" s="22" t="s">
        <v>218</v>
      </c>
      <c r="FW240" s="22" t="s">
        <v>218</v>
      </c>
      <c r="FX240" s="22" t="s">
        <v>218</v>
      </c>
      <c r="FY240" s="22" t="s">
        <v>218</v>
      </c>
      <c r="FZ240" s="22" t="s">
        <v>218</v>
      </c>
      <c r="GA240" s="22" t="s">
        <v>218</v>
      </c>
      <c r="GB240" s="22" t="s">
        <v>218</v>
      </c>
      <c r="GC240" s="22" t="s">
        <v>218</v>
      </c>
      <c r="GD240" s="22" t="s">
        <v>218</v>
      </c>
      <c r="GE240" s="22" t="s">
        <v>218</v>
      </c>
      <c r="GF240" s="22" t="s">
        <v>218</v>
      </c>
      <c r="GG240" s="22" t="s">
        <v>218</v>
      </c>
      <c r="GH240" s="22" t="s">
        <v>218</v>
      </c>
      <c r="GI240" s="22" t="s">
        <v>218</v>
      </c>
      <c r="GJ240" s="22" t="s">
        <v>218</v>
      </c>
      <c r="GK240" s="22" t="s">
        <v>218</v>
      </c>
      <c r="GL240" s="22" t="s">
        <v>218</v>
      </c>
      <c r="GM240" s="22" t="s">
        <v>218</v>
      </c>
      <c r="GN240" s="22" t="s">
        <v>218</v>
      </c>
      <c r="GO240" s="22" t="s">
        <v>218</v>
      </c>
      <c r="GP240" s="22" t="s">
        <v>218</v>
      </c>
      <c r="GQ240" s="22" t="s">
        <v>218</v>
      </c>
      <c r="GR240" s="22" t="s">
        <v>218</v>
      </c>
      <c r="GS240" s="22" t="s">
        <v>218</v>
      </c>
      <c r="GT240" s="22" t="s">
        <v>218</v>
      </c>
      <c r="GU240" s="22" t="s">
        <v>218</v>
      </c>
      <c r="GV240" s="22" t="s">
        <v>218</v>
      </c>
      <c r="GW240" s="22" t="s">
        <v>218</v>
      </c>
      <c r="GX240" s="22" t="s">
        <v>218</v>
      </c>
      <c r="GY240" s="22" t="s">
        <v>218</v>
      </c>
      <c r="GZ240" s="22" t="s">
        <v>218</v>
      </c>
      <c r="HA240" s="22" t="s">
        <v>218</v>
      </c>
      <c r="HB240" s="22" t="s">
        <v>218</v>
      </c>
      <c r="HC240" s="22" t="s">
        <v>218</v>
      </c>
      <c r="HD240" s="22" t="s">
        <v>218</v>
      </c>
      <c r="HE240" s="22" t="s">
        <v>218</v>
      </c>
      <c r="HF240" s="22" t="s">
        <v>218</v>
      </c>
      <c r="HG240" s="22" t="s">
        <v>218</v>
      </c>
      <c r="HH240" s="22" t="s">
        <v>218</v>
      </c>
      <c r="HI240" s="22" t="s">
        <v>218</v>
      </c>
      <c r="HJ240" s="22" t="s">
        <v>218</v>
      </c>
      <c r="HK240" s="22" t="s">
        <v>218</v>
      </c>
      <c r="HL240" s="22" t="s">
        <v>218</v>
      </c>
      <c r="HM240" s="622">
        <f>'background data'!$G$10</f>
        <v>0.47300000000000003</v>
      </c>
      <c r="HN240" s="622">
        <f>'background data'!$H$10</f>
        <v>0.13</v>
      </c>
      <c r="HO240" s="622">
        <f>'background data'!$J$10</f>
        <v>0.39100000000000001</v>
      </c>
      <c r="HP240" s="622">
        <f>'background data'!$L$10</f>
        <v>5.5E-2</v>
      </c>
      <c r="HQ240" s="622">
        <f>'background data'!$M$10</f>
        <v>3.97</v>
      </c>
      <c r="HR240" s="622">
        <f>'background data'!$N$10</f>
        <v>4.5999999999999999E-3</v>
      </c>
      <c r="HS240" s="622">
        <f>'background data'!$O$10</f>
        <v>2.73</v>
      </c>
      <c r="HT240" s="145" t="s">
        <v>1797</v>
      </c>
      <c r="HU240" s="145" t="s">
        <v>1809</v>
      </c>
      <c r="HV240" s="22" t="s">
        <v>1926</v>
      </c>
      <c r="HW240" s="22">
        <v>0</v>
      </c>
      <c r="HX240" s="22">
        <v>0</v>
      </c>
      <c r="HY240" s="22">
        <v>0</v>
      </c>
      <c r="HZ240" s="19"/>
      <c r="IA240" s="19"/>
      <c r="IB240" s="622">
        <f>'background data'!$G$10</f>
        <v>0.47300000000000003</v>
      </c>
      <c r="IC240" s="622">
        <f>'background data'!$H$10</f>
        <v>0.13</v>
      </c>
      <c r="ID240" s="622">
        <f>'background data'!$J$10</f>
        <v>0.39100000000000001</v>
      </c>
      <c r="IE240" s="622">
        <f>'background data'!$L$10</f>
        <v>5.5E-2</v>
      </c>
      <c r="IF240" s="622">
        <f>'background data'!$M$10</f>
        <v>3.97</v>
      </c>
      <c r="IG240" s="622">
        <f>'background data'!$N$10</f>
        <v>4.5999999999999999E-3</v>
      </c>
      <c r="IH240" s="622">
        <f>'background data'!$O$10</f>
        <v>2.73</v>
      </c>
      <c r="II240" s="145" t="s">
        <v>1797</v>
      </c>
      <c r="IJ240" s="145"/>
      <c r="IK240" s="145"/>
      <c r="IL240" s="145"/>
      <c r="IM240" s="145"/>
      <c r="IN240" s="145"/>
      <c r="IO240" s="145"/>
      <c r="IP240" s="145"/>
      <c r="IQ240" s="145"/>
      <c r="IR240" s="145"/>
      <c r="IS240" s="145"/>
      <c r="IT240" s="145"/>
      <c r="IU240" s="145"/>
      <c r="IV240" s="145"/>
      <c r="IW240" s="145"/>
      <c r="IX240" s="145"/>
      <c r="IY240" s="145"/>
      <c r="IZ240" s="145"/>
      <c r="JA240" s="145"/>
      <c r="JB240" s="145"/>
      <c r="JC240" s="145"/>
      <c r="JD240" s="145"/>
      <c r="JE240" s="145"/>
      <c r="JF240" s="145"/>
      <c r="JG240" s="145"/>
      <c r="JH240" s="145"/>
      <c r="JI240" s="145"/>
      <c r="JJ240" s="145"/>
      <c r="JK240" s="145"/>
      <c r="JL240" s="145"/>
      <c r="JM240" s="145"/>
      <c r="JN240" s="145"/>
      <c r="JO240" s="145"/>
      <c r="JP240" s="145"/>
      <c r="JQ240" s="145"/>
      <c r="JR240" s="145"/>
      <c r="JS240" s="145"/>
      <c r="JT240" s="145"/>
      <c r="JU240" s="145"/>
      <c r="JV240" s="145"/>
      <c r="JW240" s="145"/>
      <c r="JX240" s="145"/>
      <c r="JY240" s="145"/>
      <c r="JZ240" s="145"/>
      <c r="KA240" s="145"/>
      <c r="KB240" s="145"/>
      <c r="KC240" s="145"/>
      <c r="KD240" s="145"/>
      <c r="KE240" s="145"/>
      <c r="KF240" s="145"/>
      <c r="KG240" s="145"/>
      <c r="KH240" s="145"/>
      <c r="KI240" s="145"/>
      <c r="KJ240" s="145"/>
      <c r="KK240" s="145"/>
      <c r="KL240" s="145"/>
      <c r="KM240" s="145"/>
      <c r="KN240" s="145"/>
      <c r="KO240" s="145"/>
      <c r="KP240" s="145"/>
      <c r="KQ240" s="145"/>
      <c r="KR240" s="145"/>
      <c r="KS240" s="145"/>
      <c r="KT240" s="145"/>
      <c r="KU240" s="145"/>
      <c r="KV240" s="145"/>
      <c r="KW240" s="145"/>
      <c r="KX240" s="145"/>
      <c r="KY240" s="145"/>
      <c r="KZ240" s="145"/>
      <c r="LA240" s="145"/>
      <c r="LB240" s="145"/>
      <c r="LC240" s="145"/>
      <c r="LD240" s="145"/>
      <c r="LE240" s="145"/>
      <c r="LF240" s="145"/>
      <c r="LG240" s="145"/>
      <c r="LH240" s="145"/>
      <c r="LI240" s="145"/>
      <c r="LJ240" s="145"/>
      <c r="LK240" s="145"/>
      <c r="LL240" s="145"/>
      <c r="LM240" s="145"/>
      <c r="LN240" s="145"/>
      <c r="LO240" s="145"/>
      <c r="LP240" s="145"/>
      <c r="LQ240" s="145"/>
      <c r="LR240" s="145"/>
      <c r="LS240" s="145"/>
      <c r="LT240" s="145"/>
      <c r="LU240" s="145"/>
      <c r="LV240" s="145"/>
      <c r="LW240" s="145"/>
      <c r="LX240" s="145"/>
      <c r="LY240" s="145"/>
      <c r="LZ240" s="145"/>
      <c r="MA240" s="145"/>
      <c r="MB240" s="145"/>
      <c r="MC240" s="145"/>
      <c r="MD240" s="145"/>
      <c r="ME240" s="145"/>
      <c r="MF240" s="145"/>
      <c r="MG240" s="145"/>
      <c r="MH240" s="145"/>
      <c r="MI240" s="145"/>
      <c r="MJ240" s="145"/>
      <c r="MK240" s="145"/>
      <c r="ML240" s="145"/>
      <c r="MM240" s="145"/>
      <c r="MN240" s="145"/>
      <c r="MO240" s="145"/>
      <c r="MP240" s="145"/>
      <c r="MQ240" s="145"/>
      <c r="MR240" s="145"/>
      <c r="MS240" s="145"/>
      <c r="MT240" s="145"/>
      <c r="MU240" s="145"/>
      <c r="MV240" s="145"/>
      <c r="MW240" s="145"/>
      <c r="MX240" s="145"/>
      <c r="MY240" s="145"/>
      <c r="MZ240" s="145"/>
      <c r="NA240" s="145"/>
      <c r="NB240" s="145"/>
      <c r="NC240" s="145"/>
      <c r="ND240" s="145"/>
      <c r="NE240" s="145"/>
      <c r="NF240" s="145"/>
      <c r="NG240" s="145"/>
      <c r="NH240" s="145"/>
      <c r="NI240" s="145"/>
      <c r="NJ240" s="145"/>
      <c r="NK240" s="145"/>
      <c r="NL240" s="145"/>
      <c r="NM240" s="145"/>
      <c r="NN240" s="145"/>
      <c r="NO240" s="145"/>
      <c r="NP240" s="145"/>
      <c r="NQ240" s="145"/>
      <c r="NR240" s="145"/>
      <c r="NS240" s="145"/>
    </row>
    <row r="241" spans="1:383" s="16" customFormat="1" ht="15" customHeight="1" x14ac:dyDescent="0.2">
      <c r="A241" s="15">
        <v>2300</v>
      </c>
      <c r="B241" s="25">
        <v>23</v>
      </c>
      <c r="C241" s="26">
        <v>0</v>
      </c>
      <c r="D241" s="20" t="s">
        <v>690</v>
      </c>
      <c r="E241" s="14">
        <v>41698</v>
      </c>
      <c r="F241" s="18">
        <v>1.0172427988141901</v>
      </c>
      <c r="G241" s="18">
        <v>1.01743296884789</v>
      </c>
      <c r="H241" s="21">
        <v>86.556433133689197</v>
      </c>
      <c r="I241" s="21">
        <v>80.099455224393594</v>
      </c>
      <c r="J241" s="21">
        <v>91.727647712123897</v>
      </c>
      <c r="K241" s="18">
        <v>1</v>
      </c>
      <c r="L241" s="18">
        <v>85.778590411991999</v>
      </c>
      <c r="M241" s="18">
        <v>11.4265156341223</v>
      </c>
      <c r="N241" s="18">
        <v>2.17043205583099</v>
      </c>
      <c r="O241" s="18">
        <v>4.4945521615266397</v>
      </c>
      <c r="P241" s="18">
        <v>4.9275098221209399</v>
      </c>
      <c r="Q241" s="19"/>
      <c r="R241" s="18">
        <v>80.139710647111698</v>
      </c>
      <c r="S241" s="18">
        <v>41.834409703531101</v>
      </c>
      <c r="T241" s="18">
        <v>47.482283201793003</v>
      </c>
      <c r="U241" s="18">
        <v>49.410981102374301</v>
      </c>
      <c r="V241" s="18">
        <v>51.339679002955499</v>
      </c>
      <c r="W241" s="18">
        <v>52.467500334583001</v>
      </c>
      <c r="X241" s="18"/>
      <c r="Y241" s="18">
        <v>7.7099849475040783</v>
      </c>
      <c r="Z241" s="18">
        <v>4.5214714740409114</v>
      </c>
      <c r="AA241" s="18">
        <v>1.7792272955778545</v>
      </c>
      <c r="AB241" s="18">
        <v>3.4337891750320835</v>
      </c>
      <c r="AC241" s="18">
        <v>5.5363705086833983</v>
      </c>
      <c r="AD241" s="18">
        <v>1.4235393166329289</v>
      </c>
      <c r="AE241" s="18">
        <v>1.2300721408836066</v>
      </c>
      <c r="AF241" s="18">
        <v>73.089951832980177</v>
      </c>
      <c r="AG241" s="18">
        <v>12.394905788188149</v>
      </c>
      <c r="AH241" s="18">
        <v>64.31065725189076</v>
      </c>
      <c r="AI241" s="18">
        <v>149.33363471250271</v>
      </c>
      <c r="AJ241" s="18">
        <v>0.2372303060770492</v>
      </c>
      <c r="AK241" s="18">
        <v>0.26992983584967961</v>
      </c>
      <c r="AL241" s="18"/>
      <c r="AM241" s="18">
        <v>3.77850563720573</v>
      </c>
      <c r="AN241" s="18">
        <v>1.8440611066285</v>
      </c>
      <c r="AO241" s="18">
        <v>2.1922782689351901</v>
      </c>
      <c r="AP241" s="18">
        <v>3.4690077767752299</v>
      </c>
      <c r="AQ241" s="18">
        <v>1.25410285186934</v>
      </c>
      <c r="AR241" s="18">
        <v>3.6617880570761101</v>
      </c>
      <c r="AS241" s="18">
        <v>6.5699628466788402</v>
      </c>
      <c r="AT241" s="18">
        <v>2.3086091250310701</v>
      </c>
      <c r="AU241" s="18">
        <v>4.5176551714576503</v>
      </c>
      <c r="AV241" s="18">
        <v>2.8693152039805501</v>
      </c>
      <c r="AW241" s="18">
        <v>4.8946859705465497</v>
      </c>
      <c r="AX241" s="18"/>
      <c r="AY241" s="18">
        <v>0.97040126937013904</v>
      </c>
      <c r="AZ241" s="18">
        <v>1.0677794347359699</v>
      </c>
      <c r="BA241" s="18">
        <v>1.0210815860551801</v>
      </c>
      <c r="BB241" s="18">
        <v>0.96088955339038795</v>
      </c>
      <c r="BC241" s="18">
        <v>0.95654219210887903</v>
      </c>
      <c r="BD241" s="18">
        <v>1.00104908764748</v>
      </c>
      <c r="BE241" s="18">
        <v>1.0036460898862301</v>
      </c>
      <c r="BF241" s="18">
        <v>1.0144880748017799</v>
      </c>
      <c r="BG241" s="18">
        <v>1.0371593197614</v>
      </c>
      <c r="BH241" s="18">
        <v>0.98172772958896903</v>
      </c>
      <c r="BI241" s="18">
        <v>0.97096132096390597</v>
      </c>
      <c r="BJ241" s="19"/>
      <c r="BK241" s="18">
        <v>13.320941250306268</v>
      </c>
      <c r="BL241" s="18">
        <v>2.5302724670648815</v>
      </c>
      <c r="BM241" s="18">
        <v>5.2397132430591835</v>
      </c>
      <c r="BN241" s="18">
        <v>5.7444518480127247</v>
      </c>
      <c r="BO241" s="18"/>
      <c r="BP241" s="18">
        <v>0</v>
      </c>
      <c r="BQ241" s="18">
        <v>0</v>
      </c>
      <c r="BR241" s="18">
        <v>1.1858935824526884</v>
      </c>
      <c r="BS241" s="18">
        <v>1.1861152811688673</v>
      </c>
      <c r="BT241" s="19"/>
      <c r="BU241" s="18">
        <v>947.60286756940752</v>
      </c>
      <c r="BV241" s="18">
        <v>587.03773723687868</v>
      </c>
      <c r="BW241" s="18">
        <v>87.409296895440562</v>
      </c>
      <c r="BX241" s="18">
        <v>548.49011544993641</v>
      </c>
      <c r="BY241" s="18">
        <v>28.58121070047747</v>
      </c>
      <c r="BZ241" s="18">
        <v>32.333234100683356</v>
      </c>
      <c r="CA241" s="18">
        <v>111.97085356969804</v>
      </c>
      <c r="CB241" s="19"/>
      <c r="CC241" s="19">
        <v>6.6135164089457597</v>
      </c>
      <c r="CD241" s="19">
        <v>3.8784544963126102</v>
      </c>
      <c r="CE241" s="19">
        <v>1.52619609437209</v>
      </c>
      <c r="CF241" s="19">
        <v>2.94545595206209</v>
      </c>
      <c r="CG241" s="19">
        <v>4.7490205823338503</v>
      </c>
      <c r="CH241" s="19">
        <v>1.2210919597682299</v>
      </c>
      <c r="CI241" s="19">
        <v>1.05513854350057</v>
      </c>
      <c r="CJ241" s="19"/>
      <c r="CK241" s="19">
        <v>62.6955304151343</v>
      </c>
      <c r="CL241" s="19">
        <v>10.632175468002201</v>
      </c>
      <c r="CM241" s="19">
        <v>55.164775275359403</v>
      </c>
      <c r="CN241" s="19">
        <v>128.09628686737801</v>
      </c>
      <c r="CO241" s="19">
        <v>0.20349281258294699</v>
      </c>
      <c r="CP241" s="19">
        <v>0.23154200829325899</v>
      </c>
      <c r="CQ241" s="19">
        <v>91.571765662326001</v>
      </c>
      <c r="CR241" s="19">
        <v>90.019576220222064</v>
      </c>
      <c r="CS241" s="19">
        <v>3.3007177947414754</v>
      </c>
      <c r="CT241" s="19">
        <v>1.7725309391161821</v>
      </c>
      <c r="CU241" s="19">
        <v>2.0150836874321412</v>
      </c>
      <c r="CV241" s="19">
        <v>3.7876146265483333</v>
      </c>
      <c r="CW241" s="19">
        <v>3.0006525406740785</v>
      </c>
      <c r="CX241" s="19">
        <v>1.0798768987376746</v>
      </c>
      <c r="CY241" s="19">
        <v>3.2997842260468069</v>
      </c>
      <c r="CZ241" s="19">
        <v>5.9358166094056699</v>
      </c>
      <c r="DA241" s="19">
        <v>2.108309270174145</v>
      </c>
      <c r="DB241" s="19">
        <v>4.2178925974030772</v>
      </c>
      <c r="DC241" s="19">
        <v>2.5357491104766692</v>
      </c>
      <c r="DD241" s="19">
        <v>6.7536417078797459</v>
      </c>
      <c r="DE241" s="19">
        <v>4.2782260499009315</v>
      </c>
      <c r="DF241" s="23">
        <v>2436.89177306795</v>
      </c>
      <c r="DG241" s="23">
        <v>0</v>
      </c>
      <c r="DH241" s="23">
        <v>0</v>
      </c>
      <c r="DI241" s="19">
        <v>8.1397125033178703</v>
      </c>
      <c r="DJ241" s="19">
        <v>0.81397125033178697</v>
      </c>
      <c r="DK241" s="19">
        <v>152.61960943720999</v>
      </c>
      <c r="DL241" s="19">
        <v>2.0349281258294698</v>
      </c>
      <c r="DM241" s="19">
        <v>0</v>
      </c>
      <c r="DN241" s="19">
        <v>2.0349281258294698</v>
      </c>
      <c r="DO241" s="19">
        <v>5.0873203145736703</v>
      </c>
      <c r="DP241" s="19">
        <v>3.0523921887442098</v>
      </c>
      <c r="DQ241" s="19">
        <v>20.349281258294699</v>
      </c>
      <c r="DR241" s="19">
        <v>20.349281258294699</v>
      </c>
      <c r="DS241" s="19">
        <v>15.261960943721</v>
      </c>
      <c r="DT241" s="19">
        <v>0</v>
      </c>
      <c r="DU241" s="19">
        <v>1.5261960943721</v>
      </c>
      <c r="DV241" s="19">
        <v>0.20349281258294699</v>
      </c>
      <c r="DW241" s="17" t="s">
        <v>218</v>
      </c>
      <c r="DX241" s="22" t="s">
        <v>218</v>
      </c>
      <c r="DY241" s="22" t="s">
        <v>218</v>
      </c>
      <c r="DZ241" s="22" t="s">
        <v>218</v>
      </c>
      <c r="EA241" s="22" t="s">
        <v>218</v>
      </c>
      <c r="EB241" s="22" t="s">
        <v>218</v>
      </c>
      <c r="EC241" s="22" t="s">
        <v>218</v>
      </c>
      <c r="ED241" s="22" t="s">
        <v>218</v>
      </c>
      <c r="EE241" s="22" t="s">
        <v>218</v>
      </c>
      <c r="EF241" s="22" t="s">
        <v>218</v>
      </c>
      <c r="EG241" s="22" t="s">
        <v>218</v>
      </c>
      <c r="EH241" s="22" t="s">
        <v>218</v>
      </c>
      <c r="EI241" s="22" t="s">
        <v>218</v>
      </c>
      <c r="EJ241" s="22" t="s">
        <v>218</v>
      </c>
      <c r="EK241" s="22" t="s">
        <v>218</v>
      </c>
      <c r="EL241" s="22" t="s">
        <v>218</v>
      </c>
      <c r="EM241" s="22" t="s">
        <v>218</v>
      </c>
      <c r="EN241" s="22" t="s">
        <v>218</v>
      </c>
      <c r="EO241" s="22" t="s">
        <v>218</v>
      </c>
      <c r="EP241" s="22" t="s">
        <v>218</v>
      </c>
      <c r="EQ241" s="22" t="s">
        <v>218</v>
      </c>
      <c r="ER241" s="22" t="s">
        <v>218</v>
      </c>
      <c r="ES241" s="22" t="s">
        <v>218</v>
      </c>
      <c r="ET241" s="22" t="s">
        <v>218</v>
      </c>
      <c r="EU241" s="22" t="s">
        <v>218</v>
      </c>
      <c r="EV241" s="22" t="s">
        <v>218</v>
      </c>
      <c r="EW241" s="22" t="s">
        <v>218</v>
      </c>
      <c r="EX241" s="22" t="s">
        <v>218</v>
      </c>
      <c r="EY241" s="22" t="s">
        <v>218</v>
      </c>
      <c r="EZ241" s="22" t="s">
        <v>218</v>
      </c>
      <c r="FA241" s="22" t="s">
        <v>218</v>
      </c>
      <c r="FB241" s="22" t="s">
        <v>218</v>
      </c>
      <c r="FC241" s="22" t="s">
        <v>218</v>
      </c>
      <c r="FD241" s="22" t="s">
        <v>218</v>
      </c>
      <c r="FE241" s="22" t="s">
        <v>218</v>
      </c>
      <c r="FF241" s="22" t="s">
        <v>218</v>
      </c>
      <c r="FG241" s="22" t="s">
        <v>218</v>
      </c>
      <c r="FH241" s="22" t="s">
        <v>218</v>
      </c>
      <c r="FI241" s="22" t="s">
        <v>218</v>
      </c>
      <c r="FJ241" s="22" t="s">
        <v>218</v>
      </c>
      <c r="FK241" s="22" t="s">
        <v>218</v>
      </c>
      <c r="FL241" s="22" t="s">
        <v>218</v>
      </c>
      <c r="FM241" s="22" t="s">
        <v>218</v>
      </c>
      <c r="FN241" s="22" t="s">
        <v>218</v>
      </c>
      <c r="FO241" s="22" t="s">
        <v>218</v>
      </c>
      <c r="FP241" s="22" t="s">
        <v>218</v>
      </c>
      <c r="FQ241" s="22" t="s">
        <v>218</v>
      </c>
      <c r="FR241" s="22" t="s">
        <v>218</v>
      </c>
      <c r="FS241" s="22" t="s">
        <v>218</v>
      </c>
      <c r="FT241" s="22" t="s">
        <v>218</v>
      </c>
      <c r="FU241" s="22" t="s">
        <v>218</v>
      </c>
      <c r="FV241" s="22" t="s">
        <v>218</v>
      </c>
      <c r="FW241" s="22" t="s">
        <v>218</v>
      </c>
      <c r="FX241" s="22" t="s">
        <v>218</v>
      </c>
      <c r="FY241" s="22" t="s">
        <v>218</v>
      </c>
      <c r="FZ241" s="22" t="s">
        <v>218</v>
      </c>
      <c r="GA241" s="22" t="s">
        <v>218</v>
      </c>
      <c r="GB241" s="22" t="s">
        <v>218</v>
      </c>
      <c r="GC241" s="22" t="s">
        <v>218</v>
      </c>
      <c r="GD241" s="22" t="s">
        <v>218</v>
      </c>
      <c r="GE241" s="22" t="s">
        <v>218</v>
      </c>
      <c r="GF241" s="22" t="s">
        <v>218</v>
      </c>
      <c r="GG241" s="22" t="s">
        <v>218</v>
      </c>
      <c r="GH241" s="22" t="s">
        <v>218</v>
      </c>
      <c r="GI241" s="22" t="s">
        <v>218</v>
      </c>
      <c r="GJ241" s="22" t="s">
        <v>218</v>
      </c>
      <c r="GK241" s="22" t="s">
        <v>218</v>
      </c>
      <c r="GL241" s="22" t="s">
        <v>218</v>
      </c>
      <c r="GM241" s="22" t="s">
        <v>218</v>
      </c>
      <c r="GN241" s="22" t="s">
        <v>218</v>
      </c>
      <c r="GO241" s="22" t="s">
        <v>218</v>
      </c>
      <c r="GP241" s="22" t="s">
        <v>218</v>
      </c>
      <c r="GQ241" s="22" t="s">
        <v>218</v>
      </c>
      <c r="GR241" s="22" t="s">
        <v>218</v>
      </c>
      <c r="GS241" s="22" t="s">
        <v>218</v>
      </c>
      <c r="GT241" s="22" t="s">
        <v>218</v>
      </c>
      <c r="GU241" s="22" t="s">
        <v>218</v>
      </c>
      <c r="GV241" s="22" t="s">
        <v>218</v>
      </c>
      <c r="GW241" s="22" t="s">
        <v>218</v>
      </c>
      <c r="GX241" s="22" t="s">
        <v>218</v>
      </c>
      <c r="GY241" s="22" t="s">
        <v>218</v>
      </c>
      <c r="GZ241" s="22" t="s">
        <v>218</v>
      </c>
      <c r="HA241" s="22" t="s">
        <v>218</v>
      </c>
      <c r="HB241" s="22" t="s">
        <v>218</v>
      </c>
      <c r="HC241" s="22" t="s">
        <v>218</v>
      </c>
      <c r="HD241" s="22" t="s">
        <v>218</v>
      </c>
      <c r="HE241" s="22" t="s">
        <v>218</v>
      </c>
      <c r="HF241" s="22" t="s">
        <v>218</v>
      </c>
      <c r="HG241" s="22" t="s">
        <v>218</v>
      </c>
      <c r="HH241" s="22" t="s">
        <v>218</v>
      </c>
      <c r="HI241" s="22" t="s">
        <v>218</v>
      </c>
      <c r="HJ241" s="22" t="s">
        <v>218</v>
      </c>
      <c r="HK241" s="22" t="s">
        <v>218</v>
      </c>
      <c r="HL241" s="22" t="s">
        <v>218</v>
      </c>
      <c r="HM241" s="622">
        <f>'background data'!$G$10</f>
        <v>0.47300000000000003</v>
      </c>
      <c r="HN241" s="622">
        <f>'background data'!$H$10</f>
        <v>0.13</v>
      </c>
      <c r="HO241" s="622">
        <f>'background data'!$J$10</f>
        <v>0.39100000000000001</v>
      </c>
      <c r="HP241" s="622">
        <f>'background data'!$L$10</f>
        <v>5.5E-2</v>
      </c>
      <c r="HQ241" s="622">
        <f>'background data'!$M$10</f>
        <v>3.97</v>
      </c>
      <c r="HR241" s="622">
        <f>'background data'!$N$10</f>
        <v>4.5999999999999999E-3</v>
      </c>
      <c r="HS241" s="622">
        <f>'background data'!$O$10</f>
        <v>2.73</v>
      </c>
      <c r="HT241" s="145" t="s">
        <v>1797</v>
      </c>
      <c r="HU241" s="145" t="s">
        <v>1809</v>
      </c>
      <c r="HV241" s="22" t="s">
        <v>1926</v>
      </c>
      <c r="HW241" s="22">
        <v>0</v>
      </c>
      <c r="HX241" s="22">
        <v>0</v>
      </c>
      <c r="HY241" s="22">
        <v>0</v>
      </c>
      <c r="HZ241" s="19"/>
      <c r="IA241" s="19"/>
      <c r="IB241" s="622">
        <f>'background data'!$G$10</f>
        <v>0.47300000000000003</v>
      </c>
      <c r="IC241" s="622">
        <f>'background data'!$H$10</f>
        <v>0.13</v>
      </c>
      <c r="ID241" s="622">
        <f>'background data'!$J$10</f>
        <v>0.39100000000000001</v>
      </c>
      <c r="IE241" s="622">
        <f>'background data'!$L$10</f>
        <v>5.5E-2</v>
      </c>
      <c r="IF241" s="622">
        <f>'background data'!$M$10</f>
        <v>3.97</v>
      </c>
      <c r="IG241" s="622">
        <f>'background data'!$N$10</f>
        <v>4.5999999999999999E-3</v>
      </c>
      <c r="IH241" s="622">
        <f>'background data'!$O$10</f>
        <v>2.73</v>
      </c>
      <c r="II241" s="145" t="s">
        <v>1797</v>
      </c>
      <c r="IJ241" s="145"/>
      <c r="IK241" s="145"/>
      <c r="IL241" s="145"/>
      <c r="IM241" s="145"/>
      <c r="IN241" s="145"/>
      <c r="IO241" s="145"/>
      <c r="IP241" s="145"/>
      <c r="IQ241" s="145"/>
      <c r="IR241" s="145"/>
      <c r="IS241" s="145"/>
      <c r="IT241" s="145"/>
      <c r="IU241" s="145"/>
      <c r="IV241" s="145"/>
      <c r="IW241" s="145"/>
      <c r="IX241" s="145"/>
      <c r="IY241" s="145"/>
      <c r="IZ241" s="145"/>
      <c r="JA241" s="145"/>
      <c r="JB241" s="145"/>
      <c r="JC241" s="145"/>
      <c r="JD241" s="145"/>
      <c r="JE241" s="145"/>
      <c r="JF241" s="145"/>
      <c r="JG241" s="145"/>
      <c r="JH241" s="145"/>
      <c r="JI241" s="145"/>
      <c r="JJ241" s="145"/>
      <c r="JK241" s="145"/>
      <c r="JL241" s="145"/>
      <c r="JM241" s="145"/>
      <c r="JN241" s="145"/>
      <c r="JO241" s="145"/>
      <c r="JP241" s="145"/>
      <c r="JQ241" s="145"/>
      <c r="JR241" s="145"/>
      <c r="JS241" s="145"/>
      <c r="JT241" s="145"/>
      <c r="JU241" s="145"/>
      <c r="JV241" s="145"/>
      <c r="JW241" s="145"/>
      <c r="JX241" s="145"/>
      <c r="JY241" s="145"/>
      <c r="JZ241" s="145"/>
      <c r="KA241" s="145"/>
      <c r="KB241" s="145"/>
      <c r="KC241" s="145"/>
      <c r="KD241" s="145"/>
      <c r="KE241" s="145"/>
      <c r="KF241" s="145"/>
      <c r="KG241" s="145"/>
      <c r="KH241" s="145"/>
      <c r="KI241" s="145"/>
      <c r="KJ241" s="145"/>
      <c r="KK241" s="145"/>
      <c r="KL241" s="145"/>
      <c r="KM241" s="145"/>
      <c r="KN241" s="145"/>
      <c r="KO241" s="145"/>
      <c r="KP241" s="145"/>
      <c r="KQ241" s="145"/>
      <c r="KR241" s="145"/>
      <c r="KS241" s="145"/>
      <c r="KT241" s="145"/>
      <c r="KU241" s="145"/>
      <c r="KV241" s="145"/>
      <c r="KW241" s="145"/>
      <c r="KX241" s="145"/>
      <c r="KY241" s="145"/>
      <c r="KZ241" s="145"/>
      <c r="LA241" s="145"/>
      <c r="LB241" s="145"/>
      <c r="LC241" s="145"/>
      <c r="LD241" s="145"/>
      <c r="LE241" s="145"/>
      <c r="LF241" s="145"/>
      <c r="LG241" s="145"/>
      <c r="LH241" s="145"/>
      <c r="LI241" s="145"/>
      <c r="LJ241" s="145"/>
      <c r="LK241" s="145"/>
      <c r="LL241" s="145"/>
      <c r="LM241" s="145"/>
      <c r="LN241" s="145"/>
      <c r="LO241" s="145"/>
      <c r="LP241" s="145"/>
      <c r="LQ241" s="145"/>
      <c r="LR241" s="145"/>
      <c r="LS241" s="145"/>
      <c r="LT241" s="145"/>
      <c r="LU241" s="145"/>
      <c r="LV241" s="145"/>
      <c r="LW241" s="145"/>
      <c r="LX241" s="145"/>
      <c r="LY241" s="145"/>
      <c r="LZ241" s="145"/>
      <c r="MA241" s="145"/>
      <c r="MB241" s="145"/>
      <c r="MC241" s="145"/>
      <c r="MD241" s="145"/>
      <c r="ME241" s="145"/>
      <c r="MF241" s="145"/>
      <c r="MG241" s="145"/>
      <c r="MH241" s="145"/>
      <c r="MI241" s="145"/>
      <c r="MJ241" s="145"/>
      <c r="MK241" s="145"/>
      <c r="ML241" s="145"/>
      <c r="MM241" s="145"/>
      <c r="MN241" s="145"/>
      <c r="MO241" s="145"/>
      <c r="MP241" s="145"/>
      <c r="MQ241" s="145"/>
      <c r="MR241" s="145"/>
      <c r="MS241" s="145"/>
      <c r="MT241" s="145"/>
      <c r="MU241" s="145"/>
      <c r="MV241" s="145"/>
      <c r="MW241" s="145"/>
      <c r="MX241" s="145"/>
      <c r="MY241" s="145"/>
      <c r="MZ241" s="145"/>
      <c r="NA241" s="145"/>
      <c r="NB241" s="145"/>
      <c r="NC241" s="145"/>
      <c r="ND241" s="145"/>
      <c r="NE241" s="145"/>
      <c r="NF241" s="145"/>
      <c r="NG241" s="145"/>
      <c r="NH241" s="145"/>
      <c r="NI241" s="145"/>
      <c r="NJ241" s="145"/>
      <c r="NK241" s="145"/>
      <c r="NL241" s="145"/>
      <c r="NM241" s="145"/>
      <c r="NN241" s="145"/>
      <c r="NO241" s="145"/>
      <c r="NP241" s="145"/>
      <c r="NQ241" s="145"/>
      <c r="NR241" s="145"/>
      <c r="NS241" s="145"/>
    </row>
    <row r="242" spans="1:383" s="16" customFormat="1" ht="15" customHeight="1" x14ac:dyDescent="0.2">
      <c r="A242" s="15">
        <v>41501</v>
      </c>
      <c r="B242" s="25">
        <v>415</v>
      </c>
      <c r="C242" s="26">
        <v>1</v>
      </c>
      <c r="D242" s="20" t="s">
        <v>691</v>
      </c>
      <c r="E242" s="14">
        <v>41697</v>
      </c>
      <c r="F242" s="18">
        <v>1.0466266021950299</v>
      </c>
      <c r="G242" s="18">
        <v>1.0213688724661201</v>
      </c>
      <c r="H242" s="21">
        <v>94.266033080368999</v>
      </c>
      <c r="I242" s="21">
        <v>90.725196398008293</v>
      </c>
      <c r="J242" s="21">
        <v>93.124109500831196</v>
      </c>
      <c r="K242" s="18">
        <v>1</v>
      </c>
      <c r="L242" s="18">
        <v>88.649292836714693</v>
      </c>
      <c r="M242" s="18">
        <v>27.986644446233999</v>
      </c>
      <c r="N242" s="18">
        <v>4.2869456254632903</v>
      </c>
      <c r="O242" s="18">
        <v>16.280878068136101</v>
      </c>
      <c r="P242" s="18">
        <v>1.55264933910387</v>
      </c>
      <c r="Q242" s="19"/>
      <c r="R242" s="18">
        <v>90.982021751423602</v>
      </c>
      <c r="S242" s="18">
        <v>60.563993104748398</v>
      </c>
      <c r="T242" s="18">
        <v>62.494795173323901</v>
      </c>
      <c r="U242" s="18">
        <v>63.138395862849102</v>
      </c>
      <c r="V242" s="18">
        <v>63.781996552374203</v>
      </c>
      <c r="W242" s="18">
        <v>64.264697069518107</v>
      </c>
      <c r="X242" s="18"/>
      <c r="Y242" s="18">
        <v>32.910516660288351</v>
      </c>
      <c r="Z242" s="18">
        <v>17.96801015432094</v>
      </c>
      <c r="AA242" s="18">
        <v>6.8768869721814543</v>
      </c>
      <c r="AB242" s="18">
        <v>15.661729482624642</v>
      </c>
      <c r="AC242" s="18">
        <v>4.3915404037826002</v>
      </c>
      <c r="AD242" s="18">
        <v>1.0803903075147498</v>
      </c>
      <c r="AE242" s="18">
        <v>3.187755373334626</v>
      </c>
      <c r="AF242" s="18">
        <v>1337.1092144897455</v>
      </c>
      <c r="AG242" s="18">
        <v>258.5521170348664</v>
      </c>
      <c r="AH242" s="18">
        <v>538.27878572606232</v>
      </c>
      <c r="AI242" s="18">
        <v>1295.5952458979752</v>
      </c>
      <c r="AJ242" s="18">
        <v>2.5360373750780352</v>
      </c>
      <c r="AK242" s="18">
        <v>4.4550716177464578</v>
      </c>
      <c r="AL242" s="18"/>
      <c r="AM242" s="18">
        <v>12.115773978281901</v>
      </c>
      <c r="AN242" s="18">
        <v>3.11752067117567</v>
      </c>
      <c r="AO242" s="18">
        <v>1.88651373937301</v>
      </c>
      <c r="AP242" s="18">
        <v>6.8126469145472202</v>
      </c>
      <c r="AQ242" s="18">
        <v>2.07387074746336</v>
      </c>
      <c r="AR242" s="18">
        <v>4.4936062769177196</v>
      </c>
      <c r="AS242" s="18">
        <v>8.4158857201169308</v>
      </c>
      <c r="AT242" s="18">
        <v>2.0814369075300099</v>
      </c>
      <c r="AU242" s="18">
        <v>5.1991468699437702</v>
      </c>
      <c r="AV242" s="18">
        <v>4.4175803687891797</v>
      </c>
      <c r="AW242" s="18">
        <v>5.5420612237187399</v>
      </c>
      <c r="AX242" s="18"/>
      <c r="AY242" s="18">
        <v>1.0411164428020001</v>
      </c>
      <c r="AZ242" s="18">
        <v>1.05783588474615</v>
      </c>
      <c r="BA242" s="18">
        <v>0.86608957505436701</v>
      </c>
      <c r="BB242" s="18">
        <v>0.99349630841401104</v>
      </c>
      <c r="BC242" s="18">
        <v>0.97048919340511297</v>
      </c>
      <c r="BD242" s="18">
        <v>0.97895135202904504</v>
      </c>
      <c r="BE242" s="18">
        <v>1.00576089290546</v>
      </c>
      <c r="BF242" s="18">
        <v>1.0302979625786901</v>
      </c>
      <c r="BG242" s="18">
        <v>1.02393022156322</v>
      </c>
      <c r="BH242" s="18">
        <v>0.97012590834525203</v>
      </c>
      <c r="BI242" s="18">
        <v>0.98409999999999997</v>
      </c>
      <c r="BJ242" s="19"/>
      <c r="BK242" s="18">
        <v>31.570070725531096</v>
      </c>
      <c r="BL242" s="18">
        <v>4.8358486438910688</v>
      </c>
      <c r="BM242" s="18">
        <v>18.365491192495185</v>
      </c>
      <c r="BN242" s="18">
        <v>1.7514514661315268</v>
      </c>
      <c r="BO242" s="18"/>
      <c r="BP242" s="18">
        <v>0</v>
      </c>
      <c r="BQ242" s="18">
        <v>0</v>
      </c>
      <c r="BR242" s="18">
        <v>1.1806372828295846</v>
      </c>
      <c r="BS242" s="18">
        <v>1.1521455386535395</v>
      </c>
      <c r="BT242" s="19"/>
      <c r="BU242" s="18">
        <v>816.34508807504824</v>
      </c>
      <c r="BV242" s="18">
        <v>394.0472605649864</v>
      </c>
      <c r="BW242" s="18">
        <v>41.293494761730145</v>
      </c>
      <c r="BX242" s="18">
        <v>266.99751835006026</v>
      </c>
      <c r="BY242" s="18">
        <v>10.203726815925895</v>
      </c>
      <c r="BZ242" s="18">
        <v>22.674948479835319</v>
      </c>
      <c r="CA242" s="18">
        <v>146.25341769493789</v>
      </c>
      <c r="CB242" s="19"/>
      <c r="CC242" s="19">
        <v>29.174940288254795</v>
      </c>
      <c r="CD242" s="19">
        <v>15.9285139386346</v>
      </c>
      <c r="CE242" s="19">
        <v>6.0963116700190199</v>
      </c>
      <c r="CF242" s="19">
        <v>13.884012432345999</v>
      </c>
      <c r="CG242" s="19">
        <v>3.8930695125918797</v>
      </c>
      <c r="CH242" s="19">
        <v>0.95775836748823295</v>
      </c>
      <c r="CI242" s="19">
        <v>2.8259225958255203</v>
      </c>
      <c r="CJ242" s="19"/>
      <c r="CK242" s="19">
        <v>1185.3378630997099</v>
      </c>
      <c r="CL242" s="19">
        <v>229.20462336576401</v>
      </c>
      <c r="CM242" s="19">
        <v>477.18033703620898</v>
      </c>
      <c r="CN242" s="19">
        <v>1148.5360235146497</v>
      </c>
      <c r="CO242" s="19">
        <v>2.2481791990814597</v>
      </c>
      <c r="CP242" s="19">
        <v>3.9493894845014199</v>
      </c>
      <c r="CQ242" s="19">
        <v>254.62814937566199</v>
      </c>
      <c r="CR242" s="19">
        <v>243.28461443808612</v>
      </c>
      <c r="CS242" s="19">
        <v>30.687754630006982</v>
      </c>
      <c r="CT242" s="19">
        <v>8.0231014136687637</v>
      </c>
      <c r="CU242" s="19">
        <v>3.9750027018778238</v>
      </c>
      <c r="CV242" s="19">
        <v>11.998104115546559</v>
      </c>
      <c r="CW242" s="19">
        <v>16.466328802724597</v>
      </c>
      <c r="CX242" s="19">
        <v>4.896514378893948</v>
      </c>
      <c r="CY242" s="19">
        <v>10.702143566444398</v>
      </c>
      <c r="CZ242" s="19">
        <v>20.592506845102669</v>
      </c>
      <c r="DA242" s="19">
        <v>5.2172390555145585</v>
      </c>
      <c r="DB242" s="19">
        <v>12.951411194394224</v>
      </c>
      <c r="DC242" s="19">
        <v>10.426227740594133</v>
      </c>
      <c r="DD242" s="19">
        <v>23.377638934988354</v>
      </c>
      <c r="DE242" s="19">
        <v>13.268602861794092</v>
      </c>
      <c r="DF242" s="23">
        <v>14521.9154474153</v>
      </c>
      <c r="DG242" s="23">
        <v>0</v>
      </c>
      <c r="DH242" s="23">
        <v>0</v>
      </c>
      <c r="DI242" s="19">
        <v>54.391432235841997</v>
      </c>
      <c r="DJ242" s="19">
        <v>5.4391432235841997</v>
      </c>
      <c r="DK242" s="19">
        <v>1450.4381929557801</v>
      </c>
      <c r="DL242" s="19">
        <v>21.756572894336799</v>
      </c>
      <c r="DM242" s="19">
        <v>0</v>
      </c>
      <c r="DN242" s="19">
        <v>21.756572894336799</v>
      </c>
      <c r="DO242" s="19">
        <v>43.513145788673498</v>
      </c>
      <c r="DP242" s="19">
        <v>32.634859341505198</v>
      </c>
      <c r="DQ242" s="19">
        <v>217.56572894336799</v>
      </c>
      <c r="DR242" s="19">
        <v>217.56572894336799</v>
      </c>
      <c r="DS242" s="19">
        <v>108.78286447168399</v>
      </c>
      <c r="DT242" s="19">
        <v>0</v>
      </c>
      <c r="DU242" s="19">
        <v>0</v>
      </c>
      <c r="DV242" s="19">
        <v>2.1756572894336799</v>
      </c>
      <c r="DW242" s="17" t="s">
        <v>218</v>
      </c>
      <c r="DX242" s="22" t="s">
        <v>218</v>
      </c>
      <c r="DY242" s="22" t="s">
        <v>218</v>
      </c>
      <c r="DZ242" s="22" t="s">
        <v>218</v>
      </c>
      <c r="EA242" s="22" t="s">
        <v>218</v>
      </c>
      <c r="EB242" s="22" t="s">
        <v>218</v>
      </c>
      <c r="EC242" s="22" t="s">
        <v>218</v>
      </c>
      <c r="ED242" s="22" t="s">
        <v>218</v>
      </c>
      <c r="EE242" s="22" t="s">
        <v>218</v>
      </c>
      <c r="EF242" s="22" t="s">
        <v>218</v>
      </c>
      <c r="EG242" s="22" t="s">
        <v>218</v>
      </c>
      <c r="EH242" s="22" t="s">
        <v>218</v>
      </c>
      <c r="EI242" s="22" t="s">
        <v>218</v>
      </c>
      <c r="EJ242" s="22" t="s">
        <v>218</v>
      </c>
      <c r="EK242" s="22" t="s">
        <v>218</v>
      </c>
      <c r="EL242" s="22" t="s">
        <v>218</v>
      </c>
      <c r="EM242" s="22" t="s">
        <v>218</v>
      </c>
      <c r="EN242" s="22" t="s">
        <v>218</v>
      </c>
      <c r="EO242" s="22" t="s">
        <v>218</v>
      </c>
      <c r="EP242" s="22" t="s">
        <v>218</v>
      </c>
      <c r="EQ242" s="22" t="s">
        <v>218</v>
      </c>
      <c r="ER242" s="22" t="s">
        <v>218</v>
      </c>
      <c r="ES242" s="22" t="s">
        <v>218</v>
      </c>
      <c r="ET242" s="22" t="s">
        <v>218</v>
      </c>
      <c r="EU242" s="22" t="s">
        <v>218</v>
      </c>
      <c r="EV242" s="22" t="s">
        <v>218</v>
      </c>
      <c r="EW242" s="22" t="s">
        <v>218</v>
      </c>
      <c r="EX242" s="22" t="s">
        <v>218</v>
      </c>
      <c r="EY242" s="22" t="s">
        <v>218</v>
      </c>
      <c r="EZ242" s="22" t="s">
        <v>218</v>
      </c>
      <c r="FA242" s="22" t="s">
        <v>218</v>
      </c>
      <c r="FB242" s="22" t="s">
        <v>218</v>
      </c>
      <c r="FC242" s="22" t="s">
        <v>218</v>
      </c>
      <c r="FD242" s="22" t="s">
        <v>218</v>
      </c>
      <c r="FE242" s="22" t="s">
        <v>218</v>
      </c>
      <c r="FF242" s="22" t="s">
        <v>218</v>
      </c>
      <c r="FG242" s="22" t="s">
        <v>218</v>
      </c>
      <c r="FH242" s="22" t="s">
        <v>218</v>
      </c>
      <c r="FI242" s="22" t="s">
        <v>218</v>
      </c>
      <c r="FJ242" s="22" t="s">
        <v>218</v>
      </c>
      <c r="FK242" s="22" t="s">
        <v>218</v>
      </c>
      <c r="FL242" s="22" t="s">
        <v>218</v>
      </c>
      <c r="FM242" s="22" t="s">
        <v>218</v>
      </c>
      <c r="FN242" s="22" t="s">
        <v>218</v>
      </c>
      <c r="FO242" s="22" t="s">
        <v>218</v>
      </c>
      <c r="FP242" s="22" t="s">
        <v>218</v>
      </c>
      <c r="FQ242" s="22" t="s">
        <v>218</v>
      </c>
      <c r="FR242" s="22" t="s">
        <v>218</v>
      </c>
      <c r="FS242" s="22" t="s">
        <v>218</v>
      </c>
      <c r="FT242" s="22" t="s">
        <v>218</v>
      </c>
      <c r="FU242" s="22" t="s">
        <v>218</v>
      </c>
      <c r="FV242" s="22" t="s">
        <v>218</v>
      </c>
      <c r="FW242" s="22" t="s">
        <v>218</v>
      </c>
      <c r="FX242" s="22" t="s">
        <v>218</v>
      </c>
      <c r="FY242" s="22" t="s">
        <v>218</v>
      </c>
      <c r="FZ242" s="22" t="s">
        <v>218</v>
      </c>
      <c r="GA242" s="22" t="s">
        <v>218</v>
      </c>
      <c r="GB242" s="22" t="s">
        <v>218</v>
      </c>
      <c r="GC242" s="22" t="s">
        <v>218</v>
      </c>
      <c r="GD242" s="22" t="s">
        <v>218</v>
      </c>
      <c r="GE242" s="22" t="s">
        <v>218</v>
      </c>
      <c r="GF242" s="22" t="s">
        <v>218</v>
      </c>
      <c r="GG242" s="22" t="s">
        <v>218</v>
      </c>
      <c r="GH242" s="22" t="s">
        <v>218</v>
      </c>
      <c r="GI242" s="22" t="s">
        <v>218</v>
      </c>
      <c r="GJ242" s="22" t="s">
        <v>218</v>
      </c>
      <c r="GK242" s="22" t="s">
        <v>218</v>
      </c>
      <c r="GL242" s="22" t="s">
        <v>218</v>
      </c>
      <c r="GM242" s="22" t="s">
        <v>218</v>
      </c>
      <c r="GN242" s="22" t="s">
        <v>218</v>
      </c>
      <c r="GO242" s="22" t="s">
        <v>218</v>
      </c>
      <c r="GP242" s="22" t="s">
        <v>218</v>
      </c>
      <c r="GQ242" s="22" t="s">
        <v>218</v>
      </c>
      <c r="GR242" s="22" t="s">
        <v>218</v>
      </c>
      <c r="GS242" s="22" t="s">
        <v>218</v>
      </c>
      <c r="GT242" s="22" t="s">
        <v>218</v>
      </c>
      <c r="GU242" s="22" t="s">
        <v>218</v>
      </c>
      <c r="GV242" s="22" t="s">
        <v>218</v>
      </c>
      <c r="GW242" s="22" t="s">
        <v>218</v>
      </c>
      <c r="GX242" s="22" t="s">
        <v>218</v>
      </c>
      <c r="GY242" s="22" t="s">
        <v>218</v>
      </c>
      <c r="GZ242" s="22" t="s">
        <v>218</v>
      </c>
      <c r="HA242" s="22" t="s">
        <v>218</v>
      </c>
      <c r="HB242" s="22" t="s">
        <v>218</v>
      </c>
      <c r="HC242" s="22" t="s">
        <v>218</v>
      </c>
      <c r="HD242" s="22" t="s">
        <v>218</v>
      </c>
      <c r="HE242" s="22" t="s">
        <v>218</v>
      </c>
      <c r="HF242" s="22" t="s">
        <v>218</v>
      </c>
      <c r="HG242" s="22" t="s">
        <v>218</v>
      </c>
      <c r="HH242" s="22" t="s">
        <v>218</v>
      </c>
      <c r="HI242" s="22" t="s">
        <v>218</v>
      </c>
      <c r="HJ242" s="22" t="s">
        <v>218</v>
      </c>
      <c r="HK242" s="22" t="s">
        <v>218</v>
      </c>
      <c r="HL242" s="22" t="s">
        <v>218</v>
      </c>
      <c r="HM242" s="622">
        <f>'background data'!$G$10</f>
        <v>0.47300000000000003</v>
      </c>
      <c r="HN242" s="622">
        <f>'background data'!$H$10</f>
        <v>0.13</v>
      </c>
      <c r="HO242" s="622">
        <f>'background data'!$J$10</f>
        <v>0.39100000000000001</v>
      </c>
      <c r="HP242" s="622">
        <f>'background data'!$L$10</f>
        <v>5.5E-2</v>
      </c>
      <c r="HQ242" s="622">
        <f>'background data'!$M$10</f>
        <v>3.97</v>
      </c>
      <c r="HR242" s="622">
        <f>'background data'!$N$10</f>
        <v>4.5999999999999999E-3</v>
      </c>
      <c r="HS242" s="622">
        <f>'background data'!$O$10</f>
        <v>2.73</v>
      </c>
      <c r="HT242" s="145" t="s">
        <v>1797</v>
      </c>
      <c r="HU242" s="145" t="s">
        <v>1809</v>
      </c>
      <c r="HV242" s="22" t="s">
        <v>1926</v>
      </c>
      <c r="HW242" s="22">
        <v>0</v>
      </c>
      <c r="HX242" s="22">
        <v>0</v>
      </c>
      <c r="HY242" s="22">
        <v>0</v>
      </c>
      <c r="HZ242" s="19"/>
      <c r="IA242" s="19"/>
      <c r="IB242" s="622">
        <f>'background data'!$G$10</f>
        <v>0.47300000000000003</v>
      </c>
      <c r="IC242" s="622">
        <f>'background data'!$H$10</f>
        <v>0.13</v>
      </c>
      <c r="ID242" s="622">
        <f>'background data'!$J$10</f>
        <v>0.39100000000000001</v>
      </c>
      <c r="IE242" s="622">
        <f>'background data'!$L$10</f>
        <v>5.5E-2</v>
      </c>
      <c r="IF242" s="622">
        <f>'background data'!$M$10</f>
        <v>3.97</v>
      </c>
      <c r="IG242" s="622">
        <f>'background data'!$N$10</f>
        <v>4.5999999999999999E-3</v>
      </c>
      <c r="IH242" s="622">
        <f>'background data'!$O$10</f>
        <v>2.73</v>
      </c>
      <c r="II242" s="145" t="s">
        <v>1797</v>
      </c>
      <c r="IJ242" s="145"/>
      <c r="IK242" s="145"/>
      <c r="IL242" s="145"/>
      <c r="IM242" s="145"/>
      <c r="IN242" s="145"/>
      <c r="IO242" s="145"/>
      <c r="IP242" s="145"/>
      <c r="IQ242" s="145"/>
      <c r="IR242" s="145"/>
      <c r="IS242" s="145"/>
      <c r="IT242" s="145"/>
      <c r="IU242" s="145"/>
      <c r="IV242" s="145"/>
      <c r="IW242" s="145"/>
      <c r="IX242" s="145"/>
      <c r="IY242" s="145"/>
      <c r="IZ242" s="145"/>
      <c r="JA242" s="145"/>
      <c r="JB242" s="145"/>
      <c r="JC242" s="145"/>
      <c r="JD242" s="145"/>
      <c r="JE242" s="145"/>
      <c r="JF242" s="145"/>
      <c r="JG242" s="145"/>
      <c r="JH242" s="145"/>
      <c r="JI242" s="145"/>
      <c r="JJ242" s="145"/>
      <c r="JK242" s="145"/>
      <c r="JL242" s="145"/>
      <c r="JM242" s="145"/>
      <c r="JN242" s="145"/>
      <c r="JO242" s="145"/>
      <c r="JP242" s="145"/>
      <c r="JQ242" s="145"/>
      <c r="JR242" s="145"/>
      <c r="JS242" s="145"/>
      <c r="JT242" s="145"/>
      <c r="JU242" s="145"/>
      <c r="JV242" s="145"/>
      <c r="JW242" s="145"/>
      <c r="JX242" s="145"/>
      <c r="JY242" s="145"/>
      <c r="JZ242" s="145"/>
      <c r="KA242" s="145"/>
      <c r="KB242" s="145"/>
      <c r="KC242" s="145"/>
      <c r="KD242" s="145"/>
      <c r="KE242" s="145"/>
      <c r="KF242" s="145"/>
      <c r="KG242" s="145"/>
      <c r="KH242" s="145"/>
      <c r="KI242" s="145"/>
      <c r="KJ242" s="145"/>
      <c r="KK242" s="145"/>
      <c r="KL242" s="145"/>
      <c r="KM242" s="145"/>
      <c r="KN242" s="145"/>
      <c r="KO242" s="145"/>
      <c r="KP242" s="145"/>
      <c r="KQ242" s="145"/>
      <c r="KR242" s="145"/>
      <c r="KS242" s="145"/>
      <c r="KT242" s="145"/>
      <c r="KU242" s="145"/>
      <c r="KV242" s="145"/>
      <c r="KW242" s="145"/>
      <c r="KX242" s="145"/>
      <c r="KY242" s="145"/>
      <c r="KZ242" s="145"/>
      <c r="LA242" s="145"/>
      <c r="LB242" s="145"/>
      <c r="LC242" s="145"/>
      <c r="LD242" s="145"/>
      <c r="LE242" s="145"/>
      <c r="LF242" s="145"/>
      <c r="LG242" s="145"/>
      <c r="LH242" s="145"/>
      <c r="LI242" s="145"/>
      <c r="LJ242" s="145"/>
      <c r="LK242" s="145"/>
      <c r="LL242" s="145"/>
      <c r="LM242" s="145"/>
      <c r="LN242" s="145"/>
      <c r="LO242" s="145"/>
      <c r="LP242" s="145"/>
      <c r="LQ242" s="145"/>
      <c r="LR242" s="145"/>
      <c r="LS242" s="145"/>
      <c r="LT242" s="145"/>
      <c r="LU242" s="145"/>
      <c r="LV242" s="145"/>
      <c r="LW242" s="145"/>
      <c r="LX242" s="145"/>
      <c r="LY242" s="145"/>
      <c r="LZ242" s="145"/>
      <c r="MA242" s="145"/>
      <c r="MB242" s="145"/>
      <c r="MC242" s="145"/>
      <c r="MD242" s="145"/>
      <c r="ME242" s="145"/>
      <c r="MF242" s="145"/>
      <c r="MG242" s="145"/>
      <c r="MH242" s="145"/>
      <c r="MI242" s="145"/>
      <c r="MJ242" s="145"/>
      <c r="MK242" s="145"/>
      <c r="ML242" s="145"/>
      <c r="MM242" s="145"/>
      <c r="MN242" s="145"/>
      <c r="MO242" s="145"/>
      <c r="MP242" s="145"/>
      <c r="MQ242" s="145"/>
      <c r="MR242" s="145"/>
      <c r="MS242" s="145"/>
      <c r="MT242" s="145"/>
      <c r="MU242" s="145"/>
      <c r="MV242" s="145"/>
      <c r="MW242" s="145"/>
      <c r="MX242" s="145"/>
      <c r="MY242" s="145"/>
      <c r="MZ242" s="145"/>
      <c r="NA242" s="145"/>
      <c r="NB242" s="145"/>
      <c r="NC242" s="145"/>
      <c r="ND242" s="145"/>
      <c r="NE242" s="145"/>
      <c r="NF242" s="145"/>
      <c r="NG242" s="145"/>
      <c r="NH242" s="145"/>
      <c r="NI242" s="145"/>
      <c r="NJ242" s="145"/>
      <c r="NK242" s="145"/>
      <c r="NL242" s="145"/>
      <c r="NM242" s="145"/>
      <c r="NN242" s="145"/>
      <c r="NO242" s="145"/>
      <c r="NP242" s="145"/>
      <c r="NQ242" s="145"/>
      <c r="NR242" s="145"/>
      <c r="NS242" s="145"/>
    </row>
    <row r="243" spans="1:383" s="16" customFormat="1" ht="15" customHeight="1" x14ac:dyDescent="0.2">
      <c r="A243" s="15">
        <v>41502</v>
      </c>
      <c r="B243" s="25">
        <v>415</v>
      </c>
      <c r="C243" s="26">
        <v>2</v>
      </c>
      <c r="D243" s="20" t="s">
        <v>692</v>
      </c>
      <c r="E243" s="14">
        <v>41697</v>
      </c>
      <c r="F243" s="18">
        <v>0.102554809340846</v>
      </c>
      <c r="G243" s="18">
        <v>9.8396821507561794E-2</v>
      </c>
      <c r="H243" s="21">
        <v>99.784110588310597</v>
      </c>
      <c r="I243" s="21">
        <v>99.712147451080796</v>
      </c>
      <c r="J243" s="21">
        <v>99.996685916600498</v>
      </c>
      <c r="K243" s="18">
        <v>1</v>
      </c>
      <c r="L243" s="18">
        <v>98.989247205540494</v>
      </c>
      <c r="M243" s="18">
        <v>13.617657953023</v>
      </c>
      <c r="N243" s="18">
        <v>4.7994217925846398E-2</v>
      </c>
      <c r="O243" s="18">
        <v>84.565317320095502</v>
      </c>
      <c r="P243" s="18">
        <v>1.80520216650287E-3</v>
      </c>
      <c r="Q243" s="19"/>
      <c r="R243" s="18">
        <v>99.929649599089799</v>
      </c>
      <c r="S243" s="18">
        <v>67</v>
      </c>
      <c r="T243" s="18">
        <v>67</v>
      </c>
      <c r="U243" s="18">
        <v>67</v>
      </c>
      <c r="V243" s="18">
        <v>67</v>
      </c>
      <c r="W243" s="18">
        <v>67</v>
      </c>
      <c r="X243" s="18"/>
      <c r="Y243" s="18">
        <v>196.58498462392006</v>
      </c>
      <c r="Z243" s="18">
        <v>59.489327572833687</v>
      </c>
      <c r="AA243" s="18">
        <v>38.895436797528355</v>
      </c>
      <c r="AB243" s="18">
        <v>82.225445376861913</v>
      </c>
      <c r="AC243" s="18">
        <v>0</v>
      </c>
      <c r="AD243" s="18">
        <v>0</v>
      </c>
      <c r="AE243" s="18">
        <v>0</v>
      </c>
      <c r="AF243" s="18">
        <v>2826.6336365500015</v>
      </c>
      <c r="AG243" s="18">
        <v>565.32672730999934</v>
      </c>
      <c r="AH243" s="18">
        <v>1130.6534546200046</v>
      </c>
      <c r="AI243" s="18">
        <v>2826.6336365500015</v>
      </c>
      <c r="AJ243" s="18">
        <v>5.6532672730999929</v>
      </c>
      <c r="AK243" s="18">
        <v>9.8932177279249949</v>
      </c>
      <c r="AL243" s="18"/>
      <c r="AM243" s="18">
        <v>56.834314589838897</v>
      </c>
      <c r="AN243" s="18">
        <v>22.244169448099399</v>
      </c>
      <c r="AO243" s="18">
        <v>0</v>
      </c>
      <c r="AP243" s="18">
        <v>20.146352356889299</v>
      </c>
      <c r="AQ243" s="18">
        <v>4.4506126285002798</v>
      </c>
      <c r="AR243" s="18">
        <v>0</v>
      </c>
      <c r="AS243" s="18">
        <v>0</v>
      </c>
      <c r="AT243" s="18">
        <v>0</v>
      </c>
      <c r="AU243" s="18">
        <v>0</v>
      </c>
      <c r="AV243" s="18">
        <v>0</v>
      </c>
      <c r="AW243" s="18">
        <v>0</v>
      </c>
      <c r="AX243" s="18"/>
      <c r="AY243" s="18">
        <v>1.0007039992754101</v>
      </c>
      <c r="AZ243" s="18">
        <v>1.0007039992754101</v>
      </c>
      <c r="BA243" s="18">
        <v>0</v>
      </c>
      <c r="BB243" s="18">
        <v>1.0007039992754101</v>
      </c>
      <c r="BC243" s="18">
        <v>1.0007039992754101</v>
      </c>
      <c r="BD243" s="18">
        <v>0</v>
      </c>
      <c r="BE243" s="18">
        <v>0</v>
      </c>
      <c r="BF243" s="18">
        <v>0</v>
      </c>
      <c r="BG243" s="18">
        <v>0</v>
      </c>
      <c r="BH243" s="18">
        <v>0</v>
      </c>
      <c r="BI243" s="18">
        <v>0</v>
      </c>
      <c r="BJ243" s="19"/>
      <c r="BK243" s="18">
        <v>13.756704225406828</v>
      </c>
      <c r="BL243" s="18">
        <v>4.8484274080993449E-2</v>
      </c>
      <c r="BM243" s="18">
        <v>85.428791214569742</v>
      </c>
      <c r="BN243" s="18">
        <v>1.823634604225813E-3</v>
      </c>
      <c r="BO243" s="18"/>
      <c r="BP243" s="18">
        <v>0</v>
      </c>
      <c r="BQ243" s="18">
        <v>0</v>
      </c>
      <c r="BR243" s="18">
        <v>0.10360196913903386</v>
      </c>
      <c r="BS243" s="18">
        <v>9.9401525201268992E-2</v>
      </c>
      <c r="BT243" s="19"/>
      <c r="BU243" s="18">
        <v>145.71208785430267</v>
      </c>
      <c r="BV243" s="18">
        <v>19.591406418510818</v>
      </c>
      <c r="BW243" s="18">
        <v>0.14979855677571455</v>
      </c>
      <c r="BX243" s="18">
        <v>0</v>
      </c>
      <c r="BY243" s="18">
        <v>0</v>
      </c>
      <c r="BZ243" s="18">
        <v>0</v>
      </c>
      <c r="CA243" s="18">
        <v>0</v>
      </c>
      <c r="CB243" s="19"/>
      <c r="CC243" s="19">
        <v>194.597996398346</v>
      </c>
      <c r="CD243" s="19">
        <v>58.888037531986107</v>
      </c>
      <c r="CE243" s="19">
        <v>38.50230008318011</v>
      </c>
      <c r="CF243" s="19">
        <v>81.394349389958506</v>
      </c>
      <c r="CG243" s="19">
        <v>0</v>
      </c>
      <c r="CH243" s="19">
        <v>0</v>
      </c>
      <c r="CI243" s="19">
        <v>0</v>
      </c>
      <c r="CJ243" s="19"/>
      <c r="CK243" s="19">
        <v>2798.0633580794401</v>
      </c>
      <c r="CL243" s="19">
        <v>559.61267161588705</v>
      </c>
      <c r="CM243" s="19">
        <v>1119.22534323178</v>
      </c>
      <c r="CN243" s="19">
        <v>2798.0633580794401</v>
      </c>
      <c r="CO243" s="19">
        <v>5.5961267161588699</v>
      </c>
      <c r="CP243" s="19">
        <v>9.793221753278031</v>
      </c>
      <c r="CQ243" s="19">
        <v>136.080778760584</v>
      </c>
      <c r="CR243" s="19">
        <v>1326.9078226093989</v>
      </c>
      <c r="CS243" s="19">
        <v>754.66987950478938</v>
      </c>
      <c r="CT243" s="19">
        <v>295.36741664308784</v>
      </c>
      <c r="CU243" s="19">
        <v>0</v>
      </c>
      <c r="CV243" s="19">
        <v>295.36741664308784</v>
      </c>
      <c r="CW243" s="19">
        <v>267.51172096219688</v>
      </c>
      <c r="CX243" s="19">
        <v>59.097102169915004</v>
      </c>
      <c r="CY243" s="19">
        <v>0</v>
      </c>
      <c r="CZ243" s="19">
        <v>0</v>
      </c>
      <c r="DA243" s="19">
        <v>0</v>
      </c>
      <c r="DB243" s="19">
        <v>0</v>
      </c>
      <c r="DC243" s="19">
        <v>0</v>
      </c>
      <c r="DD243" s="19">
        <v>0</v>
      </c>
      <c r="DE243" s="19">
        <v>0</v>
      </c>
      <c r="DF243" s="23">
        <v>59055.154855366301</v>
      </c>
      <c r="DG243" s="23">
        <v>0</v>
      </c>
      <c r="DH243" s="23">
        <v>0</v>
      </c>
      <c r="DI243" s="19">
        <v>135.390162487715</v>
      </c>
      <c r="DJ243" s="19">
        <v>13.5390162487715</v>
      </c>
      <c r="DK243" s="19">
        <v>3610.4043330057302</v>
      </c>
      <c r="DL243" s="19">
        <v>54.156064995085799</v>
      </c>
      <c r="DM243" s="19">
        <v>0</v>
      </c>
      <c r="DN243" s="19">
        <v>54.156064995085799</v>
      </c>
      <c r="DO243" s="19">
        <v>108.312129990171</v>
      </c>
      <c r="DP243" s="19">
        <v>81.234097492629004</v>
      </c>
      <c r="DQ243" s="19">
        <v>541.56064995085796</v>
      </c>
      <c r="DR243" s="19">
        <v>541.56064995085796</v>
      </c>
      <c r="DS243" s="19">
        <v>270.78032497543001</v>
      </c>
      <c r="DT243" s="19">
        <v>0</v>
      </c>
      <c r="DU243" s="19">
        <v>0</v>
      </c>
      <c r="DV243" s="19">
        <v>5.4156064995085798</v>
      </c>
      <c r="DW243" s="17" t="s">
        <v>218</v>
      </c>
      <c r="DX243" s="22" t="s">
        <v>218</v>
      </c>
      <c r="DY243" s="22" t="s">
        <v>218</v>
      </c>
      <c r="DZ243" s="22" t="s">
        <v>218</v>
      </c>
      <c r="EA243" s="22" t="s">
        <v>218</v>
      </c>
      <c r="EB243" s="22" t="s">
        <v>218</v>
      </c>
      <c r="EC243" s="22" t="s">
        <v>218</v>
      </c>
      <c r="ED243" s="22" t="s">
        <v>218</v>
      </c>
      <c r="EE243" s="22" t="s">
        <v>218</v>
      </c>
      <c r="EF243" s="22" t="s">
        <v>218</v>
      </c>
      <c r="EG243" s="22" t="s">
        <v>218</v>
      </c>
      <c r="EH243" s="22" t="s">
        <v>218</v>
      </c>
      <c r="EI243" s="22" t="s">
        <v>218</v>
      </c>
      <c r="EJ243" s="22" t="s">
        <v>218</v>
      </c>
      <c r="EK243" s="22" t="s">
        <v>218</v>
      </c>
      <c r="EL243" s="22" t="s">
        <v>218</v>
      </c>
      <c r="EM243" s="22" t="s">
        <v>218</v>
      </c>
      <c r="EN243" s="22" t="s">
        <v>218</v>
      </c>
      <c r="EO243" s="22" t="s">
        <v>218</v>
      </c>
      <c r="EP243" s="22" t="s">
        <v>218</v>
      </c>
      <c r="EQ243" s="22" t="s">
        <v>218</v>
      </c>
      <c r="ER243" s="22" t="s">
        <v>218</v>
      </c>
      <c r="ES243" s="22" t="s">
        <v>218</v>
      </c>
      <c r="ET243" s="22" t="s">
        <v>218</v>
      </c>
      <c r="EU243" s="22" t="s">
        <v>218</v>
      </c>
      <c r="EV243" s="22" t="s">
        <v>218</v>
      </c>
      <c r="EW243" s="22" t="s">
        <v>218</v>
      </c>
      <c r="EX243" s="22" t="s">
        <v>218</v>
      </c>
      <c r="EY243" s="22" t="s">
        <v>218</v>
      </c>
      <c r="EZ243" s="22" t="s">
        <v>218</v>
      </c>
      <c r="FA243" s="22" t="s">
        <v>218</v>
      </c>
      <c r="FB243" s="22" t="s">
        <v>218</v>
      </c>
      <c r="FC243" s="22" t="s">
        <v>218</v>
      </c>
      <c r="FD243" s="22" t="s">
        <v>218</v>
      </c>
      <c r="FE243" s="22" t="s">
        <v>218</v>
      </c>
      <c r="FF243" s="22" t="s">
        <v>218</v>
      </c>
      <c r="FG243" s="22" t="s">
        <v>218</v>
      </c>
      <c r="FH243" s="22" t="s">
        <v>218</v>
      </c>
      <c r="FI243" s="22" t="s">
        <v>218</v>
      </c>
      <c r="FJ243" s="22" t="s">
        <v>218</v>
      </c>
      <c r="FK243" s="22" t="s">
        <v>218</v>
      </c>
      <c r="FL243" s="22" t="s">
        <v>218</v>
      </c>
      <c r="FM243" s="22" t="s">
        <v>218</v>
      </c>
      <c r="FN243" s="22" t="s">
        <v>218</v>
      </c>
      <c r="FO243" s="22" t="s">
        <v>218</v>
      </c>
      <c r="FP243" s="22" t="s">
        <v>218</v>
      </c>
      <c r="FQ243" s="22" t="s">
        <v>218</v>
      </c>
      <c r="FR243" s="22" t="s">
        <v>218</v>
      </c>
      <c r="FS243" s="22" t="s">
        <v>218</v>
      </c>
      <c r="FT243" s="22" t="s">
        <v>218</v>
      </c>
      <c r="FU243" s="22" t="s">
        <v>218</v>
      </c>
      <c r="FV243" s="22" t="s">
        <v>218</v>
      </c>
      <c r="FW243" s="22" t="s">
        <v>218</v>
      </c>
      <c r="FX243" s="22" t="s">
        <v>218</v>
      </c>
      <c r="FY243" s="22" t="s">
        <v>218</v>
      </c>
      <c r="FZ243" s="22" t="s">
        <v>218</v>
      </c>
      <c r="GA243" s="22" t="s">
        <v>218</v>
      </c>
      <c r="GB243" s="22" t="s">
        <v>218</v>
      </c>
      <c r="GC243" s="22" t="s">
        <v>218</v>
      </c>
      <c r="GD243" s="22" t="s">
        <v>218</v>
      </c>
      <c r="GE243" s="22" t="s">
        <v>218</v>
      </c>
      <c r="GF243" s="22" t="s">
        <v>218</v>
      </c>
      <c r="GG243" s="22" t="s">
        <v>218</v>
      </c>
      <c r="GH243" s="22" t="s">
        <v>218</v>
      </c>
      <c r="GI243" s="22" t="s">
        <v>218</v>
      </c>
      <c r="GJ243" s="22" t="s">
        <v>218</v>
      </c>
      <c r="GK243" s="22" t="s">
        <v>218</v>
      </c>
      <c r="GL243" s="22" t="s">
        <v>218</v>
      </c>
      <c r="GM243" s="22" t="s">
        <v>218</v>
      </c>
      <c r="GN243" s="22" t="s">
        <v>218</v>
      </c>
      <c r="GO243" s="22" t="s">
        <v>218</v>
      </c>
      <c r="GP243" s="22" t="s">
        <v>218</v>
      </c>
      <c r="GQ243" s="22" t="s">
        <v>218</v>
      </c>
      <c r="GR243" s="22" t="s">
        <v>218</v>
      </c>
      <c r="GS243" s="22" t="s">
        <v>218</v>
      </c>
      <c r="GT243" s="22" t="s">
        <v>218</v>
      </c>
      <c r="GU243" s="22" t="s">
        <v>218</v>
      </c>
      <c r="GV243" s="22" t="s">
        <v>218</v>
      </c>
      <c r="GW243" s="22" t="s">
        <v>218</v>
      </c>
      <c r="GX243" s="22" t="s">
        <v>218</v>
      </c>
      <c r="GY243" s="22" t="s">
        <v>218</v>
      </c>
      <c r="GZ243" s="22" t="s">
        <v>218</v>
      </c>
      <c r="HA243" s="22" t="s">
        <v>218</v>
      </c>
      <c r="HB243" s="22" t="s">
        <v>218</v>
      </c>
      <c r="HC243" s="22" t="s">
        <v>218</v>
      </c>
      <c r="HD243" s="22" t="s">
        <v>218</v>
      </c>
      <c r="HE243" s="22" t="s">
        <v>218</v>
      </c>
      <c r="HF243" s="22" t="s">
        <v>218</v>
      </c>
      <c r="HG243" s="22" t="s">
        <v>218</v>
      </c>
      <c r="HH243" s="22" t="s">
        <v>218</v>
      </c>
      <c r="HI243" s="22" t="s">
        <v>218</v>
      </c>
      <c r="HJ243" s="22" t="s">
        <v>218</v>
      </c>
      <c r="HK243" s="22" t="s">
        <v>218</v>
      </c>
      <c r="HL243" s="22" t="s">
        <v>218</v>
      </c>
      <c r="HM243" s="622">
        <f>'background data'!$G$10</f>
        <v>0.47300000000000003</v>
      </c>
      <c r="HN243" s="622">
        <f>'background data'!$H$10</f>
        <v>0.13</v>
      </c>
      <c r="HO243" s="622">
        <f>'background data'!$J$10</f>
        <v>0.39100000000000001</v>
      </c>
      <c r="HP243" s="622">
        <f>'background data'!$L$10</f>
        <v>5.5E-2</v>
      </c>
      <c r="HQ243" s="622">
        <f>'background data'!$M$10</f>
        <v>3.97</v>
      </c>
      <c r="HR243" s="622">
        <f>'background data'!$N$10</f>
        <v>4.5999999999999999E-3</v>
      </c>
      <c r="HS243" s="622">
        <f>'background data'!$O$10</f>
        <v>2.73</v>
      </c>
      <c r="HT243" s="145" t="s">
        <v>1797</v>
      </c>
      <c r="HU243" s="145" t="s">
        <v>1809</v>
      </c>
      <c r="HV243" s="22" t="s">
        <v>1926</v>
      </c>
      <c r="HW243" s="22">
        <v>0</v>
      </c>
      <c r="HX243" s="22">
        <v>0</v>
      </c>
      <c r="HY243" s="22">
        <v>0</v>
      </c>
      <c r="HZ243" s="19"/>
      <c r="IA243" s="19"/>
      <c r="IB243" s="622">
        <f>'background data'!$G$10</f>
        <v>0.47300000000000003</v>
      </c>
      <c r="IC243" s="622">
        <f>'background data'!$H$10</f>
        <v>0.13</v>
      </c>
      <c r="ID243" s="622">
        <f>'background data'!$J$10</f>
        <v>0.39100000000000001</v>
      </c>
      <c r="IE243" s="622">
        <f>'background data'!$L$10</f>
        <v>5.5E-2</v>
      </c>
      <c r="IF243" s="622">
        <f>'background data'!$M$10</f>
        <v>3.97</v>
      </c>
      <c r="IG243" s="622">
        <f>'background data'!$N$10</f>
        <v>4.5999999999999999E-3</v>
      </c>
      <c r="IH243" s="622">
        <f>'background data'!$O$10</f>
        <v>2.73</v>
      </c>
      <c r="II243" s="145" t="s">
        <v>1797</v>
      </c>
      <c r="IJ243" s="145"/>
      <c r="IK243" s="145"/>
      <c r="IL243" s="145"/>
      <c r="IM243" s="145"/>
      <c r="IN243" s="145"/>
      <c r="IO243" s="145"/>
      <c r="IP243" s="145"/>
      <c r="IQ243" s="145"/>
      <c r="IR243" s="145"/>
      <c r="IS243" s="145"/>
      <c r="IT243" s="145"/>
      <c r="IU243" s="145"/>
      <c r="IV243" s="145"/>
      <c r="IW243" s="145"/>
      <c r="IX243" s="145"/>
      <c r="IY243" s="145"/>
      <c r="IZ243" s="145"/>
      <c r="JA243" s="145"/>
      <c r="JB243" s="145"/>
      <c r="JC243" s="145"/>
      <c r="JD243" s="145"/>
      <c r="JE243" s="145"/>
      <c r="JF243" s="145"/>
      <c r="JG243" s="145"/>
      <c r="JH243" s="145"/>
      <c r="JI243" s="145"/>
      <c r="JJ243" s="145"/>
      <c r="JK243" s="145"/>
      <c r="JL243" s="145"/>
      <c r="JM243" s="145"/>
      <c r="JN243" s="145"/>
      <c r="JO243" s="145"/>
      <c r="JP243" s="145"/>
      <c r="JQ243" s="145"/>
      <c r="JR243" s="145"/>
      <c r="JS243" s="145"/>
      <c r="JT243" s="145"/>
      <c r="JU243" s="145"/>
      <c r="JV243" s="145"/>
      <c r="JW243" s="145"/>
      <c r="JX243" s="145"/>
      <c r="JY243" s="145"/>
      <c r="JZ243" s="145"/>
      <c r="KA243" s="145"/>
      <c r="KB243" s="145"/>
      <c r="KC243" s="145"/>
      <c r="KD243" s="145"/>
      <c r="KE243" s="145"/>
      <c r="KF243" s="145"/>
      <c r="KG243" s="145"/>
      <c r="KH243" s="145"/>
      <c r="KI243" s="145"/>
      <c r="KJ243" s="145"/>
      <c r="KK243" s="145"/>
      <c r="KL243" s="145"/>
      <c r="KM243" s="145"/>
      <c r="KN243" s="145"/>
      <c r="KO243" s="145"/>
      <c r="KP243" s="145"/>
      <c r="KQ243" s="145"/>
      <c r="KR243" s="145"/>
      <c r="KS243" s="145"/>
      <c r="KT243" s="145"/>
      <c r="KU243" s="145"/>
      <c r="KV243" s="145"/>
      <c r="KW243" s="145"/>
      <c r="KX243" s="145"/>
      <c r="KY243" s="145"/>
      <c r="KZ243" s="145"/>
      <c r="LA243" s="145"/>
      <c r="LB243" s="145"/>
      <c r="LC243" s="145"/>
      <c r="LD243" s="145"/>
      <c r="LE243" s="145"/>
      <c r="LF243" s="145"/>
      <c r="LG243" s="145"/>
      <c r="LH243" s="145"/>
      <c r="LI243" s="145"/>
      <c r="LJ243" s="145"/>
      <c r="LK243" s="145"/>
      <c r="LL243" s="145"/>
      <c r="LM243" s="145"/>
      <c r="LN243" s="145"/>
      <c r="LO243" s="145"/>
      <c r="LP243" s="145"/>
      <c r="LQ243" s="145"/>
      <c r="LR243" s="145"/>
      <c r="LS243" s="145"/>
      <c r="LT243" s="145"/>
      <c r="LU243" s="145"/>
      <c r="LV243" s="145"/>
      <c r="LW243" s="145"/>
      <c r="LX243" s="145"/>
      <c r="LY243" s="145"/>
      <c r="LZ243" s="145"/>
      <c r="MA243" s="145"/>
      <c r="MB243" s="145"/>
      <c r="MC243" s="145"/>
      <c r="MD243" s="145"/>
      <c r="ME243" s="145"/>
      <c r="MF243" s="145"/>
      <c r="MG243" s="145"/>
      <c r="MH243" s="145"/>
      <c r="MI243" s="145"/>
      <c r="MJ243" s="145"/>
      <c r="MK243" s="145"/>
      <c r="ML243" s="145"/>
      <c r="MM243" s="145"/>
      <c r="MN243" s="145"/>
      <c r="MO243" s="145"/>
      <c r="MP243" s="145"/>
      <c r="MQ243" s="145"/>
      <c r="MR243" s="145"/>
      <c r="MS243" s="145"/>
      <c r="MT243" s="145"/>
      <c r="MU243" s="145"/>
      <c r="MV243" s="145"/>
      <c r="MW243" s="145"/>
      <c r="MX243" s="145"/>
      <c r="MY243" s="145"/>
      <c r="MZ243" s="145"/>
      <c r="NA243" s="145"/>
      <c r="NB243" s="145"/>
      <c r="NC243" s="145"/>
      <c r="ND243" s="145"/>
      <c r="NE243" s="145"/>
      <c r="NF243" s="145"/>
      <c r="NG243" s="145"/>
      <c r="NH243" s="145"/>
      <c r="NI243" s="145"/>
      <c r="NJ243" s="145"/>
      <c r="NK243" s="145"/>
      <c r="NL243" s="145"/>
      <c r="NM243" s="145"/>
      <c r="NN243" s="145"/>
      <c r="NO243" s="145"/>
      <c r="NP243" s="145"/>
      <c r="NQ243" s="145"/>
      <c r="NR243" s="145"/>
      <c r="NS243" s="145"/>
    </row>
    <row r="244" spans="1:383" s="16" customFormat="1" ht="15" customHeight="1" x14ac:dyDescent="0.2">
      <c r="A244" s="15">
        <v>41503</v>
      </c>
      <c r="B244" s="25">
        <v>415</v>
      </c>
      <c r="C244" s="26">
        <v>3</v>
      </c>
      <c r="D244" s="20" t="s">
        <v>693</v>
      </c>
      <c r="E244" s="14">
        <v>41697</v>
      </c>
      <c r="F244" s="18">
        <v>9.3293801629177497E-2</v>
      </c>
      <c r="G244" s="18">
        <v>8.9526719988599499E-2</v>
      </c>
      <c r="H244" s="21">
        <v>99.759541809760094</v>
      </c>
      <c r="I244" s="21">
        <v>99.679389079680206</v>
      </c>
      <c r="J244" s="21">
        <v>99.996105430009806</v>
      </c>
      <c r="K244" s="18">
        <v>1</v>
      </c>
      <c r="L244" s="18">
        <v>99.004559854100506</v>
      </c>
      <c r="M244" s="18">
        <v>12.2599757649935</v>
      </c>
      <c r="N244" s="18">
        <v>5.1018506616905601E-2</v>
      </c>
      <c r="O244" s="18">
        <v>85.303358736228503</v>
      </c>
      <c r="P244" s="18">
        <v>1.9098933477772601E-3</v>
      </c>
      <c r="Q244" s="19"/>
      <c r="R244" s="18">
        <v>99.916955447777895</v>
      </c>
      <c r="S244" s="18">
        <v>67</v>
      </c>
      <c r="T244" s="18">
        <v>67</v>
      </c>
      <c r="U244" s="18">
        <v>67</v>
      </c>
      <c r="V244" s="18">
        <v>67</v>
      </c>
      <c r="W244" s="18">
        <v>67</v>
      </c>
      <c r="X244" s="18"/>
      <c r="Y244" s="18">
        <v>202.82662817743147</v>
      </c>
      <c r="Z244" s="18">
        <v>53.727483865421881</v>
      </c>
      <c r="AA244" s="18">
        <v>40.857030003678922</v>
      </c>
      <c r="AB244" s="18">
        <v>81.747571221939467</v>
      </c>
      <c r="AC244" s="18">
        <v>0</v>
      </c>
      <c r="AD244" s="18">
        <v>0</v>
      </c>
      <c r="AE244" s="18">
        <v>0</v>
      </c>
      <c r="AF244" s="18">
        <v>2990.0993382701663</v>
      </c>
      <c r="AG244" s="18">
        <v>598.01986765403319</v>
      </c>
      <c r="AH244" s="18">
        <v>1196.0397353080664</v>
      </c>
      <c r="AI244" s="18">
        <v>2990.0993382701663</v>
      </c>
      <c r="AJ244" s="18">
        <v>5.9801986765403328</v>
      </c>
      <c r="AK244" s="18">
        <v>10.465347683945557</v>
      </c>
      <c r="AL244" s="18"/>
      <c r="AM244" s="18">
        <v>50.761135735658797</v>
      </c>
      <c r="AN244" s="18">
        <v>31.028996869761901</v>
      </c>
      <c r="AO244" s="18">
        <v>0</v>
      </c>
      <c r="AP244" s="18">
        <v>22.418870626816702</v>
      </c>
      <c r="AQ244" s="18">
        <v>4.8909231882226596</v>
      </c>
      <c r="AR244" s="18">
        <v>0</v>
      </c>
      <c r="AS244" s="18">
        <v>0</v>
      </c>
      <c r="AT244" s="18">
        <v>0</v>
      </c>
      <c r="AU244" s="18">
        <v>0</v>
      </c>
      <c r="AV244" s="18">
        <v>0</v>
      </c>
      <c r="AW244" s="18">
        <v>0</v>
      </c>
      <c r="AX244" s="18"/>
      <c r="AY244" s="18">
        <v>1.00083113573517</v>
      </c>
      <c r="AZ244" s="18">
        <v>1.00083113573517</v>
      </c>
      <c r="BA244" s="18">
        <v>0</v>
      </c>
      <c r="BB244" s="18">
        <v>1.00083113573517</v>
      </c>
      <c r="BC244" s="18">
        <v>1.00083113573517</v>
      </c>
      <c r="BD244" s="18">
        <v>0</v>
      </c>
      <c r="BE244" s="18">
        <v>0</v>
      </c>
      <c r="BF244" s="18">
        <v>0</v>
      </c>
      <c r="BG244" s="18">
        <v>0</v>
      </c>
      <c r="BH244" s="18">
        <v>0</v>
      </c>
      <c r="BI244" s="18">
        <v>0</v>
      </c>
      <c r="BJ244" s="19"/>
      <c r="BK244" s="18">
        <v>12.383243542580857</v>
      </c>
      <c r="BL244" s="18">
        <v>5.1531471572713171E-2</v>
      </c>
      <c r="BM244" s="18">
        <v>86.161040321715504</v>
      </c>
      <c r="BN244" s="18">
        <v>1.9290963472710771E-3</v>
      </c>
      <c r="BO244" s="18"/>
      <c r="BP244" s="18">
        <v>0</v>
      </c>
      <c r="BQ244" s="18">
        <v>0</v>
      </c>
      <c r="BR244" s="18">
        <v>9.4231823025789169E-2</v>
      </c>
      <c r="BS244" s="18">
        <v>9.0426865308559354E-2</v>
      </c>
      <c r="BT244" s="19"/>
      <c r="BU244" s="18">
        <v>138.38959678284488</v>
      </c>
      <c r="BV244" s="18">
        <v>24.710994665530574</v>
      </c>
      <c r="BW244" s="18">
        <v>0.15846148566856971</v>
      </c>
      <c r="BX244" s="18">
        <v>0</v>
      </c>
      <c r="BY244" s="18">
        <v>0</v>
      </c>
      <c r="BZ244" s="18">
        <v>0</v>
      </c>
      <c r="CA244" s="18">
        <v>0</v>
      </c>
      <c r="CB244" s="19"/>
      <c r="CC244" s="19">
        <v>200.80761049397901</v>
      </c>
      <c r="CD244" s="19">
        <v>53.192658921643797</v>
      </c>
      <c r="CE244" s="19">
        <v>40.450322724600099</v>
      </c>
      <c r="CF244" s="19">
        <v>80.933823079698499</v>
      </c>
      <c r="CG244" s="19">
        <v>0</v>
      </c>
      <c r="CH244" s="19">
        <v>0</v>
      </c>
      <c r="CI244" s="19">
        <v>0</v>
      </c>
      <c r="CJ244" s="19"/>
      <c r="CK244" s="19">
        <v>2960.33468905475</v>
      </c>
      <c r="CL244" s="19">
        <v>592.06693781094987</v>
      </c>
      <c r="CM244" s="19">
        <v>1184.1338756218997</v>
      </c>
      <c r="CN244" s="19">
        <v>2960.33468905475</v>
      </c>
      <c r="CO244" s="19">
        <v>5.9206693781095003</v>
      </c>
      <c r="CP244" s="19">
        <v>10.3611714116916</v>
      </c>
      <c r="CQ244" s="19">
        <v>122.49794523017</v>
      </c>
      <c r="CR244" s="19">
        <v>1313.0341254296036</v>
      </c>
      <c r="CS244" s="19">
        <v>667.06499580363447</v>
      </c>
      <c r="CT244" s="19">
        <v>407.75994009484856</v>
      </c>
      <c r="CU244" s="19">
        <v>0</v>
      </c>
      <c r="CV244" s="19">
        <v>407.75994009484856</v>
      </c>
      <c r="CW244" s="19">
        <v>294.61208114959862</v>
      </c>
      <c r="CX244" s="19">
        <v>64.272865623370194</v>
      </c>
      <c r="CY244" s="19">
        <v>0</v>
      </c>
      <c r="CZ244" s="19">
        <v>0</v>
      </c>
      <c r="DA244" s="19">
        <v>0</v>
      </c>
      <c r="DB244" s="19">
        <v>0</v>
      </c>
      <c r="DC244" s="19">
        <v>0</v>
      </c>
      <c r="DD244" s="19">
        <v>0</v>
      </c>
      <c r="DE244" s="19">
        <v>0</v>
      </c>
      <c r="DF244" s="23">
        <v>62807.199537571803</v>
      </c>
      <c r="DG244" s="23">
        <v>0</v>
      </c>
      <c r="DH244" s="23">
        <v>0</v>
      </c>
      <c r="DI244" s="19">
        <v>143.24200108329501</v>
      </c>
      <c r="DJ244" s="19">
        <v>14.324200108329499</v>
      </c>
      <c r="DK244" s="19">
        <v>3819.7866955545301</v>
      </c>
      <c r="DL244" s="19">
        <v>57.296800433317699</v>
      </c>
      <c r="DM244" s="19">
        <v>0</v>
      </c>
      <c r="DN244" s="19">
        <v>57.296800433317699</v>
      </c>
      <c r="DO244" s="19">
        <v>114.593600866635</v>
      </c>
      <c r="DP244" s="19">
        <v>85.945200649976798</v>
      </c>
      <c r="DQ244" s="19">
        <v>572.96800433317696</v>
      </c>
      <c r="DR244" s="19">
        <v>572.96800433317696</v>
      </c>
      <c r="DS244" s="19">
        <v>286.48400216658899</v>
      </c>
      <c r="DT244" s="19">
        <v>0</v>
      </c>
      <c r="DU244" s="19">
        <v>0</v>
      </c>
      <c r="DV244" s="19">
        <v>5.7296800433317703</v>
      </c>
      <c r="DW244" s="17" t="s">
        <v>218</v>
      </c>
      <c r="DX244" s="22" t="s">
        <v>218</v>
      </c>
      <c r="DY244" s="22" t="s">
        <v>218</v>
      </c>
      <c r="DZ244" s="22" t="s">
        <v>218</v>
      </c>
      <c r="EA244" s="22" t="s">
        <v>218</v>
      </c>
      <c r="EB244" s="22" t="s">
        <v>218</v>
      </c>
      <c r="EC244" s="22" t="s">
        <v>218</v>
      </c>
      <c r="ED244" s="22" t="s">
        <v>218</v>
      </c>
      <c r="EE244" s="22" t="s">
        <v>218</v>
      </c>
      <c r="EF244" s="22" t="s">
        <v>218</v>
      </c>
      <c r="EG244" s="22" t="s">
        <v>218</v>
      </c>
      <c r="EH244" s="22" t="s">
        <v>218</v>
      </c>
      <c r="EI244" s="22" t="s">
        <v>218</v>
      </c>
      <c r="EJ244" s="22" t="s">
        <v>218</v>
      </c>
      <c r="EK244" s="22" t="s">
        <v>218</v>
      </c>
      <c r="EL244" s="22" t="s">
        <v>218</v>
      </c>
      <c r="EM244" s="22" t="s">
        <v>218</v>
      </c>
      <c r="EN244" s="22" t="s">
        <v>218</v>
      </c>
      <c r="EO244" s="22" t="s">
        <v>218</v>
      </c>
      <c r="EP244" s="22" t="s">
        <v>218</v>
      </c>
      <c r="EQ244" s="22" t="s">
        <v>218</v>
      </c>
      <c r="ER244" s="22" t="s">
        <v>218</v>
      </c>
      <c r="ES244" s="22" t="s">
        <v>218</v>
      </c>
      <c r="ET244" s="22" t="s">
        <v>218</v>
      </c>
      <c r="EU244" s="22" t="s">
        <v>218</v>
      </c>
      <c r="EV244" s="22" t="s">
        <v>218</v>
      </c>
      <c r="EW244" s="22" t="s">
        <v>218</v>
      </c>
      <c r="EX244" s="22" t="s">
        <v>218</v>
      </c>
      <c r="EY244" s="22" t="s">
        <v>218</v>
      </c>
      <c r="EZ244" s="22" t="s">
        <v>218</v>
      </c>
      <c r="FA244" s="22" t="s">
        <v>218</v>
      </c>
      <c r="FB244" s="22" t="s">
        <v>218</v>
      </c>
      <c r="FC244" s="22" t="s">
        <v>218</v>
      </c>
      <c r="FD244" s="22" t="s">
        <v>218</v>
      </c>
      <c r="FE244" s="22" t="s">
        <v>218</v>
      </c>
      <c r="FF244" s="22" t="s">
        <v>218</v>
      </c>
      <c r="FG244" s="22" t="s">
        <v>218</v>
      </c>
      <c r="FH244" s="22" t="s">
        <v>218</v>
      </c>
      <c r="FI244" s="22" t="s">
        <v>218</v>
      </c>
      <c r="FJ244" s="22" t="s">
        <v>218</v>
      </c>
      <c r="FK244" s="22" t="s">
        <v>218</v>
      </c>
      <c r="FL244" s="22" t="s">
        <v>218</v>
      </c>
      <c r="FM244" s="22" t="s">
        <v>218</v>
      </c>
      <c r="FN244" s="22" t="s">
        <v>218</v>
      </c>
      <c r="FO244" s="22" t="s">
        <v>218</v>
      </c>
      <c r="FP244" s="22" t="s">
        <v>218</v>
      </c>
      <c r="FQ244" s="22" t="s">
        <v>218</v>
      </c>
      <c r="FR244" s="22" t="s">
        <v>218</v>
      </c>
      <c r="FS244" s="22" t="s">
        <v>218</v>
      </c>
      <c r="FT244" s="22" t="s">
        <v>218</v>
      </c>
      <c r="FU244" s="22" t="s">
        <v>218</v>
      </c>
      <c r="FV244" s="22" t="s">
        <v>218</v>
      </c>
      <c r="FW244" s="22" t="s">
        <v>218</v>
      </c>
      <c r="FX244" s="22" t="s">
        <v>218</v>
      </c>
      <c r="FY244" s="22" t="s">
        <v>218</v>
      </c>
      <c r="FZ244" s="22" t="s">
        <v>218</v>
      </c>
      <c r="GA244" s="22" t="s">
        <v>218</v>
      </c>
      <c r="GB244" s="22" t="s">
        <v>218</v>
      </c>
      <c r="GC244" s="22" t="s">
        <v>218</v>
      </c>
      <c r="GD244" s="22" t="s">
        <v>218</v>
      </c>
      <c r="GE244" s="22" t="s">
        <v>218</v>
      </c>
      <c r="GF244" s="22" t="s">
        <v>218</v>
      </c>
      <c r="GG244" s="22" t="s">
        <v>218</v>
      </c>
      <c r="GH244" s="22" t="s">
        <v>218</v>
      </c>
      <c r="GI244" s="22" t="s">
        <v>218</v>
      </c>
      <c r="GJ244" s="22" t="s">
        <v>218</v>
      </c>
      <c r="GK244" s="22" t="s">
        <v>218</v>
      </c>
      <c r="GL244" s="22" t="s">
        <v>218</v>
      </c>
      <c r="GM244" s="22" t="s">
        <v>218</v>
      </c>
      <c r="GN244" s="22" t="s">
        <v>218</v>
      </c>
      <c r="GO244" s="22" t="s">
        <v>218</v>
      </c>
      <c r="GP244" s="22" t="s">
        <v>218</v>
      </c>
      <c r="GQ244" s="22" t="s">
        <v>218</v>
      </c>
      <c r="GR244" s="22" t="s">
        <v>218</v>
      </c>
      <c r="GS244" s="22" t="s">
        <v>218</v>
      </c>
      <c r="GT244" s="22" t="s">
        <v>218</v>
      </c>
      <c r="GU244" s="22" t="s">
        <v>218</v>
      </c>
      <c r="GV244" s="22" t="s">
        <v>218</v>
      </c>
      <c r="GW244" s="22" t="s">
        <v>218</v>
      </c>
      <c r="GX244" s="22" t="s">
        <v>218</v>
      </c>
      <c r="GY244" s="22" t="s">
        <v>218</v>
      </c>
      <c r="GZ244" s="22" t="s">
        <v>218</v>
      </c>
      <c r="HA244" s="22" t="s">
        <v>218</v>
      </c>
      <c r="HB244" s="22" t="s">
        <v>218</v>
      </c>
      <c r="HC244" s="22" t="s">
        <v>218</v>
      </c>
      <c r="HD244" s="22" t="s">
        <v>218</v>
      </c>
      <c r="HE244" s="22" t="s">
        <v>218</v>
      </c>
      <c r="HF244" s="22" t="s">
        <v>218</v>
      </c>
      <c r="HG244" s="22" t="s">
        <v>218</v>
      </c>
      <c r="HH244" s="22" t="s">
        <v>218</v>
      </c>
      <c r="HI244" s="22" t="s">
        <v>218</v>
      </c>
      <c r="HJ244" s="22" t="s">
        <v>218</v>
      </c>
      <c r="HK244" s="22" t="s">
        <v>218</v>
      </c>
      <c r="HL244" s="22" t="s">
        <v>218</v>
      </c>
      <c r="HM244" s="622">
        <f>'background data'!$G$10</f>
        <v>0.47300000000000003</v>
      </c>
      <c r="HN244" s="622">
        <f>'background data'!$H$10</f>
        <v>0.13</v>
      </c>
      <c r="HO244" s="622">
        <f>'background data'!$J$10</f>
        <v>0.39100000000000001</v>
      </c>
      <c r="HP244" s="622">
        <f>'background data'!$L$10</f>
        <v>5.5E-2</v>
      </c>
      <c r="HQ244" s="622">
        <f>'background data'!$M$10</f>
        <v>3.97</v>
      </c>
      <c r="HR244" s="622">
        <f>'background data'!$N$10</f>
        <v>4.5999999999999999E-3</v>
      </c>
      <c r="HS244" s="622">
        <f>'background data'!$O$10</f>
        <v>2.73</v>
      </c>
      <c r="HT244" s="145" t="s">
        <v>1797</v>
      </c>
      <c r="HU244" s="145" t="s">
        <v>1809</v>
      </c>
      <c r="HV244" s="22" t="s">
        <v>1926</v>
      </c>
      <c r="HW244" s="22">
        <v>0</v>
      </c>
      <c r="HX244" s="22">
        <v>0</v>
      </c>
      <c r="HY244" s="22">
        <v>0</v>
      </c>
      <c r="HZ244" s="19"/>
      <c r="IA244" s="19"/>
      <c r="IB244" s="622">
        <f>'background data'!$G$10</f>
        <v>0.47300000000000003</v>
      </c>
      <c r="IC244" s="622">
        <f>'background data'!$H$10</f>
        <v>0.13</v>
      </c>
      <c r="ID244" s="622">
        <f>'background data'!$J$10</f>
        <v>0.39100000000000001</v>
      </c>
      <c r="IE244" s="622">
        <f>'background data'!$L$10</f>
        <v>5.5E-2</v>
      </c>
      <c r="IF244" s="622">
        <f>'background data'!$M$10</f>
        <v>3.97</v>
      </c>
      <c r="IG244" s="622">
        <f>'background data'!$N$10</f>
        <v>4.5999999999999999E-3</v>
      </c>
      <c r="IH244" s="622">
        <f>'background data'!$O$10</f>
        <v>2.73</v>
      </c>
      <c r="II244" s="145" t="s">
        <v>1797</v>
      </c>
      <c r="IJ244" s="145"/>
      <c r="IK244" s="145"/>
      <c r="IL244" s="145"/>
      <c r="IM244" s="145"/>
      <c r="IN244" s="145"/>
      <c r="IO244" s="145"/>
      <c r="IP244" s="145"/>
      <c r="IQ244" s="145"/>
      <c r="IR244" s="145"/>
      <c r="IS244" s="145"/>
      <c r="IT244" s="145"/>
      <c r="IU244" s="145"/>
      <c r="IV244" s="145"/>
      <c r="IW244" s="145"/>
      <c r="IX244" s="145"/>
      <c r="IY244" s="145"/>
      <c r="IZ244" s="145"/>
      <c r="JA244" s="145"/>
      <c r="JB244" s="145"/>
      <c r="JC244" s="145"/>
      <c r="JD244" s="145"/>
      <c r="JE244" s="145"/>
      <c r="JF244" s="145"/>
      <c r="JG244" s="145"/>
      <c r="JH244" s="145"/>
      <c r="JI244" s="145"/>
      <c r="JJ244" s="145"/>
      <c r="JK244" s="145"/>
      <c r="JL244" s="145"/>
      <c r="JM244" s="145"/>
      <c r="JN244" s="145"/>
      <c r="JO244" s="145"/>
      <c r="JP244" s="145"/>
      <c r="JQ244" s="145"/>
      <c r="JR244" s="145"/>
      <c r="JS244" s="145"/>
      <c r="JT244" s="145"/>
      <c r="JU244" s="145"/>
      <c r="JV244" s="145"/>
      <c r="JW244" s="145"/>
      <c r="JX244" s="145"/>
      <c r="JY244" s="145"/>
      <c r="JZ244" s="145"/>
      <c r="KA244" s="145"/>
      <c r="KB244" s="145"/>
      <c r="KC244" s="145"/>
      <c r="KD244" s="145"/>
      <c r="KE244" s="145"/>
      <c r="KF244" s="145"/>
      <c r="KG244" s="145"/>
      <c r="KH244" s="145"/>
      <c r="KI244" s="145"/>
      <c r="KJ244" s="145"/>
      <c r="KK244" s="145"/>
      <c r="KL244" s="145"/>
      <c r="KM244" s="145"/>
      <c r="KN244" s="145"/>
      <c r="KO244" s="145"/>
      <c r="KP244" s="145"/>
      <c r="KQ244" s="145"/>
      <c r="KR244" s="145"/>
      <c r="KS244" s="145"/>
      <c r="KT244" s="145"/>
      <c r="KU244" s="145"/>
      <c r="KV244" s="145"/>
      <c r="KW244" s="145"/>
      <c r="KX244" s="145"/>
      <c r="KY244" s="145"/>
      <c r="KZ244" s="145"/>
      <c r="LA244" s="145"/>
      <c r="LB244" s="145"/>
      <c r="LC244" s="145"/>
      <c r="LD244" s="145"/>
      <c r="LE244" s="145"/>
      <c r="LF244" s="145"/>
      <c r="LG244" s="145"/>
      <c r="LH244" s="145"/>
      <c r="LI244" s="145"/>
      <c r="LJ244" s="145"/>
      <c r="LK244" s="145"/>
      <c r="LL244" s="145"/>
      <c r="LM244" s="145"/>
      <c r="LN244" s="145"/>
      <c r="LO244" s="145"/>
      <c r="LP244" s="145"/>
      <c r="LQ244" s="145"/>
      <c r="LR244" s="145"/>
      <c r="LS244" s="145"/>
      <c r="LT244" s="145"/>
      <c r="LU244" s="145"/>
      <c r="LV244" s="145"/>
      <c r="LW244" s="145"/>
      <c r="LX244" s="145"/>
      <c r="LY244" s="145"/>
      <c r="LZ244" s="145"/>
      <c r="MA244" s="145"/>
      <c r="MB244" s="145"/>
      <c r="MC244" s="145"/>
      <c r="MD244" s="145"/>
      <c r="ME244" s="145"/>
      <c r="MF244" s="145"/>
      <c r="MG244" s="145"/>
      <c r="MH244" s="145"/>
      <c r="MI244" s="145"/>
      <c r="MJ244" s="145"/>
      <c r="MK244" s="145"/>
      <c r="ML244" s="145"/>
      <c r="MM244" s="145"/>
      <c r="MN244" s="145"/>
      <c r="MO244" s="145"/>
      <c r="MP244" s="145"/>
      <c r="MQ244" s="145"/>
      <c r="MR244" s="145"/>
      <c r="MS244" s="145"/>
      <c r="MT244" s="145"/>
      <c r="MU244" s="145"/>
      <c r="MV244" s="145"/>
      <c r="MW244" s="145"/>
      <c r="MX244" s="145"/>
      <c r="MY244" s="145"/>
      <c r="MZ244" s="145"/>
      <c r="NA244" s="145"/>
      <c r="NB244" s="145"/>
      <c r="NC244" s="145"/>
      <c r="ND244" s="145"/>
      <c r="NE244" s="145"/>
      <c r="NF244" s="145"/>
      <c r="NG244" s="145"/>
      <c r="NH244" s="145"/>
      <c r="NI244" s="145"/>
      <c r="NJ244" s="145"/>
      <c r="NK244" s="145"/>
      <c r="NL244" s="145"/>
      <c r="NM244" s="145"/>
      <c r="NN244" s="145"/>
      <c r="NO244" s="145"/>
      <c r="NP244" s="145"/>
      <c r="NQ244" s="145"/>
      <c r="NR244" s="145"/>
      <c r="NS244" s="145"/>
    </row>
    <row r="245" spans="1:383" s="16" customFormat="1" ht="15" customHeight="1" x14ac:dyDescent="0.2">
      <c r="A245" s="15">
        <v>44502</v>
      </c>
      <c r="B245" s="25">
        <v>445</v>
      </c>
      <c r="C245" s="26">
        <v>2</v>
      </c>
      <c r="D245" s="20" t="s">
        <v>694</v>
      </c>
      <c r="E245" s="14">
        <v>41814</v>
      </c>
      <c r="F245" s="18">
        <v>0.104114541407441</v>
      </c>
      <c r="G245" s="18">
        <v>9.9932711791407697E-2</v>
      </c>
      <c r="H245" s="21">
        <v>99.697210260795799</v>
      </c>
      <c r="I245" s="21">
        <v>99.596280347727799</v>
      </c>
      <c r="J245" s="21">
        <v>99.994900395385599</v>
      </c>
      <c r="K245" s="18">
        <v>1</v>
      </c>
      <c r="L245" s="18">
        <v>98.863576383454102</v>
      </c>
      <c r="M245" s="18">
        <v>12.3356832570951</v>
      </c>
      <c r="N245" s="18">
        <v>6.4458967651539495E-2</v>
      </c>
      <c r="O245" s="18">
        <v>84.528247807619294</v>
      </c>
      <c r="P245" s="18">
        <v>2.5162842903668401E-3</v>
      </c>
      <c r="Q245" s="19"/>
      <c r="R245" s="18">
        <v>99.8954813792773</v>
      </c>
      <c r="S245" s="18">
        <v>67</v>
      </c>
      <c r="T245" s="18">
        <v>67</v>
      </c>
      <c r="U245" s="18">
        <v>67</v>
      </c>
      <c r="V245" s="18">
        <v>67</v>
      </c>
      <c r="W245" s="18">
        <v>67</v>
      </c>
      <c r="X245" s="18"/>
      <c r="Y245" s="18">
        <v>200.20552983280788</v>
      </c>
      <c r="Z245" s="18">
        <v>37.41041835741013</v>
      </c>
      <c r="AA245" s="18">
        <v>49.426524452890071</v>
      </c>
      <c r="AB245" s="18">
        <v>97.310803695042878</v>
      </c>
      <c r="AC245" s="18">
        <v>0</v>
      </c>
      <c r="AD245" s="18">
        <v>0</v>
      </c>
      <c r="AE245" s="18">
        <v>0</v>
      </c>
      <c r="AF245" s="18">
        <v>1049.8985650189823</v>
      </c>
      <c r="AG245" s="18">
        <v>699.93237667931476</v>
      </c>
      <c r="AH245" s="18">
        <v>1399.8647533586295</v>
      </c>
      <c r="AI245" s="18">
        <v>3499.661883396584</v>
      </c>
      <c r="AJ245" s="18">
        <v>6.9993237667931476</v>
      </c>
      <c r="AK245" s="18">
        <v>6.9993237667931476</v>
      </c>
      <c r="AL245" s="18"/>
      <c r="AM245" s="18">
        <v>55.658692304155402</v>
      </c>
      <c r="AN245" s="18">
        <v>18.920860706612601</v>
      </c>
      <c r="AO245" s="18">
        <v>0</v>
      </c>
      <c r="AP245" s="18">
        <v>29.865638955892599</v>
      </c>
      <c r="AQ245" s="18">
        <v>0</v>
      </c>
      <c r="AR245" s="18">
        <v>0</v>
      </c>
      <c r="AS245" s="18">
        <v>0</v>
      </c>
      <c r="AT245" s="18">
        <v>0</v>
      </c>
      <c r="AU245" s="18">
        <v>0</v>
      </c>
      <c r="AV245" s="18">
        <v>0</v>
      </c>
      <c r="AW245" s="18">
        <v>0</v>
      </c>
      <c r="AX245" s="18"/>
      <c r="AY245" s="18">
        <v>0</v>
      </c>
      <c r="AZ245" s="18">
        <v>0</v>
      </c>
      <c r="BA245" s="18">
        <v>0</v>
      </c>
      <c r="BB245" s="18">
        <v>0</v>
      </c>
      <c r="BC245" s="18">
        <v>0</v>
      </c>
      <c r="BD245" s="18">
        <v>0</v>
      </c>
      <c r="BE245" s="18">
        <v>0</v>
      </c>
      <c r="BF245" s="18">
        <v>0</v>
      </c>
      <c r="BG245" s="18">
        <v>0</v>
      </c>
      <c r="BH245" s="18">
        <v>0</v>
      </c>
      <c r="BI245" s="18">
        <v>0</v>
      </c>
      <c r="BJ245" s="19"/>
      <c r="BK245" s="18">
        <v>12.477480289858917</v>
      </c>
      <c r="BL245" s="18">
        <v>6.5199914882228968E-2</v>
      </c>
      <c r="BM245" s="18">
        <v>85.499888735328028</v>
      </c>
      <c r="BN245" s="18">
        <v>2.5452086424702391E-3</v>
      </c>
      <c r="BO245" s="18"/>
      <c r="BP245" s="18" t="s">
        <v>217</v>
      </c>
      <c r="BQ245" s="18">
        <v>0</v>
      </c>
      <c r="BR245" s="18">
        <v>0.10531132416616248</v>
      </c>
      <c r="BS245" s="18">
        <v>0.101081424976785</v>
      </c>
      <c r="BT245" s="19"/>
      <c r="BU245" s="18">
        <v>145.00111264671963</v>
      </c>
      <c r="BV245" s="18">
        <v>30.175483633903422</v>
      </c>
      <c r="BW245" s="18">
        <v>0.20907070991719617</v>
      </c>
      <c r="BX245" s="18">
        <v>8.1301072871868101</v>
      </c>
      <c r="BY245" s="18">
        <v>0.50813158733558705</v>
      </c>
      <c r="BZ245" s="18">
        <v>0</v>
      </c>
      <c r="CA245" s="18">
        <v>0</v>
      </c>
      <c r="CB245" s="19"/>
      <c r="CC245" s="19">
        <v>197.930346910157</v>
      </c>
      <c r="CD245" s="19">
        <v>36.985277528147897</v>
      </c>
      <c r="CE245" s="19">
        <v>48.864829756169591</v>
      </c>
      <c r="CF245" s="19">
        <v>96.204940740401796</v>
      </c>
      <c r="CG245" s="19">
        <v>0</v>
      </c>
      <c r="CH245" s="19">
        <v>0</v>
      </c>
      <c r="CI245" s="19">
        <v>0</v>
      </c>
      <c r="CJ245" s="19"/>
      <c r="CK245" s="19">
        <v>1037.9672697763301</v>
      </c>
      <c r="CL245" s="19">
        <v>691.97817985088</v>
      </c>
      <c r="CM245" s="19">
        <v>1383.95635970176</v>
      </c>
      <c r="CN245" s="19">
        <v>3459.8908992544102</v>
      </c>
      <c r="CO245" s="19">
        <v>6.9197817985087999</v>
      </c>
      <c r="CP245" s="19">
        <v>6.9197817985087999</v>
      </c>
      <c r="CQ245" s="19">
        <v>123.227901710981</v>
      </c>
      <c r="CR245" s="19">
        <v>1183.5801228643165</v>
      </c>
      <c r="CS245" s="19">
        <v>659.45447147607274</v>
      </c>
      <c r="CT245" s="19">
        <v>224.17785399927612</v>
      </c>
      <c r="CU245" s="19">
        <v>0</v>
      </c>
      <c r="CV245" s="19">
        <v>224.17785399927612</v>
      </c>
      <c r="CW245" s="19">
        <v>353.8536091600368</v>
      </c>
      <c r="CX245" s="19">
        <v>0</v>
      </c>
      <c r="CY245" s="19">
        <v>0</v>
      </c>
      <c r="CZ245" s="19">
        <v>0</v>
      </c>
      <c r="DA245" s="19">
        <v>0</v>
      </c>
      <c r="DB245" s="19">
        <v>0</v>
      </c>
      <c r="DC245" s="19">
        <v>0</v>
      </c>
      <c r="DD245" s="19">
        <v>0</v>
      </c>
      <c r="DE245" s="19">
        <v>0</v>
      </c>
      <c r="DF245" s="23">
        <v>79002.751352708598</v>
      </c>
      <c r="DG245" s="23">
        <v>0</v>
      </c>
      <c r="DH245" s="23">
        <v>96067.345644893707</v>
      </c>
      <c r="DI245" s="19">
        <v>138.39563597017599</v>
      </c>
      <c r="DJ245" s="19">
        <v>13.8395635970176</v>
      </c>
      <c r="DK245" s="19">
        <v>1258.1421451834201</v>
      </c>
      <c r="DL245" s="19">
        <v>69.197817985087994</v>
      </c>
      <c r="DM245" s="19">
        <v>0</v>
      </c>
      <c r="DN245" s="19">
        <v>69.197817985087994</v>
      </c>
      <c r="DO245" s="19">
        <v>69.197817985087994</v>
      </c>
      <c r="DP245" s="19">
        <v>106.942082340591</v>
      </c>
      <c r="DQ245" s="19">
        <v>0.75488528711004999</v>
      </c>
      <c r="DR245" s="19">
        <v>691.97817985088</v>
      </c>
      <c r="DS245" s="19">
        <v>345.98908992544102</v>
      </c>
      <c r="DT245" s="19">
        <v>0</v>
      </c>
      <c r="DU245" s="19">
        <v>0</v>
      </c>
      <c r="DV245" s="19">
        <v>1.88721321777513</v>
      </c>
      <c r="DW245" s="17" t="s">
        <v>218</v>
      </c>
      <c r="DX245" s="22" t="s">
        <v>218</v>
      </c>
      <c r="DY245" s="22" t="s">
        <v>218</v>
      </c>
      <c r="DZ245" s="22" t="s">
        <v>218</v>
      </c>
      <c r="EA245" s="22" t="s">
        <v>218</v>
      </c>
      <c r="EB245" s="22" t="s">
        <v>218</v>
      </c>
      <c r="EC245" s="22" t="s">
        <v>218</v>
      </c>
      <c r="ED245" s="22" t="s">
        <v>218</v>
      </c>
      <c r="EE245" s="22" t="s">
        <v>218</v>
      </c>
      <c r="EF245" s="22" t="s">
        <v>218</v>
      </c>
      <c r="EG245" s="22" t="s">
        <v>218</v>
      </c>
      <c r="EH245" s="22" t="s">
        <v>218</v>
      </c>
      <c r="EI245" s="22" t="s">
        <v>218</v>
      </c>
      <c r="EJ245" s="22" t="s">
        <v>218</v>
      </c>
      <c r="EK245" s="22" t="s">
        <v>218</v>
      </c>
      <c r="EL245" s="22" t="s">
        <v>218</v>
      </c>
      <c r="EM245" s="22" t="s">
        <v>218</v>
      </c>
      <c r="EN245" s="22" t="s">
        <v>218</v>
      </c>
      <c r="EO245" s="22" t="s">
        <v>218</v>
      </c>
      <c r="EP245" s="22" t="s">
        <v>218</v>
      </c>
      <c r="EQ245" s="22" t="s">
        <v>218</v>
      </c>
      <c r="ER245" s="22" t="s">
        <v>218</v>
      </c>
      <c r="ES245" s="22" t="s">
        <v>218</v>
      </c>
      <c r="ET245" s="22" t="s">
        <v>218</v>
      </c>
      <c r="EU245" s="22" t="s">
        <v>218</v>
      </c>
      <c r="EV245" s="22" t="s">
        <v>218</v>
      </c>
      <c r="EW245" s="22" t="s">
        <v>218</v>
      </c>
      <c r="EX245" s="22" t="s">
        <v>218</v>
      </c>
      <c r="EY245" s="22" t="s">
        <v>218</v>
      </c>
      <c r="EZ245" s="22" t="s">
        <v>218</v>
      </c>
      <c r="FA245" s="22" t="s">
        <v>218</v>
      </c>
      <c r="FB245" s="22" t="s">
        <v>218</v>
      </c>
      <c r="FC245" s="22" t="s">
        <v>218</v>
      </c>
      <c r="FD245" s="22" t="s">
        <v>218</v>
      </c>
      <c r="FE245" s="22" t="s">
        <v>218</v>
      </c>
      <c r="FF245" s="22" t="s">
        <v>218</v>
      </c>
      <c r="FG245" s="22" t="s">
        <v>218</v>
      </c>
      <c r="FH245" s="22" t="s">
        <v>218</v>
      </c>
      <c r="FI245" s="22" t="s">
        <v>218</v>
      </c>
      <c r="FJ245" s="22" t="s">
        <v>218</v>
      </c>
      <c r="FK245" s="22" t="s">
        <v>218</v>
      </c>
      <c r="FL245" s="22" t="s">
        <v>218</v>
      </c>
      <c r="FM245" s="22" t="s">
        <v>218</v>
      </c>
      <c r="FN245" s="22" t="s">
        <v>218</v>
      </c>
      <c r="FO245" s="22" t="s">
        <v>218</v>
      </c>
      <c r="FP245" s="22" t="s">
        <v>218</v>
      </c>
      <c r="FQ245" s="22" t="s">
        <v>218</v>
      </c>
      <c r="FR245" s="22" t="s">
        <v>218</v>
      </c>
      <c r="FS245" s="22" t="s">
        <v>218</v>
      </c>
      <c r="FT245" s="22" t="s">
        <v>218</v>
      </c>
      <c r="FU245" s="22" t="s">
        <v>218</v>
      </c>
      <c r="FV245" s="22" t="s">
        <v>218</v>
      </c>
      <c r="FW245" s="22" t="s">
        <v>218</v>
      </c>
      <c r="FX245" s="22" t="s">
        <v>218</v>
      </c>
      <c r="FY245" s="22" t="s">
        <v>218</v>
      </c>
      <c r="FZ245" s="22" t="s">
        <v>218</v>
      </c>
      <c r="GA245" s="22" t="s">
        <v>218</v>
      </c>
      <c r="GB245" s="22" t="s">
        <v>218</v>
      </c>
      <c r="GC245" s="22" t="s">
        <v>218</v>
      </c>
      <c r="GD245" s="22" t="s">
        <v>218</v>
      </c>
      <c r="GE245" s="22" t="s">
        <v>218</v>
      </c>
      <c r="GF245" s="22" t="s">
        <v>218</v>
      </c>
      <c r="GG245" s="22" t="s">
        <v>218</v>
      </c>
      <c r="GH245" s="22" t="s">
        <v>218</v>
      </c>
      <c r="GI245" s="22" t="s">
        <v>218</v>
      </c>
      <c r="GJ245" s="22" t="s">
        <v>218</v>
      </c>
      <c r="GK245" s="22" t="s">
        <v>218</v>
      </c>
      <c r="GL245" s="22" t="s">
        <v>218</v>
      </c>
      <c r="GM245" s="22" t="s">
        <v>218</v>
      </c>
      <c r="GN245" s="22" t="s">
        <v>218</v>
      </c>
      <c r="GO245" s="22" t="s">
        <v>218</v>
      </c>
      <c r="GP245" s="22" t="s">
        <v>218</v>
      </c>
      <c r="GQ245" s="22" t="s">
        <v>218</v>
      </c>
      <c r="GR245" s="22" t="s">
        <v>218</v>
      </c>
      <c r="GS245" s="22" t="s">
        <v>218</v>
      </c>
      <c r="GT245" s="22" t="s">
        <v>218</v>
      </c>
      <c r="GU245" s="22" t="s">
        <v>218</v>
      </c>
      <c r="GV245" s="22" t="s">
        <v>218</v>
      </c>
      <c r="GW245" s="22" t="s">
        <v>218</v>
      </c>
      <c r="GX245" s="22" t="s">
        <v>218</v>
      </c>
      <c r="GY245" s="22" t="s">
        <v>218</v>
      </c>
      <c r="GZ245" s="22" t="s">
        <v>218</v>
      </c>
      <c r="HA245" s="22" t="s">
        <v>218</v>
      </c>
      <c r="HB245" s="22" t="s">
        <v>218</v>
      </c>
      <c r="HC245" s="22" t="s">
        <v>218</v>
      </c>
      <c r="HD245" s="22" t="s">
        <v>218</v>
      </c>
      <c r="HE245" s="22" t="s">
        <v>218</v>
      </c>
      <c r="HF245" s="22" t="s">
        <v>218</v>
      </c>
      <c r="HG245" s="22" t="s">
        <v>218</v>
      </c>
      <c r="HH245" s="22" t="s">
        <v>218</v>
      </c>
      <c r="HI245" s="22" t="s">
        <v>218</v>
      </c>
      <c r="HJ245" s="22" t="s">
        <v>218</v>
      </c>
      <c r="HK245" s="22" t="s">
        <v>218</v>
      </c>
      <c r="HL245" s="22" t="s">
        <v>218</v>
      </c>
      <c r="HM245" s="622">
        <f>'background data'!$G$10</f>
        <v>0.47300000000000003</v>
      </c>
      <c r="HN245" s="622">
        <f>'background data'!$H$10</f>
        <v>0.13</v>
      </c>
      <c r="HO245" s="622">
        <f>'background data'!$J$10</f>
        <v>0.39100000000000001</v>
      </c>
      <c r="HP245" s="622">
        <f>'background data'!$L$10</f>
        <v>5.5E-2</v>
      </c>
      <c r="HQ245" s="622">
        <f>'background data'!$M$10</f>
        <v>3.97</v>
      </c>
      <c r="HR245" s="622">
        <f>'background data'!$N$10</f>
        <v>4.5999999999999999E-3</v>
      </c>
      <c r="HS245" s="622">
        <f>'background data'!$O$10</f>
        <v>2.73</v>
      </c>
      <c r="HT245" s="145" t="s">
        <v>1797</v>
      </c>
      <c r="HU245" s="145" t="s">
        <v>1809</v>
      </c>
      <c r="HV245" s="22" t="s">
        <v>1926</v>
      </c>
      <c r="HW245" s="22">
        <v>0</v>
      </c>
      <c r="HX245" s="22">
        <v>0</v>
      </c>
      <c r="HY245" s="22">
        <v>0</v>
      </c>
      <c r="HZ245" s="19"/>
      <c r="IA245" s="19"/>
      <c r="IB245" s="622">
        <f>'background data'!$G$10</f>
        <v>0.47300000000000003</v>
      </c>
      <c r="IC245" s="622">
        <f>'background data'!$H$10</f>
        <v>0.13</v>
      </c>
      <c r="ID245" s="622">
        <f>'background data'!$J$10</f>
        <v>0.39100000000000001</v>
      </c>
      <c r="IE245" s="622">
        <f>'background data'!$L$10</f>
        <v>5.5E-2</v>
      </c>
      <c r="IF245" s="622">
        <f>'background data'!$M$10</f>
        <v>3.97</v>
      </c>
      <c r="IG245" s="622">
        <f>'background data'!$N$10</f>
        <v>4.5999999999999999E-3</v>
      </c>
      <c r="IH245" s="622">
        <f>'background data'!$O$10</f>
        <v>2.73</v>
      </c>
      <c r="II245" s="145" t="s">
        <v>1797</v>
      </c>
      <c r="IJ245" s="145"/>
      <c r="IK245" s="145"/>
      <c r="IL245" s="145"/>
      <c r="IM245" s="145"/>
      <c r="IN245" s="145"/>
      <c r="IO245" s="145"/>
      <c r="IP245" s="145"/>
      <c r="IQ245" s="145"/>
      <c r="IR245" s="145"/>
      <c r="IS245" s="145"/>
      <c r="IT245" s="145"/>
      <c r="IU245" s="145"/>
      <c r="IV245" s="145"/>
      <c r="IW245" s="145"/>
      <c r="IX245" s="145"/>
      <c r="IY245" s="145"/>
      <c r="IZ245" s="145"/>
      <c r="JA245" s="145"/>
      <c r="JB245" s="145"/>
      <c r="JC245" s="145"/>
      <c r="JD245" s="145"/>
      <c r="JE245" s="145"/>
      <c r="JF245" s="145"/>
      <c r="JG245" s="145"/>
      <c r="JH245" s="145"/>
      <c r="JI245" s="145"/>
      <c r="JJ245" s="145"/>
      <c r="JK245" s="145"/>
      <c r="JL245" s="145"/>
      <c r="JM245" s="145"/>
      <c r="JN245" s="145"/>
      <c r="JO245" s="145"/>
      <c r="JP245" s="145"/>
      <c r="JQ245" s="145"/>
      <c r="JR245" s="145"/>
      <c r="JS245" s="145"/>
      <c r="JT245" s="145"/>
      <c r="JU245" s="145"/>
      <c r="JV245" s="145"/>
      <c r="JW245" s="145"/>
      <c r="JX245" s="145"/>
      <c r="JY245" s="145"/>
      <c r="JZ245" s="145"/>
      <c r="KA245" s="145"/>
      <c r="KB245" s="145"/>
      <c r="KC245" s="145"/>
      <c r="KD245" s="145"/>
      <c r="KE245" s="145"/>
      <c r="KF245" s="145"/>
      <c r="KG245" s="145"/>
      <c r="KH245" s="145"/>
      <c r="KI245" s="145"/>
      <c r="KJ245" s="145"/>
      <c r="KK245" s="145"/>
      <c r="KL245" s="145"/>
      <c r="KM245" s="145"/>
      <c r="KN245" s="145"/>
      <c r="KO245" s="145"/>
      <c r="KP245" s="145"/>
      <c r="KQ245" s="145"/>
      <c r="KR245" s="145"/>
      <c r="KS245" s="145"/>
      <c r="KT245" s="145"/>
      <c r="KU245" s="145"/>
      <c r="KV245" s="145"/>
      <c r="KW245" s="145"/>
      <c r="KX245" s="145"/>
      <c r="KY245" s="145"/>
      <c r="KZ245" s="145"/>
      <c r="LA245" s="145"/>
      <c r="LB245" s="145"/>
      <c r="LC245" s="145"/>
      <c r="LD245" s="145"/>
      <c r="LE245" s="145"/>
      <c r="LF245" s="145"/>
      <c r="LG245" s="145"/>
      <c r="LH245" s="145"/>
      <c r="LI245" s="145"/>
      <c r="LJ245" s="145"/>
      <c r="LK245" s="145"/>
      <c r="LL245" s="145"/>
      <c r="LM245" s="145"/>
      <c r="LN245" s="145"/>
      <c r="LO245" s="145"/>
      <c r="LP245" s="145"/>
      <c r="LQ245" s="145"/>
      <c r="LR245" s="145"/>
      <c r="LS245" s="145"/>
      <c r="LT245" s="145"/>
      <c r="LU245" s="145"/>
      <c r="LV245" s="145"/>
      <c r="LW245" s="145"/>
      <c r="LX245" s="145"/>
      <c r="LY245" s="145"/>
      <c r="LZ245" s="145"/>
      <c r="MA245" s="145"/>
      <c r="MB245" s="145"/>
      <c r="MC245" s="145"/>
      <c r="MD245" s="145"/>
      <c r="ME245" s="145"/>
      <c r="MF245" s="145"/>
      <c r="MG245" s="145"/>
      <c r="MH245" s="145"/>
      <c r="MI245" s="145"/>
      <c r="MJ245" s="145"/>
      <c r="MK245" s="145"/>
      <c r="ML245" s="145"/>
      <c r="MM245" s="145"/>
      <c r="MN245" s="145"/>
      <c r="MO245" s="145"/>
      <c r="MP245" s="145"/>
      <c r="MQ245" s="145"/>
      <c r="MR245" s="145"/>
      <c r="MS245" s="145"/>
      <c r="MT245" s="145"/>
      <c r="MU245" s="145"/>
      <c r="MV245" s="145"/>
      <c r="MW245" s="145"/>
      <c r="MX245" s="145"/>
      <c r="MY245" s="145"/>
      <c r="MZ245" s="145"/>
      <c r="NA245" s="145"/>
      <c r="NB245" s="145"/>
      <c r="NC245" s="145"/>
      <c r="ND245" s="145"/>
      <c r="NE245" s="145"/>
      <c r="NF245" s="145"/>
      <c r="NG245" s="145"/>
      <c r="NH245" s="145"/>
      <c r="NI245" s="145"/>
      <c r="NJ245" s="145"/>
      <c r="NK245" s="145"/>
      <c r="NL245" s="145"/>
      <c r="NM245" s="145"/>
      <c r="NN245" s="145"/>
      <c r="NO245" s="145"/>
      <c r="NP245" s="145"/>
      <c r="NQ245" s="145"/>
      <c r="NR245" s="145"/>
      <c r="NS245" s="145"/>
    </row>
    <row r="246" spans="1:383" s="16" customFormat="1" ht="15" customHeight="1" x14ac:dyDescent="0.2">
      <c r="A246" s="15">
        <v>40102</v>
      </c>
      <c r="B246" s="25">
        <v>401</v>
      </c>
      <c r="C246" s="26">
        <v>2</v>
      </c>
      <c r="D246" s="20" t="s">
        <v>695</v>
      </c>
      <c r="E246" s="14">
        <v>41697</v>
      </c>
      <c r="F246" s="18">
        <v>1.7511307952357901E-2</v>
      </c>
      <c r="G246" s="18">
        <v>1.6900139629673201E-2</v>
      </c>
      <c r="H246" s="21">
        <v>99.599946428370998</v>
      </c>
      <c r="I246" s="21">
        <v>99.466595237828002</v>
      </c>
      <c r="J246" s="21">
        <v>99.993047569026203</v>
      </c>
      <c r="K246" s="18">
        <v>1</v>
      </c>
      <c r="L246" s="18">
        <v>98.9907497348904</v>
      </c>
      <c r="M246" s="18">
        <v>8.3650875293631604</v>
      </c>
      <c r="N246" s="18">
        <v>6.0043940063944597E-2</v>
      </c>
      <c r="O246" s="18">
        <v>90.268263883726306</v>
      </c>
      <c r="P246" s="18">
        <v>2.3263077454944601E-3</v>
      </c>
      <c r="Q246" s="19"/>
      <c r="R246" s="18">
        <v>99.861364145217394</v>
      </c>
      <c r="S246" s="18">
        <v>67</v>
      </c>
      <c r="T246" s="18">
        <v>67</v>
      </c>
      <c r="U246" s="18">
        <v>67</v>
      </c>
      <c r="V246" s="18">
        <v>67</v>
      </c>
      <c r="W246" s="18">
        <v>67</v>
      </c>
      <c r="X246" s="18"/>
      <c r="Y246" s="18">
        <v>219.28400944452483</v>
      </c>
      <c r="Z246" s="18">
        <v>47.76465857748142</v>
      </c>
      <c r="AA246" s="18">
        <v>45.117518348864188</v>
      </c>
      <c r="AB246" s="18">
        <v>85.984487513899168</v>
      </c>
      <c r="AC246" s="18">
        <v>0</v>
      </c>
      <c r="AD246" s="18">
        <v>0</v>
      </c>
      <c r="AE246" s="18">
        <v>0</v>
      </c>
      <c r="AF246" s="18">
        <v>969.3854704468871</v>
      </c>
      <c r="AG246" s="18">
        <v>193.87709408937681</v>
      </c>
      <c r="AH246" s="18">
        <v>1292.5139605958423</v>
      </c>
      <c r="AI246" s="18">
        <v>3231.2849014896206</v>
      </c>
      <c r="AJ246" s="18">
        <v>6.4625698029792309</v>
      </c>
      <c r="AK246" s="18">
        <v>6.4625698029792309</v>
      </c>
      <c r="AL246" s="18"/>
      <c r="AM246" s="18">
        <v>61.005991874013503</v>
      </c>
      <c r="AN246" s="18">
        <v>15.9765800648587</v>
      </c>
      <c r="AO246" s="18">
        <v>1.3209618850144799E-3</v>
      </c>
      <c r="AP246" s="18">
        <v>23.465476909264499</v>
      </c>
      <c r="AQ246" s="18">
        <v>8.3429171685125102E-4</v>
      </c>
      <c r="AR246" s="18">
        <v>2.4333508408161501E-3</v>
      </c>
      <c r="AS246" s="18">
        <v>4.5886044426818803E-3</v>
      </c>
      <c r="AT246" s="18">
        <v>1.6685834337025001E-3</v>
      </c>
      <c r="AU246" s="18">
        <v>2.98954531871698E-3</v>
      </c>
      <c r="AV246" s="18">
        <v>2.08572929212813E-3</v>
      </c>
      <c r="AW246" s="18">
        <v>3.5457397966178199E-3</v>
      </c>
      <c r="AX246" s="18"/>
      <c r="AY246" s="18">
        <v>1.0013783090047601</v>
      </c>
      <c r="AZ246" s="18">
        <v>1.00137024240943</v>
      </c>
      <c r="BA246" s="18">
        <v>0.771068978068709</v>
      </c>
      <c r="BB246" s="18">
        <v>1.0013664464753</v>
      </c>
      <c r="BC246" s="18">
        <v>0.771068978068709</v>
      </c>
      <c r="BD246" s="18">
        <v>0.771068978068709</v>
      </c>
      <c r="BE246" s="18">
        <v>0.771068978068709</v>
      </c>
      <c r="BF246" s="18">
        <v>0.771068978068709</v>
      </c>
      <c r="BG246" s="18">
        <v>0.771068978068709</v>
      </c>
      <c r="BH246" s="18">
        <v>0.771068978068709</v>
      </c>
      <c r="BI246" s="18">
        <v>0.77110000000000001</v>
      </c>
      <c r="BJ246" s="19"/>
      <c r="BK246" s="18">
        <v>8.4503729406696184</v>
      </c>
      <c r="BL246" s="18">
        <v>6.0656112035467731E-2</v>
      </c>
      <c r="BM246" s="18">
        <v>91.188584918768669</v>
      </c>
      <c r="BN246" s="18">
        <v>2.3500253829015368E-3</v>
      </c>
      <c r="BO246" s="18"/>
      <c r="BP246" s="18">
        <v>0</v>
      </c>
      <c r="BQ246" s="18">
        <v>0</v>
      </c>
      <c r="BR246" s="18">
        <v>1.7689842737079346E-2</v>
      </c>
      <c r="BS246" s="18">
        <v>1.7072443309030273E-2</v>
      </c>
      <c r="BT246" s="19"/>
      <c r="BU246" s="18">
        <v>88.114150812312943</v>
      </c>
      <c r="BV246" s="18">
        <v>10.107030002118689</v>
      </c>
      <c r="BW246" s="18">
        <v>0.16785895592152925</v>
      </c>
      <c r="BX246" s="18">
        <v>0</v>
      </c>
      <c r="BY246" s="18">
        <v>0</v>
      </c>
      <c r="BZ246" s="18">
        <v>0</v>
      </c>
      <c r="CA246" s="18">
        <v>0</v>
      </c>
      <c r="CB246" s="19"/>
      <c r="CC246" s="19">
        <v>217.070884997863</v>
      </c>
      <c r="CD246" s="19">
        <v>47.282593634159497</v>
      </c>
      <c r="CE246" s="19">
        <v>44.662169675317408</v>
      </c>
      <c r="CF246" s="19">
        <v>85.116688845712019</v>
      </c>
      <c r="CG246" s="19">
        <v>0</v>
      </c>
      <c r="CH246" s="19">
        <v>0</v>
      </c>
      <c r="CI246" s="19">
        <v>0</v>
      </c>
      <c r="CJ246" s="19"/>
      <c r="CK246" s="19">
        <v>959.60194501646799</v>
      </c>
      <c r="CL246" s="19">
        <v>191.920389003293</v>
      </c>
      <c r="CM246" s="19">
        <v>1279.4692600219503</v>
      </c>
      <c r="CN246" s="19">
        <v>3198.6731500548904</v>
      </c>
      <c r="CO246" s="19">
        <v>6.3973463001097706</v>
      </c>
      <c r="CP246" s="19">
        <v>6.3973463001097706</v>
      </c>
      <c r="CQ246" s="19">
        <v>83.534905187635104</v>
      </c>
      <c r="CR246" s="19">
        <v>4770.3407086954412</v>
      </c>
      <c r="CS246" s="19">
        <v>2914.2048112437137</v>
      </c>
      <c r="CT246" s="19">
        <v>763.18161554522794</v>
      </c>
      <c r="CU246" s="19">
        <v>4.8588435554297489E-2</v>
      </c>
      <c r="CV246" s="19">
        <v>763.23020398078143</v>
      </c>
      <c r="CW246" s="19">
        <v>1120.9127747168993</v>
      </c>
      <c r="CX246" s="19">
        <v>3.0687432981661548E-2</v>
      </c>
      <c r="CY246" s="19">
        <v>8.9505012863179995E-2</v>
      </c>
      <c r="CZ246" s="19">
        <v>0.16878088139913849</v>
      </c>
      <c r="DA246" s="19">
        <v>6.1374865963323096E-2</v>
      </c>
      <c r="DB246" s="19">
        <v>0.10996330151762007</v>
      </c>
      <c r="DC246" s="19">
        <v>7.6718582454153875E-2</v>
      </c>
      <c r="DD246" s="19">
        <v>0.18668188397177451</v>
      </c>
      <c r="DE246" s="19">
        <v>0.13042683734154228</v>
      </c>
      <c r="DF246" s="23">
        <v>73651.419392174997</v>
      </c>
      <c r="DG246" s="23">
        <v>0</v>
      </c>
      <c r="DH246" s="23">
        <v>0</v>
      </c>
      <c r="DI246" s="19">
        <v>255.89385200439099</v>
      </c>
      <c r="DJ246" s="19">
        <v>25.5893852004391</v>
      </c>
      <c r="DK246" s="19">
        <v>4798.0097250823201</v>
      </c>
      <c r="DL246" s="19">
        <v>63.973463001097599</v>
      </c>
      <c r="DM246" s="19">
        <v>0</v>
      </c>
      <c r="DN246" s="19">
        <v>63.973463001097599</v>
      </c>
      <c r="DO246" s="19">
        <v>159.93365750274401</v>
      </c>
      <c r="DP246" s="19">
        <v>95.960194501646797</v>
      </c>
      <c r="DQ246" s="19">
        <v>639.73463001097605</v>
      </c>
      <c r="DR246" s="19">
        <v>639.73463001097605</v>
      </c>
      <c r="DS246" s="19">
        <v>479.80097250823201</v>
      </c>
      <c r="DT246" s="19">
        <v>0</v>
      </c>
      <c r="DU246" s="19">
        <v>47.980097250823199</v>
      </c>
      <c r="DV246" s="19">
        <v>6.3973463001097697</v>
      </c>
      <c r="DW246" s="17" t="s">
        <v>218</v>
      </c>
      <c r="DX246" s="22" t="s">
        <v>218</v>
      </c>
      <c r="DY246" s="22" t="s">
        <v>218</v>
      </c>
      <c r="DZ246" s="22" t="s">
        <v>218</v>
      </c>
      <c r="EA246" s="22" t="s">
        <v>218</v>
      </c>
      <c r="EB246" s="22" t="s">
        <v>218</v>
      </c>
      <c r="EC246" s="22" t="s">
        <v>218</v>
      </c>
      <c r="ED246" s="22" t="s">
        <v>218</v>
      </c>
      <c r="EE246" s="22" t="s">
        <v>218</v>
      </c>
      <c r="EF246" s="22" t="s">
        <v>218</v>
      </c>
      <c r="EG246" s="22" t="s">
        <v>218</v>
      </c>
      <c r="EH246" s="22" t="s">
        <v>218</v>
      </c>
      <c r="EI246" s="22" t="s">
        <v>218</v>
      </c>
      <c r="EJ246" s="22" t="s">
        <v>218</v>
      </c>
      <c r="EK246" s="22" t="s">
        <v>218</v>
      </c>
      <c r="EL246" s="22" t="s">
        <v>218</v>
      </c>
      <c r="EM246" s="22" t="s">
        <v>218</v>
      </c>
      <c r="EN246" s="22" t="s">
        <v>218</v>
      </c>
      <c r="EO246" s="22" t="s">
        <v>218</v>
      </c>
      <c r="EP246" s="22" t="s">
        <v>218</v>
      </c>
      <c r="EQ246" s="22" t="s">
        <v>218</v>
      </c>
      <c r="ER246" s="22" t="s">
        <v>218</v>
      </c>
      <c r="ES246" s="22" t="s">
        <v>218</v>
      </c>
      <c r="ET246" s="22" t="s">
        <v>218</v>
      </c>
      <c r="EU246" s="22" t="s">
        <v>218</v>
      </c>
      <c r="EV246" s="22" t="s">
        <v>218</v>
      </c>
      <c r="EW246" s="22" t="s">
        <v>218</v>
      </c>
      <c r="EX246" s="22" t="s">
        <v>218</v>
      </c>
      <c r="EY246" s="22" t="s">
        <v>218</v>
      </c>
      <c r="EZ246" s="22" t="s">
        <v>218</v>
      </c>
      <c r="FA246" s="22" t="s">
        <v>218</v>
      </c>
      <c r="FB246" s="22" t="s">
        <v>218</v>
      </c>
      <c r="FC246" s="22" t="s">
        <v>218</v>
      </c>
      <c r="FD246" s="22" t="s">
        <v>218</v>
      </c>
      <c r="FE246" s="22" t="s">
        <v>218</v>
      </c>
      <c r="FF246" s="22" t="s">
        <v>218</v>
      </c>
      <c r="FG246" s="22" t="s">
        <v>218</v>
      </c>
      <c r="FH246" s="22" t="s">
        <v>218</v>
      </c>
      <c r="FI246" s="22" t="s">
        <v>218</v>
      </c>
      <c r="FJ246" s="22" t="s">
        <v>218</v>
      </c>
      <c r="FK246" s="22" t="s">
        <v>218</v>
      </c>
      <c r="FL246" s="22" t="s">
        <v>218</v>
      </c>
      <c r="FM246" s="22" t="s">
        <v>218</v>
      </c>
      <c r="FN246" s="22" t="s">
        <v>218</v>
      </c>
      <c r="FO246" s="22" t="s">
        <v>218</v>
      </c>
      <c r="FP246" s="22" t="s">
        <v>218</v>
      </c>
      <c r="FQ246" s="22" t="s">
        <v>218</v>
      </c>
      <c r="FR246" s="22" t="s">
        <v>218</v>
      </c>
      <c r="FS246" s="22" t="s">
        <v>218</v>
      </c>
      <c r="FT246" s="22" t="s">
        <v>218</v>
      </c>
      <c r="FU246" s="22" t="s">
        <v>218</v>
      </c>
      <c r="FV246" s="22" t="s">
        <v>218</v>
      </c>
      <c r="FW246" s="22" t="s">
        <v>218</v>
      </c>
      <c r="FX246" s="22" t="s">
        <v>218</v>
      </c>
      <c r="FY246" s="22" t="s">
        <v>218</v>
      </c>
      <c r="FZ246" s="22" t="s">
        <v>218</v>
      </c>
      <c r="GA246" s="22" t="s">
        <v>218</v>
      </c>
      <c r="GB246" s="22" t="s">
        <v>218</v>
      </c>
      <c r="GC246" s="22" t="s">
        <v>218</v>
      </c>
      <c r="GD246" s="22" t="s">
        <v>218</v>
      </c>
      <c r="GE246" s="22" t="s">
        <v>218</v>
      </c>
      <c r="GF246" s="22" t="s">
        <v>218</v>
      </c>
      <c r="GG246" s="22" t="s">
        <v>218</v>
      </c>
      <c r="GH246" s="22" t="s">
        <v>218</v>
      </c>
      <c r="GI246" s="22" t="s">
        <v>218</v>
      </c>
      <c r="GJ246" s="22" t="s">
        <v>218</v>
      </c>
      <c r="GK246" s="22" t="s">
        <v>218</v>
      </c>
      <c r="GL246" s="22" t="s">
        <v>218</v>
      </c>
      <c r="GM246" s="22" t="s">
        <v>218</v>
      </c>
      <c r="GN246" s="22" t="s">
        <v>218</v>
      </c>
      <c r="GO246" s="22" t="s">
        <v>218</v>
      </c>
      <c r="GP246" s="22" t="s">
        <v>218</v>
      </c>
      <c r="GQ246" s="22" t="s">
        <v>218</v>
      </c>
      <c r="GR246" s="22" t="s">
        <v>218</v>
      </c>
      <c r="GS246" s="22" t="s">
        <v>218</v>
      </c>
      <c r="GT246" s="22" t="s">
        <v>218</v>
      </c>
      <c r="GU246" s="22" t="s">
        <v>218</v>
      </c>
      <c r="GV246" s="22" t="s">
        <v>218</v>
      </c>
      <c r="GW246" s="22" t="s">
        <v>218</v>
      </c>
      <c r="GX246" s="22" t="s">
        <v>218</v>
      </c>
      <c r="GY246" s="22" t="s">
        <v>218</v>
      </c>
      <c r="GZ246" s="22" t="s">
        <v>218</v>
      </c>
      <c r="HA246" s="22" t="s">
        <v>218</v>
      </c>
      <c r="HB246" s="22" t="s">
        <v>218</v>
      </c>
      <c r="HC246" s="22" t="s">
        <v>218</v>
      </c>
      <c r="HD246" s="22" t="s">
        <v>218</v>
      </c>
      <c r="HE246" s="22" t="s">
        <v>218</v>
      </c>
      <c r="HF246" s="22" t="s">
        <v>218</v>
      </c>
      <c r="HG246" s="22" t="s">
        <v>218</v>
      </c>
      <c r="HH246" s="22" t="s">
        <v>218</v>
      </c>
      <c r="HI246" s="22" t="s">
        <v>218</v>
      </c>
      <c r="HJ246" s="22" t="s">
        <v>218</v>
      </c>
      <c r="HK246" s="22" t="s">
        <v>218</v>
      </c>
      <c r="HL246" s="22" t="s">
        <v>218</v>
      </c>
      <c r="HM246" s="622">
        <f>'background data'!$G$10</f>
        <v>0.47300000000000003</v>
      </c>
      <c r="HN246" s="622">
        <f>'background data'!$H$10</f>
        <v>0.13</v>
      </c>
      <c r="HO246" s="622">
        <f>'background data'!$J$10</f>
        <v>0.39100000000000001</v>
      </c>
      <c r="HP246" s="622">
        <f>'background data'!$L$10</f>
        <v>5.5E-2</v>
      </c>
      <c r="HQ246" s="622">
        <f>'background data'!$M$10</f>
        <v>3.97</v>
      </c>
      <c r="HR246" s="622">
        <f>'background data'!$N$10</f>
        <v>4.5999999999999999E-3</v>
      </c>
      <c r="HS246" s="622">
        <f>'background data'!$O$10</f>
        <v>2.73</v>
      </c>
      <c r="HT246" s="145" t="s">
        <v>1797</v>
      </c>
      <c r="HU246" s="145" t="s">
        <v>1809</v>
      </c>
      <c r="HV246" s="22" t="s">
        <v>1926</v>
      </c>
      <c r="HW246" s="22">
        <v>0</v>
      </c>
      <c r="HX246" s="22">
        <v>0</v>
      </c>
      <c r="HY246" s="22">
        <v>0</v>
      </c>
      <c r="HZ246" s="19"/>
      <c r="IA246" s="19"/>
      <c r="IB246" s="622">
        <f>'background data'!$G$10</f>
        <v>0.47300000000000003</v>
      </c>
      <c r="IC246" s="622">
        <f>'background data'!$H$10</f>
        <v>0.13</v>
      </c>
      <c r="ID246" s="622">
        <f>'background data'!$J$10</f>
        <v>0.39100000000000001</v>
      </c>
      <c r="IE246" s="622">
        <f>'background data'!$L$10</f>
        <v>5.5E-2</v>
      </c>
      <c r="IF246" s="622">
        <f>'background data'!$M$10</f>
        <v>3.97</v>
      </c>
      <c r="IG246" s="622">
        <f>'background data'!$N$10</f>
        <v>4.5999999999999999E-3</v>
      </c>
      <c r="IH246" s="622">
        <f>'background data'!$O$10</f>
        <v>2.73</v>
      </c>
      <c r="II246" s="145" t="s">
        <v>1797</v>
      </c>
      <c r="IJ246" s="145"/>
      <c r="IK246" s="145"/>
      <c r="IL246" s="145"/>
      <c r="IM246" s="145"/>
      <c r="IN246" s="145"/>
      <c r="IO246" s="145"/>
      <c r="IP246" s="145"/>
      <c r="IQ246" s="145"/>
      <c r="IR246" s="145"/>
      <c r="IS246" s="145"/>
      <c r="IT246" s="145"/>
      <c r="IU246" s="145"/>
      <c r="IV246" s="145"/>
      <c r="IW246" s="145"/>
      <c r="IX246" s="145"/>
      <c r="IY246" s="145"/>
      <c r="IZ246" s="145"/>
      <c r="JA246" s="145"/>
      <c r="JB246" s="145"/>
      <c r="JC246" s="145"/>
      <c r="JD246" s="145"/>
      <c r="JE246" s="145"/>
      <c r="JF246" s="145"/>
      <c r="JG246" s="145"/>
      <c r="JH246" s="145"/>
      <c r="JI246" s="145"/>
      <c r="JJ246" s="145"/>
      <c r="JK246" s="145"/>
      <c r="JL246" s="145"/>
      <c r="JM246" s="145"/>
      <c r="JN246" s="145"/>
      <c r="JO246" s="145"/>
      <c r="JP246" s="145"/>
      <c r="JQ246" s="145"/>
      <c r="JR246" s="145"/>
      <c r="JS246" s="145"/>
      <c r="JT246" s="145"/>
      <c r="JU246" s="145"/>
      <c r="JV246" s="145"/>
      <c r="JW246" s="145"/>
      <c r="JX246" s="145"/>
      <c r="JY246" s="145"/>
      <c r="JZ246" s="145"/>
      <c r="KA246" s="145"/>
      <c r="KB246" s="145"/>
      <c r="KC246" s="145"/>
      <c r="KD246" s="145"/>
      <c r="KE246" s="145"/>
      <c r="KF246" s="145"/>
      <c r="KG246" s="145"/>
      <c r="KH246" s="145"/>
      <c r="KI246" s="145"/>
      <c r="KJ246" s="145"/>
      <c r="KK246" s="145"/>
      <c r="KL246" s="145"/>
      <c r="KM246" s="145"/>
      <c r="KN246" s="145"/>
      <c r="KO246" s="145"/>
      <c r="KP246" s="145"/>
      <c r="KQ246" s="145"/>
      <c r="KR246" s="145"/>
      <c r="KS246" s="145"/>
      <c r="KT246" s="145"/>
      <c r="KU246" s="145"/>
      <c r="KV246" s="145"/>
      <c r="KW246" s="145"/>
      <c r="KX246" s="145"/>
      <c r="KY246" s="145"/>
      <c r="KZ246" s="145"/>
      <c r="LA246" s="145"/>
      <c r="LB246" s="145"/>
      <c r="LC246" s="145"/>
      <c r="LD246" s="145"/>
      <c r="LE246" s="145"/>
      <c r="LF246" s="145"/>
      <c r="LG246" s="145"/>
      <c r="LH246" s="145"/>
      <c r="LI246" s="145"/>
      <c r="LJ246" s="145"/>
      <c r="LK246" s="145"/>
      <c r="LL246" s="145"/>
      <c r="LM246" s="145"/>
      <c r="LN246" s="145"/>
      <c r="LO246" s="145"/>
      <c r="LP246" s="145"/>
      <c r="LQ246" s="145"/>
      <c r="LR246" s="145"/>
      <c r="LS246" s="145"/>
      <c r="LT246" s="145"/>
      <c r="LU246" s="145"/>
      <c r="LV246" s="145"/>
      <c r="LW246" s="145"/>
      <c r="LX246" s="145"/>
      <c r="LY246" s="145"/>
      <c r="LZ246" s="145"/>
      <c r="MA246" s="145"/>
      <c r="MB246" s="145"/>
      <c r="MC246" s="145"/>
      <c r="MD246" s="145"/>
      <c r="ME246" s="145"/>
      <c r="MF246" s="145"/>
      <c r="MG246" s="145"/>
      <c r="MH246" s="145"/>
      <c r="MI246" s="145"/>
      <c r="MJ246" s="145"/>
      <c r="MK246" s="145"/>
      <c r="ML246" s="145"/>
      <c r="MM246" s="145"/>
      <c r="MN246" s="145"/>
      <c r="MO246" s="145"/>
      <c r="MP246" s="145"/>
      <c r="MQ246" s="145"/>
      <c r="MR246" s="145"/>
      <c r="MS246" s="145"/>
      <c r="MT246" s="145"/>
      <c r="MU246" s="145"/>
      <c r="MV246" s="145"/>
      <c r="MW246" s="145"/>
      <c r="MX246" s="145"/>
      <c r="MY246" s="145"/>
      <c r="MZ246" s="145"/>
      <c r="NA246" s="145"/>
      <c r="NB246" s="145"/>
      <c r="NC246" s="145"/>
      <c r="ND246" s="145"/>
      <c r="NE246" s="145"/>
      <c r="NF246" s="145"/>
      <c r="NG246" s="145"/>
      <c r="NH246" s="145"/>
      <c r="NI246" s="145"/>
      <c r="NJ246" s="145"/>
      <c r="NK246" s="145"/>
      <c r="NL246" s="145"/>
      <c r="NM246" s="145"/>
      <c r="NN246" s="145"/>
      <c r="NO246" s="145"/>
      <c r="NP246" s="145"/>
      <c r="NQ246" s="145"/>
      <c r="NR246" s="145"/>
      <c r="NS246" s="145"/>
    </row>
    <row r="247" spans="1:383" s="16" customFormat="1" ht="15" customHeight="1" x14ac:dyDescent="0.2">
      <c r="A247" s="15">
        <v>40101</v>
      </c>
      <c r="B247" s="25">
        <v>401</v>
      </c>
      <c r="C247" s="26">
        <v>1</v>
      </c>
      <c r="D247" s="20" t="s">
        <v>696</v>
      </c>
      <c r="E247" s="14">
        <v>41697</v>
      </c>
      <c r="F247" s="18">
        <v>-9.0903703586954002E-2</v>
      </c>
      <c r="G247" s="18">
        <v>-8.6967735257829096E-2</v>
      </c>
      <c r="H247" s="21">
        <v>96.590367141494696</v>
      </c>
      <c r="I247" s="21">
        <v>95.453822855326294</v>
      </c>
      <c r="J247" s="21">
        <v>99.932591508913902</v>
      </c>
      <c r="K247" s="18">
        <v>1</v>
      </c>
      <c r="L247" s="18">
        <v>98.999998653253996</v>
      </c>
      <c r="M247" s="18">
        <v>1.1704813049362699</v>
      </c>
      <c r="N247" s="18">
        <v>8.4414938309343004E-2</v>
      </c>
      <c r="O247" s="18">
        <v>97.611572710323699</v>
      </c>
      <c r="P247" s="18">
        <v>3.1560151444110598E-3</v>
      </c>
      <c r="Q247" s="19"/>
      <c r="R247" s="18">
        <v>98.608060418570801</v>
      </c>
      <c r="S247" s="18">
        <v>67</v>
      </c>
      <c r="T247" s="18">
        <v>67</v>
      </c>
      <c r="U247" s="18">
        <v>67</v>
      </c>
      <c r="V247" s="18">
        <v>67</v>
      </c>
      <c r="W247" s="18">
        <v>67</v>
      </c>
      <c r="X247" s="18"/>
      <c r="Y247" s="18">
        <v>253.14762334449242</v>
      </c>
      <c r="Z247" s="18">
        <v>18.969999285791623</v>
      </c>
      <c r="AA247" s="18">
        <v>59.968772324985807</v>
      </c>
      <c r="AB247" s="18">
        <v>100.01634724418298</v>
      </c>
      <c r="AC247" s="18">
        <v>0</v>
      </c>
      <c r="AD247" s="18">
        <v>0</v>
      </c>
      <c r="AE247" s="18">
        <v>0</v>
      </c>
      <c r="AF247" s="18">
        <v>1315.0063280599647</v>
      </c>
      <c r="AG247" s="18">
        <v>263.0012656119909</v>
      </c>
      <c r="AH247" s="18">
        <v>1753.3417707466062</v>
      </c>
      <c r="AI247" s="18">
        <v>4383.3544268665255</v>
      </c>
      <c r="AJ247" s="18">
        <v>8.7667088537330322</v>
      </c>
      <c r="AK247" s="18">
        <v>8.7667088537330322</v>
      </c>
      <c r="AL247" s="18"/>
      <c r="AM247" s="18">
        <v>76.606636606104999</v>
      </c>
      <c r="AN247" s="18">
        <v>1.2133528395502999E-2</v>
      </c>
      <c r="AO247" s="18">
        <v>1.2807613306364299E-2</v>
      </c>
      <c r="AP247" s="18">
        <v>8.6538767415478297</v>
      </c>
      <c r="AQ247" s="18">
        <v>8.0890189303353607E-3</v>
      </c>
      <c r="AR247" s="18">
        <v>2.3592971880144802E-2</v>
      </c>
      <c r="AS247" s="18">
        <v>4.4489604116844501E-2</v>
      </c>
      <c r="AT247" s="18">
        <v>1.6178037860670701E-2</v>
      </c>
      <c r="AU247" s="18">
        <v>2.8985651167035002E-2</v>
      </c>
      <c r="AV247" s="18">
        <v>2.0222547325838398E-2</v>
      </c>
      <c r="AW247" s="18">
        <v>3.4378330453925403E-2</v>
      </c>
      <c r="AX247" s="18"/>
      <c r="AY247" s="18">
        <v>1.0140378888483501</v>
      </c>
      <c r="AZ247" s="18">
        <v>0.78086922786180901</v>
      </c>
      <c r="BA247" s="18">
        <v>0.78086922786180901</v>
      </c>
      <c r="BB247" s="18">
        <v>1.01353448800956</v>
      </c>
      <c r="BC247" s="18">
        <v>0.78086922786180901</v>
      </c>
      <c r="BD247" s="18">
        <v>0.78086922786180901</v>
      </c>
      <c r="BE247" s="18">
        <v>0.78086922786180901</v>
      </c>
      <c r="BF247" s="18">
        <v>0.78086922786180901</v>
      </c>
      <c r="BG247" s="18">
        <v>0.78086922786180901</v>
      </c>
      <c r="BH247" s="18">
        <v>0.78086922786180901</v>
      </c>
      <c r="BI247" s="18">
        <v>0.78090000000000004</v>
      </c>
      <c r="BJ247" s="19"/>
      <c r="BK247" s="18">
        <v>1.1823043645039462</v>
      </c>
      <c r="BL247" s="18">
        <v>8.5267615613819403E-2</v>
      </c>
      <c r="BM247" s="18">
        <v>98.597549533517437</v>
      </c>
      <c r="BN247" s="18">
        <v>3.1878941286301987E-3</v>
      </c>
      <c r="BO247" s="18"/>
      <c r="BP247" s="18">
        <v>0</v>
      </c>
      <c r="BQ247" s="18">
        <v>0</v>
      </c>
      <c r="BR247" s="18">
        <v>-9.1821924064204141E-2</v>
      </c>
      <c r="BS247" s="18">
        <v>-8.7846198425145725E-2</v>
      </c>
      <c r="BT247" s="19"/>
      <c r="BU247" s="18">
        <v>14.024504664826118</v>
      </c>
      <c r="BV247" s="18">
        <v>1.7325482336179738</v>
      </c>
      <c r="BW247" s="18">
        <v>0.22770672347357396</v>
      </c>
      <c r="BX247" s="18">
        <v>0</v>
      </c>
      <c r="BY247" s="18">
        <v>0</v>
      </c>
      <c r="BZ247" s="18">
        <v>0</v>
      </c>
      <c r="CA247" s="18">
        <v>0</v>
      </c>
      <c r="CB247" s="19"/>
      <c r="CC247" s="19">
        <v>250.616143701792</v>
      </c>
      <c r="CD247" s="19">
        <v>18.780299037456</v>
      </c>
      <c r="CE247" s="19">
        <v>59.369083794108903</v>
      </c>
      <c r="CF247" s="19">
        <v>99.016182424774996</v>
      </c>
      <c r="CG247" s="19">
        <v>0</v>
      </c>
      <c r="CH247" s="19">
        <v>0</v>
      </c>
      <c r="CI247" s="19">
        <v>0</v>
      </c>
      <c r="CJ247" s="19"/>
      <c r="CK247" s="19">
        <v>1301.8562470695699</v>
      </c>
      <c r="CL247" s="19">
        <v>260.37124941391198</v>
      </c>
      <c r="CM247" s="19">
        <v>1735.80832942608</v>
      </c>
      <c r="CN247" s="19">
        <v>4339.5208235652099</v>
      </c>
      <c r="CO247" s="19">
        <v>8.6790416471304006</v>
      </c>
      <c r="CP247" s="19">
        <v>8.6790416471304006</v>
      </c>
      <c r="CQ247" s="19">
        <v>11.541889123596301</v>
      </c>
      <c r="CR247" s="19">
        <v>-126.96830457029617</v>
      </c>
      <c r="CS247" s="19">
        <v>-98.631559057038871</v>
      </c>
      <c r="CT247" s="19">
        <v>-1.202986461923837E-2</v>
      </c>
      <c r="CU247" s="19">
        <v>-1.269819043141825E-2</v>
      </c>
      <c r="CV247" s="19">
        <v>-2.4728055050656509E-2</v>
      </c>
      <c r="CW247" s="19">
        <v>-11.136393209387075</v>
      </c>
      <c r="CX247" s="19">
        <v>-8.0199097461589094E-3</v>
      </c>
      <c r="CY247" s="19">
        <v>-2.3391403426296861E-2</v>
      </c>
      <c r="CZ247" s="19">
        <v>-4.4109503603874098E-2</v>
      </c>
      <c r="DA247" s="19">
        <v>-1.6039819492317753E-2</v>
      </c>
      <c r="DB247" s="19">
        <v>-2.873800992373611E-2</v>
      </c>
      <c r="DC247" s="19">
        <v>-2.0049774365397354E-2</v>
      </c>
      <c r="DD247" s="19">
        <v>-4.8787784289133246E-2</v>
      </c>
      <c r="DE247" s="19">
        <v>-3.4085959612185322E-2</v>
      </c>
      <c r="DF247" s="23">
        <v>103934.31060070101</v>
      </c>
      <c r="DG247" s="23">
        <v>0</v>
      </c>
      <c r="DH247" s="23">
        <v>0</v>
      </c>
      <c r="DI247" s="19">
        <v>347.161665885216</v>
      </c>
      <c r="DJ247" s="19">
        <v>34.716166588521602</v>
      </c>
      <c r="DK247" s="19">
        <v>6509.2812353478103</v>
      </c>
      <c r="DL247" s="19">
        <v>86.790416471303999</v>
      </c>
      <c r="DM247" s="19">
        <v>0</v>
      </c>
      <c r="DN247" s="19">
        <v>86.790416471303999</v>
      </c>
      <c r="DO247" s="19">
        <v>216.97604117826</v>
      </c>
      <c r="DP247" s="19">
        <v>130.18562470695699</v>
      </c>
      <c r="DQ247" s="19">
        <v>867.90416471304002</v>
      </c>
      <c r="DR247" s="19">
        <v>867.90416471304002</v>
      </c>
      <c r="DS247" s="19">
        <v>650.92812353478098</v>
      </c>
      <c r="DT247" s="19">
        <v>0</v>
      </c>
      <c r="DU247" s="19">
        <v>65.092812353478095</v>
      </c>
      <c r="DV247" s="19">
        <v>8.6790416471304006</v>
      </c>
      <c r="DW247" s="17" t="s">
        <v>218</v>
      </c>
      <c r="DX247" s="22" t="s">
        <v>218</v>
      </c>
      <c r="DY247" s="22" t="s">
        <v>218</v>
      </c>
      <c r="DZ247" s="22" t="s">
        <v>218</v>
      </c>
      <c r="EA247" s="22" t="s">
        <v>218</v>
      </c>
      <c r="EB247" s="22" t="s">
        <v>218</v>
      </c>
      <c r="EC247" s="22" t="s">
        <v>218</v>
      </c>
      <c r="ED247" s="22" t="s">
        <v>218</v>
      </c>
      <c r="EE247" s="22" t="s">
        <v>218</v>
      </c>
      <c r="EF247" s="22" t="s">
        <v>218</v>
      </c>
      <c r="EG247" s="22" t="s">
        <v>218</v>
      </c>
      <c r="EH247" s="22" t="s">
        <v>218</v>
      </c>
      <c r="EI247" s="22" t="s">
        <v>218</v>
      </c>
      <c r="EJ247" s="22" t="s">
        <v>218</v>
      </c>
      <c r="EK247" s="22" t="s">
        <v>218</v>
      </c>
      <c r="EL247" s="22" t="s">
        <v>218</v>
      </c>
      <c r="EM247" s="22" t="s">
        <v>218</v>
      </c>
      <c r="EN247" s="22" t="s">
        <v>218</v>
      </c>
      <c r="EO247" s="22" t="s">
        <v>218</v>
      </c>
      <c r="EP247" s="22" t="s">
        <v>218</v>
      </c>
      <c r="EQ247" s="22" t="s">
        <v>218</v>
      </c>
      <c r="ER247" s="22" t="s">
        <v>218</v>
      </c>
      <c r="ES247" s="22" t="s">
        <v>218</v>
      </c>
      <c r="ET247" s="22" t="s">
        <v>218</v>
      </c>
      <c r="EU247" s="22" t="s">
        <v>218</v>
      </c>
      <c r="EV247" s="22" t="s">
        <v>218</v>
      </c>
      <c r="EW247" s="22" t="s">
        <v>218</v>
      </c>
      <c r="EX247" s="22" t="s">
        <v>218</v>
      </c>
      <c r="EY247" s="22" t="s">
        <v>218</v>
      </c>
      <c r="EZ247" s="22" t="s">
        <v>218</v>
      </c>
      <c r="FA247" s="22" t="s">
        <v>218</v>
      </c>
      <c r="FB247" s="22" t="s">
        <v>218</v>
      </c>
      <c r="FC247" s="22" t="s">
        <v>218</v>
      </c>
      <c r="FD247" s="22" t="s">
        <v>218</v>
      </c>
      <c r="FE247" s="22" t="s">
        <v>218</v>
      </c>
      <c r="FF247" s="22" t="s">
        <v>218</v>
      </c>
      <c r="FG247" s="22" t="s">
        <v>218</v>
      </c>
      <c r="FH247" s="22" t="s">
        <v>218</v>
      </c>
      <c r="FI247" s="22" t="s">
        <v>218</v>
      </c>
      <c r="FJ247" s="22" t="s">
        <v>218</v>
      </c>
      <c r="FK247" s="22" t="s">
        <v>218</v>
      </c>
      <c r="FL247" s="22" t="s">
        <v>218</v>
      </c>
      <c r="FM247" s="22" t="s">
        <v>218</v>
      </c>
      <c r="FN247" s="22" t="s">
        <v>218</v>
      </c>
      <c r="FO247" s="22" t="s">
        <v>218</v>
      </c>
      <c r="FP247" s="22" t="s">
        <v>218</v>
      </c>
      <c r="FQ247" s="22" t="s">
        <v>218</v>
      </c>
      <c r="FR247" s="22" t="s">
        <v>218</v>
      </c>
      <c r="FS247" s="22" t="s">
        <v>218</v>
      </c>
      <c r="FT247" s="22" t="s">
        <v>218</v>
      </c>
      <c r="FU247" s="22" t="s">
        <v>218</v>
      </c>
      <c r="FV247" s="22" t="s">
        <v>218</v>
      </c>
      <c r="FW247" s="22" t="s">
        <v>218</v>
      </c>
      <c r="FX247" s="22" t="s">
        <v>218</v>
      </c>
      <c r="FY247" s="22" t="s">
        <v>218</v>
      </c>
      <c r="FZ247" s="22" t="s">
        <v>218</v>
      </c>
      <c r="GA247" s="22" t="s">
        <v>218</v>
      </c>
      <c r="GB247" s="22" t="s">
        <v>218</v>
      </c>
      <c r="GC247" s="22" t="s">
        <v>218</v>
      </c>
      <c r="GD247" s="22" t="s">
        <v>218</v>
      </c>
      <c r="GE247" s="22" t="s">
        <v>218</v>
      </c>
      <c r="GF247" s="22" t="s">
        <v>218</v>
      </c>
      <c r="GG247" s="22" t="s">
        <v>218</v>
      </c>
      <c r="GH247" s="22" t="s">
        <v>218</v>
      </c>
      <c r="GI247" s="22" t="s">
        <v>218</v>
      </c>
      <c r="GJ247" s="22" t="s">
        <v>218</v>
      </c>
      <c r="GK247" s="22" t="s">
        <v>218</v>
      </c>
      <c r="GL247" s="22" t="s">
        <v>218</v>
      </c>
      <c r="GM247" s="22" t="s">
        <v>218</v>
      </c>
      <c r="GN247" s="22" t="s">
        <v>218</v>
      </c>
      <c r="GO247" s="22" t="s">
        <v>218</v>
      </c>
      <c r="GP247" s="22" t="s">
        <v>218</v>
      </c>
      <c r="GQ247" s="22" t="s">
        <v>218</v>
      </c>
      <c r="GR247" s="22" t="s">
        <v>218</v>
      </c>
      <c r="GS247" s="22" t="s">
        <v>218</v>
      </c>
      <c r="GT247" s="22" t="s">
        <v>218</v>
      </c>
      <c r="GU247" s="22" t="s">
        <v>218</v>
      </c>
      <c r="GV247" s="22" t="s">
        <v>218</v>
      </c>
      <c r="GW247" s="22" t="s">
        <v>218</v>
      </c>
      <c r="GX247" s="22" t="s">
        <v>218</v>
      </c>
      <c r="GY247" s="22" t="s">
        <v>218</v>
      </c>
      <c r="GZ247" s="22" t="s">
        <v>218</v>
      </c>
      <c r="HA247" s="22" t="s">
        <v>218</v>
      </c>
      <c r="HB247" s="22" t="s">
        <v>218</v>
      </c>
      <c r="HC247" s="22" t="s">
        <v>218</v>
      </c>
      <c r="HD247" s="22" t="s">
        <v>218</v>
      </c>
      <c r="HE247" s="22" t="s">
        <v>218</v>
      </c>
      <c r="HF247" s="22" t="s">
        <v>218</v>
      </c>
      <c r="HG247" s="22" t="s">
        <v>218</v>
      </c>
      <c r="HH247" s="22" t="s">
        <v>218</v>
      </c>
      <c r="HI247" s="22" t="s">
        <v>218</v>
      </c>
      <c r="HJ247" s="22" t="s">
        <v>218</v>
      </c>
      <c r="HK247" s="22" t="s">
        <v>218</v>
      </c>
      <c r="HL247" s="22" t="s">
        <v>218</v>
      </c>
      <c r="HM247" s="622">
        <f>'background data'!$G$10</f>
        <v>0.47300000000000003</v>
      </c>
      <c r="HN247" s="622">
        <f>'background data'!$H$10</f>
        <v>0.13</v>
      </c>
      <c r="HO247" s="622">
        <f>'background data'!$J$10</f>
        <v>0.39100000000000001</v>
      </c>
      <c r="HP247" s="622">
        <f>'background data'!$L$10</f>
        <v>5.5E-2</v>
      </c>
      <c r="HQ247" s="622">
        <f>'background data'!$M$10</f>
        <v>3.97</v>
      </c>
      <c r="HR247" s="622">
        <f>'background data'!$N$10</f>
        <v>4.5999999999999999E-3</v>
      </c>
      <c r="HS247" s="622">
        <f>'background data'!$O$10</f>
        <v>2.73</v>
      </c>
      <c r="HT247" s="145" t="s">
        <v>1797</v>
      </c>
      <c r="HU247" s="145" t="s">
        <v>1809</v>
      </c>
      <c r="HV247" s="22" t="s">
        <v>1926</v>
      </c>
      <c r="HW247" s="22">
        <v>0</v>
      </c>
      <c r="HX247" s="22">
        <v>0</v>
      </c>
      <c r="HY247" s="22">
        <v>0</v>
      </c>
      <c r="HZ247" s="19"/>
      <c r="IA247" s="19"/>
      <c r="IB247" s="622">
        <f>'background data'!$G$10</f>
        <v>0.47300000000000003</v>
      </c>
      <c r="IC247" s="622">
        <f>'background data'!$H$10</f>
        <v>0.13</v>
      </c>
      <c r="ID247" s="622">
        <f>'background data'!$J$10</f>
        <v>0.39100000000000001</v>
      </c>
      <c r="IE247" s="622">
        <f>'background data'!$L$10</f>
        <v>5.5E-2</v>
      </c>
      <c r="IF247" s="622">
        <f>'background data'!$M$10</f>
        <v>3.97</v>
      </c>
      <c r="IG247" s="622">
        <f>'background data'!$N$10</f>
        <v>4.5999999999999999E-3</v>
      </c>
      <c r="IH247" s="622">
        <f>'background data'!$O$10</f>
        <v>2.73</v>
      </c>
      <c r="II247" s="145" t="s">
        <v>1797</v>
      </c>
      <c r="IJ247" s="145"/>
      <c r="IK247" s="145"/>
      <c r="IL247" s="145"/>
      <c r="IM247" s="145"/>
      <c r="IN247" s="145"/>
      <c r="IO247" s="145"/>
      <c r="IP247" s="145"/>
      <c r="IQ247" s="145"/>
      <c r="IR247" s="145"/>
      <c r="IS247" s="145"/>
      <c r="IT247" s="145"/>
      <c r="IU247" s="145"/>
      <c r="IV247" s="145"/>
      <c r="IW247" s="145"/>
      <c r="IX247" s="145"/>
      <c r="IY247" s="145"/>
      <c r="IZ247" s="145"/>
      <c r="JA247" s="145"/>
      <c r="JB247" s="145"/>
      <c r="JC247" s="145"/>
      <c r="JD247" s="145"/>
      <c r="JE247" s="145"/>
      <c r="JF247" s="145"/>
      <c r="JG247" s="145"/>
      <c r="JH247" s="145"/>
      <c r="JI247" s="145"/>
      <c r="JJ247" s="145"/>
      <c r="JK247" s="145"/>
      <c r="JL247" s="145"/>
      <c r="JM247" s="145"/>
      <c r="JN247" s="145"/>
      <c r="JO247" s="145"/>
      <c r="JP247" s="145"/>
      <c r="JQ247" s="145"/>
      <c r="JR247" s="145"/>
      <c r="JS247" s="145"/>
      <c r="JT247" s="145"/>
      <c r="JU247" s="145"/>
      <c r="JV247" s="145"/>
      <c r="JW247" s="145"/>
      <c r="JX247" s="145"/>
      <c r="JY247" s="145"/>
      <c r="JZ247" s="145"/>
      <c r="KA247" s="145"/>
      <c r="KB247" s="145"/>
      <c r="KC247" s="145"/>
      <c r="KD247" s="145"/>
      <c r="KE247" s="145"/>
      <c r="KF247" s="145"/>
      <c r="KG247" s="145"/>
      <c r="KH247" s="145"/>
      <c r="KI247" s="145"/>
      <c r="KJ247" s="145"/>
      <c r="KK247" s="145"/>
      <c r="KL247" s="145"/>
      <c r="KM247" s="145"/>
      <c r="KN247" s="145"/>
      <c r="KO247" s="145"/>
      <c r="KP247" s="145"/>
      <c r="KQ247" s="145"/>
      <c r="KR247" s="145"/>
      <c r="KS247" s="145"/>
      <c r="KT247" s="145"/>
      <c r="KU247" s="145"/>
      <c r="KV247" s="145"/>
      <c r="KW247" s="145"/>
      <c r="KX247" s="145"/>
      <c r="KY247" s="145"/>
      <c r="KZ247" s="145"/>
      <c r="LA247" s="145"/>
      <c r="LB247" s="145"/>
      <c r="LC247" s="145"/>
      <c r="LD247" s="145"/>
      <c r="LE247" s="145"/>
      <c r="LF247" s="145"/>
      <c r="LG247" s="145"/>
      <c r="LH247" s="145"/>
      <c r="LI247" s="145"/>
      <c r="LJ247" s="145"/>
      <c r="LK247" s="145"/>
      <c r="LL247" s="145"/>
      <c r="LM247" s="145"/>
      <c r="LN247" s="145"/>
      <c r="LO247" s="145"/>
      <c r="LP247" s="145"/>
      <c r="LQ247" s="145"/>
      <c r="LR247" s="145"/>
      <c r="LS247" s="145"/>
      <c r="LT247" s="145"/>
      <c r="LU247" s="145"/>
      <c r="LV247" s="145"/>
      <c r="LW247" s="145"/>
      <c r="LX247" s="145"/>
      <c r="LY247" s="145"/>
      <c r="LZ247" s="145"/>
      <c r="MA247" s="145"/>
      <c r="MB247" s="145"/>
      <c r="MC247" s="145"/>
      <c r="MD247" s="145"/>
      <c r="ME247" s="145"/>
      <c r="MF247" s="145"/>
      <c r="MG247" s="145"/>
      <c r="MH247" s="145"/>
      <c r="MI247" s="145"/>
      <c r="MJ247" s="145"/>
      <c r="MK247" s="145"/>
      <c r="ML247" s="145"/>
      <c r="MM247" s="145"/>
      <c r="MN247" s="145"/>
      <c r="MO247" s="145"/>
      <c r="MP247" s="145"/>
      <c r="MQ247" s="145"/>
      <c r="MR247" s="145"/>
      <c r="MS247" s="145"/>
      <c r="MT247" s="145"/>
      <c r="MU247" s="145"/>
      <c r="MV247" s="145"/>
      <c r="MW247" s="145"/>
      <c r="MX247" s="145"/>
      <c r="MY247" s="145"/>
      <c r="MZ247" s="145"/>
      <c r="NA247" s="145"/>
      <c r="NB247" s="145"/>
      <c r="NC247" s="145"/>
      <c r="ND247" s="145"/>
      <c r="NE247" s="145"/>
      <c r="NF247" s="145"/>
      <c r="NG247" s="145"/>
      <c r="NH247" s="145"/>
      <c r="NI247" s="145"/>
      <c r="NJ247" s="145"/>
      <c r="NK247" s="145"/>
      <c r="NL247" s="145"/>
      <c r="NM247" s="145"/>
      <c r="NN247" s="145"/>
      <c r="NO247" s="145"/>
      <c r="NP247" s="145"/>
      <c r="NQ247" s="145"/>
      <c r="NR247" s="145"/>
      <c r="NS247" s="145"/>
    </row>
    <row r="248" spans="1:383" s="16" customFormat="1" ht="15" customHeight="1" x14ac:dyDescent="0.2">
      <c r="A248" s="15">
        <v>44501</v>
      </c>
      <c r="B248" s="25">
        <v>445</v>
      </c>
      <c r="C248" s="26">
        <v>1</v>
      </c>
      <c r="D248" s="20" t="s">
        <v>697</v>
      </c>
      <c r="E248" s="14">
        <v>41814</v>
      </c>
      <c r="F248" s="18">
        <v>0.34813850528811502</v>
      </c>
      <c r="G248" s="18">
        <v>0.29569750895521302</v>
      </c>
      <c r="H248" s="21">
        <v>65.347547849772795</v>
      </c>
      <c r="I248" s="21">
        <v>59.007426623634899</v>
      </c>
      <c r="J248" s="21">
        <v>91.633595796030605</v>
      </c>
      <c r="K248" s="18">
        <v>1</v>
      </c>
      <c r="L248" s="18">
        <v>93.485542903072698</v>
      </c>
      <c r="M248" s="18">
        <v>14.19190232773</v>
      </c>
      <c r="N248" s="18">
        <v>2.5564724552569098</v>
      </c>
      <c r="O248" s="18">
        <v>47.3679152359976</v>
      </c>
      <c r="P248" s="18">
        <v>4.9087846313332104</v>
      </c>
      <c r="Q248" s="19"/>
      <c r="R248" s="18">
        <v>70.610913156890902</v>
      </c>
      <c r="S248" s="18">
        <v>48.893261685876801</v>
      </c>
      <c r="T248" s="18">
        <v>55.442507459070299</v>
      </c>
      <c r="U248" s="18">
        <v>58.139255718620603</v>
      </c>
      <c r="V248" s="18">
        <v>60.450754226806502</v>
      </c>
      <c r="W248" s="18">
        <v>61.991753232263797</v>
      </c>
      <c r="X248" s="18"/>
      <c r="Y248" s="18">
        <v>142.79454222570212</v>
      </c>
      <c r="Z248" s="18">
        <v>11.494181235600887</v>
      </c>
      <c r="AA248" s="18">
        <v>4.3919003048168211E-2</v>
      </c>
      <c r="AB248" s="18">
        <v>10.400225051040895</v>
      </c>
      <c r="AC248" s="18">
        <v>6.5878504572252163</v>
      </c>
      <c r="AD248" s="18">
        <v>1.9763551371675701</v>
      </c>
      <c r="AE248" s="18">
        <v>0.83446105791519509</v>
      </c>
      <c r="AF248" s="18">
        <v>1115.77545811184</v>
      </c>
      <c r="AG248" s="18">
        <v>694.95381534759656</v>
      </c>
      <c r="AH248" s="18">
        <v>1428.1171633471022</v>
      </c>
      <c r="AI248" s="18">
        <v>3487.5055876219549</v>
      </c>
      <c r="AJ248" s="18">
        <v>6.8968353498181711</v>
      </c>
      <c r="AK248" s="18">
        <v>6.9187948513422457</v>
      </c>
      <c r="AL248" s="18"/>
      <c r="AM248" s="18">
        <v>30.463751690172401</v>
      </c>
      <c r="AN248" s="18">
        <v>11.2777931813776</v>
      </c>
      <c r="AO248" s="18">
        <v>0.98379695290840896</v>
      </c>
      <c r="AP248" s="18">
        <v>15.590432520307299</v>
      </c>
      <c r="AQ248" s="18">
        <v>0.68865786703588705</v>
      </c>
      <c r="AR248" s="18">
        <v>1.61834598753433</v>
      </c>
      <c r="AS248" s="18">
        <v>3.0448515692515299</v>
      </c>
      <c r="AT248" s="18">
        <v>1.27401705401639</v>
      </c>
      <c r="AU248" s="18">
        <v>1.91348507340686</v>
      </c>
      <c r="AV248" s="18">
        <v>1.38223471883632</v>
      </c>
      <c r="AW248" s="18">
        <v>2.3561937022156401</v>
      </c>
      <c r="AX248" s="18"/>
      <c r="AY248" s="18">
        <v>0</v>
      </c>
      <c r="AZ248" s="18">
        <v>0</v>
      </c>
      <c r="BA248" s="18">
        <v>0</v>
      </c>
      <c r="BB248" s="18">
        <v>0</v>
      </c>
      <c r="BC248" s="18">
        <v>0</v>
      </c>
      <c r="BD248" s="18">
        <v>0</v>
      </c>
      <c r="BE248" s="18">
        <v>0</v>
      </c>
      <c r="BF248" s="18">
        <v>0</v>
      </c>
      <c r="BG248" s="18">
        <v>0</v>
      </c>
      <c r="BH248" s="18">
        <v>0</v>
      </c>
      <c r="BI248" s="18">
        <v>0</v>
      </c>
      <c r="BJ248" s="19"/>
      <c r="BK248" s="18">
        <v>15.180852447361183</v>
      </c>
      <c r="BL248" s="18">
        <v>2.7346179696549457</v>
      </c>
      <c r="BM248" s="18">
        <v>50.668706374320799</v>
      </c>
      <c r="BN248" s="18">
        <v>5.2508489322490393</v>
      </c>
      <c r="BO248" s="18"/>
      <c r="BP248" s="18" t="s">
        <v>217</v>
      </c>
      <c r="BQ248" s="18">
        <v>28.002893212999094</v>
      </c>
      <c r="BR248" s="18">
        <v>0.37239822808652945</v>
      </c>
      <c r="BS248" s="18">
        <v>0.31630292746098387</v>
      </c>
      <c r="BT248" s="19"/>
      <c r="BU248" s="18">
        <v>493.31293625679206</v>
      </c>
      <c r="BV248" s="18">
        <v>113.01545455648349</v>
      </c>
      <c r="BW248" s="18">
        <v>44.680911689858291</v>
      </c>
      <c r="BX248" s="18" t="s">
        <v>217</v>
      </c>
      <c r="BY248" s="18" t="s">
        <v>217</v>
      </c>
      <c r="BZ248" s="18">
        <v>12.736510883968824</v>
      </c>
      <c r="CA248" s="18">
        <v>184.45981280230561</v>
      </c>
      <c r="CB248" s="19"/>
      <c r="CC248" s="19">
        <v>133.49225303565501</v>
      </c>
      <c r="CD248" s="19">
        <v>10.7453977303646</v>
      </c>
      <c r="CE248" s="19">
        <v>4.1057918437197097E-2</v>
      </c>
      <c r="CF248" s="19">
        <v>9.7227068521069491</v>
      </c>
      <c r="CG248" s="19">
        <v>6.1586877655795504</v>
      </c>
      <c r="CH248" s="19">
        <v>1.8476063296738698</v>
      </c>
      <c r="CI248" s="19">
        <v>0.78010045030674402</v>
      </c>
      <c r="CJ248" s="19"/>
      <c r="CK248" s="19">
        <v>1043.0887445951</v>
      </c>
      <c r="CL248" s="19">
        <v>649.68134720331796</v>
      </c>
      <c r="CM248" s="19">
        <v>1335.083083447</v>
      </c>
      <c r="CN248" s="19">
        <v>3260.3135323633801</v>
      </c>
      <c r="CO248" s="19">
        <v>6.4475439699085504</v>
      </c>
      <c r="CP248" s="19">
        <v>6.4680729291271399</v>
      </c>
      <c r="CQ248" s="19">
        <v>100.210318279443</v>
      </c>
      <c r="CR248" s="19">
        <v>287.84612088947245</v>
      </c>
      <c r="CS248" s="19">
        <v>92.203698713641373</v>
      </c>
      <c r="CT248" s="19">
        <v>44.990334159587746</v>
      </c>
      <c r="CU248" s="19">
        <v>2.6291435365329678</v>
      </c>
      <c r="CV248" s="19">
        <v>47.619477696120725</v>
      </c>
      <c r="CW248" s="19">
        <v>47.00137205002158</v>
      </c>
      <c r="CX248" s="19">
        <v>1.8404004755730741</v>
      </c>
      <c r="CY248" s="19">
        <v>4.4496990344504548</v>
      </c>
      <c r="CZ248" s="19">
        <v>8.4501684473221932</v>
      </c>
      <c r="DA248" s="19">
        <v>3.7648577036362525</v>
      </c>
      <c r="DB248" s="19">
        <v>5.5562145401624603</v>
      </c>
      <c r="DC248" s="19">
        <v>4.0491338485238622</v>
      </c>
      <c r="DD248" s="19">
        <v>9.60534838868635</v>
      </c>
      <c r="DE248" s="19">
        <v>6.2967987699964354</v>
      </c>
      <c r="DF248" s="23">
        <v>77966.992589389105</v>
      </c>
      <c r="DG248" s="23">
        <v>0</v>
      </c>
      <c r="DH248" s="23">
        <v>0</v>
      </c>
      <c r="DI248" s="19">
        <v>128.950879398171</v>
      </c>
      <c r="DJ248" s="19">
        <v>12.895087939817101</v>
      </c>
      <c r="DK248" s="19">
        <v>1172.28072180155</v>
      </c>
      <c r="DL248" s="19">
        <v>64.475439699085499</v>
      </c>
      <c r="DM248" s="19">
        <v>0</v>
      </c>
      <c r="DN248" s="19">
        <v>64.475439699085499</v>
      </c>
      <c r="DO248" s="19">
        <v>64.475439699085499</v>
      </c>
      <c r="DP248" s="19">
        <v>99.643861353132294</v>
      </c>
      <c r="DQ248" s="19">
        <v>0.703368433080933</v>
      </c>
      <c r="DR248" s="19">
        <v>644.75439699085496</v>
      </c>
      <c r="DS248" s="19">
        <v>322.37719849542799</v>
      </c>
      <c r="DT248" s="19">
        <v>0</v>
      </c>
      <c r="DU248" s="19">
        <v>0</v>
      </c>
      <c r="DV248" s="19">
        <v>1.7584210827023401</v>
      </c>
      <c r="DW248" s="17" t="s">
        <v>218</v>
      </c>
      <c r="DX248" s="22" t="s">
        <v>218</v>
      </c>
      <c r="DY248" s="22" t="s">
        <v>218</v>
      </c>
      <c r="DZ248" s="22" t="s">
        <v>218</v>
      </c>
      <c r="EA248" s="22" t="s">
        <v>218</v>
      </c>
      <c r="EB248" s="22" t="s">
        <v>218</v>
      </c>
      <c r="EC248" s="22" t="s">
        <v>218</v>
      </c>
      <c r="ED248" s="22" t="s">
        <v>218</v>
      </c>
      <c r="EE248" s="22" t="s">
        <v>218</v>
      </c>
      <c r="EF248" s="22" t="s">
        <v>218</v>
      </c>
      <c r="EG248" s="22" t="s">
        <v>218</v>
      </c>
      <c r="EH248" s="22" t="s">
        <v>218</v>
      </c>
      <c r="EI248" s="22" t="s">
        <v>218</v>
      </c>
      <c r="EJ248" s="22" t="s">
        <v>218</v>
      </c>
      <c r="EK248" s="22" t="s">
        <v>218</v>
      </c>
      <c r="EL248" s="22" t="s">
        <v>218</v>
      </c>
      <c r="EM248" s="22" t="s">
        <v>218</v>
      </c>
      <c r="EN248" s="22" t="s">
        <v>218</v>
      </c>
      <c r="EO248" s="22" t="s">
        <v>218</v>
      </c>
      <c r="EP248" s="22" t="s">
        <v>218</v>
      </c>
      <c r="EQ248" s="22" t="s">
        <v>218</v>
      </c>
      <c r="ER248" s="22" t="s">
        <v>218</v>
      </c>
      <c r="ES248" s="22" t="s">
        <v>218</v>
      </c>
      <c r="ET248" s="22" t="s">
        <v>218</v>
      </c>
      <c r="EU248" s="22" t="s">
        <v>218</v>
      </c>
      <c r="EV248" s="22" t="s">
        <v>218</v>
      </c>
      <c r="EW248" s="22" t="s">
        <v>218</v>
      </c>
      <c r="EX248" s="22" t="s">
        <v>218</v>
      </c>
      <c r="EY248" s="22" t="s">
        <v>218</v>
      </c>
      <c r="EZ248" s="22" t="s">
        <v>218</v>
      </c>
      <c r="FA248" s="22" t="s">
        <v>218</v>
      </c>
      <c r="FB248" s="22" t="s">
        <v>218</v>
      </c>
      <c r="FC248" s="22" t="s">
        <v>218</v>
      </c>
      <c r="FD248" s="22" t="s">
        <v>218</v>
      </c>
      <c r="FE248" s="22" t="s">
        <v>218</v>
      </c>
      <c r="FF248" s="22" t="s">
        <v>218</v>
      </c>
      <c r="FG248" s="22" t="s">
        <v>218</v>
      </c>
      <c r="FH248" s="22" t="s">
        <v>218</v>
      </c>
      <c r="FI248" s="22" t="s">
        <v>218</v>
      </c>
      <c r="FJ248" s="22" t="s">
        <v>218</v>
      </c>
      <c r="FK248" s="22" t="s">
        <v>218</v>
      </c>
      <c r="FL248" s="22" t="s">
        <v>218</v>
      </c>
      <c r="FM248" s="22" t="s">
        <v>218</v>
      </c>
      <c r="FN248" s="22" t="s">
        <v>218</v>
      </c>
      <c r="FO248" s="22" t="s">
        <v>218</v>
      </c>
      <c r="FP248" s="22" t="s">
        <v>218</v>
      </c>
      <c r="FQ248" s="22" t="s">
        <v>218</v>
      </c>
      <c r="FR248" s="22" t="s">
        <v>218</v>
      </c>
      <c r="FS248" s="22" t="s">
        <v>218</v>
      </c>
      <c r="FT248" s="22" t="s">
        <v>218</v>
      </c>
      <c r="FU248" s="22" t="s">
        <v>218</v>
      </c>
      <c r="FV248" s="22" t="s">
        <v>218</v>
      </c>
      <c r="FW248" s="22" t="s">
        <v>218</v>
      </c>
      <c r="FX248" s="22" t="s">
        <v>218</v>
      </c>
      <c r="FY248" s="22" t="s">
        <v>218</v>
      </c>
      <c r="FZ248" s="22" t="s">
        <v>218</v>
      </c>
      <c r="GA248" s="22" t="s">
        <v>218</v>
      </c>
      <c r="GB248" s="22" t="s">
        <v>218</v>
      </c>
      <c r="GC248" s="22" t="s">
        <v>218</v>
      </c>
      <c r="GD248" s="22" t="s">
        <v>218</v>
      </c>
      <c r="GE248" s="22" t="s">
        <v>218</v>
      </c>
      <c r="GF248" s="22" t="s">
        <v>218</v>
      </c>
      <c r="GG248" s="22" t="s">
        <v>218</v>
      </c>
      <c r="GH248" s="22" t="s">
        <v>218</v>
      </c>
      <c r="GI248" s="22" t="s">
        <v>218</v>
      </c>
      <c r="GJ248" s="22" t="s">
        <v>218</v>
      </c>
      <c r="GK248" s="22" t="s">
        <v>218</v>
      </c>
      <c r="GL248" s="22" t="s">
        <v>218</v>
      </c>
      <c r="GM248" s="22" t="s">
        <v>218</v>
      </c>
      <c r="GN248" s="22" t="s">
        <v>218</v>
      </c>
      <c r="GO248" s="22" t="s">
        <v>218</v>
      </c>
      <c r="GP248" s="22" t="s">
        <v>218</v>
      </c>
      <c r="GQ248" s="22" t="s">
        <v>218</v>
      </c>
      <c r="GR248" s="22" t="s">
        <v>218</v>
      </c>
      <c r="GS248" s="22" t="s">
        <v>218</v>
      </c>
      <c r="GT248" s="22" t="s">
        <v>218</v>
      </c>
      <c r="GU248" s="22" t="s">
        <v>218</v>
      </c>
      <c r="GV248" s="22" t="s">
        <v>218</v>
      </c>
      <c r="GW248" s="22" t="s">
        <v>218</v>
      </c>
      <c r="GX248" s="22" t="s">
        <v>218</v>
      </c>
      <c r="GY248" s="22" t="s">
        <v>218</v>
      </c>
      <c r="GZ248" s="22" t="s">
        <v>218</v>
      </c>
      <c r="HA248" s="22" t="s">
        <v>218</v>
      </c>
      <c r="HB248" s="22" t="s">
        <v>218</v>
      </c>
      <c r="HC248" s="22" t="s">
        <v>218</v>
      </c>
      <c r="HD248" s="22" t="s">
        <v>218</v>
      </c>
      <c r="HE248" s="22" t="s">
        <v>218</v>
      </c>
      <c r="HF248" s="22" t="s">
        <v>218</v>
      </c>
      <c r="HG248" s="22" t="s">
        <v>218</v>
      </c>
      <c r="HH248" s="22" t="s">
        <v>218</v>
      </c>
      <c r="HI248" s="22" t="s">
        <v>218</v>
      </c>
      <c r="HJ248" s="22" t="s">
        <v>218</v>
      </c>
      <c r="HK248" s="22" t="s">
        <v>218</v>
      </c>
      <c r="HL248" s="22" t="s">
        <v>218</v>
      </c>
      <c r="HM248" s="622">
        <f>'background data'!$G$10</f>
        <v>0.47300000000000003</v>
      </c>
      <c r="HN248" s="622">
        <f>'background data'!$H$10</f>
        <v>0.13</v>
      </c>
      <c r="HO248" s="622">
        <f>'background data'!$J$10</f>
        <v>0.39100000000000001</v>
      </c>
      <c r="HP248" s="622">
        <f>'background data'!$L$10</f>
        <v>5.5E-2</v>
      </c>
      <c r="HQ248" s="622">
        <f>'background data'!$M$10</f>
        <v>3.97</v>
      </c>
      <c r="HR248" s="622">
        <f>'background data'!$N$10</f>
        <v>4.5999999999999999E-3</v>
      </c>
      <c r="HS248" s="622">
        <f>'background data'!$O$10</f>
        <v>2.73</v>
      </c>
      <c r="HT248" s="145" t="s">
        <v>1797</v>
      </c>
      <c r="HU248" s="145" t="s">
        <v>1809</v>
      </c>
      <c r="HV248" s="22" t="s">
        <v>1926</v>
      </c>
      <c r="HW248" s="22">
        <v>0</v>
      </c>
      <c r="HX248" s="22">
        <v>0</v>
      </c>
      <c r="HY248" s="22">
        <v>0</v>
      </c>
      <c r="HZ248" s="19"/>
      <c r="IA248" s="19"/>
      <c r="IB248" s="622">
        <f>'background data'!$G$10</f>
        <v>0.47300000000000003</v>
      </c>
      <c r="IC248" s="622">
        <f>'background data'!$H$10</f>
        <v>0.13</v>
      </c>
      <c r="ID248" s="622">
        <f>'background data'!$J$10</f>
        <v>0.39100000000000001</v>
      </c>
      <c r="IE248" s="622">
        <f>'background data'!$L$10</f>
        <v>5.5E-2</v>
      </c>
      <c r="IF248" s="622">
        <f>'background data'!$M$10</f>
        <v>3.97</v>
      </c>
      <c r="IG248" s="622">
        <f>'background data'!$N$10</f>
        <v>4.5999999999999999E-3</v>
      </c>
      <c r="IH248" s="622">
        <f>'background data'!$O$10</f>
        <v>2.73</v>
      </c>
      <c r="II248" s="145" t="s">
        <v>1797</v>
      </c>
      <c r="IJ248" s="145"/>
      <c r="IK248" s="145"/>
      <c r="IL248" s="145"/>
      <c r="IM248" s="145"/>
      <c r="IN248" s="145"/>
      <c r="IO248" s="145"/>
      <c r="IP248" s="145"/>
      <c r="IQ248" s="145"/>
      <c r="IR248" s="145"/>
      <c r="IS248" s="145"/>
      <c r="IT248" s="145"/>
      <c r="IU248" s="145"/>
      <c r="IV248" s="145"/>
      <c r="IW248" s="145"/>
      <c r="IX248" s="145"/>
      <c r="IY248" s="145"/>
      <c r="IZ248" s="145"/>
      <c r="JA248" s="145"/>
      <c r="JB248" s="145"/>
      <c r="JC248" s="145"/>
      <c r="JD248" s="145"/>
      <c r="JE248" s="145"/>
      <c r="JF248" s="145"/>
      <c r="JG248" s="145"/>
      <c r="JH248" s="145"/>
      <c r="JI248" s="145"/>
      <c r="JJ248" s="145"/>
      <c r="JK248" s="145"/>
      <c r="JL248" s="145"/>
      <c r="JM248" s="145"/>
      <c r="JN248" s="145"/>
      <c r="JO248" s="145"/>
      <c r="JP248" s="145"/>
      <c r="JQ248" s="145"/>
      <c r="JR248" s="145"/>
      <c r="JS248" s="145"/>
      <c r="JT248" s="145"/>
      <c r="JU248" s="145"/>
      <c r="JV248" s="145"/>
      <c r="JW248" s="145"/>
      <c r="JX248" s="145"/>
      <c r="JY248" s="145"/>
      <c r="JZ248" s="145"/>
      <c r="KA248" s="145"/>
      <c r="KB248" s="145"/>
      <c r="KC248" s="145"/>
      <c r="KD248" s="145"/>
      <c r="KE248" s="145"/>
      <c r="KF248" s="145"/>
      <c r="KG248" s="145"/>
      <c r="KH248" s="145"/>
      <c r="KI248" s="145"/>
      <c r="KJ248" s="145"/>
      <c r="KK248" s="145"/>
      <c r="KL248" s="145"/>
      <c r="KM248" s="145"/>
      <c r="KN248" s="145"/>
      <c r="KO248" s="145"/>
      <c r="KP248" s="145"/>
      <c r="KQ248" s="145"/>
      <c r="KR248" s="145"/>
      <c r="KS248" s="145"/>
      <c r="KT248" s="145"/>
      <c r="KU248" s="145"/>
      <c r="KV248" s="145"/>
      <c r="KW248" s="145"/>
      <c r="KX248" s="145"/>
      <c r="KY248" s="145"/>
      <c r="KZ248" s="145"/>
      <c r="LA248" s="145"/>
      <c r="LB248" s="145"/>
      <c r="LC248" s="145"/>
      <c r="LD248" s="145"/>
      <c r="LE248" s="145"/>
      <c r="LF248" s="145"/>
      <c r="LG248" s="145"/>
      <c r="LH248" s="145"/>
      <c r="LI248" s="145"/>
      <c r="LJ248" s="145"/>
      <c r="LK248" s="145"/>
      <c r="LL248" s="145"/>
      <c r="LM248" s="145"/>
      <c r="LN248" s="145"/>
      <c r="LO248" s="145"/>
      <c r="LP248" s="145"/>
      <c r="LQ248" s="145"/>
      <c r="LR248" s="145"/>
      <c r="LS248" s="145"/>
      <c r="LT248" s="145"/>
      <c r="LU248" s="145"/>
      <c r="LV248" s="145"/>
      <c r="LW248" s="145"/>
      <c r="LX248" s="145"/>
      <c r="LY248" s="145"/>
      <c r="LZ248" s="145"/>
      <c r="MA248" s="145"/>
      <c r="MB248" s="145"/>
      <c r="MC248" s="145"/>
      <c r="MD248" s="145"/>
      <c r="ME248" s="145"/>
      <c r="MF248" s="145"/>
      <c r="MG248" s="145"/>
      <c r="MH248" s="145"/>
      <c r="MI248" s="145"/>
      <c r="MJ248" s="145"/>
      <c r="MK248" s="145"/>
      <c r="ML248" s="145"/>
      <c r="MM248" s="145"/>
      <c r="MN248" s="145"/>
      <c r="MO248" s="145"/>
      <c r="MP248" s="145"/>
      <c r="MQ248" s="145"/>
      <c r="MR248" s="145"/>
      <c r="MS248" s="145"/>
      <c r="MT248" s="145"/>
      <c r="MU248" s="145"/>
      <c r="MV248" s="145"/>
      <c r="MW248" s="145"/>
      <c r="MX248" s="145"/>
      <c r="MY248" s="145"/>
      <c r="MZ248" s="145"/>
      <c r="NA248" s="145"/>
      <c r="NB248" s="145"/>
      <c r="NC248" s="145"/>
      <c r="ND248" s="145"/>
      <c r="NE248" s="145"/>
      <c r="NF248" s="145"/>
      <c r="NG248" s="145"/>
      <c r="NH248" s="145"/>
      <c r="NI248" s="145"/>
      <c r="NJ248" s="145"/>
      <c r="NK248" s="145"/>
      <c r="NL248" s="145"/>
      <c r="NM248" s="145"/>
      <c r="NN248" s="145"/>
      <c r="NO248" s="145"/>
      <c r="NP248" s="145"/>
      <c r="NQ248" s="145"/>
      <c r="NR248" s="145"/>
      <c r="NS248" s="145"/>
    </row>
    <row r="249" spans="1:383" s="16" customFormat="1" ht="15" customHeight="1" x14ac:dyDescent="0.2">
      <c r="A249" s="15">
        <v>40202</v>
      </c>
      <c r="B249" s="25">
        <v>402</v>
      </c>
      <c r="C249" s="26">
        <v>2</v>
      </c>
      <c r="D249" s="20" t="s">
        <v>698</v>
      </c>
      <c r="E249" s="14">
        <v>41814</v>
      </c>
      <c r="F249" s="18">
        <v>0.19496662112647101</v>
      </c>
      <c r="G249" s="18">
        <v>0.15526472024412999</v>
      </c>
      <c r="H249" s="21">
        <v>59.741442023852301</v>
      </c>
      <c r="I249" s="21">
        <v>52.374357704816603</v>
      </c>
      <c r="J249" s="21">
        <v>84.0685950419618</v>
      </c>
      <c r="K249" s="18">
        <v>1</v>
      </c>
      <c r="L249" s="18">
        <v>94.428933989908799</v>
      </c>
      <c r="M249" s="18">
        <v>6.2003889042468696</v>
      </c>
      <c r="N249" s="18">
        <v>2.2407440968021501</v>
      </c>
      <c r="O249" s="18">
        <v>61.401577779955801</v>
      </c>
      <c r="P249" s="18">
        <v>4.08381284636258</v>
      </c>
      <c r="Q249" s="19"/>
      <c r="R249" s="18">
        <v>64.867632794691005</v>
      </c>
      <c r="S249" s="18">
        <v>59.584475725383101</v>
      </c>
      <c r="T249" s="18">
        <v>62.266686633223301</v>
      </c>
      <c r="U249" s="18">
        <v>63.371126418804501</v>
      </c>
      <c r="V249" s="18">
        <v>64.317789092159899</v>
      </c>
      <c r="W249" s="18">
        <v>64.948897541063403</v>
      </c>
      <c r="X249" s="18"/>
      <c r="Y249" s="18">
        <v>184.43815810028525</v>
      </c>
      <c r="Z249" s="18">
        <v>23.113036703651218</v>
      </c>
      <c r="AA249" s="18">
        <v>0.10010957594590103</v>
      </c>
      <c r="AB249" s="18">
        <v>0.10396141987197298</v>
      </c>
      <c r="AC249" s="18">
        <v>5.4253072238012328</v>
      </c>
      <c r="AD249" s="18">
        <v>1.6275921671403741</v>
      </c>
      <c r="AE249" s="18">
        <v>0.68720558168148904</v>
      </c>
      <c r="AF249" s="18">
        <v>1126.7813559770948</v>
      </c>
      <c r="AG249" s="18">
        <v>216.31409248908147</v>
      </c>
      <c r="AH249" s="18">
        <v>1453.3062515230724</v>
      </c>
      <c r="AI249" s="18">
        <v>3565.087601361909</v>
      </c>
      <c r="AJ249" s="18">
        <v>7.0657948903346863</v>
      </c>
      <c r="AK249" s="18">
        <v>7.0838792477473573</v>
      </c>
      <c r="AL249" s="18"/>
      <c r="AM249" s="18">
        <v>3.65632487082227</v>
      </c>
      <c r="AN249" s="18">
        <v>11.2034734694669</v>
      </c>
      <c r="AO249" s="18">
        <v>1.87499073645083</v>
      </c>
      <c r="AP249" s="18">
        <v>3.08443264186546</v>
      </c>
      <c r="AQ249" s="18">
        <v>1.3123663416565201</v>
      </c>
      <c r="AR249" s="18">
        <v>3.08472612000174</v>
      </c>
      <c r="AS249" s="18">
        <v>5.8038001877121701</v>
      </c>
      <c r="AT249" s="18">
        <v>2.4280538189463399</v>
      </c>
      <c r="AU249" s="18">
        <v>3.6474483408414802</v>
      </c>
      <c r="AV249" s="18">
        <v>2.6346852997935599</v>
      </c>
      <c r="AW249" s="18">
        <v>4.4911403679193702</v>
      </c>
      <c r="AX249" s="18"/>
      <c r="AY249" s="18">
        <v>0</v>
      </c>
      <c r="AZ249" s="18">
        <v>0</v>
      </c>
      <c r="BA249" s="18">
        <v>0</v>
      </c>
      <c r="BB249" s="18">
        <v>0</v>
      </c>
      <c r="BC249" s="18">
        <v>0</v>
      </c>
      <c r="BD249" s="18">
        <v>0</v>
      </c>
      <c r="BE249" s="18">
        <v>0</v>
      </c>
      <c r="BF249" s="18">
        <v>0</v>
      </c>
      <c r="BG249" s="18">
        <v>0</v>
      </c>
      <c r="BH249" s="18">
        <v>0</v>
      </c>
      <c r="BI249" s="18">
        <v>0</v>
      </c>
      <c r="BJ249" s="19"/>
      <c r="BK249" s="18">
        <v>6.566196018806564</v>
      </c>
      <c r="BL249" s="18">
        <v>2.3729422774608557</v>
      </c>
      <c r="BM249" s="18">
        <v>65.024114098881512</v>
      </c>
      <c r="BN249" s="18">
        <v>4.3247473775347274</v>
      </c>
      <c r="BO249" s="18"/>
      <c r="BP249" s="18" t="s">
        <v>217</v>
      </c>
      <c r="BQ249" s="18">
        <v>23.061285289072583</v>
      </c>
      <c r="BR249" s="18">
        <v>0.20646915398547888</v>
      </c>
      <c r="BS249" s="18">
        <v>0.16442494231770363</v>
      </c>
      <c r="BT249" s="19"/>
      <c r="BU249" s="18">
        <v>349.75885901118494</v>
      </c>
      <c r="BV249" s="18">
        <v>89.371028034688607</v>
      </c>
      <c r="BW249" s="18">
        <v>36.810042938073067</v>
      </c>
      <c r="BX249" s="18" t="s">
        <v>217</v>
      </c>
      <c r="BY249" s="18" t="s">
        <v>217</v>
      </c>
      <c r="BZ249" s="18">
        <v>10.488927299348997</v>
      </c>
      <c r="CA249" s="18">
        <v>151.90860226643395</v>
      </c>
      <c r="CB249" s="19"/>
      <c r="CC249" s="19">
        <v>174.16298656472199</v>
      </c>
      <c r="CD249" s="19">
        <v>21.825394171954201</v>
      </c>
      <c r="CE249" s="19">
        <v>9.4532405387532506E-2</v>
      </c>
      <c r="CF249" s="19">
        <v>9.8169660545877294E-2</v>
      </c>
      <c r="CG249" s="19">
        <v>5.1230597771130197</v>
      </c>
      <c r="CH249" s="19">
        <v>1.53691793313391</v>
      </c>
      <c r="CI249" s="19">
        <v>0.6489209051009821</v>
      </c>
      <c r="CJ249" s="19"/>
      <c r="CK249" s="19">
        <v>1064.0076228462101</v>
      </c>
      <c r="CL249" s="19">
        <v>204.26309160738504</v>
      </c>
      <c r="CM249" s="19">
        <v>1372.34160092194</v>
      </c>
      <c r="CN249" s="19">
        <v>3366.4742177724602</v>
      </c>
      <c r="CO249" s="19">
        <v>6.6721547928564897</v>
      </c>
      <c r="CP249" s="19">
        <v>6.6892316587802005</v>
      </c>
      <c r="CQ249" s="19">
        <v>40.220455062496299</v>
      </c>
      <c r="CR249" s="19">
        <v>206.29405602924248</v>
      </c>
      <c r="CS249" s="19">
        <v>7.3314213116020905</v>
      </c>
      <c r="CT249" s="19">
        <v>34.167182271749695</v>
      </c>
      <c r="CU249" s="19">
        <v>3.9097879307989452</v>
      </c>
      <c r="CV249" s="19">
        <v>38.076970202548502</v>
      </c>
      <c r="CW249" s="19">
        <v>6.370009288334276</v>
      </c>
      <c r="CX249" s="19">
        <v>2.7365401310285722</v>
      </c>
      <c r="CY249" s="19">
        <v>6.6178092540951861</v>
      </c>
      <c r="CZ249" s="19">
        <v>12.567390571678777</v>
      </c>
      <c r="DA249" s="19">
        <v>5.5979351758060858</v>
      </c>
      <c r="DB249" s="19">
        <v>8.2633045076158016</v>
      </c>
      <c r="DC249" s="19">
        <v>6.0216261870785512</v>
      </c>
      <c r="DD249" s="19">
        <v>14.284930694694403</v>
      </c>
      <c r="DE249" s="19">
        <v>9.3652584448911718</v>
      </c>
      <c r="DF249" s="23">
        <v>218291.07175588899</v>
      </c>
      <c r="DG249" s="23">
        <v>0</v>
      </c>
      <c r="DH249" s="23">
        <v>0</v>
      </c>
      <c r="DI249" s="19">
        <v>266.88619171426001</v>
      </c>
      <c r="DJ249" s="19">
        <v>26.688619171426001</v>
      </c>
      <c r="DK249" s="19">
        <v>5004.1160946423697</v>
      </c>
      <c r="DL249" s="19">
        <v>66.721547928564902</v>
      </c>
      <c r="DM249" s="19">
        <v>0</v>
      </c>
      <c r="DN249" s="19">
        <v>66.721547928564902</v>
      </c>
      <c r="DO249" s="19">
        <v>166.803869821413</v>
      </c>
      <c r="DP249" s="19">
        <v>100.082321892848</v>
      </c>
      <c r="DQ249" s="19">
        <v>667.21547928564905</v>
      </c>
      <c r="DR249" s="19">
        <v>667.21547928564905</v>
      </c>
      <c r="DS249" s="19">
        <v>500.41160946423702</v>
      </c>
      <c r="DT249" s="19">
        <v>0</v>
      </c>
      <c r="DU249" s="19">
        <v>50.041160946423702</v>
      </c>
      <c r="DV249" s="19">
        <v>6.6721547928564897</v>
      </c>
      <c r="DW249" s="17" t="s">
        <v>218</v>
      </c>
      <c r="DX249" s="22" t="s">
        <v>218</v>
      </c>
      <c r="DY249" s="22" t="s">
        <v>218</v>
      </c>
      <c r="DZ249" s="22" t="s">
        <v>218</v>
      </c>
      <c r="EA249" s="22" t="s">
        <v>218</v>
      </c>
      <c r="EB249" s="22" t="s">
        <v>218</v>
      </c>
      <c r="EC249" s="22" t="s">
        <v>218</v>
      </c>
      <c r="ED249" s="22" t="s">
        <v>218</v>
      </c>
      <c r="EE249" s="22" t="s">
        <v>218</v>
      </c>
      <c r="EF249" s="22" t="s">
        <v>218</v>
      </c>
      <c r="EG249" s="22" t="s">
        <v>218</v>
      </c>
      <c r="EH249" s="22" t="s">
        <v>218</v>
      </c>
      <c r="EI249" s="22" t="s">
        <v>218</v>
      </c>
      <c r="EJ249" s="22" t="s">
        <v>218</v>
      </c>
      <c r="EK249" s="22" t="s">
        <v>218</v>
      </c>
      <c r="EL249" s="22" t="s">
        <v>218</v>
      </c>
      <c r="EM249" s="22" t="s">
        <v>218</v>
      </c>
      <c r="EN249" s="22" t="s">
        <v>218</v>
      </c>
      <c r="EO249" s="22" t="s">
        <v>218</v>
      </c>
      <c r="EP249" s="22" t="s">
        <v>218</v>
      </c>
      <c r="EQ249" s="22" t="s">
        <v>218</v>
      </c>
      <c r="ER249" s="22" t="s">
        <v>218</v>
      </c>
      <c r="ES249" s="22" t="s">
        <v>218</v>
      </c>
      <c r="ET249" s="22" t="s">
        <v>218</v>
      </c>
      <c r="EU249" s="22" t="s">
        <v>218</v>
      </c>
      <c r="EV249" s="22" t="s">
        <v>218</v>
      </c>
      <c r="EW249" s="22" t="s">
        <v>218</v>
      </c>
      <c r="EX249" s="22" t="s">
        <v>218</v>
      </c>
      <c r="EY249" s="22" t="s">
        <v>218</v>
      </c>
      <c r="EZ249" s="22" t="s">
        <v>218</v>
      </c>
      <c r="FA249" s="22" t="s">
        <v>218</v>
      </c>
      <c r="FB249" s="22" t="s">
        <v>218</v>
      </c>
      <c r="FC249" s="22" t="s">
        <v>218</v>
      </c>
      <c r="FD249" s="22" t="s">
        <v>218</v>
      </c>
      <c r="FE249" s="22" t="s">
        <v>218</v>
      </c>
      <c r="FF249" s="22" t="s">
        <v>218</v>
      </c>
      <c r="FG249" s="22" t="s">
        <v>218</v>
      </c>
      <c r="FH249" s="22" t="s">
        <v>218</v>
      </c>
      <c r="FI249" s="22" t="s">
        <v>218</v>
      </c>
      <c r="FJ249" s="22" t="s">
        <v>218</v>
      </c>
      <c r="FK249" s="22" t="s">
        <v>218</v>
      </c>
      <c r="FL249" s="22" t="s">
        <v>218</v>
      </c>
      <c r="FM249" s="22" t="s">
        <v>218</v>
      </c>
      <c r="FN249" s="22" t="s">
        <v>218</v>
      </c>
      <c r="FO249" s="22" t="s">
        <v>218</v>
      </c>
      <c r="FP249" s="22" t="s">
        <v>218</v>
      </c>
      <c r="FQ249" s="22" t="s">
        <v>218</v>
      </c>
      <c r="FR249" s="22" t="s">
        <v>218</v>
      </c>
      <c r="FS249" s="22" t="s">
        <v>218</v>
      </c>
      <c r="FT249" s="22" t="s">
        <v>218</v>
      </c>
      <c r="FU249" s="22" t="s">
        <v>218</v>
      </c>
      <c r="FV249" s="22" t="s">
        <v>218</v>
      </c>
      <c r="FW249" s="22" t="s">
        <v>218</v>
      </c>
      <c r="FX249" s="22" t="s">
        <v>218</v>
      </c>
      <c r="FY249" s="22" t="s">
        <v>218</v>
      </c>
      <c r="FZ249" s="22" t="s">
        <v>218</v>
      </c>
      <c r="GA249" s="22" t="s">
        <v>218</v>
      </c>
      <c r="GB249" s="22" t="s">
        <v>218</v>
      </c>
      <c r="GC249" s="22" t="s">
        <v>218</v>
      </c>
      <c r="GD249" s="22" t="s">
        <v>218</v>
      </c>
      <c r="GE249" s="22" t="s">
        <v>218</v>
      </c>
      <c r="GF249" s="22" t="s">
        <v>218</v>
      </c>
      <c r="GG249" s="22" t="s">
        <v>218</v>
      </c>
      <c r="GH249" s="22" t="s">
        <v>218</v>
      </c>
      <c r="GI249" s="22" t="s">
        <v>218</v>
      </c>
      <c r="GJ249" s="22" t="s">
        <v>218</v>
      </c>
      <c r="GK249" s="22" t="s">
        <v>218</v>
      </c>
      <c r="GL249" s="22" t="s">
        <v>218</v>
      </c>
      <c r="GM249" s="22" t="s">
        <v>218</v>
      </c>
      <c r="GN249" s="22" t="s">
        <v>218</v>
      </c>
      <c r="GO249" s="22" t="s">
        <v>218</v>
      </c>
      <c r="GP249" s="22" t="s">
        <v>218</v>
      </c>
      <c r="GQ249" s="22" t="s">
        <v>218</v>
      </c>
      <c r="GR249" s="22" t="s">
        <v>218</v>
      </c>
      <c r="GS249" s="22" t="s">
        <v>218</v>
      </c>
      <c r="GT249" s="22" t="s">
        <v>218</v>
      </c>
      <c r="GU249" s="22" t="s">
        <v>218</v>
      </c>
      <c r="GV249" s="22" t="s">
        <v>218</v>
      </c>
      <c r="GW249" s="22" t="s">
        <v>218</v>
      </c>
      <c r="GX249" s="22" t="s">
        <v>218</v>
      </c>
      <c r="GY249" s="22" t="s">
        <v>218</v>
      </c>
      <c r="GZ249" s="22" t="s">
        <v>218</v>
      </c>
      <c r="HA249" s="22" t="s">
        <v>218</v>
      </c>
      <c r="HB249" s="22" t="s">
        <v>218</v>
      </c>
      <c r="HC249" s="22" t="s">
        <v>218</v>
      </c>
      <c r="HD249" s="22" t="s">
        <v>218</v>
      </c>
      <c r="HE249" s="22" t="s">
        <v>218</v>
      </c>
      <c r="HF249" s="22" t="s">
        <v>218</v>
      </c>
      <c r="HG249" s="22" t="s">
        <v>218</v>
      </c>
      <c r="HH249" s="22" t="s">
        <v>218</v>
      </c>
      <c r="HI249" s="22" t="s">
        <v>218</v>
      </c>
      <c r="HJ249" s="22" t="s">
        <v>218</v>
      </c>
      <c r="HK249" s="22" t="s">
        <v>218</v>
      </c>
      <c r="HL249" s="22" t="s">
        <v>218</v>
      </c>
      <c r="HM249" s="622">
        <f>'background data'!$G$10</f>
        <v>0.47300000000000003</v>
      </c>
      <c r="HN249" s="622">
        <f>'background data'!$H$10</f>
        <v>0.13</v>
      </c>
      <c r="HO249" s="622">
        <f>'background data'!$J$10</f>
        <v>0.39100000000000001</v>
      </c>
      <c r="HP249" s="622">
        <f>'background data'!$L$10</f>
        <v>5.5E-2</v>
      </c>
      <c r="HQ249" s="622">
        <f>'background data'!$M$10</f>
        <v>3.97</v>
      </c>
      <c r="HR249" s="622">
        <f>'background data'!$N$10</f>
        <v>4.5999999999999999E-3</v>
      </c>
      <c r="HS249" s="622">
        <f>'background data'!$O$10</f>
        <v>2.73</v>
      </c>
      <c r="HT249" s="145" t="s">
        <v>1797</v>
      </c>
      <c r="HU249" s="145" t="s">
        <v>1809</v>
      </c>
      <c r="HV249" s="22" t="s">
        <v>1926</v>
      </c>
      <c r="HW249" s="22">
        <v>0</v>
      </c>
      <c r="HX249" s="22">
        <v>0</v>
      </c>
      <c r="HY249" s="22">
        <v>0</v>
      </c>
      <c r="HZ249" s="19"/>
      <c r="IA249" s="19"/>
      <c r="IB249" s="622">
        <f>'background data'!$G$10</f>
        <v>0.47300000000000003</v>
      </c>
      <c r="IC249" s="622">
        <f>'background data'!$H$10</f>
        <v>0.13</v>
      </c>
      <c r="ID249" s="622">
        <f>'background data'!$J$10</f>
        <v>0.39100000000000001</v>
      </c>
      <c r="IE249" s="622">
        <f>'background data'!$L$10</f>
        <v>5.5E-2</v>
      </c>
      <c r="IF249" s="622">
        <f>'background data'!$M$10</f>
        <v>3.97</v>
      </c>
      <c r="IG249" s="622">
        <f>'background data'!$N$10</f>
        <v>4.5999999999999999E-3</v>
      </c>
      <c r="IH249" s="622">
        <f>'background data'!$O$10</f>
        <v>2.73</v>
      </c>
      <c r="II249" s="145" t="s">
        <v>1797</v>
      </c>
      <c r="IJ249" s="145"/>
      <c r="IK249" s="145"/>
      <c r="IL249" s="145"/>
      <c r="IM249" s="145"/>
      <c r="IN249" s="145"/>
      <c r="IO249" s="145"/>
      <c r="IP249" s="145"/>
      <c r="IQ249" s="145"/>
      <c r="IR249" s="145"/>
      <c r="IS249" s="145"/>
      <c r="IT249" s="145"/>
      <c r="IU249" s="145"/>
      <c r="IV249" s="145"/>
      <c r="IW249" s="145"/>
      <c r="IX249" s="145"/>
      <c r="IY249" s="145"/>
      <c r="IZ249" s="145"/>
      <c r="JA249" s="145"/>
      <c r="JB249" s="145"/>
      <c r="JC249" s="145"/>
      <c r="JD249" s="145"/>
      <c r="JE249" s="145"/>
      <c r="JF249" s="145"/>
      <c r="JG249" s="145"/>
      <c r="JH249" s="145"/>
      <c r="JI249" s="145"/>
      <c r="JJ249" s="145"/>
      <c r="JK249" s="145"/>
      <c r="JL249" s="145"/>
      <c r="JM249" s="145"/>
      <c r="JN249" s="145"/>
      <c r="JO249" s="145"/>
      <c r="JP249" s="145"/>
      <c r="JQ249" s="145"/>
      <c r="JR249" s="145"/>
      <c r="JS249" s="145"/>
      <c r="JT249" s="145"/>
      <c r="JU249" s="145"/>
      <c r="JV249" s="145"/>
      <c r="JW249" s="145"/>
      <c r="JX249" s="145"/>
      <c r="JY249" s="145"/>
      <c r="JZ249" s="145"/>
      <c r="KA249" s="145"/>
      <c r="KB249" s="145"/>
      <c r="KC249" s="145"/>
      <c r="KD249" s="145"/>
      <c r="KE249" s="145"/>
      <c r="KF249" s="145"/>
      <c r="KG249" s="145"/>
      <c r="KH249" s="145"/>
      <c r="KI249" s="145"/>
      <c r="KJ249" s="145"/>
      <c r="KK249" s="145"/>
      <c r="KL249" s="145"/>
      <c r="KM249" s="145"/>
      <c r="KN249" s="145"/>
      <c r="KO249" s="145"/>
      <c r="KP249" s="145"/>
      <c r="KQ249" s="145"/>
      <c r="KR249" s="145"/>
      <c r="KS249" s="145"/>
      <c r="KT249" s="145"/>
      <c r="KU249" s="145"/>
      <c r="KV249" s="145"/>
      <c r="KW249" s="145"/>
      <c r="KX249" s="145"/>
      <c r="KY249" s="145"/>
      <c r="KZ249" s="145"/>
      <c r="LA249" s="145"/>
      <c r="LB249" s="145"/>
      <c r="LC249" s="145"/>
      <c r="LD249" s="145"/>
      <c r="LE249" s="145"/>
      <c r="LF249" s="145"/>
      <c r="LG249" s="145"/>
      <c r="LH249" s="145"/>
      <c r="LI249" s="145"/>
      <c r="LJ249" s="145"/>
      <c r="LK249" s="145"/>
      <c r="LL249" s="145"/>
      <c r="LM249" s="145"/>
      <c r="LN249" s="145"/>
      <c r="LO249" s="145"/>
      <c r="LP249" s="145"/>
      <c r="LQ249" s="145"/>
      <c r="LR249" s="145"/>
      <c r="LS249" s="145"/>
      <c r="LT249" s="145"/>
      <c r="LU249" s="145"/>
      <c r="LV249" s="145"/>
      <c r="LW249" s="145"/>
      <c r="LX249" s="145"/>
      <c r="LY249" s="145"/>
      <c r="LZ249" s="145"/>
      <c r="MA249" s="145"/>
      <c r="MB249" s="145"/>
      <c r="MC249" s="145"/>
      <c r="MD249" s="145"/>
      <c r="ME249" s="145"/>
      <c r="MF249" s="145"/>
      <c r="MG249" s="145"/>
      <c r="MH249" s="145"/>
      <c r="MI249" s="145"/>
      <c r="MJ249" s="145"/>
      <c r="MK249" s="145"/>
      <c r="ML249" s="145"/>
      <c r="MM249" s="145"/>
      <c r="MN249" s="145"/>
      <c r="MO249" s="145"/>
      <c r="MP249" s="145"/>
      <c r="MQ249" s="145"/>
      <c r="MR249" s="145"/>
      <c r="MS249" s="145"/>
      <c r="MT249" s="145"/>
      <c r="MU249" s="145"/>
      <c r="MV249" s="145"/>
      <c r="MW249" s="145"/>
      <c r="MX249" s="145"/>
      <c r="MY249" s="145"/>
      <c r="MZ249" s="145"/>
      <c r="NA249" s="145"/>
      <c r="NB249" s="145"/>
      <c r="NC249" s="145"/>
      <c r="ND249" s="145"/>
      <c r="NE249" s="145"/>
      <c r="NF249" s="145"/>
      <c r="NG249" s="145"/>
      <c r="NH249" s="145"/>
      <c r="NI249" s="145"/>
      <c r="NJ249" s="145"/>
      <c r="NK249" s="145"/>
      <c r="NL249" s="145"/>
      <c r="NM249" s="145"/>
      <c r="NN249" s="145"/>
      <c r="NO249" s="145"/>
      <c r="NP249" s="145"/>
      <c r="NQ249" s="145"/>
      <c r="NR249" s="145"/>
      <c r="NS249" s="145"/>
    </row>
    <row r="250" spans="1:383" s="16" customFormat="1" ht="15" customHeight="1" x14ac:dyDescent="0.2">
      <c r="A250" s="15">
        <v>40201</v>
      </c>
      <c r="B250" s="25">
        <v>402</v>
      </c>
      <c r="C250" s="26">
        <v>1</v>
      </c>
      <c r="D250" s="20" t="s">
        <v>699</v>
      </c>
      <c r="E250" s="14">
        <v>41814</v>
      </c>
      <c r="F250" s="18">
        <v>0.39397296313209701</v>
      </c>
      <c r="G250" s="18">
        <v>0.39195946511316399</v>
      </c>
      <c r="H250" s="21">
        <v>82.720799606304993</v>
      </c>
      <c r="I250" s="21">
        <v>79.515282797179594</v>
      </c>
      <c r="J250" s="21">
        <v>92.489309132216903</v>
      </c>
      <c r="K250" s="18">
        <v>1</v>
      </c>
      <c r="L250" s="18">
        <v>97.5936779974746</v>
      </c>
      <c r="M250" s="18">
        <v>5.0182497546999301</v>
      </c>
      <c r="N250" s="18">
        <v>5.4533003827581101</v>
      </c>
      <c r="O250" s="18">
        <v>67.846321962119305</v>
      </c>
      <c r="P250" s="18">
        <v>1.5580137619076599</v>
      </c>
      <c r="Q250" s="19"/>
      <c r="R250" s="18">
        <v>66.140536996049093</v>
      </c>
      <c r="S250" s="18">
        <v>20</v>
      </c>
      <c r="T250" s="18">
        <v>37</v>
      </c>
      <c r="U250" s="18">
        <v>44</v>
      </c>
      <c r="V250" s="18">
        <v>50</v>
      </c>
      <c r="W250" s="18">
        <v>54</v>
      </c>
      <c r="X250" s="18"/>
      <c r="Y250" s="18">
        <v>10.041353743742997</v>
      </c>
      <c r="Z250" s="18">
        <v>1.3411784676903151</v>
      </c>
      <c r="AA250" s="18">
        <v>1.3893500218781454E-2</v>
      </c>
      <c r="AB250" s="18">
        <v>0</v>
      </c>
      <c r="AC250" s="18">
        <v>1.9953077839774516</v>
      </c>
      <c r="AD250" s="18">
        <v>0.5985923351932354</v>
      </c>
      <c r="AE250" s="18">
        <v>0.25273898597047717</v>
      </c>
      <c r="AF250" s="18">
        <v>2841.0293940901247</v>
      </c>
      <c r="AG250" s="18">
        <v>564.88036584472559</v>
      </c>
      <c r="AH250" s="18">
        <v>3769.9927417183903</v>
      </c>
      <c r="AI250" s="18">
        <v>9399.9074864773465</v>
      </c>
      <c r="AJ250" s="18">
        <v>18.776137320584816</v>
      </c>
      <c r="AK250" s="18">
        <v>18.782788346531358</v>
      </c>
      <c r="AL250" s="18"/>
      <c r="AM250" s="18">
        <v>1.72803974125851</v>
      </c>
      <c r="AN250" s="18">
        <v>65.044948911013407</v>
      </c>
      <c r="AO250" s="18">
        <v>0.88601250321712599</v>
      </c>
      <c r="AP250" s="18">
        <v>1.4577378764120701</v>
      </c>
      <c r="AQ250" s="18">
        <v>0.61977720700920502</v>
      </c>
      <c r="AR250" s="18">
        <v>1.4587337500492701</v>
      </c>
      <c r="AS250" s="18">
        <v>2.7445971343968698</v>
      </c>
      <c r="AT250" s="18">
        <v>1.14718535714934</v>
      </c>
      <c r="AU250" s="18">
        <v>1.72530100413625</v>
      </c>
      <c r="AV250" s="18">
        <v>1.2459446878103699</v>
      </c>
      <c r="AW250" s="18">
        <v>2.1238240537504698</v>
      </c>
      <c r="AX250" s="18"/>
      <c r="AY250" s="18">
        <v>0</v>
      </c>
      <c r="AZ250" s="18">
        <v>0</v>
      </c>
      <c r="BA250" s="18">
        <v>0</v>
      </c>
      <c r="BB250" s="18">
        <v>0</v>
      </c>
      <c r="BC250" s="18">
        <v>0</v>
      </c>
      <c r="BD250" s="18">
        <v>0</v>
      </c>
      <c r="BE250" s="18">
        <v>0</v>
      </c>
      <c r="BF250" s="18">
        <v>0</v>
      </c>
      <c r="BG250" s="18">
        <v>0</v>
      </c>
      <c r="BH250" s="18">
        <v>0</v>
      </c>
      <c r="BI250" s="18">
        <v>0</v>
      </c>
      <c r="BJ250" s="19"/>
      <c r="BK250" s="18">
        <v>5.1419824087681025</v>
      </c>
      <c r="BL250" s="18">
        <v>5.5877598781544267</v>
      </c>
      <c r="BM250" s="18">
        <v>69.519177219527421</v>
      </c>
      <c r="BN250" s="18">
        <v>1.5964289837995205</v>
      </c>
      <c r="BO250" s="18"/>
      <c r="BP250" s="18" t="s">
        <v>217</v>
      </c>
      <c r="BQ250" s="18">
        <v>8.4814297417006568</v>
      </c>
      <c r="BR250" s="18">
        <v>0.40368697154982902</v>
      </c>
      <c r="BS250" s="18">
        <v>0.40162382764517451</v>
      </c>
      <c r="BT250" s="19"/>
      <c r="BU250" s="18">
        <v>304.80822780472585</v>
      </c>
      <c r="BV250" s="18">
        <v>137.18838299942294</v>
      </c>
      <c r="BW250" s="18">
        <v>13.958112825539374</v>
      </c>
      <c r="BX250" s="18">
        <v>29.530555202866179</v>
      </c>
      <c r="BY250" s="18">
        <v>6.6510259465915045</v>
      </c>
      <c r="BZ250" s="18">
        <v>3.8575950490230726</v>
      </c>
      <c r="CA250" s="18">
        <v>55.868617951368634</v>
      </c>
      <c r="CB250" s="19"/>
      <c r="CC250" s="19">
        <v>9.7997264392559025</v>
      </c>
      <c r="CD250" s="19">
        <v>1.3089053951291501</v>
      </c>
      <c r="CE250" s="19">
        <v>1.3559177866096003E-2</v>
      </c>
      <c r="CF250" s="19">
        <v>0</v>
      </c>
      <c r="CG250" s="19">
        <v>1.9472942537535003</v>
      </c>
      <c r="CH250" s="19">
        <v>0.58418827612604995</v>
      </c>
      <c r="CI250" s="19">
        <v>0.24665727214211</v>
      </c>
      <c r="CJ250" s="19"/>
      <c r="CK250" s="19">
        <v>2772.66507868192</v>
      </c>
      <c r="CL250" s="19">
        <v>551.28752531345799</v>
      </c>
      <c r="CM250" s="19">
        <v>3679.2745768808104</v>
      </c>
      <c r="CN250" s="19">
        <v>9173.7154444132102</v>
      </c>
      <c r="CO250" s="19">
        <v>18.324322997015202</v>
      </c>
      <c r="CP250" s="19">
        <v>18.330813977860998</v>
      </c>
      <c r="CQ250" s="19">
        <v>33.190973355614602</v>
      </c>
      <c r="CR250" s="19">
        <v>84.246830269126477</v>
      </c>
      <c r="CS250" s="19">
        <v>1.389723020459434</v>
      </c>
      <c r="CT250" s="19">
        <v>82.574719725048809</v>
      </c>
      <c r="CU250" s="19">
        <v>0.74077320783049538</v>
      </c>
      <c r="CV250" s="19">
        <v>83.315492932879437</v>
      </c>
      <c r="CW250" s="19">
        <v>1.2071952938471444</v>
      </c>
      <c r="CX250" s="19">
        <v>0.51811798968747802</v>
      </c>
      <c r="CY250" s="19">
        <v>1.2546488026350062</v>
      </c>
      <c r="CZ250" s="19">
        <v>2.3824797618479989</v>
      </c>
      <c r="DA250" s="19">
        <v>1.0597215785322787</v>
      </c>
      <c r="DB250" s="19">
        <v>1.5664157619797228</v>
      </c>
      <c r="DC250" s="19">
        <v>1.1411023036610046</v>
      </c>
      <c r="DD250" s="19">
        <v>2.7075180656407252</v>
      </c>
      <c r="DE250" s="19">
        <v>1.7759409024365702</v>
      </c>
      <c r="DF250" s="23">
        <v>6313243.6060792599</v>
      </c>
      <c r="DG250" s="23">
        <v>0</v>
      </c>
      <c r="DH250" s="23">
        <v>0</v>
      </c>
      <c r="DI250" s="19">
        <v>732.97291988060704</v>
      </c>
      <c r="DJ250" s="19">
        <v>73.297291988060707</v>
      </c>
      <c r="DK250" s="19">
        <v>13743.2422477614</v>
      </c>
      <c r="DL250" s="19">
        <v>183.24322997015199</v>
      </c>
      <c r="DM250" s="19">
        <v>0</v>
      </c>
      <c r="DN250" s="19">
        <v>183.24322997015199</v>
      </c>
      <c r="DO250" s="19">
        <v>458.108074925381</v>
      </c>
      <c r="DP250" s="19">
        <v>274.86484495522899</v>
      </c>
      <c r="DQ250" s="19">
        <v>1832.4322997015199</v>
      </c>
      <c r="DR250" s="19">
        <v>1832.4322997015199</v>
      </c>
      <c r="DS250" s="19">
        <v>1374.32422477614</v>
      </c>
      <c r="DT250" s="19">
        <v>0</v>
      </c>
      <c r="DU250" s="19">
        <v>137.43242247761401</v>
      </c>
      <c r="DV250" s="19">
        <v>18.324322997015202</v>
      </c>
      <c r="DW250" s="17" t="s">
        <v>218</v>
      </c>
      <c r="DX250" s="22" t="s">
        <v>218</v>
      </c>
      <c r="DY250" s="22" t="s">
        <v>218</v>
      </c>
      <c r="DZ250" s="22" t="s">
        <v>218</v>
      </c>
      <c r="EA250" s="22" t="s">
        <v>218</v>
      </c>
      <c r="EB250" s="22" t="s">
        <v>218</v>
      </c>
      <c r="EC250" s="22" t="s">
        <v>218</v>
      </c>
      <c r="ED250" s="22" t="s">
        <v>218</v>
      </c>
      <c r="EE250" s="22" t="s">
        <v>218</v>
      </c>
      <c r="EF250" s="22" t="s">
        <v>218</v>
      </c>
      <c r="EG250" s="22" t="s">
        <v>218</v>
      </c>
      <c r="EH250" s="22" t="s">
        <v>218</v>
      </c>
      <c r="EI250" s="22" t="s">
        <v>218</v>
      </c>
      <c r="EJ250" s="22" t="s">
        <v>218</v>
      </c>
      <c r="EK250" s="22" t="s">
        <v>218</v>
      </c>
      <c r="EL250" s="22" t="s">
        <v>218</v>
      </c>
      <c r="EM250" s="22" t="s">
        <v>218</v>
      </c>
      <c r="EN250" s="22" t="s">
        <v>218</v>
      </c>
      <c r="EO250" s="22" t="s">
        <v>218</v>
      </c>
      <c r="EP250" s="22" t="s">
        <v>218</v>
      </c>
      <c r="EQ250" s="22" t="s">
        <v>218</v>
      </c>
      <c r="ER250" s="22" t="s">
        <v>218</v>
      </c>
      <c r="ES250" s="22" t="s">
        <v>218</v>
      </c>
      <c r="ET250" s="22" t="s">
        <v>218</v>
      </c>
      <c r="EU250" s="22" t="s">
        <v>218</v>
      </c>
      <c r="EV250" s="22" t="s">
        <v>218</v>
      </c>
      <c r="EW250" s="22" t="s">
        <v>218</v>
      </c>
      <c r="EX250" s="22" t="s">
        <v>218</v>
      </c>
      <c r="EY250" s="22" t="s">
        <v>218</v>
      </c>
      <c r="EZ250" s="22" t="s">
        <v>218</v>
      </c>
      <c r="FA250" s="22" t="s">
        <v>218</v>
      </c>
      <c r="FB250" s="22" t="s">
        <v>218</v>
      </c>
      <c r="FC250" s="22" t="s">
        <v>218</v>
      </c>
      <c r="FD250" s="22" t="s">
        <v>218</v>
      </c>
      <c r="FE250" s="22" t="s">
        <v>218</v>
      </c>
      <c r="FF250" s="22" t="s">
        <v>218</v>
      </c>
      <c r="FG250" s="22" t="s">
        <v>218</v>
      </c>
      <c r="FH250" s="22" t="s">
        <v>218</v>
      </c>
      <c r="FI250" s="22" t="s">
        <v>218</v>
      </c>
      <c r="FJ250" s="22" t="s">
        <v>218</v>
      </c>
      <c r="FK250" s="22" t="s">
        <v>218</v>
      </c>
      <c r="FL250" s="22" t="s">
        <v>218</v>
      </c>
      <c r="FM250" s="22" t="s">
        <v>218</v>
      </c>
      <c r="FN250" s="22" t="s">
        <v>218</v>
      </c>
      <c r="FO250" s="22" t="s">
        <v>218</v>
      </c>
      <c r="FP250" s="22" t="s">
        <v>218</v>
      </c>
      <c r="FQ250" s="22" t="s">
        <v>218</v>
      </c>
      <c r="FR250" s="22" t="s">
        <v>218</v>
      </c>
      <c r="FS250" s="22" t="s">
        <v>218</v>
      </c>
      <c r="FT250" s="22" t="s">
        <v>218</v>
      </c>
      <c r="FU250" s="22" t="s">
        <v>218</v>
      </c>
      <c r="FV250" s="22" t="s">
        <v>218</v>
      </c>
      <c r="FW250" s="22" t="s">
        <v>218</v>
      </c>
      <c r="FX250" s="22" t="s">
        <v>218</v>
      </c>
      <c r="FY250" s="22" t="s">
        <v>218</v>
      </c>
      <c r="FZ250" s="22" t="s">
        <v>218</v>
      </c>
      <c r="GA250" s="22" t="s">
        <v>218</v>
      </c>
      <c r="GB250" s="22" t="s">
        <v>218</v>
      </c>
      <c r="GC250" s="22" t="s">
        <v>218</v>
      </c>
      <c r="GD250" s="22" t="s">
        <v>218</v>
      </c>
      <c r="GE250" s="22" t="s">
        <v>218</v>
      </c>
      <c r="GF250" s="22" t="s">
        <v>218</v>
      </c>
      <c r="GG250" s="22" t="s">
        <v>218</v>
      </c>
      <c r="GH250" s="22" t="s">
        <v>218</v>
      </c>
      <c r="GI250" s="22" t="s">
        <v>218</v>
      </c>
      <c r="GJ250" s="22" t="s">
        <v>218</v>
      </c>
      <c r="GK250" s="22" t="s">
        <v>218</v>
      </c>
      <c r="GL250" s="22" t="s">
        <v>218</v>
      </c>
      <c r="GM250" s="22" t="s">
        <v>218</v>
      </c>
      <c r="GN250" s="22" t="s">
        <v>218</v>
      </c>
      <c r="GO250" s="22" t="s">
        <v>218</v>
      </c>
      <c r="GP250" s="22" t="s">
        <v>218</v>
      </c>
      <c r="GQ250" s="22" t="s">
        <v>218</v>
      </c>
      <c r="GR250" s="22" t="s">
        <v>218</v>
      </c>
      <c r="GS250" s="22" t="s">
        <v>218</v>
      </c>
      <c r="GT250" s="22" t="s">
        <v>218</v>
      </c>
      <c r="GU250" s="22" t="s">
        <v>218</v>
      </c>
      <c r="GV250" s="22" t="s">
        <v>218</v>
      </c>
      <c r="GW250" s="22" t="s">
        <v>218</v>
      </c>
      <c r="GX250" s="22" t="s">
        <v>218</v>
      </c>
      <c r="GY250" s="22" t="s">
        <v>218</v>
      </c>
      <c r="GZ250" s="22" t="s">
        <v>218</v>
      </c>
      <c r="HA250" s="22" t="s">
        <v>218</v>
      </c>
      <c r="HB250" s="22" t="s">
        <v>218</v>
      </c>
      <c r="HC250" s="22" t="s">
        <v>218</v>
      </c>
      <c r="HD250" s="22" t="s">
        <v>218</v>
      </c>
      <c r="HE250" s="22" t="s">
        <v>218</v>
      </c>
      <c r="HF250" s="22" t="s">
        <v>218</v>
      </c>
      <c r="HG250" s="22" t="s">
        <v>218</v>
      </c>
      <c r="HH250" s="22" t="s">
        <v>218</v>
      </c>
      <c r="HI250" s="22" t="s">
        <v>218</v>
      </c>
      <c r="HJ250" s="22" t="s">
        <v>218</v>
      </c>
      <c r="HK250" s="22" t="s">
        <v>218</v>
      </c>
      <c r="HL250" s="22" t="s">
        <v>218</v>
      </c>
      <c r="HM250" s="622">
        <f>'background data'!$G$10</f>
        <v>0.47300000000000003</v>
      </c>
      <c r="HN250" s="622">
        <f>'background data'!$H$10</f>
        <v>0.13</v>
      </c>
      <c r="HO250" s="622">
        <f>'background data'!$J$10</f>
        <v>0.39100000000000001</v>
      </c>
      <c r="HP250" s="622">
        <f>'background data'!$L$10</f>
        <v>5.5E-2</v>
      </c>
      <c r="HQ250" s="622">
        <f>'background data'!$M$10</f>
        <v>3.97</v>
      </c>
      <c r="HR250" s="622">
        <f>'background data'!$N$10</f>
        <v>4.5999999999999999E-3</v>
      </c>
      <c r="HS250" s="622">
        <f>'background data'!$O$10</f>
        <v>2.73</v>
      </c>
      <c r="HT250" s="145" t="s">
        <v>1797</v>
      </c>
      <c r="HU250" s="145" t="s">
        <v>1809</v>
      </c>
      <c r="HV250" s="22" t="s">
        <v>1926</v>
      </c>
      <c r="HW250" s="22">
        <v>0</v>
      </c>
      <c r="HX250" s="22">
        <v>0</v>
      </c>
      <c r="HY250" s="22">
        <v>0</v>
      </c>
      <c r="HZ250" s="19"/>
      <c r="IA250" s="19"/>
      <c r="IB250" s="622">
        <f>'background data'!$G$10</f>
        <v>0.47300000000000003</v>
      </c>
      <c r="IC250" s="622">
        <f>'background data'!$H$10</f>
        <v>0.13</v>
      </c>
      <c r="ID250" s="622">
        <f>'background data'!$J$10</f>
        <v>0.39100000000000001</v>
      </c>
      <c r="IE250" s="622">
        <f>'background data'!$L$10</f>
        <v>5.5E-2</v>
      </c>
      <c r="IF250" s="622">
        <f>'background data'!$M$10</f>
        <v>3.97</v>
      </c>
      <c r="IG250" s="622">
        <f>'background data'!$N$10</f>
        <v>4.5999999999999999E-3</v>
      </c>
      <c r="IH250" s="622">
        <f>'background data'!$O$10</f>
        <v>2.73</v>
      </c>
      <c r="II250" s="145" t="s">
        <v>1797</v>
      </c>
      <c r="IJ250" s="145"/>
      <c r="IK250" s="145"/>
      <c r="IL250" s="145"/>
      <c r="IM250" s="145"/>
      <c r="IN250" s="145"/>
      <c r="IO250" s="145"/>
      <c r="IP250" s="145"/>
      <c r="IQ250" s="145"/>
      <c r="IR250" s="145"/>
      <c r="IS250" s="145"/>
      <c r="IT250" s="145"/>
      <c r="IU250" s="145"/>
      <c r="IV250" s="145"/>
      <c r="IW250" s="145"/>
      <c r="IX250" s="145"/>
      <c r="IY250" s="145"/>
      <c r="IZ250" s="145"/>
      <c r="JA250" s="145"/>
      <c r="JB250" s="145"/>
      <c r="JC250" s="145"/>
      <c r="JD250" s="145"/>
      <c r="JE250" s="145"/>
      <c r="JF250" s="145"/>
      <c r="JG250" s="145"/>
      <c r="JH250" s="145"/>
      <c r="JI250" s="145"/>
      <c r="JJ250" s="145"/>
      <c r="JK250" s="145"/>
      <c r="JL250" s="145"/>
      <c r="JM250" s="145"/>
      <c r="JN250" s="145"/>
      <c r="JO250" s="145"/>
      <c r="JP250" s="145"/>
      <c r="JQ250" s="145"/>
      <c r="JR250" s="145"/>
      <c r="JS250" s="145"/>
      <c r="JT250" s="145"/>
      <c r="JU250" s="145"/>
      <c r="JV250" s="145"/>
      <c r="JW250" s="145"/>
      <c r="JX250" s="145"/>
      <c r="JY250" s="145"/>
      <c r="JZ250" s="145"/>
      <c r="KA250" s="145"/>
      <c r="KB250" s="145"/>
      <c r="KC250" s="145"/>
      <c r="KD250" s="145"/>
      <c r="KE250" s="145"/>
      <c r="KF250" s="145"/>
      <c r="KG250" s="145"/>
      <c r="KH250" s="145"/>
      <c r="KI250" s="145"/>
      <c r="KJ250" s="145"/>
      <c r="KK250" s="145"/>
      <c r="KL250" s="145"/>
      <c r="KM250" s="145"/>
      <c r="KN250" s="145"/>
      <c r="KO250" s="145"/>
      <c r="KP250" s="145"/>
      <c r="KQ250" s="145"/>
      <c r="KR250" s="145"/>
      <c r="KS250" s="145"/>
      <c r="KT250" s="145"/>
      <c r="KU250" s="145"/>
      <c r="KV250" s="145"/>
      <c r="KW250" s="145"/>
      <c r="KX250" s="145"/>
      <c r="KY250" s="145"/>
      <c r="KZ250" s="145"/>
      <c r="LA250" s="145"/>
      <c r="LB250" s="145"/>
      <c r="LC250" s="145"/>
      <c r="LD250" s="145"/>
      <c r="LE250" s="145"/>
      <c r="LF250" s="145"/>
      <c r="LG250" s="145"/>
      <c r="LH250" s="145"/>
      <c r="LI250" s="145"/>
      <c r="LJ250" s="145"/>
      <c r="LK250" s="145"/>
      <c r="LL250" s="145"/>
      <c r="LM250" s="145"/>
      <c r="LN250" s="145"/>
      <c r="LO250" s="145"/>
      <c r="LP250" s="145"/>
      <c r="LQ250" s="145"/>
      <c r="LR250" s="145"/>
      <c r="LS250" s="145"/>
      <c r="LT250" s="145"/>
      <c r="LU250" s="145"/>
      <c r="LV250" s="145"/>
      <c r="LW250" s="145"/>
      <c r="LX250" s="145"/>
      <c r="LY250" s="145"/>
      <c r="LZ250" s="145"/>
      <c r="MA250" s="145"/>
      <c r="MB250" s="145"/>
      <c r="MC250" s="145"/>
      <c r="MD250" s="145"/>
      <c r="ME250" s="145"/>
      <c r="MF250" s="145"/>
      <c r="MG250" s="145"/>
      <c r="MH250" s="145"/>
      <c r="MI250" s="145"/>
      <c r="MJ250" s="145"/>
      <c r="MK250" s="145"/>
      <c r="ML250" s="145"/>
      <c r="MM250" s="145"/>
      <c r="MN250" s="145"/>
      <c r="MO250" s="145"/>
      <c r="MP250" s="145"/>
      <c r="MQ250" s="145"/>
      <c r="MR250" s="145"/>
      <c r="MS250" s="145"/>
      <c r="MT250" s="145"/>
      <c r="MU250" s="145"/>
      <c r="MV250" s="145"/>
      <c r="MW250" s="145"/>
      <c r="MX250" s="145"/>
      <c r="MY250" s="145"/>
      <c r="MZ250" s="145"/>
      <c r="NA250" s="145"/>
      <c r="NB250" s="145"/>
      <c r="NC250" s="145"/>
      <c r="ND250" s="145"/>
      <c r="NE250" s="145"/>
      <c r="NF250" s="145"/>
      <c r="NG250" s="145"/>
      <c r="NH250" s="145"/>
      <c r="NI250" s="145"/>
      <c r="NJ250" s="145"/>
      <c r="NK250" s="145"/>
      <c r="NL250" s="145"/>
      <c r="NM250" s="145"/>
      <c r="NN250" s="145"/>
      <c r="NO250" s="145"/>
      <c r="NP250" s="145"/>
      <c r="NQ250" s="145"/>
      <c r="NR250" s="145"/>
      <c r="NS250" s="145"/>
    </row>
    <row r="251" spans="1:383" s="16" customFormat="1" ht="15" customHeight="1" x14ac:dyDescent="0.2">
      <c r="A251" s="15">
        <v>24001</v>
      </c>
      <c r="B251" s="25">
        <v>240</v>
      </c>
      <c r="C251" s="26">
        <v>1</v>
      </c>
      <c r="D251" s="20" t="s">
        <v>700</v>
      </c>
      <c r="E251" s="14">
        <v>41697</v>
      </c>
      <c r="F251" s="18">
        <v>1.1558167137090201</v>
      </c>
      <c r="G251" s="18">
        <v>1.1314410908743699</v>
      </c>
      <c r="H251" s="21">
        <v>94.596968663592506</v>
      </c>
      <c r="I251" s="21">
        <v>89.400077640812299</v>
      </c>
      <c r="J251" s="21">
        <v>95.279086197453694</v>
      </c>
      <c r="K251" s="18">
        <v>0.99402932527316501</v>
      </c>
      <c r="L251" s="18">
        <v>89.428689451566996</v>
      </c>
      <c r="M251" s="18">
        <v>37.442462793664902</v>
      </c>
      <c r="N251" s="18">
        <v>7.3516777706303298</v>
      </c>
      <c r="O251" s="18">
        <v>11.7786189607003</v>
      </c>
      <c r="P251" s="18">
        <v>1.74495142971045</v>
      </c>
      <c r="Q251" s="19"/>
      <c r="R251" s="18">
        <v>89.9843559205367</v>
      </c>
      <c r="S251" s="18">
        <v>59.856728834178597</v>
      </c>
      <c r="T251" s="18">
        <v>62.470229445402097</v>
      </c>
      <c r="U251" s="18">
        <v>63.470436529064699</v>
      </c>
      <c r="V251" s="18">
        <v>64.341603399472604</v>
      </c>
      <c r="W251" s="18">
        <v>64.994978552278397</v>
      </c>
      <c r="X251" s="18"/>
      <c r="Y251" s="18">
        <v>21.128101142161292</v>
      </c>
      <c r="Z251" s="18">
        <v>14.240357524974502</v>
      </c>
      <c r="AA251" s="18">
        <v>4.8764068995295409</v>
      </c>
      <c r="AB251" s="18">
        <v>7.4860950533102253</v>
      </c>
      <c r="AC251" s="18">
        <v>12.539720743131502</v>
      </c>
      <c r="AD251" s="18">
        <v>1.8888265271712221</v>
      </c>
      <c r="AE251" s="18">
        <v>4.1234442255425066</v>
      </c>
      <c r="AF251" s="18">
        <v>663.83389043487068</v>
      </c>
      <c r="AG251" s="18">
        <v>117.68084072696533</v>
      </c>
      <c r="AH251" s="18">
        <v>250.16213483873207</v>
      </c>
      <c r="AI251" s="18">
        <v>600.42912461609308</v>
      </c>
      <c r="AJ251" s="18">
        <v>1.1086533461702299</v>
      </c>
      <c r="AK251" s="18">
        <v>2.4542565529031153</v>
      </c>
      <c r="AL251" s="18"/>
      <c r="AM251" s="18">
        <v>8.4526118010121802</v>
      </c>
      <c r="AN251" s="18">
        <v>2.4181018095956102</v>
      </c>
      <c r="AO251" s="18">
        <v>1.3254923646673999</v>
      </c>
      <c r="AP251" s="18">
        <v>4.8829640952500002</v>
      </c>
      <c r="AQ251" s="18">
        <v>1.43903569771643</v>
      </c>
      <c r="AR251" s="18">
        <v>4.29585007794305</v>
      </c>
      <c r="AS251" s="18">
        <v>7.7976101628903498</v>
      </c>
      <c r="AT251" s="18">
        <v>2.4841178609719599</v>
      </c>
      <c r="AU251" s="18">
        <v>4.4997499571284596</v>
      </c>
      <c r="AV251" s="18">
        <v>3.64823657084637</v>
      </c>
      <c r="AW251" s="18">
        <v>5.0328230407379104</v>
      </c>
      <c r="AX251" s="18"/>
      <c r="AY251" s="18">
        <v>1.0376917188129999</v>
      </c>
      <c r="AZ251" s="18">
        <v>1.0604863706715799</v>
      </c>
      <c r="BA251" s="18">
        <v>0.95599983548673395</v>
      </c>
      <c r="BB251" s="18">
        <v>1.01498171483278</v>
      </c>
      <c r="BC251" s="18">
        <v>1.0143103359693</v>
      </c>
      <c r="BD251" s="18">
        <v>1.0103774669011401</v>
      </c>
      <c r="BE251" s="18">
        <v>1.0240107705466299</v>
      </c>
      <c r="BF251" s="18">
        <v>1.02430263384704</v>
      </c>
      <c r="BG251" s="18">
        <v>1.0289637465774899</v>
      </c>
      <c r="BH251" s="18">
        <v>0.97991997070414205</v>
      </c>
      <c r="BI251" s="18">
        <v>1.0077</v>
      </c>
      <c r="BJ251" s="19"/>
      <c r="BK251" s="18">
        <v>41.868513363312879</v>
      </c>
      <c r="BL251" s="18">
        <v>8.2207150923439052</v>
      </c>
      <c r="BM251" s="18">
        <v>13.170962286190488</v>
      </c>
      <c r="BN251" s="18">
        <v>1.9512210683300744</v>
      </c>
      <c r="BO251" s="18"/>
      <c r="BP251" s="18">
        <v>0</v>
      </c>
      <c r="BQ251" s="18">
        <v>0</v>
      </c>
      <c r="BR251" s="18">
        <v>1.2924450987677618</v>
      </c>
      <c r="BS251" s="18">
        <v>1.2651880485033145</v>
      </c>
      <c r="BT251" s="19"/>
      <c r="BU251" s="18">
        <v>868.29037713809521</v>
      </c>
      <c r="BV251" s="18">
        <v>296.16896130963823</v>
      </c>
      <c r="BW251" s="18">
        <v>64.4630066587915</v>
      </c>
      <c r="BX251" s="18">
        <v>136.10071781575829</v>
      </c>
      <c r="BY251" s="18">
        <v>102.70613704367597</v>
      </c>
      <c r="BZ251" s="18">
        <v>9.912573747314454</v>
      </c>
      <c r="CA251" s="18">
        <v>63.936100670178192</v>
      </c>
      <c r="CB251" s="19"/>
      <c r="CC251" s="19">
        <v>18.894583957436403</v>
      </c>
      <c r="CD251" s="19">
        <v>12.734965107802301</v>
      </c>
      <c r="CE251" s="19">
        <v>4.3609067825750598</v>
      </c>
      <c r="CF251" s="19">
        <v>6.69471669727392</v>
      </c>
      <c r="CG251" s="19">
        <v>11.2141079214688</v>
      </c>
      <c r="CH251" s="19">
        <v>1.6891528092627701</v>
      </c>
      <c r="CI251" s="19">
        <v>3.6875421311689802</v>
      </c>
      <c r="CJ251" s="19"/>
      <c r="CK251" s="19">
        <v>593.65794835125598</v>
      </c>
      <c r="CL251" s="19">
        <v>105.240433597711</v>
      </c>
      <c r="CM251" s="19">
        <v>223.71671869034</v>
      </c>
      <c r="CN251" s="19">
        <v>536.95589722968816</v>
      </c>
      <c r="CO251" s="19">
        <v>0.99145415804098103</v>
      </c>
      <c r="CP251" s="19">
        <v>2.1948094710404602</v>
      </c>
      <c r="CQ251" s="19">
        <v>336.92358985665902</v>
      </c>
      <c r="CR251" s="19">
        <v>291.50261097667465</v>
      </c>
      <c r="CS251" s="19">
        <v>25.568292371076371</v>
      </c>
      <c r="CT251" s="19">
        <v>7.475188049845868</v>
      </c>
      <c r="CU251" s="19">
        <v>3.6938350421909125</v>
      </c>
      <c r="CV251" s="19">
        <v>11.169023092036772</v>
      </c>
      <c r="CW251" s="19">
        <v>14.44721707768603</v>
      </c>
      <c r="CX251" s="19">
        <v>4.2548560101628254</v>
      </c>
      <c r="CY251" s="19">
        <v>12.652467127240655</v>
      </c>
      <c r="CZ251" s="19">
        <v>23.276007728934477</v>
      </c>
      <c r="DA251" s="19">
        <v>7.4172503195792787</v>
      </c>
      <c r="DB251" s="19">
        <v>13.496802850107512</v>
      </c>
      <c r="DC251" s="19">
        <v>10.421159673509141</v>
      </c>
      <c r="DD251" s="19">
        <v>23.917962523616655</v>
      </c>
      <c r="DE251" s="19">
        <v>14.783775810972555</v>
      </c>
      <c r="DF251" s="23">
        <v>6421.75594545887</v>
      </c>
      <c r="DG251" s="23">
        <v>0</v>
      </c>
      <c r="DH251" s="23">
        <v>0</v>
      </c>
      <c r="DI251" s="19">
        <v>23.9867941461528</v>
      </c>
      <c r="DJ251" s="19">
        <v>2.3986794146152799</v>
      </c>
      <c r="DK251" s="19">
        <v>639.64784389740703</v>
      </c>
      <c r="DL251" s="19">
        <v>9.5947176584611196</v>
      </c>
      <c r="DM251" s="19">
        <v>0</v>
      </c>
      <c r="DN251" s="19">
        <v>9.5947176584611196</v>
      </c>
      <c r="DO251" s="19">
        <v>19.1894353169222</v>
      </c>
      <c r="DP251" s="19">
        <v>14.3920764876916</v>
      </c>
      <c r="DQ251" s="19">
        <v>95.947176584611199</v>
      </c>
      <c r="DR251" s="19">
        <v>95.947176584611199</v>
      </c>
      <c r="DS251" s="19">
        <v>47.9735882923055</v>
      </c>
      <c r="DT251" s="19">
        <v>0</v>
      </c>
      <c r="DU251" s="19">
        <v>0</v>
      </c>
      <c r="DV251" s="19">
        <v>0.95947176584611205</v>
      </c>
      <c r="DW251" s="17" t="s">
        <v>218</v>
      </c>
      <c r="DX251" s="22" t="s">
        <v>218</v>
      </c>
      <c r="DY251" s="22" t="s">
        <v>218</v>
      </c>
      <c r="DZ251" s="22" t="s">
        <v>218</v>
      </c>
      <c r="EA251" s="22" t="s">
        <v>218</v>
      </c>
      <c r="EB251" s="22" t="s">
        <v>218</v>
      </c>
      <c r="EC251" s="22" t="s">
        <v>218</v>
      </c>
      <c r="ED251" s="22" t="s">
        <v>218</v>
      </c>
      <c r="EE251" s="22" t="s">
        <v>218</v>
      </c>
      <c r="EF251" s="22" t="s">
        <v>218</v>
      </c>
      <c r="EG251" s="22" t="s">
        <v>218</v>
      </c>
      <c r="EH251" s="22" t="s">
        <v>218</v>
      </c>
      <c r="EI251" s="22" t="s">
        <v>218</v>
      </c>
      <c r="EJ251" s="22" t="s">
        <v>218</v>
      </c>
      <c r="EK251" s="22" t="s">
        <v>218</v>
      </c>
      <c r="EL251" s="22" t="s">
        <v>218</v>
      </c>
      <c r="EM251" s="22" t="s">
        <v>218</v>
      </c>
      <c r="EN251" s="22" t="s">
        <v>218</v>
      </c>
      <c r="EO251" s="22" t="s">
        <v>218</v>
      </c>
      <c r="EP251" s="22" t="s">
        <v>218</v>
      </c>
      <c r="EQ251" s="22" t="s">
        <v>218</v>
      </c>
      <c r="ER251" s="22" t="s">
        <v>218</v>
      </c>
      <c r="ES251" s="22" t="s">
        <v>218</v>
      </c>
      <c r="ET251" s="22" t="s">
        <v>218</v>
      </c>
      <c r="EU251" s="22" t="s">
        <v>218</v>
      </c>
      <c r="EV251" s="22" t="s">
        <v>218</v>
      </c>
      <c r="EW251" s="22" t="s">
        <v>218</v>
      </c>
      <c r="EX251" s="22" t="s">
        <v>218</v>
      </c>
      <c r="EY251" s="22" t="s">
        <v>218</v>
      </c>
      <c r="EZ251" s="22" t="s">
        <v>218</v>
      </c>
      <c r="FA251" s="22" t="s">
        <v>218</v>
      </c>
      <c r="FB251" s="22" t="s">
        <v>218</v>
      </c>
      <c r="FC251" s="22" t="s">
        <v>218</v>
      </c>
      <c r="FD251" s="22" t="s">
        <v>218</v>
      </c>
      <c r="FE251" s="22" t="s">
        <v>218</v>
      </c>
      <c r="FF251" s="22" t="s">
        <v>218</v>
      </c>
      <c r="FG251" s="22" t="s">
        <v>218</v>
      </c>
      <c r="FH251" s="22" t="s">
        <v>218</v>
      </c>
      <c r="FI251" s="22" t="s">
        <v>218</v>
      </c>
      <c r="FJ251" s="22" t="s">
        <v>218</v>
      </c>
      <c r="FK251" s="22" t="s">
        <v>218</v>
      </c>
      <c r="FL251" s="22" t="s">
        <v>218</v>
      </c>
      <c r="FM251" s="22" t="s">
        <v>218</v>
      </c>
      <c r="FN251" s="22" t="s">
        <v>218</v>
      </c>
      <c r="FO251" s="22" t="s">
        <v>218</v>
      </c>
      <c r="FP251" s="22" t="s">
        <v>218</v>
      </c>
      <c r="FQ251" s="22" t="s">
        <v>218</v>
      </c>
      <c r="FR251" s="22" t="s">
        <v>218</v>
      </c>
      <c r="FS251" s="22" t="s">
        <v>218</v>
      </c>
      <c r="FT251" s="22" t="s">
        <v>218</v>
      </c>
      <c r="FU251" s="22" t="s">
        <v>218</v>
      </c>
      <c r="FV251" s="22" t="s">
        <v>218</v>
      </c>
      <c r="FW251" s="22" t="s">
        <v>218</v>
      </c>
      <c r="FX251" s="22" t="s">
        <v>218</v>
      </c>
      <c r="FY251" s="22" t="s">
        <v>218</v>
      </c>
      <c r="FZ251" s="22" t="s">
        <v>218</v>
      </c>
      <c r="GA251" s="22" t="s">
        <v>218</v>
      </c>
      <c r="GB251" s="22" t="s">
        <v>218</v>
      </c>
      <c r="GC251" s="22" t="s">
        <v>218</v>
      </c>
      <c r="GD251" s="22" t="s">
        <v>218</v>
      </c>
      <c r="GE251" s="22" t="s">
        <v>218</v>
      </c>
      <c r="GF251" s="22" t="s">
        <v>218</v>
      </c>
      <c r="GG251" s="22" t="s">
        <v>218</v>
      </c>
      <c r="GH251" s="22" t="s">
        <v>218</v>
      </c>
      <c r="GI251" s="22" t="s">
        <v>218</v>
      </c>
      <c r="GJ251" s="22" t="s">
        <v>218</v>
      </c>
      <c r="GK251" s="22" t="s">
        <v>218</v>
      </c>
      <c r="GL251" s="22" t="s">
        <v>218</v>
      </c>
      <c r="GM251" s="22" t="s">
        <v>218</v>
      </c>
      <c r="GN251" s="22" t="s">
        <v>218</v>
      </c>
      <c r="GO251" s="22" t="s">
        <v>218</v>
      </c>
      <c r="GP251" s="22" t="s">
        <v>218</v>
      </c>
      <c r="GQ251" s="22" t="s">
        <v>218</v>
      </c>
      <c r="GR251" s="22" t="s">
        <v>218</v>
      </c>
      <c r="GS251" s="22" t="s">
        <v>218</v>
      </c>
      <c r="GT251" s="22" t="s">
        <v>218</v>
      </c>
      <c r="GU251" s="22" t="s">
        <v>218</v>
      </c>
      <c r="GV251" s="22" t="s">
        <v>218</v>
      </c>
      <c r="GW251" s="22" t="s">
        <v>218</v>
      </c>
      <c r="GX251" s="22" t="s">
        <v>218</v>
      </c>
      <c r="GY251" s="22" t="s">
        <v>218</v>
      </c>
      <c r="GZ251" s="22" t="s">
        <v>218</v>
      </c>
      <c r="HA251" s="22" t="s">
        <v>218</v>
      </c>
      <c r="HB251" s="22" t="s">
        <v>218</v>
      </c>
      <c r="HC251" s="22" t="s">
        <v>218</v>
      </c>
      <c r="HD251" s="22" t="s">
        <v>218</v>
      </c>
      <c r="HE251" s="22" t="s">
        <v>218</v>
      </c>
      <c r="HF251" s="22" t="s">
        <v>218</v>
      </c>
      <c r="HG251" s="22" t="s">
        <v>218</v>
      </c>
      <c r="HH251" s="22" t="s">
        <v>218</v>
      </c>
      <c r="HI251" s="22" t="s">
        <v>218</v>
      </c>
      <c r="HJ251" s="22" t="s">
        <v>218</v>
      </c>
      <c r="HK251" s="22" t="s">
        <v>218</v>
      </c>
      <c r="HL251" s="22" t="s">
        <v>218</v>
      </c>
      <c r="HM251" s="622">
        <f>'background data'!$G$10</f>
        <v>0.47300000000000003</v>
      </c>
      <c r="HN251" s="622">
        <f>'background data'!$H$10</f>
        <v>0.13</v>
      </c>
      <c r="HO251" s="622">
        <f>'background data'!$J$10</f>
        <v>0.39100000000000001</v>
      </c>
      <c r="HP251" s="622">
        <f>'background data'!$L$10</f>
        <v>5.5E-2</v>
      </c>
      <c r="HQ251" s="622">
        <f>'background data'!$M$10</f>
        <v>3.97</v>
      </c>
      <c r="HR251" s="622">
        <f>'background data'!$N$10</f>
        <v>4.5999999999999999E-3</v>
      </c>
      <c r="HS251" s="622">
        <f>'background data'!$O$10</f>
        <v>2.73</v>
      </c>
      <c r="HT251" s="145" t="s">
        <v>1797</v>
      </c>
      <c r="HU251" s="145" t="s">
        <v>1809</v>
      </c>
      <c r="HV251" s="22" t="s">
        <v>1926</v>
      </c>
      <c r="HW251" s="22">
        <v>0</v>
      </c>
      <c r="HX251" s="22">
        <v>0</v>
      </c>
      <c r="HY251" s="22">
        <v>0</v>
      </c>
      <c r="HZ251" s="19"/>
      <c r="IA251" s="19"/>
      <c r="IB251" s="622">
        <f>'background data'!$G$10</f>
        <v>0.47300000000000003</v>
      </c>
      <c r="IC251" s="622">
        <f>'background data'!$H$10</f>
        <v>0.13</v>
      </c>
      <c r="ID251" s="622">
        <f>'background data'!$J$10</f>
        <v>0.39100000000000001</v>
      </c>
      <c r="IE251" s="622">
        <f>'background data'!$L$10</f>
        <v>5.5E-2</v>
      </c>
      <c r="IF251" s="622">
        <f>'background data'!$M$10</f>
        <v>3.97</v>
      </c>
      <c r="IG251" s="622">
        <f>'background data'!$N$10</f>
        <v>4.5999999999999999E-3</v>
      </c>
      <c r="IH251" s="622">
        <f>'background data'!$O$10</f>
        <v>2.73</v>
      </c>
      <c r="II251" s="145" t="s">
        <v>1797</v>
      </c>
      <c r="IJ251" s="145"/>
      <c r="IK251" s="145"/>
      <c r="IL251" s="145"/>
      <c r="IM251" s="145"/>
      <c r="IN251" s="145"/>
      <c r="IO251" s="145"/>
      <c r="IP251" s="145"/>
      <c r="IQ251" s="145"/>
      <c r="IR251" s="145"/>
      <c r="IS251" s="145"/>
      <c r="IT251" s="145"/>
      <c r="IU251" s="145"/>
      <c r="IV251" s="145"/>
      <c r="IW251" s="145"/>
      <c r="IX251" s="145"/>
      <c r="IY251" s="145"/>
      <c r="IZ251" s="145"/>
      <c r="JA251" s="145"/>
      <c r="JB251" s="145"/>
      <c r="JC251" s="145"/>
      <c r="JD251" s="145"/>
      <c r="JE251" s="145"/>
      <c r="JF251" s="145"/>
      <c r="JG251" s="145"/>
      <c r="JH251" s="145"/>
      <c r="JI251" s="145"/>
      <c r="JJ251" s="145"/>
      <c r="JK251" s="145"/>
      <c r="JL251" s="145"/>
      <c r="JM251" s="145"/>
      <c r="JN251" s="145"/>
      <c r="JO251" s="145"/>
      <c r="JP251" s="145"/>
      <c r="JQ251" s="145"/>
      <c r="JR251" s="145"/>
      <c r="JS251" s="145"/>
      <c r="JT251" s="145"/>
      <c r="JU251" s="145"/>
      <c r="JV251" s="145"/>
      <c r="JW251" s="145"/>
      <c r="JX251" s="145"/>
      <c r="JY251" s="145"/>
      <c r="JZ251" s="145"/>
      <c r="KA251" s="145"/>
      <c r="KB251" s="145"/>
      <c r="KC251" s="145"/>
      <c r="KD251" s="145"/>
      <c r="KE251" s="145"/>
      <c r="KF251" s="145"/>
      <c r="KG251" s="145"/>
      <c r="KH251" s="145"/>
      <c r="KI251" s="145"/>
      <c r="KJ251" s="145"/>
      <c r="KK251" s="145"/>
      <c r="KL251" s="145"/>
      <c r="KM251" s="145"/>
      <c r="KN251" s="145"/>
      <c r="KO251" s="145"/>
      <c r="KP251" s="145"/>
      <c r="KQ251" s="145"/>
      <c r="KR251" s="145"/>
      <c r="KS251" s="145"/>
      <c r="KT251" s="145"/>
      <c r="KU251" s="145"/>
      <c r="KV251" s="145"/>
      <c r="KW251" s="145"/>
      <c r="KX251" s="145"/>
      <c r="KY251" s="145"/>
      <c r="KZ251" s="145"/>
      <c r="LA251" s="145"/>
      <c r="LB251" s="145"/>
      <c r="LC251" s="145"/>
      <c r="LD251" s="145"/>
      <c r="LE251" s="145"/>
      <c r="LF251" s="145"/>
      <c r="LG251" s="145"/>
      <c r="LH251" s="145"/>
      <c r="LI251" s="145"/>
      <c r="LJ251" s="145"/>
      <c r="LK251" s="145"/>
      <c r="LL251" s="145"/>
      <c r="LM251" s="145"/>
      <c r="LN251" s="145"/>
      <c r="LO251" s="145"/>
      <c r="LP251" s="145"/>
      <c r="LQ251" s="145"/>
      <c r="LR251" s="145"/>
      <c r="LS251" s="145"/>
      <c r="LT251" s="145"/>
      <c r="LU251" s="145"/>
      <c r="LV251" s="145"/>
      <c r="LW251" s="145"/>
      <c r="LX251" s="145"/>
      <c r="LY251" s="145"/>
      <c r="LZ251" s="145"/>
      <c r="MA251" s="145"/>
      <c r="MB251" s="145"/>
      <c r="MC251" s="145"/>
      <c r="MD251" s="145"/>
      <c r="ME251" s="145"/>
      <c r="MF251" s="145"/>
      <c r="MG251" s="145"/>
      <c r="MH251" s="145"/>
      <c r="MI251" s="145"/>
      <c r="MJ251" s="145"/>
      <c r="MK251" s="145"/>
      <c r="ML251" s="145"/>
      <c r="MM251" s="145"/>
      <c r="MN251" s="145"/>
      <c r="MO251" s="145"/>
      <c r="MP251" s="145"/>
      <c r="MQ251" s="145"/>
      <c r="MR251" s="145"/>
      <c r="MS251" s="145"/>
      <c r="MT251" s="145"/>
      <c r="MU251" s="145"/>
      <c r="MV251" s="145"/>
      <c r="MW251" s="145"/>
      <c r="MX251" s="145"/>
      <c r="MY251" s="145"/>
      <c r="MZ251" s="145"/>
      <c r="NA251" s="145"/>
      <c r="NB251" s="145"/>
      <c r="NC251" s="145"/>
      <c r="ND251" s="145"/>
      <c r="NE251" s="145"/>
      <c r="NF251" s="145"/>
      <c r="NG251" s="145"/>
      <c r="NH251" s="145"/>
      <c r="NI251" s="145"/>
      <c r="NJ251" s="145"/>
      <c r="NK251" s="145"/>
      <c r="NL251" s="145"/>
      <c r="NM251" s="145"/>
      <c r="NN251" s="145"/>
      <c r="NO251" s="145"/>
      <c r="NP251" s="145"/>
      <c r="NQ251" s="145"/>
      <c r="NR251" s="145"/>
      <c r="NS251" s="145"/>
    </row>
    <row r="252" spans="1:383" s="16" customFormat="1" ht="15" customHeight="1" x14ac:dyDescent="0.2">
      <c r="A252" s="15">
        <v>24002</v>
      </c>
      <c r="B252" s="25">
        <v>240</v>
      </c>
      <c r="C252" s="26">
        <v>2</v>
      </c>
      <c r="D252" s="20" t="s">
        <v>701</v>
      </c>
      <c r="E252" s="14">
        <v>41697</v>
      </c>
      <c r="F252" s="18">
        <v>1.1105937601692599</v>
      </c>
      <c r="G252" s="18">
        <v>1.1009777575688</v>
      </c>
      <c r="H252" s="21">
        <v>94.121100390286699</v>
      </c>
      <c r="I252" s="21">
        <v>84.012474955617904</v>
      </c>
      <c r="J252" s="21">
        <v>94.781573030841599</v>
      </c>
      <c r="K252" s="18">
        <v>0.98185388566096599</v>
      </c>
      <c r="L252" s="18">
        <v>90.365219788977498</v>
      </c>
      <c r="M252" s="18">
        <v>40.696045608994297</v>
      </c>
      <c r="N252" s="18">
        <v>10.955825433288201</v>
      </c>
      <c r="O252" s="18">
        <v>15.754627501753401</v>
      </c>
      <c r="P252" s="18">
        <v>2.3658085023926101</v>
      </c>
      <c r="Q252" s="19"/>
      <c r="R252" s="18">
        <v>88.575689457116496</v>
      </c>
      <c r="S252" s="18">
        <v>57.896628077290799</v>
      </c>
      <c r="T252" s="18">
        <v>61.794570212978101</v>
      </c>
      <c r="U252" s="18">
        <v>63.4187127695144</v>
      </c>
      <c r="V252" s="18">
        <v>64.718026814743496</v>
      </c>
      <c r="W252" s="18">
        <v>65.692512348665304</v>
      </c>
      <c r="X252" s="18"/>
      <c r="Y252" s="18">
        <v>30.805854833576884</v>
      </c>
      <c r="Z252" s="18">
        <v>13.615013845016415</v>
      </c>
      <c r="AA252" s="18">
        <v>5.7126965142109265</v>
      </c>
      <c r="AB252" s="18">
        <v>11.87427899926122</v>
      </c>
      <c r="AC252" s="18">
        <v>16.127612904592819</v>
      </c>
      <c r="AD252" s="18">
        <v>2.0976462127102282</v>
      </c>
      <c r="AE252" s="18">
        <v>3.3920212212526217</v>
      </c>
      <c r="AF252" s="18">
        <v>560.58494305632007</v>
      </c>
      <c r="AG252" s="18">
        <v>91.937579470142254</v>
      </c>
      <c r="AH252" s="18">
        <v>194.85466109435708</v>
      </c>
      <c r="AI252" s="18">
        <v>443.84842569927906</v>
      </c>
      <c r="AJ252" s="18">
        <v>0.81931831065909089</v>
      </c>
      <c r="AK252" s="18">
        <v>1.5586570682711856</v>
      </c>
      <c r="AL252" s="18"/>
      <c r="AM252" s="18">
        <v>8.7515388507767806</v>
      </c>
      <c r="AN252" s="18">
        <v>2.4745849782214999</v>
      </c>
      <c r="AO252" s="18">
        <v>1.3920812613076601</v>
      </c>
      <c r="AP252" s="18">
        <v>5.0479148109656702</v>
      </c>
      <c r="AQ252" s="18">
        <v>1.47442423595966</v>
      </c>
      <c r="AR252" s="18">
        <v>4.5403700152787501</v>
      </c>
      <c r="AS252" s="18">
        <v>7.9229289750807403</v>
      </c>
      <c r="AT252" s="18">
        <v>2.4045267934025398</v>
      </c>
      <c r="AU252" s="18">
        <v>5.0532985116695004</v>
      </c>
      <c r="AV252" s="18">
        <v>4.0270392802398201</v>
      </c>
      <c r="AW252" s="18">
        <v>5.0434189825670197</v>
      </c>
      <c r="AX252" s="18"/>
      <c r="AY252" s="18">
        <v>1.0426239165729201</v>
      </c>
      <c r="AZ252" s="18">
        <v>1.0712822570374501</v>
      </c>
      <c r="BA252" s="18">
        <v>0.93633712576557104</v>
      </c>
      <c r="BB252" s="18">
        <v>1.0065916979604399</v>
      </c>
      <c r="BC252" s="18">
        <v>0.99964347634369399</v>
      </c>
      <c r="BD252" s="18">
        <v>0.99430005177044301</v>
      </c>
      <c r="BE252" s="18">
        <v>1.00044768097281</v>
      </c>
      <c r="BF252" s="18">
        <v>1.01503291677174</v>
      </c>
      <c r="BG252" s="18">
        <v>1.0107701891016501</v>
      </c>
      <c r="BH252" s="18">
        <v>0.99647398504497897</v>
      </c>
      <c r="BI252" s="18">
        <v>0.997</v>
      </c>
      <c r="BJ252" s="19"/>
      <c r="BK252" s="18">
        <v>45.035076220727888</v>
      </c>
      <c r="BL252" s="18">
        <v>12.123940448407522</v>
      </c>
      <c r="BM252" s="18">
        <v>17.434392942930803</v>
      </c>
      <c r="BN252" s="18">
        <v>2.6180520646298313</v>
      </c>
      <c r="BO252" s="18"/>
      <c r="BP252" s="18">
        <v>0</v>
      </c>
      <c r="BQ252" s="18">
        <v>0</v>
      </c>
      <c r="BR252" s="18">
        <v>1.2290057643446657</v>
      </c>
      <c r="BS252" s="18">
        <v>1.2183644992396667</v>
      </c>
      <c r="BT252" s="19"/>
      <c r="BU252" s="18">
        <v>825.65607057069201</v>
      </c>
      <c r="BV252" s="18">
        <v>130.46304945559518</v>
      </c>
      <c r="BW252" s="18">
        <v>119.23211364656623</v>
      </c>
      <c r="BX252" s="18">
        <v>39.904371748155768</v>
      </c>
      <c r="BY252" s="18">
        <v>77.042883522904177</v>
      </c>
      <c r="BZ252" s="18">
        <v>0</v>
      </c>
      <c r="CA252" s="18">
        <v>0</v>
      </c>
      <c r="CB252" s="19"/>
      <c r="CC252" s="19">
        <v>27.837778428235101</v>
      </c>
      <c r="CD252" s="19">
        <v>12.303237185348801</v>
      </c>
      <c r="CE252" s="19">
        <v>5.1622907609439599</v>
      </c>
      <c r="CF252" s="19">
        <v>10.730218316038799</v>
      </c>
      <c r="CG252" s="19">
        <v>14.5737528479508</v>
      </c>
      <c r="CH252" s="19">
        <v>1.8955426105107602</v>
      </c>
      <c r="CI252" s="19">
        <v>3.0652074318736906</v>
      </c>
      <c r="CJ252" s="19"/>
      <c r="CK252" s="19">
        <v>506.57381589675799</v>
      </c>
      <c r="CL252" s="19">
        <v>83.079595756859902</v>
      </c>
      <c r="CM252" s="19">
        <v>176.08084276698301</v>
      </c>
      <c r="CN252" s="19">
        <v>401.08460541307005</v>
      </c>
      <c r="CO252" s="19">
        <v>0.74037879219842495</v>
      </c>
      <c r="CP252" s="19">
        <v>1.4084838854996899</v>
      </c>
      <c r="CQ252" s="19">
        <v>360.46802979949302</v>
      </c>
      <c r="CR252" s="19">
        <v>324.57235285074529</v>
      </c>
      <c r="CS252" s="19">
        <v>29.615811129471258</v>
      </c>
      <c r="CT252" s="19">
        <v>8.6043448512370073</v>
      </c>
      <c r="CU252" s="19">
        <v>4.2306622446240905</v>
      </c>
      <c r="CV252" s="19">
        <v>12.835007095861091</v>
      </c>
      <c r="CW252" s="19">
        <v>16.492135146862562</v>
      </c>
      <c r="CX252" s="19">
        <v>4.7838672635178074</v>
      </c>
      <c r="CY252" s="19">
        <v>14.652786870665624</v>
      </c>
      <c r="CZ252" s="19">
        <v>25.727149390496599</v>
      </c>
      <c r="DA252" s="19">
        <v>7.9217525227114232</v>
      </c>
      <c r="DB252" s="19">
        <v>16.578258315832393</v>
      </c>
      <c r="DC252" s="19">
        <v>13.024568813069113</v>
      </c>
      <c r="DD252" s="19">
        <v>29.602827128901506</v>
      </c>
      <c r="DE252" s="19">
        <v>16.320435024871383</v>
      </c>
      <c r="DF252" s="23">
        <v>7808.0583929179402</v>
      </c>
      <c r="DG252" s="23">
        <v>0</v>
      </c>
      <c r="DH252" s="23">
        <v>0</v>
      </c>
      <c r="DI252" s="19">
        <v>17.912390133833</v>
      </c>
      <c r="DJ252" s="19">
        <v>1.7912390133832901</v>
      </c>
      <c r="DK252" s="19">
        <v>477.66373690221099</v>
      </c>
      <c r="DL252" s="19">
        <v>7.1649560535331496</v>
      </c>
      <c r="DM252" s="19">
        <v>0</v>
      </c>
      <c r="DN252" s="19">
        <v>7.1649560535331496</v>
      </c>
      <c r="DO252" s="19">
        <v>14.329912107066299</v>
      </c>
      <c r="DP252" s="19">
        <v>10.747434080299801</v>
      </c>
      <c r="DQ252" s="19">
        <v>71.649560535331503</v>
      </c>
      <c r="DR252" s="19">
        <v>71.649560535331503</v>
      </c>
      <c r="DS252" s="19">
        <v>35.824780267665801</v>
      </c>
      <c r="DT252" s="19">
        <v>0</v>
      </c>
      <c r="DU252" s="19">
        <v>0</v>
      </c>
      <c r="DV252" s="19">
        <v>0.71649560535331502</v>
      </c>
      <c r="DW252" s="17" t="s">
        <v>218</v>
      </c>
      <c r="DX252" s="22" t="s">
        <v>218</v>
      </c>
      <c r="DY252" s="22" t="s">
        <v>218</v>
      </c>
      <c r="DZ252" s="22" t="s">
        <v>218</v>
      </c>
      <c r="EA252" s="22" t="s">
        <v>218</v>
      </c>
      <c r="EB252" s="22" t="s">
        <v>218</v>
      </c>
      <c r="EC252" s="22" t="s">
        <v>218</v>
      </c>
      <c r="ED252" s="22" t="s">
        <v>218</v>
      </c>
      <c r="EE252" s="22" t="s">
        <v>218</v>
      </c>
      <c r="EF252" s="22" t="s">
        <v>218</v>
      </c>
      <c r="EG252" s="22" t="s">
        <v>218</v>
      </c>
      <c r="EH252" s="22" t="s">
        <v>218</v>
      </c>
      <c r="EI252" s="22" t="s">
        <v>218</v>
      </c>
      <c r="EJ252" s="22" t="s">
        <v>218</v>
      </c>
      <c r="EK252" s="22" t="s">
        <v>218</v>
      </c>
      <c r="EL252" s="22" t="s">
        <v>218</v>
      </c>
      <c r="EM252" s="22" t="s">
        <v>218</v>
      </c>
      <c r="EN252" s="22" t="s">
        <v>218</v>
      </c>
      <c r="EO252" s="22" t="s">
        <v>218</v>
      </c>
      <c r="EP252" s="22" t="s">
        <v>218</v>
      </c>
      <c r="EQ252" s="22" t="s">
        <v>218</v>
      </c>
      <c r="ER252" s="22" t="s">
        <v>218</v>
      </c>
      <c r="ES252" s="22" t="s">
        <v>218</v>
      </c>
      <c r="ET252" s="22" t="s">
        <v>218</v>
      </c>
      <c r="EU252" s="22" t="s">
        <v>218</v>
      </c>
      <c r="EV252" s="22" t="s">
        <v>218</v>
      </c>
      <c r="EW252" s="22" t="s">
        <v>218</v>
      </c>
      <c r="EX252" s="22" t="s">
        <v>218</v>
      </c>
      <c r="EY252" s="22" t="s">
        <v>218</v>
      </c>
      <c r="EZ252" s="22" t="s">
        <v>218</v>
      </c>
      <c r="FA252" s="22" t="s">
        <v>218</v>
      </c>
      <c r="FB252" s="22" t="s">
        <v>218</v>
      </c>
      <c r="FC252" s="22" t="s">
        <v>218</v>
      </c>
      <c r="FD252" s="22" t="s">
        <v>218</v>
      </c>
      <c r="FE252" s="22" t="s">
        <v>218</v>
      </c>
      <c r="FF252" s="22" t="s">
        <v>218</v>
      </c>
      <c r="FG252" s="22" t="s">
        <v>218</v>
      </c>
      <c r="FH252" s="22" t="s">
        <v>218</v>
      </c>
      <c r="FI252" s="22" t="s">
        <v>218</v>
      </c>
      <c r="FJ252" s="22" t="s">
        <v>218</v>
      </c>
      <c r="FK252" s="22" t="s">
        <v>218</v>
      </c>
      <c r="FL252" s="22" t="s">
        <v>218</v>
      </c>
      <c r="FM252" s="22" t="s">
        <v>218</v>
      </c>
      <c r="FN252" s="22" t="s">
        <v>218</v>
      </c>
      <c r="FO252" s="22" t="s">
        <v>218</v>
      </c>
      <c r="FP252" s="22" t="s">
        <v>218</v>
      </c>
      <c r="FQ252" s="22" t="s">
        <v>218</v>
      </c>
      <c r="FR252" s="22" t="s">
        <v>218</v>
      </c>
      <c r="FS252" s="22" t="s">
        <v>218</v>
      </c>
      <c r="FT252" s="22" t="s">
        <v>218</v>
      </c>
      <c r="FU252" s="22" t="s">
        <v>218</v>
      </c>
      <c r="FV252" s="22" t="s">
        <v>218</v>
      </c>
      <c r="FW252" s="22" t="s">
        <v>218</v>
      </c>
      <c r="FX252" s="22" t="s">
        <v>218</v>
      </c>
      <c r="FY252" s="22" t="s">
        <v>218</v>
      </c>
      <c r="FZ252" s="22" t="s">
        <v>218</v>
      </c>
      <c r="GA252" s="22" t="s">
        <v>218</v>
      </c>
      <c r="GB252" s="22" t="s">
        <v>218</v>
      </c>
      <c r="GC252" s="22" t="s">
        <v>218</v>
      </c>
      <c r="GD252" s="22" t="s">
        <v>218</v>
      </c>
      <c r="GE252" s="22" t="s">
        <v>218</v>
      </c>
      <c r="GF252" s="22" t="s">
        <v>218</v>
      </c>
      <c r="GG252" s="22" t="s">
        <v>218</v>
      </c>
      <c r="GH252" s="22" t="s">
        <v>218</v>
      </c>
      <c r="GI252" s="22" t="s">
        <v>218</v>
      </c>
      <c r="GJ252" s="22" t="s">
        <v>218</v>
      </c>
      <c r="GK252" s="22" t="s">
        <v>218</v>
      </c>
      <c r="GL252" s="22" t="s">
        <v>218</v>
      </c>
      <c r="GM252" s="22" t="s">
        <v>218</v>
      </c>
      <c r="GN252" s="22" t="s">
        <v>218</v>
      </c>
      <c r="GO252" s="22" t="s">
        <v>218</v>
      </c>
      <c r="GP252" s="22" t="s">
        <v>218</v>
      </c>
      <c r="GQ252" s="22" t="s">
        <v>218</v>
      </c>
      <c r="GR252" s="22" t="s">
        <v>218</v>
      </c>
      <c r="GS252" s="22" t="s">
        <v>218</v>
      </c>
      <c r="GT252" s="22" t="s">
        <v>218</v>
      </c>
      <c r="GU252" s="22" t="s">
        <v>218</v>
      </c>
      <c r="GV252" s="22" t="s">
        <v>218</v>
      </c>
      <c r="GW252" s="22" t="s">
        <v>218</v>
      </c>
      <c r="GX252" s="22" t="s">
        <v>218</v>
      </c>
      <c r="GY252" s="22" t="s">
        <v>218</v>
      </c>
      <c r="GZ252" s="22" t="s">
        <v>218</v>
      </c>
      <c r="HA252" s="22" t="s">
        <v>218</v>
      </c>
      <c r="HB252" s="22" t="s">
        <v>218</v>
      </c>
      <c r="HC252" s="22" t="s">
        <v>218</v>
      </c>
      <c r="HD252" s="22" t="s">
        <v>218</v>
      </c>
      <c r="HE252" s="22" t="s">
        <v>218</v>
      </c>
      <c r="HF252" s="22" t="s">
        <v>218</v>
      </c>
      <c r="HG252" s="22" t="s">
        <v>218</v>
      </c>
      <c r="HH252" s="22" t="s">
        <v>218</v>
      </c>
      <c r="HI252" s="22" t="s">
        <v>218</v>
      </c>
      <c r="HJ252" s="22" t="s">
        <v>218</v>
      </c>
      <c r="HK252" s="22" t="s">
        <v>218</v>
      </c>
      <c r="HL252" s="22" t="s">
        <v>218</v>
      </c>
      <c r="HM252" s="622">
        <f>'background data'!$G$10</f>
        <v>0.47300000000000003</v>
      </c>
      <c r="HN252" s="622">
        <f>'background data'!$H$10</f>
        <v>0.13</v>
      </c>
      <c r="HO252" s="622">
        <f>'background data'!$J$10</f>
        <v>0.39100000000000001</v>
      </c>
      <c r="HP252" s="622">
        <f>'background data'!$L$10</f>
        <v>5.5E-2</v>
      </c>
      <c r="HQ252" s="622">
        <f>'background data'!$M$10</f>
        <v>3.97</v>
      </c>
      <c r="HR252" s="622">
        <f>'background data'!$N$10</f>
        <v>4.5999999999999999E-3</v>
      </c>
      <c r="HS252" s="622">
        <f>'background data'!$O$10</f>
        <v>2.73</v>
      </c>
      <c r="HT252" s="145" t="s">
        <v>1797</v>
      </c>
      <c r="HU252" s="145" t="s">
        <v>1809</v>
      </c>
      <c r="HV252" s="22" t="s">
        <v>1926</v>
      </c>
      <c r="HW252" s="22">
        <v>0</v>
      </c>
      <c r="HX252" s="22">
        <v>0</v>
      </c>
      <c r="HY252" s="22">
        <v>0</v>
      </c>
      <c r="HZ252" s="19"/>
      <c r="IA252" s="19"/>
      <c r="IB252" s="622">
        <f>'background data'!$G$10</f>
        <v>0.47300000000000003</v>
      </c>
      <c r="IC252" s="622">
        <f>'background data'!$H$10</f>
        <v>0.13</v>
      </c>
      <c r="ID252" s="622">
        <f>'background data'!$J$10</f>
        <v>0.39100000000000001</v>
      </c>
      <c r="IE252" s="622">
        <f>'background data'!$L$10</f>
        <v>5.5E-2</v>
      </c>
      <c r="IF252" s="622">
        <f>'background data'!$M$10</f>
        <v>3.97</v>
      </c>
      <c r="IG252" s="622">
        <f>'background data'!$N$10</f>
        <v>4.5999999999999999E-3</v>
      </c>
      <c r="IH252" s="622">
        <f>'background data'!$O$10</f>
        <v>2.73</v>
      </c>
      <c r="II252" s="145" t="s">
        <v>1797</v>
      </c>
      <c r="IJ252" s="145"/>
      <c r="IK252" s="145"/>
      <c r="IL252" s="145"/>
      <c r="IM252" s="145"/>
      <c r="IN252" s="145"/>
      <c r="IO252" s="145"/>
      <c r="IP252" s="145"/>
      <c r="IQ252" s="145"/>
      <c r="IR252" s="145"/>
      <c r="IS252" s="145"/>
      <c r="IT252" s="145"/>
      <c r="IU252" s="145"/>
      <c r="IV252" s="145"/>
      <c r="IW252" s="145"/>
      <c r="IX252" s="145"/>
      <c r="IY252" s="145"/>
      <c r="IZ252" s="145"/>
      <c r="JA252" s="145"/>
      <c r="JB252" s="145"/>
      <c r="JC252" s="145"/>
      <c r="JD252" s="145"/>
      <c r="JE252" s="145"/>
      <c r="JF252" s="145"/>
      <c r="JG252" s="145"/>
      <c r="JH252" s="145"/>
      <c r="JI252" s="145"/>
      <c r="JJ252" s="145"/>
      <c r="JK252" s="145"/>
      <c r="JL252" s="145"/>
      <c r="JM252" s="145"/>
      <c r="JN252" s="145"/>
      <c r="JO252" s="145"/>
      <c r="JP252" s="145"/>
      <c r="JQ252" s="145"/>
      <c r="JR252" s="145"/>
      <c r="JS252" s="145"/>
      <c r="JT252" s="145"/>
      <c r="JU252" s="145"/>
      <c r="JV252" s="145"/>
      <c r="JW252" s="145"/>
      <c r="JX252" s="145"/>
      <c r="JY252" s="145"/>
      <c r="JZ252" s="145"/>
      <c r="KA252" s="145"/>
      <c r="KB252" s="145"/>
      <c r="KC252" s="145"/>
      <c r="KD252" s="145"/>
      <c r="KE252" s="145"/>
      <c r="KF252" s="145"/>
      <c r="KG252" s="145"/>
      <c r="KH252" s="145"/>
      <c r="KI252" s="145"/>
      <c r="KJ252" s="145"/>
      <c r="KK252" s="145"/>
      <c r="KL252" s="145"/>
      <c r="KM252" s="145"/>
      <c r="KN252" s="145"/>
      <c r="KO252" s="145"/>
      <c r="KP252" s="145"/>
      <c r="KQ252" s="145"/>
      <c r="KR252" s="145"/>
      <c r="KS252" s="145"/>
      <c r="KT252" s="145"/>
      <c r="KU252" s="145"/>
      <c r="KV252" s="145"/>
      <c r="KW252" s="145"/>
      <c r="KX252" s="145"/>
      <c r="KY252" s="145"/>
      <c r="KZ252" s="145"/>
      <c r="LA252" s="145"/>
      <c r="LB252" s="145"/>
      <c r="LC252" s="145"/>
      <c r="LD252" s="145"/>
      <c r="LE252" s="145"/>
      <c r="LF252" s="145"/>
      <c r="LG252" s="145"/>
      <c r="LH252" s="145"/>
      <c r="LI252" s="145"/>
      <c r="LJ252" s="145"/>
      <c r="LK252" s="145"/>
      <c r="LL252" s="145"/>
      <c r="LM252" s="145"/>
      <c r="LN252" s="145"/>
      <c r="LO252" s="145"/>
      <c r="LP252" s="145"/>
      <c r="LQ252" s="145"/>
      <c r="LR252" s="145"/>
      <c r="LS252" s="145"/>
      <c r="LT252" s="145"/>
      <c r="LU252" s="145"/>
      <c r="LV252" s="145"/>
      <c r="LW252" s="145"/>
      <c r="LX252" s="145"/>
      <c r="LY252" s="145"/>
      <c r="LZ252" s="145"/>
      <c r="MA252" s="145"/>
      <c r="MB252" s="145"/>
      <c r="MC252" s="145"/>
      <c r="MD252" s="145"/>
      <c r="ME252" s="145"/>
      <c r="MF252" s="145"/>
      <c r="MG252" s="145"/>
      <c r="MH252" s="145"/>
      <c r="MI252" s="145"/>
      <c r="MJ252" s="145"/>
      <c r="MK252" s="145"/>
      <c r="ML252" s="145"/>
      <c r="MM252" s="145"/>
      <c r="MN252" s="145"/>
      <c r="MO252" s="145"/>
      <c r="MP252" s="145"/>
      <c r="MQ252" s="145"/>
      <c r="MR252" s="145"/>
      <c r="MS252" s="145"/>
      <c r="MT252" s="145"/>
      <c r="MU252" s="145"/>
      <c r="MV252" s="145"/>
      <c r="MW252" s="145"/>
      <c r="MX252" s="145"/>
      <c r="MY252" s="145"/>
      <c r="MZ252" s="145"/>
      <c r="NA252" s="145"/>
      <c r="NB252" s="145"/>
      <c r="NC252" s="145"/>
      <c r="ND252" s="145"/>
      <c r="NE252" s="145"/>
      <c r="NF252" s="145"/>
      <c r="NG252" s="145"/>
      <c r="NH252" s="145"/>
      <c r="NI252" s="145"/>
      <c r="NJ252" s="145"/>
      <c r="NK252" s="145"/>
      <c r="NL252" s="145"/>
      <c r="NM252" s="145"/>
      <c r="NN252" s="145"/>
      <c r="NO252" s="145"/>
      <c r="NP252" s="145"/>
      <c r="NQ252" s="145"/>
      <c r="NR252" s="145"/>
      <c r="NS252" s="145"/>
    </row>
    <row r="253" spans="1:383" s="16" customFormat="1" ht="15" customHeight="1" x14ac:dyDescent="0.2">
      <c r="A253" s="15">
        <v>24003</v>
      </c>
      <c r="B253" s="25">
        <v>240</v>
      </c>
      <c r="C253" s="26">
        <v>3</v>
      </c>
      <c r="D253" s="20" t="s">
        <v>702</v>
      </c>
      <c r="E253" s="14">
        <v>41697</v>
      </c>
      <c r="F253" s="18">
        <v>1.1105973312907</v>
      </c>
      <c r="G253" s="18">
        <v>1.1010538257301901</v>
      </c>
      <c r="H253" s="21">
        <v>94.119172745605695</v>
      </c>
      <c r="I253" s="21">
        <v>84.000087778522897</v>
      </c>
      <c r="J253" s="21">
        <v>94.782948158940997</v>
      </c>
      <c r="K253" s="18">
        <v>0.98188756608556005</v>
      </c>
      <c r="L253" s="18">
        <v>90.348788430019198</v>
      </c>
      <c r="M253" s="18">
        <v>40.771986470503101</v>
      </c>
      <c r="N253" s="18">
        <v>10.91602597786</v>
      </c>
      <c r="O253" s="18">
        <v>15.6566138569338</v>
      </c>
      <c r="P253" s="18">
        <v>2.3707765616751399</v>
      </c>
      <c r="Q253" s="19"/>
      <c r="R253" s="18">
        <v>88.576054670975594</v>
      </c>
      <c r="S253" s="18">
        <v>57.479002517800502</v>
      </c>
      <c r="T253" s="18">
        <v>61.555774147916601</v>
      </c>
      <c r="U253" s="18">
        <v>63.2544289937983</v>
      </c>
      <c r="V253" s="18">
        <v>64.613352870503704</v>
      </c>
      <c r="W253" s="18">
        <v>65.632545778032707</v>
      </c>
      <c r="X253" s="18"/>
      <c r="Y253" s="18">
        <v>30.876447842029652</v>
      </c>
      <c r="Z253" s="18">
        <v>13.047985677128681</v>
      </c>
      <c r="AA253" s="18">
        <v>5.7257486449615813</v>
      </c>
      <c r="AB253" s="18">
        <v>11.902422658176551</v>
      </c>
      <c r="AC253" s="18">
        <v>16.16300245773478</v>
      </c>
      <c r="AD253" s="18">
        <v>2.1024315309970185</v>
      </c>
      <c r="AE253" s="18">
        <v>3.3986473405805109</v>
      </c>
      <c r="AF253" s="18">
        <v>561.86028385447514</v>
      </c>
      <c r="AG253" s="18">
        <v>92.149173653055826</v>
      </c>
      <c r="AH253" s="18">
        <v>195.30549984783178</v>
      </c>
      <c r="AI253" s="18">
        <v>444.87461064316739</v>
      </c>
      <c r="AJ253" s="18">
        <v>0.82121909904084511</v>
      </c>
      <c r="AK253" s="18">
        <v>1.5622695937667594</v>
      </c>
      <c r="AL253" s="18"/>
      <c r="AM253" s="18">
        <v>8.7525390244062304</v>
      </c>
      <c r="AN253" s="18">
        <v>2.4745626878490099</v>
      </c>
      <c r="AO253" s="18">
        <v>1.39202724053751</v>
      </c>
      <c r="AP253" s="18">
        <v>5.04796003548807</v>
      </c>
      <c r="AQ253" s="18">
        <v>1.4741741622807201</v>
      </c>
      <c r="AR253" s="18">
        <v>4.5400246503055302</v>
      </c>
      <c r="AS253" s="18">
        <v>7.9222914534464799</v>
      </c>
      <c r="AT253" s="18">
        <v>2.4045846346998001</v>
      </c>
      <c r="AU253" s="18">
        <v>5.0529705779954499</v>
      </c>
      <c r="AV253" s="18">
        <v>4.0265543208524797</v>
      </c>
      <c r="AW253" s="18">
        <v>5.0428664732153701</v>
      </c>
      <c r="AX253" s="18"/>
      <c r="AY253" s="18">
        <v>1.04263884335452</v>
      </c>
      <c r="AZ253" s="18">
        <v>1.07129028091972</v>
      </c>
      <c r="BA253" s="18">
        <v>0.936374545611106</v>
      </c>
      <c r="BB253" s="18">
        <v>1.00660409684872</v>
      </c>
      <c r="BC253" s="18">
        <v>0.99966069126268697</v>
      </c>
      <c r="BD253" s="18">
        <v>0.99430428938128601</v>
      </c>
      <c r="BE253" s="18">
        <v>1.00044642774276</v>
      </c>
      <c r="BF253" s="18">
        <v>1.0150366686291701</v>
      </c>
      <c r="BG253" s="18">
        <v>1.01076837395273</v>
      </c>
      <c r="BH253" s="18">
        <v>0.99648406351131302</v>
      </c>
      <c r="BI253" s="18">
        <v>0.997</v>
      </c>
      <c r="BJ253" s="19"/>
      <c r="BK253" s="18">
        <v>45.127319556790255</v>
      </c>
      <c r="BL253" s="18">
        <v>12.082094478018536</v>
      </c>
      <c r="BM253" s="18">
        <v>17.329080034162086</v>
      </c>
      <c r="BN253" s="18">
        <v>2.6240269547293984</v>
      </c>
      <c r="BO253" s="18"/>
      <c r="BP253" s="18">
        <v>0</v>
      </c>
      <c r="BQ253" s="18">
        <v>0</v>
      </c>
      <c r="BR253" s="18">
        <v>1.2292332311140257</v>
      </c>
      <c r="BS253" s="18">
        <v>1.2186702720236535</v>
      </c>
      <c r="BT253" s="19"/>
      <c r="BU253" s="18">
        <v>826.70919965837925</v>
      </c>
      <c r="BV253" s="18">
        <v>130.72921197796953</v>
      </c>
      <c r="BW253" s="18">
        <v>119.5077233487447</v>
      </c>
      <c r="BX253" s="18">
        <v>39.99694842466026</v>
      </c>
      <c r="BY253" s="18">
        <v>77.200575307677511</v>
      </c>
      <c r="BZ253" s="18">
        <v>0</v>
      </c>
      <c r="CA253" s="18">
        <v>0</v>
      </c>
      <c r="CB253" s="19"/>
      <c r="CC253" s="19">
        <v>27.896496535500599</v>
      </c>
      <c r="CD253" s="19">
        <v>11.7886969738082</v>
      </c>
      <c r="CE253" s="19">
        <v>5.1731445292710303</v>
      </c>
      <c r="CF253" s="19">
        <v>10.7536946654826</v>
      </c>
      <c r="CG253" s="19">
        <v>14.603076894477601</v>
      </c>
      <c r="CH253" s="19">
        <v>1.8995214158265099</v>
      </c>
      <c r="CI253" s="19">
        <v>3.07063669522356</v>
      </c>
      <c r="CJ253" s="19"/>
      <c r="CK253" s="19">
        <v>507.63395913198508</v>
      </c>
      <c r="CL253" s="19">
        <v>83.255661943810409</v>
      </c>
      <c r="CM253" s="19">
        <v>176.45615284970901</v>
      </c>
      <c r="CN253" s="19">
        <v>401.93882074886699</v>
      </c>
      <c r="CO253" s="19">
        <v>0.74196150633932301</v>
      </c>
      <c r="CP253" s="19">
        <v>1.4114916499788499</v>
      </c>
      <c r="CQ253" s="19">
        <v>361.14217026555502</v>
      </c>
      <c r="CR253" s="19">
        <v>325.17831629025017</v>
      </c>
      <c r="CS253" s="19">
        <v>29.674918461642424</v>
      </c>
      <c r="CT253" s="19">
        <v>8.6203957305113139</v>
      </c>
      <c r="CU253" s="19">
        <v>4.2385656227294666</v>
      </c>
      <c r="CV253" s="19">
        <v>12.858961353240817</v>
      </c>
      <c r="CW253" s="19">
        <v>16.523276851222491</v>
      </c>
      <c r="CX253" s="19">
        <v>4.7920681775878187</v>
      </c>
      <c r="CY253" s="19">
        <v>14.679088940328445</v>
      </c>
      <c r="CZ253" s="19">
        <v>25.773074641236526</v>
      </c>
      <c r="DA253" s="19">
        <v>7.9367623652231458</v>
      </c>
      <c r="DB253" s="19">
        <v>16.608101573577819</v>
      </c>
      <c r="DC253" s="19">
        <v>13.047445695532206</v>
      </c>
      <c r="DD253" s="19">
        <v>29.655547269110023</v>
      </c>
      <c r="DE253" s="19">
        <v>16.349113365496205</v>
      </c>
      <c r="DF253" s="23">
        <v>7823.9571151107202</v>
      </c>
      <c r="DG253" s="23">
        <v>0</v>
      </c>
      <c r="DH253" s="23">
        <v>0</v>
      </c>
      <c r="DI253" s="19">
        <v>17.9506816049836</v>
      </c>
      <c r="DJ253" s="19">
        <v>1.79506816049836</v>
      </c>
      <c r="DK253" s="19">
        <v>478.68484279956402</v>
      </c>
      <c r="DL253" s="19">
        <v>7.1802726419934597</v>
      </c>
      <c r="DM253" s="19">
        <v>0</v>
      </c>
      <c r="DN253" s="19">
        <v>7.1802726419934597</v>
      </c>
      <c r="DO253" s="19">
        <v>14.3605452839869</v>
      </c>
      <c r="DP253" s="19">
        <v>10.770408962990199</v>
      </c>
      <c r="DQ253" s="19">
        <v>71.802726419934601</v>
      </c>
      <c r="DR253" s="19">
        <v>71.802726419934601</v>
      </c>
      <c r="DS253" s="19">
        <v>35.9013632099673</v>
      </c>
      <c r="DT253" s="19">
        <v>0</v>
      </c>
      <c r="DU253" s="19">
        <v>0</v>
      </c>
      <c r="DV253" s="19">
        <v>0.71802726419934604</v>
      </c>
      <c r="DW253" s="17" t="s">
        <v>218</v>
      </c>
      <c r="DX253" s="22" t="s">
        <v>218</v>
      </c>
      <c r="DY253" s="22" t="s">
        <v>218</v>
      </c>
      <c r="DZ253" s="22" t="s">
        <v>218</v>
      </c>
      <c r="EA253" s="22" t="s">
        <v>218</v>
      </c>
      <c r="EB253" s="22" t="s">
        <v>218</v>
      </c>
      <c r="EC253" s="22" t="s">
        <v>218</v>
      </c>
      <c r="ED253" s="22" t="s">
        <v>218</v>
      </c>
      <c r="EE253" s="22" t="s">
        <v>218</v>
      </c>
      <c r="EF253" s="22" t="s">
        <v>218</v>
      </c>
      <c r="EG253" s="22" t="s">
        <v>218</v>
      </c>
      <c r="EH253" s="22" t="s">
        <v>218</v>
      </c>
      <c r="EI253" s="22" t="s">
        <v>218</v>
      </c>
      <c r="EJ253" s="22" t="s">
        <v>218</v>
      </c>
      <c r="EK253" s="22" t="s">
        <v>218</v>
      </c>
      <c r="EL253" s="22" t="s">
        <v>218</v>
      </c>
      <c r="EM253" s="22" t="s">
        <v>218</v>
      </c>
      <c r="EN253" s="22" t="s">
        <v>218</v>
      </c>
      <c r="EO253" s="22" t="s">
        <v>218</v>
      </c>
      <c r="EP253" s="22" t="s">
        <v>218</v>
      </c>
      <c r="EQ253" s="22" t="s">
        <v>218</v>
      </c>
      <c r="ER253" s="22" t="s">
        <v>218</v>
      </c>
      <c r="ES253" s="22" t="s">
        <v>218</v>
      </c>
      <c r="ET253" s="22" t="s">
        <v>218</v>
      </c>
      <c r="EU253" s="22" t="s">
        <v>218</v>
      </c>
      <c r="EV253" s="22" t="s">
        <v>218</v>
      </c>
      <c r="EW253" s="22" t="s">
        <v>218</v>
      </c>
      <c r="EX253" s="22" t="s">
        <v>218</v>
      </c>
      <c r="EY253" s="22" t="s">
        <v>218</v>
      </c>
      <c r="EZ253" s="22" t="s">
        <v>218</v>
      </c>
      <c r="FA253" s="22" t="s">
        <v>218</v>
      </c>
      <c r="FB253" s="22" t="s">
        <v>218</v>
      </c>
      <c r="FC253" s="22" t="s">
        <v>218</v>
      </c>
      <c r="FD253" s="22" t="s">
        <v>218</v>
      </c>
      <c r="FE253" s="22" t="s">
        <v>218</v>
      </c>
      <c r="FF253" s="22" t="s">
        <v>218</v>
      </c>
      <c r="FG253" s="22" t="s">
        <v>218</v>
      </c>
      <c r="FH253" s="22" t="s">
        <v>218</v>
      </c>
      <c r="FI253" s="22" t="s">
        <v>218</v>
      </c>
      <c r="FJ253" s="22" t="s">
        <v>218</v>
      </c>
      <c r="FK253" s="22" t="s">
        <v>218</v>
      </c>
      <c r="FL253" s="22" t="s">
        <v>218</v>
      </c>
      <c r="FM253" s="22" t="s">
        <v>218</v>
      </c>
      <c r="FN253" s="22" t="s">
        <v>218</v>
      </c>
      <c r="FO253" s="22" t="s">
        <v>218</v>
      </c>
      <c r="FP253" s="22" t="s">
        <v>218</v>
      </c>
      <c r="FQ253" s="22" t="s">
        <v>218</v>
      </c>
      <c r="FR253" s="22" t="s">
        <v>218</v>
      </c>
      <c r="FS253" s="22" t="s">
        <v>218</v>
      </c>
      <c r="FT253" s="22" t="s">
        <v>218</v>
      </c>
      <c r="FU253" s="22" t="s">
        <v>218</v>
      </c>
      <c r="FV253" s="22" t="s">
        <v>218</v>
      </c>
      <c r="FW253" s="22" t="s">
        <v>218</v>
      </c>
      <c r="FX253" s="22" t="s">
        <v>218</v>
      </c>
      <c r="FY253" s="22" t="s">
        <v>218</v>
      </c>
      <c r="FZ253" s="22" t="s">
        <v>218</v>
      </c>
      <c r="GA253" s="22" t="s">
        <v>218</v>
      </c>
      <c r="GB253" s="22" t="s">
        <v>218</v>
      </c>
      <c r="GC253" s="22" t="s">
        <v>218</v>
      </c>
      <c r="GD253" s="22" t="s">
        <v>218</v>
      </c>
      <c r="GE253" s="22" t="s">
        <v>218</v>
      </c>
      <c r="GF253" s="22" t="s">
        <v>218</v>
      </c>
      <c r="GG253" s="22" t="s">
        <v>218</v>
      </c>
      <c r="GH253" s="22" t="s">
        <v>218</v>
      </c>
      <c r="GI253" s="22" t="s">
        <v>218</v>
      </c>
      <c r="GJ253" s="22" t="s">
        <v>218</v>
      </c>
      <c r="GK253" s="22" t="s">
        <v>218</v>
      </c>
      <c r="GL253" s="22" t="s">
        <v>218</v>
      </c>
      <c r="GM253" s="22" t="s">
        <v>218</v>
      </c>
      <c r="GN253" s="22" t="s">
        <v>218</v>
      </c>
      <c r="GO253" s="22" t="s">
        <v>218</v>
      </c>
      <c r="GP253" s="22" t="s">
        <v>218</v>
      </c>
      <c r="GQ253" s="22" t="s">
        <v>218</v>
      </c>
      <c r="GR253" s="22" t="s">
        <v>218</v>
      </c>
      <c r="GS253" s="22" t="s">
        <v>218</v>
      </c>
      <c r="GT253" s="22" t="s">
        <v>218</v>
      </c>
      <c r="GU253" s="22" t="s">
        <v>218</v>
      </c>
      <c r="GV253" s="22" t="s">
        <v>218</v>
      </c>
      <c r="GW253" s="22" t="s">
        <v>218</v>
      </c>
      <c r="GX253" s="22" t="s">
        <v>218</v>
      </c>
      <c r="GY253" s="22" t="s">
        <v>218</v>
      </c>
      <c r="GZ253" s="22" t="s">
        <v>218</v>
      </c>
      <c r="HA253" s="22" t="s">
        <v>218</v>
      </c>
      <c r="HB253" s="22" t="s">
        <v>218</v>
      </c>
      <c r="HC253" s="22" t="s">
        <v>218</v>
      </c>
      <c r="HD253" s="22" t="s">
        <v>218</v>
      </c>
      <c r="HE253" s="22" t="s">
        <v>218</v>
      </c>
      <c r="HF253" s="22" t="s">
        <v>218</v>
      </c>
      <c r="HG253" s="22" t="s">
        <v>218</v>
      </c>
      <c r="HH253" s="22" t="s">
        <v>218</v>
      </c>
      <c r="HI253" s="22" t="s">
        <v>218</v>
      </c>
      <c r="HJ253" s="22" t="s">
        <v>218</v>
      </c>
      <c r="HK253" s="22" t="s">
        <v>218</v>
      </c>
      <c r="HL253" s="22" t="s">
        <v>218</v>
      </c>
      <c r="HM253" s="622">
        <f>'background data'!$G$10</f>
        <v>0.47300000000000003</v>
      </c>
      <c r="HN253" s="622">
        <f>'background data'!$H$10</f>
        <v>0.13</v>
      </c>
      <c r="HO253" s="622">
        <f>'background data'!$J$10</f>
        <v>0.39100000000000001</v>
      </c>
      <c r="HP253" s="622">
        <f>'background data'!$L$10</f>
        <v>5.5E-2</v>
      </c>
      <c r="HQ253" s="622">
        <f>'background data'!$M$10</f>
        <v>3.97</v>
      </c>
      <c r="HR253" s="622">
        <f>'background data'!$N$10</f>
        <v>4.5999999999999999E-3</v>
      </c>
      <c r="HS253" s="622">
        <f>'background data'!$O$10</f>
        <v>2.73</v>
      </c>
      <c r="HT253" s="145" t="s">
        <v>1797</v>
      </c>
      <c r="HU253" s="145" t="s">
        <v>1809</v>
      </c>
      <c r="HV253" s="22" t="s">
        <v>1926</v>
      </c>
      <c r="HW253" s="22">
        <v>0</v>
      </c>
      <c r="HX253" s="22">
        <v>0</v>
      </c>
      <c r="HY253" s="22">
        <v>0</v>
      </c>
      <c r="HZ253" s="19"/>
      <c r="IA253" s="19"/>
      <c r="IB253" s="622">
        <f>'background data'!$G$10</f>
        <v>0.47300000000000003</v>
      </c>
      <c r="IC253" s="622">
        <f>'background data'!$H$10</f>
        <v>0.13</v>
      </c>
      <c r="ID253" s="622">
        <f>'background data'!$J$10</f>
        <v>0.39100000000000001</v>
      </c>
      <c r="IE253" s="622">
        <f>'background data'!$L$10</f>
        <v>5.5E-2</v>
      </c>
      <c r="IF253" s="622">
        <f>'background data'!$M$10</f>
        <v>3.97</v>
      </c>
      <c r="IG253" s="622">
        <f>'background data'!$N$10</f>
        <v>4.5999999999999999E-3</v>
      </c>
      <c r="IH253" s="622">
        <f>'background data'!$O$10</f>
        <v>2.73</v>
      </c>
      <c r="II253" s="145" t="s">
        <v>1797</v>
      </c>
      <c r="IJ253" s="145"/>
      <c r="IK253" s="145"/>
      <c r="IL253" s="145"/>
      <c r="IM253" s="145"/>
      <c r="IN253" s="145"/>
      <c r="IO253" s="145"/>
      <c r="IP253" s="145"/>
      <c r="IQ253" s="145"/>
      <c r="IR253" s="145"/>
      <c r="IS253" s="145"/>
      <c r="IT253" s="145"/>
      <c r="IU253" s="145"/>
      <c r="IV253" s="145"/>
      <c r="IW253" s="145"/>
      <c r="IX253" s="145"/>
      <c r="IY253" s="145"/>
      <c r="IZ253" s="145"/>
      <c r="JA253" s="145"/>
      <c r="JB253" s="145"/>
      <c r="JC253" s="145"/>
      <c r="JD253" s="145"/>
      <c r="JE253" s="145"/>
      <c r="JF253" s="145"/>
      <c r="JG253" s="145"/>
      <c r="JH253" s="145"/>
      <c r="JI253" s="145"/>
      <c r="JJ253" s="145"/>
      <c r="JK253" s="145"/>
      <c r="JL253" s="145"/>
      <c r="JM253" s="145"/>
      <c r="JN253" s="145"/>
      <c r="JO253" s="145"/>
      <c r="JP253" s="145"/>
      <c r="JQ253" s="145"/>
      <c r="JR253" s="145"/>
      <c r="JS253" s="145"/>
      <c r="JT253" s="145"/>
      <c r="JU253" s="145"/>
      <c r="JV253" s="145"/>
      <c r="JW253" s="145"/>
      <c r="JX253" s="145"/>
      <c r="JY253" s="145"/>
      <c r="JZ253" s="145"/>
      <c r="KA253" s="145"/>
      <c r="KB253" s="145"/>
      <c r="KC253" s="145"/>
      <c r="KD253" s="145"/>
      <c r="KE253" s="145"/>
      <c r="KF253" s="145"/>
      <c r="KG253" s="145"/>
      <c r="KH253" s="145"/>
      <c r="KI253" s="145"/>
      <c r="KJ253" s="145"/>
      <c r="KK253" s="145"/>
      <c r="KL253" s="145"/>
      <c r="KM253" s="145"/>
      <c r="KN253" s="145"/>
      <c r="KO253" s="145"/>
      <c r="KP253" s="145"/>
      <c r="KQ253" s="145"/>
      <c r="KR253" s="145"/>
      <c r="KS253" s="145"/>
      <c r="KT253" s="145"/>
      <c r="KU253" s="145"/>
      <c r="KV253" s="145"/>
      <c r="KW253" s="145"/>
      <c r="KX253" s="145"/>
      <c r="KY253" s="145"/>
      <c r="KZ253" s="145"/>
      <c r="LA253" s="145"/>
      <c r="LB253" s="145"/>
      <c r="LC253" s="145"/>
      <c r="LD253" s="145"/>
      <c r="LE253" s="145"/>
      <c r="LF253" s="145"/>
      <c r="LG253" s="145"/>
      <c r="LH253" s="145"/>
      <c r="LI253" s="145"/>
      <c r="LJ253" s="145"/>
      <c r="LK253" s="145"/>
      <c r="LL253" s="145"/>
      <c r="LM253" s="145"/>
      <c r="LN253" s="145"/>
      <c r="LO253" s="145"/>
      <c r="LP253" s="145"/>
      <c r="LQ253" s="145"/>
      <c r="LR253" s="145"/>
      <c r="LS253" s="145"/>
      <c r="LT253" s="145"/>
      <c r="LU253" s="145"/>
      <c r="LV253" s="145"/>
      <c r="LW253" s="145"/>
      <c r="LX253" s="145"/>
      <c r="LY253" s="145"/>
      <c r="LZ253" s="145"/>
      <c r="MA253" s="145"/>
      <c r="MB253" s="145"/>
      <c r="MC253" s="145"/>
      <c r="MD253" s="145"/>
      <c r="ME253" s="145"/>
      <c r="MF253" s="145"/>
      <c r="MG253" s="145"/>
      <c r="MH253" s="145"/>
      <c r="MI253" s="145"/>
      <c r="MJ253" s="145"/>
      <c r="MK253" s="145"/>
      <c r="ML253" s="145"/>
      <c r="MM253" s="145"/>
      <c r="MN253" s="145"/>
      <c r="MO253" s="145"/>
      <c r="MP253" s="145"/>
      <c r="MQ253" s="145"/>
      <c r="MR253" s="145"/>
      <c r="MS253" s="145"/>
      <c r="MT253" s="145"/>
      <c r="MU253" s="145"/>
      <c r="MV253" s="145"/>
      <c r="MW253" s="145"/>
      <c r="MX253" s="145"/>
      <c r="MY253" s="145"/>
      <c r="MZ253" s="145"/>
      <c r="NA253" s="145"/>
      <c r="NB253" s="145"/>
      <c r="NC253" s="145"/>
      <c r="ND253" s="145"/>
      <c r="NE253" s="145"/>
      <c r="NF253" s="145"/>
      <c r="NG253" s="145"/>
      <c r="NH253" s="145"/>
      <c r="NI253" s="145"/>
      <c r="NJ253" s="145"/>
      <c r="NK253" s="145"/>
      <c r="NL253" s="145"/>
      <c r="NM253" s="145"/>
      <c r="NN253" s="145"/>
      <c r="NO253" s="145"/>
      <c r="NP253" s="145"/>
      <c r="NQ253" s="145"/>
      <c r="NR253" s="145"/>
      <c r="NS253" s="145"/>
    </row>
    <row r="254" spans="1:383" s="16" customFormat="1" ht="15" customHeight="1" x14ac:dyDescent="0.2">
      <c r="A254" s="15">
        <v>32102</v>
      </c>
      <c r="B254" s="25">
        <v>321</v>
      </c>
      <c r="C254" s="26">
        <v>2</v>
      </c>
      <c r="D254" s="20" t="s">
        <v>703</v>
      </c>
      <c r="E254" s="14">
        <v>41697</v>
      </c>
      <c r="F254" s="18">
        <v>0.80671309672143399</v>
      </c>
      <c r="G254" s="18">
        <v>0.82157156819861199</v>
      </c>
      <c r="H254" s="21">
        <v>92.562306916225296</v>
      </c>
      <c r="I254" s="21">
        <v>78.413810600755696</v>
      </c>
      <c r="J254" s="21">
        <v>96.011672422398902</v>
      </c>
      <c r="K254" s="18">
        <v>1</v>
      </c>
      <c r="L254" s="18">
        <v>89.710453134867606</v>
      </c>
      <c r="M254" s="18">
        <v>40.6671769407941</v>
      </c>
      <c r="N254" s="18">
        <v>1.83386611500548</v>
      </c>
      <c r="O254" s="18">
        <v>18.710887327282801</v>
      </c>
      <c r="P254" s="18">
        <v>4.0683682051004704</v>
      </c>
      <c r="Q254" s="19"/>
      <c r="R254" s="18">
        <v>88.352329834407598</v>
      </c>
      <c r="S254" s="18">
        <v>51.731214935338599</v>
      </c>
      <c r="T254" s="18">
        <v>57.517736815059997</v>
      </c>
      <c r="U254" s="18">
        <v>59.918514919913001</v>
      </c>
      <c r="V254" s="18">
        <v>61.888446259943699</v>
      </c>
      <c r="W254" s="18">
        <v>63.304258694781403</v>
      </c>
      <c r="X254" s="18"/>
      <c r="Y254" s="18">
        <v>37.371171767752301</v>
      </c>
      <c r="Z254" s="18">
        <v>12.635499345947686</v>
      </c>
      <c r="AA254" s="18">
        <v>8.593814849425538</v>
      </c>
      <c r="AB254" s="18">
        <v>17.142625077022352</v>
      </c>
      <c r="AC254" s="18">
        <v>19.395742846965589</v>
      </c>
      <c r="AD254" s="18">
        <v>2.9736432899283525</v>
      </c>
      <c r="AE254" s="18">
        <v>3.2192301495528524</v>
      </c>
      <c r="AF254" s="18">
        <v>353.01852771742705</v>
      </c>
      <c r="AG254" s="18">
        <v>133.34476240565425</v>
      </c>
      <c r="AH254" s="18">
        <v>280.85717691237124</v>
      </c>
      <c r="AI254" s="18">
        <v>647.39338785250709</v>
      </c>
      <c r="AJ254" s="18">
        <v>1.2019665229752619</v>
      </c>
      <c r="AK254" s="18">
        <v>1.3641836324659049</v>
      </c>
      <c r="AL254" s="18"/>
      <c r="AM254" s="18">
        <v>8.6594406335387006</v>
      </c>
      <c r="AN254" s="18">
        <v>2.0884989109395802</v>
      </c>
      <c r="AO254" s="18">
        <v>1.3717216458564301</v>
      </c>
      <c r="AP254" s="18">
        <v>5.1433326633921004</v>
      </c>
      <c r="AQ254" s="18">
        <v>1.2686521821544501</v>
      </c>
      <c r="AR254" s="18">
        <v>4.1907759073473798</v>
      </c>
      <c r="AS254" s="18">
        <v>7.2156766483472801</v>
      </c>
      <c r="AT254" s="18">
        <v>2.48053465627597</v>
      </c>
      <c r="AU254" s="18">
        <v>4.7118109964660402</v>
      </c>
      <c r="AV254" s="18">
        <v>3.4599014330742399</v>
      </c>
      <c r="AW254" s="18">
        <v>4.5051519782987004</v>
      </c>
      <c r="AX254" s="18"/>
      <c r="AY254" s="18">
        <v>1.05345059272776</v>
      </c>
      <c r="AZ254" s="18">
        <v>1.0746136946315701</v>
      </c>
      <c r="BA254" s="18">
        <v>0.98387453865297403</v>
      </c>
      <c r="BB254" s="18">
        <v>1.0245535427316499</v>
      </c>
      <c r="BC254" s="18">
        <v>1.0314072121736599</v>
      </c>
      <c r="BD254" s="18">
        <v>1.0018993473254301</v>
      </c>
      <c r="BE254" s="18">
        <v>1.0023374799413101</v>
      </c>
      <c r="BF254" s="18">
        <v>1.0218082421908801</v>
      </c>
      <c r="BG254" s="18">
        <v>1.01251252652983</v>
      </c>
      <c r="BH254" s="18">
        <v>1.01246151186419</v>
      </c>
      <c r="BI254" s="18">
        <v>1.0006999999999999</v>
      </c>
      <c r="BJ254" s="19"/>
      <c r="BK254" s="18">
        <v>45.331592383840118</v>
      </c>
      <c r="BL254" s="18">
        <v>2.0442056091819185</v>
      </c>
      <c r="BM254" s="18">
        <v>20.856975607015936</v>
      </c>
      <c r="BN254" s="18">
        <v>4.534999058564809</v>
      </c>
      <c r="BO254" s="18"/>
      <c r="BP254" s="18">
        <v>0</v>
      </c>
      <c r="BQ254" s="18">
        <v>0</v>
      </c>
      <c r="BR254" s="18">
        <v>0.89924091176827448</v>
      </c>
      <c r="BS254" s="18">
        <v>0.91580360982402975</v>
      </c>
      <c r="BT254" s="19"/>
      <c r="BU254" s="18">
        <v>791.43024392984057</v>
      </c>
      <c r="BV254" s="18">
        <v>140.25483645226677</v>
      </c>
      <c r="BW254" s="18">
        <v>159.96496985989364</v>
      </c>
      <c r="BX254" s="18">
        <v>51.695117277573253</v>
      </c>
      <c r="BY254" s="18">
        <v>86.744608195770709</v>
      </c>
      <c r="BZ254" s="18">
        <v>4.0065082542618509</v>
      </c>
      <c r="CA254" s="18">
        <v>24.903198364725625</v>
      </c>
      <c r="CB254" s="19"/>
      <c r="CC254" s="19">
        <v>33.525847534660301</v>
      </c>
      <c r="CD254" s="19">
        <v>11.335363719102901</v>
      </c>
      <c r="CE254" s="19">
        <v>7.7095502429911908</v>
      </c>
      <c r="CF254" s="19">
        <v>15.378726635808199</v>
      </c>
      <c r="CG254" s="19">
        <v>17.4000087968865</v>
      </c>
      <c r="CH254" s="19">
        <v>2.6676688700093099</v>
      </c>
      <c r="CI254" s="19">
        <v>2.8879859546181401</v>
      </c>
      <c r="CJ254" s="19"/>
      <c r="CK254" s="19">
        <v>316.69452086534199</v>
      </c>
      <c r="CL254" s="19">
        <v>119.62419058572502</v>
      </c>
      <c r="CM254" s="19">
        <v>251.95824606988501</v>
      </c>
      <c r="CN254" s="19">
        <v>580.77954180765505</v>
      </c>
      <c r="CO254" s="19">
        <v>1.0782896142905201</v>
      </c>
      <c r="CP254" s="19">
        <v>1.2238153182768601</v>
      </c>
      <c r="CQ254" s="19">
        <v>359.30398305072498</v>
      </c>
      <c r="CR254" s="19">
        <v>445.3925249397509</v>
      </c>
      <c r="CS254" s="19">
        <v>40.630010537594558</v>
      </c>
      <c r="CT254" s="19">
        <v>9.9960759657277212</v>
      </c>
      <c r="CU254" s="19">
        <v>6.0110264310171688</v>
      </c>
      <c r="CV254" s="19">
        <v>16.007102396744944</v>
      </c>
      <c r="CW254" s="19">
        <v>23.470492244239072</v>
      </c>
      <c r="CX254" s="19">
        <v>5.8279478734438825</v>
      </c>
      <c r="CY254" s="19">
        <v>18.700854710861378</v>
      </c>
      <c r="CZ254" s="19">
        <v>32.213206543235536</v>
      </c>
      <c r="DA254" s="19">
        <v>11.2890559257131</v>
      </c>
      <c r="DB254" s="19">
        <v>21.248642524574443</v>
      </c>
      <c r="DC254" s="19">
        <v>15.602176024959261</v>
      </c>
      <c r="DD254" s="19">
        <v>36.850818549533706</v>
      </c>
      <c r="DE254" s="19">
        <v>20.079656075621653</v>
      </c>
      <c r="DF254" s="23">
        <v>12301.2232085752</v>
      </c>
      <c r="DG254" s="23">
        <v>0</v>
      </c>
      <c r="DH254" s="23">
        <v>0</v>
      </c>
      <c r="DI254" s="19">
        <v>21.5657922858103</v>
      </c>
      <c r="DJ254" s="19">
        <v>2.1565792285810299</v>
      </c>
      <c r="DK254" s="19">
        <v>196.05265714372999</v>
      </c>
      <c r="DL254" s="19">
        <v>10.7828961429052</v>
      </c>
      <c r="DM254" s="19">
        <v>0</v>
      </c>
      <c r="DN254" s="19">
        <v>10.7828961429052</v>
      </c>
      <c r="DO254" s="19">
        <v>10.7828961429052</v>
      </c>
      <c r="DP254" s="19">
        <v>16.664475857217099</v>
      </c>
      <c r="DQ254" s="19">
        <v>0.117631594286238</v>
      </c>
      <c r="DR254" s="19">
        <v>107.828961429052</v>
      </c>
      <c r="DS254" s="19">
        <v>53.914480714525901</v>
      </c>
      <c r="DT254" s="19">
        <v>0</v>
      </c>
      <c r="DU254" s="19">
        <v>0</v>
      </c>
      <c r="DV254" s="19">
        <v>0.29407898571559499</v>
      </c>
      <c r="DW254" s="17" t="s">
        <v>218</v>
      </c>
      <c r="DX254" s="22" t="s">
        <v>218</v>
      </c>
      <c r="DY254" s="22" t="s">
        <v>218</v>
      </c>
      <c r="DZ254" s="22" t="s">
        <v>218</v>
      </c>
      <c r="EA254" s="22" t="s">
        <v>218</v>
      </c>
      <c r="EB254" s="22" t="s">
        <v>218</v>
      </c>
      <c r="EC254" s="22" t="s">
        <v>218</v>
      </c>
      <c r="ED254" s="22" t="s">
        <v>218</v>
      </c>
      <c r="EE254" s="22" t="s">
        <v>218</v>
      </c>
      <c r="EF254" s="22" t="s">
        <v>218</v>
      </c>
      <c r="EG254" s="22" t="s">
        <v>218</v>
      </c>
      <c r="EH254" s="22" t="s">
        <v>218</v>
      </c>
      <c r="EI254" s="22" t="s">
        <v>218</v>
      </c>
      <c r="EJ254" s="22" t="s">
        <v>218</v>
      </c>
      <c r="EK254" s="22" t="s">
        <v>218</v>
      </c>
      <c r="EL254" s="22" t="s">
        <v>218</v>
      </c>
      <c r="EM254" s="22" t="s">
        <v>218</v>
      </c>
      <c r="EN254" s="22" t="s">
        <v>218</v>
      </c>
      <c r="EO254" s="22" t="s">
        <v>218</v>
      </c>
      <c r="EP254" s="22" t="s">
        <v>218</v>
      </c>
      <c r="EQ254" s="22" t="s">
        <v>218</v>
      </c>
      <c r="ER254" s="22" t="s">
        <v>218</v>
      </c>
      <c r="ES254" s="22" t="s">
        <v>218</v>
      </c>
      <c r="ET254" s="22" t="s">
        <v>218</v>
      </c>
      <c r="EU254" s="22" t="s">
        <v>218</v>
      </c>
      <c r="EV254" s="22" t="s">
        <v>218</v>
      </c>
      <c r="EW254" s="22" t="s">
        <v>218</v>
      </c>
      <c r="EX254" s="22" t="s">
        <v>218</v>
      </c>
      <c r="EY254" s="22" t="s">
        <v>218</v>
      </c>
      <c r="EZ254" s="22" t="s">
        <v>218</v>
      </c>
      <c r="FA254" s="22" t="s">
        <v>218</v>
      </c>
      <c r="FB254" s="22" t="s">
        <v>218</v>
      </c>
      <c r="FC254" s="22" t="s">
        <v>218</v>
      </c>
      <c r="FD254" s="22" t="s">
        <v>218</v>
      </c>
      <c r="FE254" s="22" t="s">
        <v>218</v>
      </c>
      <c r="FF254" s="22" t="s">
        <v>218</v>
      </c>
      <c r="FG254" s="22" t="s">
        <v>218</v>
      </c>
      <c r="FH254" s="22" t="s">
        <v>218</v>
      </c>
      <c r="FI254" s="22" t="s">
        <v>218</v>
      </c>
      <c r="FJ254" s="22" t="s">
        <v>218</v>
      </c>
      <c r="FK254" s="22" t="s">
        <v>218</v>
      </c>
      <c r="FL254" s="22" t="s">
        <v>218</v>
      </c>
      <c r="FM254" s="22" t="s">
        <v>218</v>
      </c>
      <c r="FN254" s="22" t="s">
        <v>218</v>
      </c>
      <c r="FO254" s="22" t="s">
        <v>218</v>
      </c>
      <c r="FP254" s="22" t="s">
        <v>218</v>
      </c>
      <c r="FQ254" s="22" t="s">
        <v>218</v>
      </c>
      <c r="FR254" s="22" t="s">
        <v>218</v>
      </c>
      <c r="FS254" s="22" t="s">
        <v>218</v>
      </c>
      <c r="FT254" s="22" t="s">
        <v>218</v>
      </c>
      <c r="FU254" s="22" t="s">
        <v>218</v>
      </c>
      <c r="FV254" s="22" t="s">
        <v>218</v>
      </c>
      <c r="FW254" s="22" t="s">
        <v>218</v>
      </c>
      <c r="FX254" s="22" t="s">
        <v>218</v>
      </c>
      <c r="FY254" s="22" t="s">
        <v>218</v>
      </c>
      <c r="FZ254" s="22" t="s">
        <v>218</v>
      </c>
      <c r="GA254" s="22" t="s">
        <v>218</v>
      </c>
      <c r="GB254" s="22" t="s">
        <v>218</v>
      </c>
      <c r="GC254" s="22" t="s">
        <v>218</v>
      </c>
      <c r="GD254" s="22" t="s">
        <v>218</v>
      </c>
      <c r="GE254" s="22" t="s">
        <v>218</v>
      </c>
      <c r="GF254" s="22" t="s">
        <v>218</v>
      </c>
      <c r="GG254" s="22" t="s">
        <v>218</v>
      </c>
      <c r="GH254" s="22" t="s">
        <v>218</v>
      </c>
      <c r="GI254" s="22" t="s">
        <v>218</v>
      </c>
      <c r="GJ254" s="22" t="s">
        <v>218</v>
      </c>
      <c r="GK254" s="22" t="s">
        <v>218</v>
      </c>
      <c r="GL254" s="22" t="s">
        <v>218</v>
      </c>
      <c r="GM254" s="22" t="s">
        <v>218</v>
      </c>
      <c r="GN254" s="22" t="s">
        <v>218</v>
      </c>
      <c r="GO254" s="22" t="s">
        <v>218</v>
      </c>
      <c r="GP254" s="22" t="s">
        <v>218</v>
      </c>
      <c r="GQ254" s="22" t="s">
        <v>218</v>
      </c>
      <c r="GR254" s="22" t="s">
        <v>218</v>
      </c>
      <c r="GS254" s="22" t="s">
        <v>218</v>
      </c>
      <c r="GT254" s="22" t="s">
        <v>218</v>
      </c>
      <c r="GU254" s="22" t="s">
        <v>218</v>
      </c>
      <c r="GV254" s="22" t="s">
        <v>218</v>
      </c>
      <c r="GW254" s="22" t="s">
        <v>218</v>
      </c>
      <c r="GX254" s="22" t="s">
        <v>218</v>
      </c>
      <c r="GY254" s="22" t="s">
        <v>218</v>
      </c>
      <c r="GZ254" s="22" t="s">
        <v>218</v>
      </c>
      <c r="HA254" s="22" t="s">
        <v>218</v>
      </c>
      <c r="HB254" s="22" t="s">
        <v>218</v>
      </c>
      <c r="HC254" s="22" t="s">
        <v>218</v>
      </c>
      <c r="HD254" s="22" t="s">
        <v>218</v>
      </c>
      <c r="HE254" s="22" t="s">
        <v>218</v>
      </c>
      <c r="HF254" s="22" t="s">
        <v>218</v>
      </c>
      <c r="HG254" s="22" t="s">
        <v>218</v>
      </c>
      <c r="HH254" s="22" t="s">
        <v>218</v>
      </c>
      <c r="HI254" s="22" t="s">
        <v>218</v>
      </c>
      <c r="HJ254" s="22" t="s">
        <v>218</v>
      </c>
      <c r="HK254" s="22" t="s">
        <v>218</v>
      </c>
      <c r="HL254" s="22" t="s">
        <v>218</v>
      </c>
      <c r="HM254" s="622">
        <f>'background data'!$G$10</f>
        <v>0.47300000000000003</v>
      </c>
      <c r="HN254" s="622">
        <f>'background data'!$H$10</f>
        <v>0.13</v>
      </c>
      <c r="HO254" s="622">
        <f>'background data'!$J$10</f>
        <v>0.39100000000000001</v>
      </c>
      <c r="HP254" s="622">
        <f>'background data'!$L$10</f>
        <v>5.5E-2</v>
      </c>
      <c r="HQ254" s="622">
        <f>'background data'!$M$10</f>
        <v>3.97</v>
      </c>
      <c r="HR254" s="622">
        <f>'background data'!$N$10</f>
        <v>4.5999999999999999E-3</v>
      </c>
      <c r="HS254" s="622">
        <f>'background data'!$O$10</f>
        <v>2.73</v>
      </c>
      <c r="HT254" s="145" t="s">
        <v>1797</v>
      </c>
      <c r="HU254" s="145" t="s">
        <v>1809</v>
      </c>
      <c r="HV254" s="22" t="s">
        <v>1926</v>
      </c>
      <c r="HW254" s="22">
        <v>0</v>
      </c>
      <c r="HX254" s="22">
        <v>0</v>
      </c>
      <c r="HY254" s="22">
        <v>0</v>
      </c>
      <c r="HZ254" s="19"/>
      <c r="IA254" s="19"/>
      <c r="IB254" s="622">
        <f>'background data'!$G$10</f>
        <v>0.47300000000000003</v>
      </c>
      <c r="IC254" s="622">
        <f>'background data'!$H$10</f>
        <v>0.13</v>
      </c>
      <c r="ID254" s="622">
        <f>'background data'!$J$10</f>
        <v>0.39100000000000001</v>
      </c>
      <c r="IE254" s="622">
        <f>'background data'!$L$10</f>
        <v>5.5E-2</v>
      </c>
      <c r="IF254" s="622">
        <f>'background data'!$M$10</f>
        <v>3.97</v>
      </c>
      <c r="IG254" s="622">
        <f>'background data'!$N$10</f>
        <v>4.5999999999999999E-3</v>
      </c>
      <c r="IH254" s="622">
        <f>'background data'!$O$10</f>
        <v>2.73</v>
      </c>
      <c r="II254" s="145" t="s">
        <v>1797</v>
      </c>
      <c r="IJ254" s="145"/>
      <c r="IK254" s="145"/>
      <c r="IL254" s="145"/>
      <c r="IM254" s="145"/>
      <c r="IN254" s="145"/>
      <c r="IO254" s="145"/>
      <c r="IP254" s="145"/>
      <c r="IQ254" s="145"/>
      <c r="IR254" s="145"/>
      <c r="IS254" s="145"/>
      <c r="IT254" s="145"/>
      <c r="IU254" s="145"/>
      <c r="IV254" s="145"/>
      <c r="IW254" s="145"/>
      <c r="IX254" s="145"/>
      <c r="IY254" s="145"/>
      <c r="IZ254" s="145"/>
      <c r="JA254" s="145"/>
      <c r="JB254" s="145"/>
      <c r="JC254" s="145"/>
      <c r="JD254" s="145"/>
      <c r="JE254" s="145"/>
      <c r="JF254" s="145"/>
      <c r="JG254" s="145"/>
      <c r="JH254" s="145"/>
      <c r="JI254" s="145"/>
      <c r="JJ254" s="145"/>
      <c r="JK254" s="145"/>
      <c r="JL254" s="145"/>
      <c r="JM254" s="145"/>
      <c r="JN254" s="145"/>
      <c r="JO254" s="145"/>
      <c r="JP254" s="145"/>
      <c r="JQ254" s="145"/>
      <c r="JR254" s="145"/>
      <c r="JS254" s="145"/>
      <c r="JT254" s="145"/>
      <c r="JU254" s="145"/>
      <c r="JV254" s="145"/>
      <c r="JW254" s="145"/>
      <c r="JX254" s="145"/>
      <c r="JY254" s="145"/>
      <c r="JZ254" s="145"/>
      <c r="KA254" s="145"/>
      <c r="KB254" s="145"/>
      <c r="KC254" s="145"/>
      <c r="KD254" s="145"/>
      <c r="KE254" s="145"/>
      <c r="KF254" s="145"/>
      <c r="KG254" s="145"/>
      <c r="KH254" s="145"/>
      <c r="KI254" s="145"/>
      <c r="KJ254" s="145"/>
      <c r="KK254" s="145"/>
      <c r="KL254" s="145"/>
      <c r="KM254" s="145"/>
      <c r="KN254" s="145"/>
      <c r="KO254" s="145"/>
      <c r="KP254" s="145"/>
      <c r="KQ254" s="145"/>
      <c r="KR254" s="145"/>
      <c r="KS254" s="145"/>
      <c r="KT254" s="145"/>
      <c r="KU254" s="145"/>
      <c r="KV254" s="145"/>
      <c r="KW254" s="145"/>
      <c r="KX254" s="145"/>
      <c r="KY254" s="145"/>
      <c r="KZ254" s="145"/>
      <c r="LA254" s="145"/>
      <c r="LB254" s="145"/>
      <c r="LC254" s="145"/>
      <c r="LD254" s="145"/>
      <c r="LE254" s="145"/>
      <c r="LF254" s="145"/>
      <c r="LG254" s="145"/>
      <c r="LH254" s="145"/>
      <c r="LI254" s="145"/>
      <c r="LJ254" s="145"/>
      <c r="LK254" s="145"/>
      <c r="LL254" s="145"/>
      <c r="LM254" s="145"/>
      <c r="LN254" s="145"/>
      <c r="LO254" s="145"/>
      <c r="LP254" s="145"/>
      <c r="LQ254" s="145"/>
      <c r="LR254" s="145"/>
      <c r="LS254" s="145"/>
      <c r="LT254" s="145"/>
      <c r="LU254" s="145"/>
      <c r="LV254" s="145"/>
      <c r="LW254" s="145"/>
      <c r="LX254" s="145"/>
      <c r="LY254" s="145"/>
      <c r="LZ254" s="145"/>
      <c r="MA254" s="145"/>
      <c r="MB254" s="145"/>
      <c r="MC254" s="145"/>
      <c r="MD254" s="145"/>
      <c r="ME254" s="145"/>
      <c r="MF254" s="145"/>
      <c r="MG254" s="145"/>
      <c r="MH254" s="145"/>
      <c r="MI254" s="145"/>
      <c r="MJ254" s="145"/>
      <c r="MK254" s="145"/>
      <c r="ML254" s="145"/>
      <c r="MM254" s="145"/>
      <c r="MN254" s="145"/>
      <c r="MO254" s="145"/>
      <c r="MP254" s="145"/>
      <c r="MQ254" s="145"/>
      <c r="MR254" s="145"/>
      <c r="MS254" s="145"/>
      <c r="MT254" s="145"/>
      <c r="MU254" s="145"/>
      <c r="MV254" s="145"/>
      <c r="MW254" s="145"/>
      <c r="MX254" s="145"/>
      <c r="MY254" s="145"/>
      <c r="MZ254" s="145"/>
      <c r="NA254" s="145"/>
      <c r="NB254" s="145"/>
      <c r="NC254" s="145"/>
      <c r="ND254" s="145"/>
      <c r="NE254" s="145"/>
      <c r="NF254" s="145"/>
      <c r="NG254" s="145"/>
      <c r="NH254" s="145"/>
      <c r="NI254" s="145"/>
      <c r="NJ254" s="145"/>
      <c r="NK254" s="145"/>
      <c r="NL254" s="145"/>
      <c r="NM254" s="145"/>
      <c r="NN254" s="145"/>
      <c r="NO254" s="145"/>
      <c r="NP254" s="145"/>
      <c r="NQ254" s="145"/>
      <c r="NR254" s="145"/>
      <c r="NS254" s="145"/>
    </row>
    <row r="255" spans="1:383" s="16" customFormat="1" ht="15" customHeight="1" x14ac:dyDescent="0.2">
      <c r="A255" s="15">
        <v>20003</v>
      </c>
      <c r="B255" s="25">
        <v>200</v>
      </c>
      <c r="C255" s="26">
        <v>3</v>
      </c>
      <c r="D255" s="20" t="s">
        <v>704</v>
      </c>
      <c r="E255" s="14">
        <v>41696</v>
      </c>
      <c r="F255" s="18">
        <v>0.862384304256957</v>
      </c>
      <c r="G255" s="18">
        <v>0.86886524382136798</v>
      </c>
      <c r="H255" s="21">
        <v>94.349810222247598</v>
      </c>
      <c r="I255" s="21">
        <v>80.747020472588304</v>
      </c>
      <c r="J255" s="21">
        <v>96.169665400499099</v>
      </c>
      <c r="K255" s="18">
        <v>1</v>
      </c>
      <c r="L255" s="18">
        <v>90.286902367636202</v>
      </c>
      <c r="M255" s="18">
        <v>37.7713320845467</v>
      </c>
      <c r="N255" s="18">
        <v>4.5697866967290803</v>
      </c>
      <c r="O255" s="18">
        <v>22.4241519582656</v>
      </c>
      <c r="P255" s="18">
        <v>2.8142556273063102</v>
      </c>
      <c r="Q255" s="19"/>
      <c r="R255" s="18">
        <v>88.503986342378099</v>
      </c>
      <c r="S255" s="18">
        <v>57.166381634232103</v>
      </c>
      <c r="T255" s="18">
        <v>61.380789505275501</v>
      </c>
      <c r="U255" s="18">
        <v>63.136792784876903</v>
      </c>
      <c r="V255" s="18">
        <v>64.541595408557995</v>
      </c>
      <c r="W255" s="18">
        <v>65.595197376318893</v>
      </c>
      <c r="X255" s="18"/>
      <c r="Y255" s="18">
        <v>48.889928879579251</v>
      </c>
      <c r="Z255" s="18">
        <v>15.486309602902999</v>
      </c>
      <c r="AA255" s="18">
        <v>9.5664332159999326</v>
      </c>
      <c r="AB255" s="18">
        <v>18.08721782988826</v>
      </c>
      <c r="AC255" s="18">
        <v>18.18321034083209</v>
      </c>
      <c r="AD255" s="18">
        <v>2.5001914218644155</v>
      </c>
      <c r="AE255" s="18">
        <v>2.8790083039650796</v>
      </c>
      <c r="AF255" s="18">
        <v>364.53288575927672</v>
      </c>
      <c r="AG255" s="18">
        <v>51.389778248537283</v>
      </c>
      <c r="AH255" s="18">
        <v>309.01009144398932</v>
      </c>
      <c r="AI255" s="18">
        <v>718.35441446957952</v>
      </c>
      <c r="AJ255" s="18">
        <v>1.3594301849906232</v>
      </c>
      <c r="AK255" s="18">
        <v>1.5109569378308887</v>
      </c>
      <c r="AL255" s="18"/>
      <c r="AM255" s="18">
        <v>8.4712730122904105</v>
      </c>
      <c r="AN255" s="18">
        <v>1.9619128497553999</v>
      </c>
      <c r="AO255" s="18">
        <v>1.35971976561797</v>
      </c>
      <c r="AP255" s="18">
        <v>4.7409181462539802</v>
      </c>
      <c r="AQ255" s="18">
        <v>1.2926734145749501</v>
      </c>
      <c r="AR255" s="18">
        <v>4.25144603513254</v>
      </c>
      <c r="AS255" s="18">
        <v>7.3730189212324397</v>
      </c>
      <c r="AT255" s="18">
        <v>2.5183211568774602</v>
      </c>
      <c r="AU255" s="18">
        <v>4.7876750461926303</v>
      </c>
      <c r="AV255" s="18">
        <v>3.5715994458189502</v>
      </c>
      <c r="AW255" s="18">
        <v>4.52917108602254</v>
      </c>
      <c r="AX255" s="18"/>
      <c r="AY255" s="18">
        <v>0</v>
      </c>
      <c r="AZ255" s="18">
        <v>0</v>
      </c>
      <c r="BA255" s="18">
        <v>0</v>
      </c>
      <c r="BB255" s="18">
        <v>0</v>
      </c>
      <c r="BC255" s="18">
        <v>0</v>
      </c>
      <c r="BD255" s="18">
        <v>0</v>
      </c>
      <c r="BE255" s="18">
        <v>0</v>
      </c>
      <c r="BF255" s="18">
        <v>0</v>
      </c>
      <c r="BG255" s="18">
        <v>0</v>
      </c>
      <c r="BH255" s="18">
        <v>0</v>
      </c>
      <c r="BI255" s="18">
        <v>0</v>
      </c>
      <c r="BJ255" s="19"/>
      <c r="BK255" s="18">
        <v>41.834785659991837</v>
      </c>
      <c r="BL255" s="18">
        <v>5.0614060034106823</v>
      </c>
      <c r="BM255" s="18">
        <v>24.836550341440944</v>
      </c>
      <c r="BN255" s="18">
        <v>3.117014266196704</v>
      </c>
      <c r="BO255" s="18"/>
      <c r="BP255" s="18" t="s">
        <v>217</v>
      </c>
      <c r="BQ255" s="18">
        <v>41.623552770112049</v>
      </c>
      <c r="BR255" s="18">
        <v>0.95515991981366621</v>
      </c>
      <c r="BS255" s="18">
        <v>0.96233808120192765</v>
      </c>
      <c r="BT255" s="19"/>
      <c r="BU255" s="18">
        <v>751.63449658559045</v>
      </c>
      <c r="BV255" s="18">
        <v>133.31173298808812</v>
      </c>
      <c r="BW255" s="18">
        <v>146.06180036635428</v>
      </c>
      <c r="BX255" s="18">
        <v>49.074005181222951</v>
      </c>
      <c r="BY255" s="18">
        <v>82.650956094691296</v>
      </c>
      <c r="BZ255" s="18">
        <v>0</v>
      </c>
      <c r="CA255" s="18">
        <v>0</v>
      </c>
      <c r="CB255" s="19"/>
      <c r="CC255" s="19">
        <v>44.141202355112497</v>
      </c>
      <c r="CD255" s="19">
        <v>13.9821092315229</v>
      </c>
      <c r="CE255" s="19">
        <v>8.63723621779498</v>
      </c>
      <c r="CF255" s="19">
        <v>16.3303887030929</v>
      </c>
      <c r="CG255" s="19">
        <v>16.417057367729001</v>
      </c>
      <c r="CH255" s="19">
        <v>2.2573453880627401</v>
      </c>
      <c r="CI255" s="19">
        <v>2.5993674165570901</v>
      </c>
      <c r="CJ255" s="19"/>
      <c r="CK255" s="19">
        <v>329.12545066340499</v>
      </c>
      <c r="CL255" s="19">
        <v>46.398238914201599</v>
      </c>
      <c r="CM255" s="19">
        <v>278.99563956817798</v>
      </c>
      <c r="CN255" s="19">
        <v>648.57994884575396</v>
      </c>
      <c r="CO255" s="19">
        <v>1.2273874038786601</v>
      </c>
      <c r="CP255" s="19">
        <v>1.3641962152764</v>
      </c>
      <c r="CQ255" s="19">
        <v>334.29134589441497</v>
      </c>
      <c r="CR255" s="19">
        <v>387.63616666521466</v>
      </c>
      <c r="CS255" s="19">
        <v>34.466207636174772</v>
      </c>
      <c r="CT255" s="19">
        <v>8.1657808421194957</v>
      </c>
      <c r="CU255" s="19">
        <v>5.1883187887217215</v>
      </c>
      <c r="CV255" s="19">
        <v>13.35409963084123</v>
      </c>
      <c r="CW255" s="19">
        <v>18.65250522646944</v>
      </c>
      <c r="CX255" s="19">
        <v>5.1816061180380553</v>
      </c>
      <c r="CY255" s="19">
        <v>16.550105357429992</v>
      </c>
      <c r="CZ255" s="19">
        <v>28.701812111518869</v>
      </c>
      <c r="DA255" s="19">
        <v>9.9974819521690499</v>
      </c>
      <c r="DB255" s="19">
        <v>18.822067630230826</v>
      </c>
      <c r="DC255" s="19">
        <v>14.041241749575494</v>
      </c>
      <c r="DD255" s="19">
        <v>32.863309379806317</v>
      </c>
      <c r="DE255" s="19">
        <v>17.631217336029035</v>
      </c>
      <c r="DF255" s="23">
        <v>14130.675470575799</v>
      </c>
      <c r="DG255" s="23">
        <v>0</v>
      </c>
      <c r="DH255" s="23">
        <v>0</v>
      </c>
      <c r="DI255" s="19">
        <v>49.0954961551463</v>
      </c>
      <c r="DJ255" s="19">
        <v>4.9095496155146297</v>
      </c>
      <c r="DK255" s="19">
        <v>920.54055290899703</v>
      </c>
      <c r="DL255" s="19">
        <v>12.2738740387866</v>
      </c>
      <c r="DM255" s="19">
        <v>0</v>
      </c>
      <c r="DN255" s="19">
        <v>12.2738740387866</v>
      </c>
      <c r="DO255" s="19">
        <v>30.684685096966401</v>
      </c>
      <c r="DP255" s="19">
        <v>18.410811058179899</v>
      </c>
      <c r="DQ255" s="19">
        <v>122.738740387866</v>
      </c>
      <c r="DR255" s="19">
        <v>122.738740387866</v>
      </c>
      <c r="DS255" s="19">
        <v>92.054055290899697</v>
      </c>
      <c r="DT255" s="19">
        <v>0</v>
      </c>
      <c r="DU255" s="19">
        <v>9.2054055290899708</v>
      </c>
      <c r="DV255" s="19">
        <v>1.2273874038786601</v>
      </c>
      <c r="DW255" s="17" t="s">
        <v>218</v>
      </c>
      <c r="DX255" s="22" t="s">
        <v>218</v>
      </c>
      <c r="DY255" s="22" t="s">
        <v>218</v>
      </c>
      <c r="DZ255" s="22" t="s">
        <v>218</v>
      </c>
      <c r="EA255" s="22" t="s">
        <v>218</v>
      </c>
      <c r="EB255" s="22" t="s">
        <v>218</v>
      </c>
      <c r="EC255" s="22" t="s">
        <v>218</v>
      </c>
      <c r="ED255" s="22" t="s">
        <v>218</v>
      </c>
      <c r="EE255" s="22" t="s">
        <v>218</v>
      </c>
      <c r="EF255" s="22" t="s">
        <v>218</v>
      </c>
      <c r="EG255" s="22" t="s">
        <v>218</v>
      </c>
      <c r="EH255" s="22" t="s">
        <v>218</v>
      </c>
      <c r="EI255" s="22" t="s">
        <v>218</v>
      </c>
      <c r="EJ255" s="22" t="s">
        <v>218</v>
      </c>
      <c r="EK255" s="22" t="s">
        <v>218</v>
      </c>
      <c r="EL255" s="22" t="s">
        <v>218</v>
      </c>
      <c r="EM255" s="22" t="s">
        <v>218</v>
      </c>
      <c r="EN255" s="22" t="s">
        <v>218</v>
      </c>
      <c r="EO255" s="22" t="s">
        <v>218</v>
      </c>
      <c r="EP255" s="22" t="s">
        <v>218</v>
      </c>
      <c r="EQ255" s="22" t="s">
        <v>218</v>
      </c>
      <c r="ER255" s="22" t="s">
        <v>218</v>
      </c>
      <c r="ES255" s="22" t="s">
        <v>218</v>
      </c>
      <c r="ET255" s="22" t="s">
        <v>218</v>
      </c>
      <c r="EU255" s="22" t="s">
        <v>218</v>
      </c>
      <c r="EV255" s="22" t="s">
        <v>218</v>
      </c>
      <c r="EW255" s="22" t="s">
        <v>218</v>
      </c>
      <c r="EX255" s="22" t="s">
        <v>218</v>
      </c>
      <c r="EY255" s="22" t="s">
        <v>218</v>
      </c>
      <c r="EZ255" s="22" t="s">
        <v>218</v>
      </c>
      <c r="FA255" s="22" t="s">
        <v>218</v>
      </c>
      <c r="FB255" s="22" t="s">
        <v>218</v>
      </c>
      <c r="FC255" s="22" t="s">
        <v>218</v>
      </c>
      <c r="FD255" s="22" t="s">
        <v>218</v>
      </c>
      <c r="FE255" s="22" t="s">
        <v>218</v>
      </c>
      <c r="FF255" s="22" t="s">
        <v>218</v>
      </c>
      <c r="FG255" s="22" t="s">
        <v>218</v>
      </c>
      <c r="FH255" s="22" t="s">
        <v>218</v>
      </c>
      <c r="FI255" s="22" t="s">
        <v>218</v>
      </c>
      <c r="FJ255" s="22" t="s">
        <v>218</v>
      </c>
      <c r="FK255" s="22" t="s">
        <v>218</v>
      </c>
      <c r="FL255" s="22" t="s">
        <v>218</v>
      </c>
      <c r="FM255" s="22" t="s">
        <v>218</v>
      </c>
      <c r="FN255" s="22" t="s">
        <v>218</v>
      </c>
      <c r="FO255" s="22" t="s">
        <v>218</v>
      </c>
      <c r="FP255" s="22" t="s">
        <v>218</v>
      </c>
      <c r="FQ255" s="22" t="s">
        <v>218</v>
      </c>
      <c r="FR255" s="22" t="s">
        <v>218</v>
      </c>
      <c r="FS255" s="22" t="s">
        <v>218</v>
      </c>
      <c r="FT255" s="22" t="s">
        <v>218</v>
      </c>
      <c r="FU255" s="22" t="s">
        <v>218</v>
      </c>
      <c r="FV255" s="22" t="s">
        <v>218</v>
      </c>
      <c r="FW255" s="22" t="s">
        <v>218</v>
      </c>
      <c r="FX255" s="22" t="s">
        <v>218</v>
      </c>
      <c r="FY255" s="22" t="s">
        <v>218</v>
      </c>
      <c r="FZ255" s="22" t="s">
        <v>218</v>
      </c>
      <c r="GA255" s="22" t="s">
        <v>218</v>
      </c>
      <c r="GB255" s="22" t="s">
        <v>218</v>
      </c>
      <c r="GC255" s="22" t="s">
        <v>218</v>
      </c>
      <c r="GD255" s="22" t="s">
        <v>218</v>
      </c>
      <c r="GE255" s="22" t="s">
        <v>218</v>
      </c>
      <c r="GF255" s="22" t="s">
        <v>218</v>
      </c>
      <c r="GG255" s="22" t="s">
        <v>218</v>
      </c>
      <c r="GH255" s="22" t="s">
        <v>218</v>
      </c>
      <c r="GI255" s="22" t="s">
        <v>218</v>
      </c>
      <c r="GJ255" s="22" t="s">
        <v>218</v>
      </c>
      <c r="GK255" s="22" t="s">
        <v>218</v>
      </c>
      <c r="GL255" s="22" t="s">
        <v>218</v>
      </c>
      <c r="GM255" s="22" t="s">
        <v>218</v>
      </c>
      <c r="GN255" s="22" t="s">
        <v>218</v>
      </c>
      <c r="GO255" s="22" t="s">
        <v>218</v>
      </c>
      <c r="GP255" s="22" t="s">
        <v>218</v>
      </c>
      <c r="GQ255" s="22" t="s">
        <v>218</v>
      </c>
      <c r="GR255" s="22" t="s">
        <v>218</v>
      </c>
      <c r="GS255" s="22" t="s">
        <v>218</v>
      </c>
      <c r="GT255" s="22" t="s">
        <v>218</v>
      </c>
      <c r="GU255" s="22" t="s">
        <v>218</v>
      </c>
      <c r="GV255" s="22" t="s">
        <v>218</v>
      </c>
      <c r="GW255" s="22" t="s">
        <v>218</v>
      </c>
      <c r="GX255" s="22" t="s">
        <v>218</v>
      </c>
      <c r="GY255" s="22" t="s">
        <v>218</v>
      </c>
      <c r="GZ255" s="22" t="s">
        <v>218</v>
      </c>
      <c r="HA255" s="22" t="s">
        <v>218</v>
      </c>
      <c r="HB255" s="22" t="s">
        <v>218</v>
      </c>
      <c r="HC255" s="22" t="s">
        <v>218</v>
      </c>
      <c r="HD255" s="22" t="s">
        <v>218</v>
      </c>
      <c r="HE255" s="22" t="s">
        <v>218</v>
      </c>
      <c r="HF255" s="22" t="s">
        <v>218</v>
      </c>
      <c r="HG255" s="22" t="s">
        <v>218</v>
      </c>
      <c r="HH255" s="22" t="s">
        <v>218</v>
      </c>
      <c r="HI255" s="22" t="s">
        <v>218</v>
      </c>
      <c r="HJ255" s="22" t="s">
        <v>218</v>
      </c>
      <c r="HK255" s="22" t="s">
        <v>218</v>
      </c>
      <c r="HL255" s="22" t="s">
        <v>218</v>
      </c>
      <c r="HM255" s="622">
        <f>'background data'!$G$10</f>
        <v>0.47300000000000003</v>
      </c>
      <c r="HN255" s="622">
        <f>'background data'!$H$10</f>
        <v>0.13</v>
      </c>
      <c r="HO255" s="622">
        <f>'background data'!$J$10</f>
        <v>0.39100000000000001</v>
      </c>
      <c r="HP255" s="622">
        <f>'background data'!$L$10</f>
        <v>5.5E-2</v>
      </c>
      <c r="HQ255" s="622">
        <f>'background data'!$M$10</f>
        <v>3.97</v>
      </c>
      <c r="HR255" s="622">
        <f>'background data'!$N$10</f>
        <v>4.5999999999999999E-3</v>
      </c>
      <c r="HS255" s="622">
        <f>'background data'!$O$10</f>
        <v>2.73</v>
      </c>
      <c r="HT255" s="145" t="s">
        <v>1797</v>
      </c>
      <c r="HU255" s="145" t="s">
        <v>1809</v>
      </c>
      <c r="HV255" s="22" t="s">
        <v>1926</v>
      </c>
      <c r="HW255" s="22">
        <v>0</v>
      </c>
      <c r="HX255" s="22">
        <v>0</v>
      </c>
      <c r="HY255" s="22">
        <v>0</v>
      </c>
      <c r="HZ255" s="19"/>
      <c r="IA255" s="19"/>
      <c r="IB255" s="622">
        <f>'background data'!$G$10</f>
        <v>0.47300000000000003</v>
      </c>
      <c r="IC255" s="622">
        <f>'background data'!$H$10</f>
        <v>0.13</v>
      </c>
      <c r="ID255" s="622">
        <f>'background data'!$J$10</f>
        <v>0.39100000000000001</v>
      </c>
      <c r="IE255" s="622">
        <f>'background data'!$L$10</f>
        <v>5.5E-2</v>
      </c>
      <c r="IF255" s="622">
        <f>'background data'!$M$10</f>
        <v>3.97</v>
      </c>
      <c r="IG255" s="622">
        <f>'background data'!$N$10</f>
        <v>4.5999999999999999E-3</v>
      </c>
      <c r="IH255" s="622">
        <f>'background data'!$O$10</f>
        <v>2.73</v>
      </c>
      <c r="II255" s="145" t="s">
        <v>1797</v>
      </c>
      <c r="IJ255" s="145"/>
      <c r="IK255" s="145"/>
      <c r="IL255" s="145"/>
      <c r="IM255" s="145"/>
      <c r="IN255" s="145"/>
      <c r="IO255" s="145"/>
      <c r="IP255" s="145"/>
      <c r="IQ255" s="145"/>
      <c r="IR255" s="145"/>
      <c r="IS255" s="145"/>
      <c r="IT255" s="145"/>
      <c r="IU255" s="145"/>
      <c r="IV255" s="145"/>
      <c r="IW255" s="145"/>
      <c r="IX255" s="145"/>
      <c r="IY255" s="145"/>
      <c r="IZ255" s="145"/>
      <c r="JA255" s="145"/>
      <c r="JB255" s="145"/>
      <c r="JC255" s="145"/>
      <c r="JD255" s="145"/>
      <c r="JE255" s="145"/>
      <c r="JF255" s="145"/>
      <c r="JG255" s="145"/>
      <c r="JH255" s="145"/>
      <c r="JI255" s="145"/>
      <c r="JJ255" s="145"/>
      <c r="JK255" s="145"/>
      <c r="JL255" s="145"/>
      <c r="JM255" s="145"/>
      <c r="JN255" s="145"/>
      <c r="JO255" s="145"/>
      <c r="JP255" s="145"/>
      <c r="JQ255" s="145"/>
      <c r="JR255" s="145"/>
      <c r="JS255" s="145"/>
      <c r="JT255" s="145"/>
      <c r="JU255" s="145"/>
      <c r="JV255" s="145"/>
      <c r="JW255" s="145"/>
      <c r="JX255" s="145"/>
      <c r="JY255" s="145"/>
      <c r="JZ255" s="145"/>
      <c r="KA255" s="145"/>
      <c r="KB255" s="145"/>
      <c r="KC255" s="145"/>
      <c r="KD255" s="145"/>
      <c r="KE255" s="145"/>
      <c r="KF255" s="145"/>
      <c r="KG255" s="145"/>
      <c r="KH255" s="145"/>
      <c r="KI255" s="145"/>
      <c r="KJ255" s="145"/>
      <c r="KK255" s="145"/>
      <c r="KL255" s="145"/>
      <c r="KM255" s="145"/>
      <c r="KN255" s="145"/>
      <c r="KO255" s="145"/>
      <c r="KP255" s="145"/>
      <c r="KQ255" s="145"/>
      <c r="KR255" s="145"/>
      <c r="KS255" s="145"/>
      <c r="KT255" s="145"/>
      <c r="KU255" s="145"/>
      <c r="KV255" s="145"/>
      <c r="KW255" s="145"/>
      <c r="KX255" s="145"/>
      <c r="KY255" s="145"/>
      <c r="KZ255" s="145"/>
      <c r="LA255" s="145"/>
      <c r="LB255" s="145"/>
      <c r="LC255" s="145"/>
      <c r="LD255" s="145"/>
      <c r="LE255" s="145"/>
      <c r="LF255" s="145"/>
      <c r="LG255" s="145"/>
      <c r="LH255" s="145"/>
      <c r="LI255" s="145"/>
      <c r="LJ255" s="145"/>
      <c r="LK255" s="145"/>
      <c r="LL255" s="145"/>
      <c r="LM255" s="145"/>
      <c r="LN255" s="145"/>
      <c r="LO255" s="145"/>
      <c r="LP255" s="145"/>
      <c r="LQ255" s="145"/>
      <c r="LR255" s="145"/>
      <c r="LS255" s="145"/>
      <c r="LT255" s="145"/>
      <c r="LU255" s="145"/>
      <c r="LV255" s="145"/>
      <c r="LW255" s="145"/>
      <c r="LX255" s="145"/>
      <c r="LY255" s="145"/>
      <c r="LZ255" s="145"/>
      <c r="MA255" s="145"/>
      <c r="MB255" s="145"/>
      <c r="MC255" s="145"/>
      <c r="MD255" s="145"/>
      <c r="ME255" s="145"/>
      <c r="MF255" s="145"/>
      <c r="MG255" s="145"/>
      <c r="MH255" s="145"/>
      <c r="MI255" s="145"/>
      <c r="MJ255" s="145"/>
      <c r="MK255" s="145"/>
      <c r="ML255" s="145"/>
      <c r="MM255" s="145"/>
      <c r="MN255" s="145"/>
      <c r="MO255" s="145"/>
      <c r="MP255" s="145"/>
      <c r="MQ255" s="145"/>
      <c r="MR255" s="145"/>
      <c r="MS255" s="145"/>
      <c r="MT255" s="145"/>
      <c r="MU255" s="145"/>
      <c r="MV255" s="145"/>
      <c r="MW255" s="145"/>
      <c r="MX255" s="145"/>
      <c r="MY255" s="145"/>
      <c r="MZ255" s="145"/>
      <c r="NA255" s="145"/>
      <c r="NB255" s="145"/>
      <c r="NC255" s="145"/>
      <c r="ND255" s="145"/>
      <c r="NE255" s="145"/>
      <c r="NF255" s="145"/>
      <c r="NG255" s="145"/>
      <c r="NH255" s="145"/>
      <c r="NI255" s="145"/>
      <c r="NJ255" s="145"/>
      <c r="NK255" s="145"/>
      <c r="NL255" s="145"/>
      <c r="NM255" s="145"/>
      <c r="NN255" s="145"/>
      <c r="NO255" s="145"/>
      <c r="NP255" s="145"/>
      <c r="NQ255" s="145"/>
      <c r="NR255" s="145"/>
      <c r="NS255" s="145"/>
    </row>
    <row r="256" spans="1:383" s="16" customFormat="1" ht="15" customHeight="1" x14ac:dyDescent="0.2">
      <c r="A256" s="15">
        <v>20001</v>
      </c>
      <c r="B256" s="25">
        <v>200</v>
      </c>
      <c r="C256" s="26">
        <v>1</v>
      </c>
      <c r="D256" s="20" t="s">
        <v>705</v>
      </c>
      <c r="E256" s="14">
        <v>41814</v>
      </c>
      <c r="F256" s="18">
        <v>0.58566849292842604</v>
      </c>
      <c r="G256" s="18">
        <v>0.409734253399753</v>
      </c>
      <c r="H256" s="21">
        <v>77.588578727534198</v>
      </c>
      <c r="I256" s="21">
        <v>60.340284617116602</v>
      </c>
      <c r="J256" s="21">
        <v>86.132904163630101</v>
      </c>
      <c r="K256" s="18">
        <v>1</v>
      </c>
      <c r="L256" s="18">
        <v>90.652091742568004</v>
      </c>
      <c r="M256" s="18">
        <v>29.4892080142561</v>
      </c>
      <c r="N256" s="18">
        <v>3.1195760658479199</v>
      </c>
      <c r="O256" s="18">
        <v>22.9770092584011</v>
      </c>
      <c r="P256" s="18">
        <v>9.6050741425389301</v>
      </c>
      <c r="Q256" s="19"/>
      <c r="R256" s="18">
        <v>76.150602133291301</v>
      </c>
      <c r="S256" s="18">
        <v>33.8525689731079</v>
      </c>
      <c r="T256" s="18">
        <v>44.6419246642037</v>
      </c>
      <c r="U256" s="18">
        <v>48.793857304990603</v>
      </c>
      <c r="V256" s="18">
        <v>52.940120770827299</v>
      </c>
      <c r="W256" s="18">
        <v>55.4312803552994</v>
      </c>
      <c r="X256" s="18"/>
      <c r="Y256" s="18">
        <v>56.21202225352674</v>
      </c>
      <c r="Z256" s="18">
        <v>10.236364927523601</v>
      </c>
      <c r="AA256" s="18">
        <v>12.817364116725839</v>
      </c>
      <c r="AB256" s="18">
        <v>20.390296935895364</v>
      </c>
      <c r="AC256" s="18">
        <v>12.164743162214879</v>
      </c>
      <c r="AD256" s="18">
        <v>4.2563345761219802</v>
      </c>
      <c r="AE256" s="18">
        <v>5.8564737632801647</v>
      </c>
      <c r="AF256" s="18">
        <v>484.02398113384919</v>
      </c>
      <c r="AG256" s="18">
        <v>60.184196221539018</v>
      </c>
      <c r="AH256" s="18">
        <v>427.47120845882154</v>
      </c>
      <c r="AI256" s="18">
        <v>974.72833333174435</v>
      </c>
      <c r="AJ256" s="18">
        <v>1.8321170096338488</v>
      </c>
      <c r="AK256" s="18">
        <v>1.9055581677912148</v>
      </c>
      <c r="AL256" s="18"/>
      <c r="AM256" s="18">
        <v>5.5078068993985303</v>
      </c>
      <c r="AN256" s="18">
        <v>1.99113086269164</v>
      </c>
      <c r="AO256" s="18">
        <v>2.47567808505221</v>
      </c>
      <c r="AP256" s="18">
        <v>4.3930885712811802</v>
      </c>
      <c r="AQ256" s="18">
        <v>1.2709286225743499</v>
      </c>
      <c r="AR256" s="18">
        <v>3.9067093722346602</v>
      </c>
      <c r="AS256" s="18">
        <v>7.1071929873533</v>
      </c>
      <c r="AT256" s="18">
        <v>2.7876166029746998</v>
      </c>
      <c r="AU256" s="18">
        <v>4.0127797270790504</v>
      </c>
      <c r="AV256" s="18">
        <v>3.0290448241736598</v>
      </c>
      <c r="AW256" s="18">
        <v>5.1834656069460001</v>
      </c>
      <c r="AX256" s="18"/>
      <c r="AY256" s="18">
        <v>0</v>
      </c>
      <c r="AZ256" s="18">
        <v>0</v>
      </c>
      <c r="BA256" s="18">
        <v>0</v>
      </c>
      <c r="BB256" s="18">
        <v>0</v>
      </c>
      <c r="BC256" s="18">
        <v>0</v>
      </c>
      <c r="BD256" s="18">
        <v>0</v>
      </c>
      <c r="BE256" s="18">
        <v>0</v>
      </c>
      <c r="BF256" s="18">
        <v>0</v>
      </c>
      <c r="BG256" s="18">
        <v>0</v>
      </c>
      <c r="BH256" s="18">
        <v>0</v>
      </c>
      <c r="BI256" s="18">
        <v>0</v>
      </c>
      <c r="BJ256" s="19"/>
      <c r="BK256" s="18">
        <v>32.530091084934874</v>
      </c>
      <c r="BL256" s="18">
        <v>3.4412620888074259</v>
      </c>
      <c r="BM256" s="18">
        <v>25.346364123235844</v>
      </c>
      <c r="BN256" s="18">
        <v>10.595535037200495</v>
      </c>
      <c r="BO256" s="18"/>
      <c r="BP256" s="18" t="s">
        <v>217</v>
      </c>
      <c r="BQ256" s="18">
        <v>39.740178561511669</v>
      </c>
      <c r="BR256" s="18">
        <v>0.6460617528733873</v>
      </c>
      <c r="BS256" s="18">
        <v>0.45198543742742103</v>
      </c>
      <c r="BT256" s="19"/>
      <c r="BU256" s="18">
        <v>746.53635876764145</v>
      </c>
      <c r="BV256" s="18">
        <v>65.873056910637345</v>
      </c>
      <c r="BW256" s="18">
        <v>183.94969543063647</v>
      </c>
      <c r="BX256" s="18" t="s">
        <v>217</v>
      </c>
      <c r="BY256" s="18" t="s">
        <v>217</v>
      </c>
      <c r="BZ256" s="18">
        <v>40.700479369015945</v>
      </c>
      <c r="CA256" s="18">
        <v>228.24190391252051</v>
      </c>
      <c r="CB256" s="19"/>
      <c r="CC256" s="19">
        <v>50.957373983619803</v>
      </c>
      <c r="CD256" s="19">
        <v>9.2794789252027492</v>
      </c>
      <c r="CE256" s="19">
        <v>11.619208678073299</v>
      </c>
      <c r="CF256" s="19">
        <v>18.4842306849099</v>
      </c>
      <c r="CG256" s="19">
        <v>11.027594131658802</v>
      </c>
      <c r="CH256" s="19">
        <v>3.8584563248167405</v>
      </c>
      <c r="CI256" s="19">
        <v>5.3090159687681604</v>
      </c>
      <c r="CJ256" s="19"/>
      <c r="CK256" s="19">
        <v>438.77786343348703</v>
      </c>
      <c r="CL256" s="19">
        <v>54.5582327732767</v>
      </c>
      <c r="CM256" s="19">
        <v>387.51159206515501</v>
      </c>
      <c r="CN256" s="19">
        <v>883.61162297269698</v>
      </c>
      <c r="CO256" s="19">
        <v>1.6608523924044702</v>
      </c>
      <c r="CP256" s="19">
        <v>1.7274283384740901</v>
      </c>
      <c r="CQ256" s="19">
        <v>224.56209467194799</v>
      </c>
      <c r="CR256" s="19">
        <v>383.42867574983495</v>
      </c>
      <c r="CS256" s="19">
        <v>21.340320726991386</v>
      </c>
      <c r="CT256" s="19">
        <v>8.6912548636416531</v>
      </c>
      <c r="CU256" s="19">
        <v>10.142272078714251</v>
      </c>
      <c r="CV256" s="19">
        <v>18.83352694235592</v>
      </c>
      <c r="CW256" s="19">
        <v>16.839820776528477</v>
      </c>
      <c r="CX256" s="19">
        <v>4.8293778363808917</v>
      </c>
      <c r="CY256" s="19">
        <v>15.429438019362562</v>
      </c>
      <c r="CZ256" s="19">
        <v>29.139357689714103</v>
      </c>
      <c r="DA256" s="19">
        <v>11.640982424328008</v>
      </c>
      <c r="DB256" s="19">
        <v>16.458489437752661</v>
      </c>
      <c r="DC256" s="19">
        <v>12.081344509036223</v>
      </c>
      <c r="DD256" s="19">
        <v>28.539833946788921</v>
      </c>
      <c r="DE256" s="19">
        <v>20.071871851259928</v>
      </c>
      <c r="DF256" s="23">
        <v>19820.281872474301</v>
      </c>
      <c r="DG256" s="23">
        <v>0</v>
      </c>
      <c r="DH256" s="23">
        <v>0</v>
      </c>
      <c r="DI256" s="19">
        <v>66.434095696178701</v>
      </c>
      <c r="DJ256" s="19">
        <v>6.6434095696178703</v>
      </c>
      <c r="DK256" s="19">
        <v>1245.63929430335</v>
      </c>
      <c r="DL256" s="19">
        <v>16.608523924044601</v>
      </c>
      <c r="DM256" s="19">
        <v>0</v>
      </c>
      <c r="DN256" s="19">
        <v>16.608523924044601</v>
      </c>
      <c r="DO256" s="19">
        <v>41.521309810111703</v>
      </c>
      <c r="DP256" s="19">
        <v>24.912785886067098</v>
      </c>
      <c r="DQ256" s="19">
        <v>166.08523924044599</v>
      </c>
      <c r="DR256" s="19">
        <v>166.08523924044599</v>
      </c>
      <c r="DS256" s="19">
        <v>124.56392943033499</v>
      </c>
      <c r="DT256" s="19">
        <v>0</v>
      </c>
      <c r="DU256" s="19">
        <v>12.456392943033499</v>
      </c>
      <c r="DV256" s="19">
        <v>1.66085239240447</v>
      </c>
      <c r="DW256" s="17" t="s">
        <v>218</v>
      </c>
      <c r="DX256" s="22" t="s">
        <v>218</v>
      </c>
      <c r="DY256" s="22" t="s">
        <v>218</v>
      </c>
      <c r="DZ256" s="22" t="s">
        <v>218</v>
      </c>
      <c r="EA256" s="22" t="s">
        <v>218</v>
      </c>
      <c r="EB256" s="22" t="s">
        <v>218</v>
      </c>
      <c r="EC256" s="22" t="s">
        <v>218</v>
      </c>
      <c r="ED256" s="22" t="s">
        <v>218</v>
      </c>
      <c r="EE256" s="22" t="s">
        <v>218</v>
      </c>
      <c r="EF256" s="22" t="s">
        <v>218</v>
      </c>
      <c r="EG256" s="22" t="s">
        <v>218</v>
      </c>
      <c r="EH256" s="22" t="s">
        <v>218</v>
      </c>
      <c r="EI256" s="22" t="s">
        <v>218</v>
      </c>
      <c r="EJ256" s="22" t="s">
        <v>218</v>
      </c>
      <c r="EK256" s="22" t="s">
        <v>218</v>
      </c>
      <c r="EL256" s="22" t="s">
        <v>218</v>
      </c>
      <c r="EM256" s="22" t="s">
        <v>218</v>
      </c>
      <c r="EN256" s="22" t="s">
        <v>218</v>
      </c>
      <c r="EO256" s="22" t="s">
        <v>218</v>
      </c>
      <c r="EP256" s="22" t="s">
        <v>218</v>
      </c>
      <c r="EQ256" s="22" t="s">
        <v>218</v>
      </c>
      <c r="ER256" s="22" t="s">
        <v>218</v>
      </c>
      <c r="ES256" s="22" t="s">
        <v>218</v>
      </c>
      <c r="ET256" s="22" t="s">
        <v>218</v>
      </c>
      <c r="EU256" s="22" t="s">
        <v>218</v>
      </c>
      <c r="EV256" s="22" t="s">
        <v>218</v>
      </c>
      <c r="EW256" s="22" t="s">
        <v>218</v>
      </c>
      <c r="EX256" s="22" t="s">
        <v>218</v>
      </c>
      <c r="EY256" s="22" t="s">
        <v>218</v>
      </c>
      <c r="EZ256" s="22" t="s">
        <v>218</v>
      </c>
      <c r="FA256" s="22" t="s">
        <v>218</v>
      </c>
      <c r="FB256" s="22" t="s">
        <v>218</v>
      </c>
      <c r="FC256" s="22" t="s">
        <v>218</v>
      </c>
      <c r="FD256" s="22" t="s">
        <v>218</v>
      </c>
      <c r="FE256" s="22" t="s">
        <v>218</v>
      </c>
      <c r="FF256" s="22" t="s">
        <v>218</v>
      </c>
      <c r="FG256" s="22" t="s">
        <v>218</v>
      </c>
      <c r="FH256" s="22" t="s">
        <v>218</v>
      </c>
      <c r="FI256" s="22" t="s">
        <v>218</v>
      </c>
      <c r="FJ256" s="22" t="s">
        <v>218</v>
      </c>
      <c r="FK256" s="22" t="s">
        <v>218</v>
      </c>
      <c r="FL256" s="22" t="s">
        <v>218</v>
      </c>
      <c r="FM256" s="22" t="s">
        <v>218</v>
      </c>
      <c r="FN256" s="22" t="s">
        <v>218</v>
      </c>
      <c r="FO256" s="22" t="s">
        <v>218</v>
      </c>
      <c r="FP256" s="22" t="s">
        <v>218</v>
      </c>
      <c r="FQ256" s="22" t="s">
        <v>218</v>
      </c>
      <c r="FR256" s="22" t="s">
        <v>218</v>
      </c>
      <c r="FS256" s="22" t="s">
        <v>218</v>
      </c>
      <c r="FT256" s="22" t="s">
        <v>218</v>
      </c>
      <c r="FU256" s="22" t="s">
        <v>218</v>
      </c>
      <c r="FV256" s="22" t="s">
        <v>218</v>
      </c>
      <c r="FW256" s="22" t="s">
        <v>218</v>
      </c>
      <c r="FX256" s="22" t="s">
        <v>218</v>
      </c>
      <c r="FY256" s="22" t="s">
        <v>218</v>
      </c>
      <c r="FZ256" s="22" t="s">
        <v>218</v>
      </c>
      <c r="GA256" s="22" t="s">
        <v>218</v>
      </c>
      <c r="GB256" s="22" t="s">
        <v>218</v>
      </c>
      <c r="GC256" s="22" t="s">
        <v>218</v>
      </c>
      <c r="GD256" s="22" t="s">
        <v>218</v>
      </c>
      <c r="GE256" s="22" t="s">
        <v>218</v>
      </c>
      <c r="GF256" s="22" t="s">
        <v>218</v>
      </c>
      <c r="GG256" s="22" t="s">
        <v>218</v>
      </c>
      <c r="GH256" s="22" t="s">
        <v>218</v>
      </c>
      <c r="GI256" s="22" t="s">
        <v>218</v>
      </c>
      <c r="GJ256" s="22" t="s">
        <v>218</v>
      </c>
      <c r="GK256" s="22" t="s">
        <v>218</v>
      </c>
      <c r="GL256" s="22" t="s">
        <v>218</v>
      </c>
      <c r="GM256" s="22" t="s">
        <v>218</v>
      </c>
      <c r="GN256" s="22" t="s">
        <v>218</v>
      </c>
      <c r="GO256" s="22" t="s">
        <v>218</v>
      </c>
      <c r="GP256" s="22" t="s">
        <v>218</v>
      </c>
      <c r="GQ256" s="22" t="s">
        <v>218</v>
      </c>
      <c r="GR256" s="22" t="s">
        <v>218</v>
      </c>
      <c r="GS256" s="22" t="s">
        <v>218</v>
      </c>
      <c r="GT256" s="22" t="s">
        <v>218</v>
      </c>
      <c r="GU256" s="22" t="s">
        <v>218</v>
      </c>
      <c r="GV256" s="22" t="s">
        <v>218</v>
      </c>
      <c r="GW256" s="22" t="s">
        <v>218</v>
      </c>
      <c r="GX256" s="22" t="s">
        <v>218</v>
      </c>
      <c r="GY256" s="22" t="s">
        <v>218</v>
      </c>
      <c r="GZ256" s="22" t="s">
        <v>218</v>
      </c>
      <c r="HA256" s="22" t="s">
        <v>218</v>
      </c>
      <c r="HB256" s="22" t="s">
        <v>218</v>
      </c>
      <c r="HC256" s="22" t="s">
        <v>218</v>
      </c>
      <c r="HD256" s="22" t="s">
        <v>218</v>
      </c>
      <c r="HE256" s="22" t="s">
        <v>218</v>
      </c>
      <c r="HF256" s="22" t="s">
        <v>218</v>
      </c>
      <c r="HG256" s="22" t="s">
        <v>218</v>
      </c>
      <c r="HH256" s="22" t="s">
        <v>218</v>
      </c>
      <c r="HI256" s="22" t="s">
        <v>218</v>
      </c>
      <c r="HJ256" s="22" t="s">
        <v>218</v>
      </c>
      <c r="HK256" s="22" t="s">
        <v>218</v>
      </c>
      <c r="HL256" s="22" t="s">
        <v>218</v>
      </c>
      <c r="HM256" s="622">
        <f>'background data'!$G$10</f>
        <v>0.47300000000000003</v>
      </c>
      <c r="HN256" s="622">
        <f>'background data'!$H$10</f>
        <v>0.13</v>
      </c>
      <c r="HO256" s="622">
        <f>'background data'!$J$10</f>
        <v>0.39100000000000001</v>
      </c>
      <c r="HP256" s="622">
        <f>'background data'!$L$10</f>
        <v>5.5E-2</v>
      </c>
      <c r="HQ256" s="622">
        <f>'background data'!$M$10</f>
        <v>3.97</v>
      </c>
      <c r="HR256" s="622">
        <f>'background data'!$N$10</f>
        <v>4.5999999999999999E-3</v>
      </c>
      <c r="HS256" s="622">
        <f>'background data'!$O$10</f>
        <v>2.73</v>
      </c>
      <c r="HT256" s="145" t="s">
        <v>1797</v>
      </c>
      <c r="HU256" s="145" t="s">
        <v>1809</v>
      </c>
      <c r="HV256" s="22" t="s">
        <v>1926</v>
      </c>
      <c r="HW256" s="22">
        <v>0</v>
      </c>
      <c r="HX256" s="22">
        <v>0</v>
      </c>
      <c r="HY256" s="22">
        <v>0</v>
      </c>
      <c r="HZ256" s="19"/>
      <c r="IA256" s="19"/>
      <c r="IB256" s="622">
        <f>'background data'!$G$10</f>
        <v>0.47300000000000003</v>
      </c>
      <c r="IC256" s="622">
        <f>'background data'!$H$10</f>
        <v>0.13</v>
      </c>
      <c r="ID256" s="622">
        <f>'background data'!$J$10</f>
        <v>0.39100000000000001</v>
      </c>
      <c r="IE256" s="622">
        <f>'background data'!$L$10</f>
        <v>5.5E-2</v>
      </c>
      <c r="IF256" s="622">
        <f>'background data'!$M$10</f>
        <v>3.97</v>
      </c>
      <c r="IG256" s="622">
        <f>'background data'!$N$10</f>
        <v>4.5999999999999999E-3</v>
      </c>
      <c r="IH256" s="622">
        <f>'background data'!$O$10</f>
        <v>2.73</v>
      </c>
      <c r="II256" s="145" t="s">
        <v>1797</v>
      </c>
      <c r="IJ256" s="145"/>
      <c r="IK256" s="145"/>
      <c r="IL256" s="145"/>
      <c r="IM256" s="145"/>
      <c r="IN256" s="145"/>
      <c r="IO256" s="145"/>
      <c r="IP256" s="145"/>
      <c r="IQ256" s="145"/>
      <c r="IR256" s="145"/>
      <c r="IS256" s="145"/>
      <c r="IT256" s="145"/>
      <c r="IU256" s="145"/>
      <c r="IV256" s="145"/>
      <c r="IW256" s="145"/>
      <c r="IX256" s="145"/>
      <c r="IY256" s="145"/>
      <c r="IZ256" s="145"/>
      <c r="JA256" s="145"/>
      <c r="JB256" s="145"/>
      <c r="JC256" s="145"/>
      <c r="JD256" s="145"/>
      <c r="JE256" s="145"/>
      <c r="JF256" s="145"/>
      <c r="JG256" s="145"/>
      <c r="JH256" s="145"/>
      <c r="JI256" s="145"/>
      <c r="JJ256" s="145"/>
      <c r="JK256" s="145"/>
      <c r="JL256" s="145"/>
      <c r="JM256" s="145"/>
      <c r="JN256" s="145"/>
      <c r="JO256" s="145"/>
      <c r="JP256" s="145"/>
      <c r="JQ256" s="145"/>
      <c r="JR256" s="145"/>
      <c r="JS256" s="145"/>
      <c r="JT256" s="145"/>
      <c r="JU256" s="145"/>
      <c r="JV256" s="145"/>
      <c r="JW256" s="145"/>
      <c r="JX256" s="145"/>
      <c r="JY256" s="145"/>
      <c r="JZ256" s="145"/>
      <c r="KA256" s="145"/>
      <c r="KB256" s="145"/>
      <c r="KC256" s="145"/>
      <c r="KD256" s="145"/>
      <c r="KE256" s="145"/>
      <c r="KF256" s="145"/>
      <c r="KG256" s="145"/>
      <c r="KH256" s="145"/>
      <c r="KI256" s="145"/>
      <c r="KJ256" s="145"/>
      <c r="KK256" s="145"/>
      <c r="KL256" s="145"/>
      <c r="KM256" s="145"/>
      <c r="KN256" s="145"/>
      <c r="KO256" s="145"/>
      <c r="KP256" s="145"/>
      <c r="KQ256" s="145"/>
      <c r="KR256" s="145"/>
      <c r="KS256" s="145"/>
      <c r="KT256" s="145"/>
      <c r="KU256" s="145"/>
      <c r="KV256" s="145"/>
      <c r="KW256" s="145"/>
      <c r="KX256" s="145"/>
      <c r="KY256" s="145"/>
      <c r="KZ256" s="145"/>
      <c r="LA256" s="145"/>
      <c r="LB256" s="145"/>
      <c r="LC256" s="145"/>
      <c r="LD256" s="145"/>
      <c r="LE256" s="145"/>
      <c r="LF256" s="145"/>
      <c r="LG256" s="145"/>
      <c r="LH256" s="145"/>
      <c r="LI256" s="145"/>
      <c r="LJ256" s="145"/>
      <c r="LK256" s="145"/>
      <c r="LL256" s="145"/>
      <c r="LM256" s="145"/>
      <c r="LN256" s="145"/>
      <c r="LO256" s="145"/>
      <c r="LP256" s="145"/>
      <c r="LQ256" s="145"/>
      <c r="LR256" s="145"/>
      <c r="LS256" s="145"/>
      <c r="LT256" s="145"/>
      <c r="LU256" s="145"/>
      <c r="LV256" s="145"/>
      <c r="LW256" s="145"/>
      <c r="LX256" s="145"/>
      <c r="LY256" s="145"/>
      <c r="LZ256" s="145"/>
      <c r="MA256" s="145"/>
      <c r="MB256" s="145"/>
      <c r="MC256" s="145"/>
      <c r="MD256" s="145"/>
      <c r="ME256" s="145"/>
      <c r="MF256" s="145"/>
      <c r="MG256" s="145"/>
      <c r="MH256" s="145"/>
      <c r="MI256" s="145"/>
      <c r="MJ256" s="145"/>
      <c r="MK256" s="145"/>
      <c r="ML256" s="145"/>
      <c r="MM256" s="145"/>
      <c r="MN256" s="145"/>
      <c r="MO256" s="145"/>
      <c r="MP256" s="145"/>
      <c r="MQ256" s="145"/>
      <c r="MR256" s="145"/>
      <c r="MS256" s="145"/>
      <c r="MT256" s="145"/>
      <c r="MU256" s="145"/>
      <c r="MV256" s="145"/>
      <c r="MW256" s="145"/>
      <c r="MX256" s="145"/>
      <c r="MY256" s="145"/>
      <c r="MZ256" s="145"/>
      <c r="NA256" s="145"/>
      <c r="NB256" s="145"/>
      <c r="NC256" s="145"/>
      <c r="ND256" s="145"/>
      <c r="NE256" s="145"/>
      <c r="NF256" s="145"/>
      <c r="NG256" s="145"/>
      <c r="NH256" s="145"/>
      <c r="NI256" s="145"/>
      <c r="NJ256" s="145"/>
      <c r="NK256" s="145"/>
      <c r="NL256" s="145"/>
      <c r="NM256" s="145"/>
      <c r="NN256" s="145"/>
      <c r="NO256" s="145"/>
      <c r="NP256" s="145"/>
      <c r="NQ256" s="145"/>
      <c r="NR256" s="145"/>
      <c r="NS256" s="145"/>
    </row>
    <row r="257" spans="1:383" s="16" customFormat="1" ht="15" customHeight="1" x14ac:dyDescent="0.2">
      <c r="A257" s="15">
        <v>42000</v>
      </c>
      <c r="B257" s="25">
        <v>420</v>
      </c>
      <c r="C257" s="26">
        <v>0</v>
      </c>
      <c r="D257" s="20" t="s">
        <v>706</v>
      </c>
      <c r="E257" s="14">
        <v>40310</v>
      </c>
      <c r="F257" s="18">
        <v>-8.8418002322880607E-2</v>
      </c>
      <c r="G257" s="18">
        <v>-8.2438367346939004E-2</v>
      </c>
      <c r="H257" s="21">
        <v>70</v>
      </c>
      <c r="I257" s="21">
        <v>60</v>
      </c>
      <c r="J257" s="21">
        <v>90</v>
      </c>
      <c r="K257" s="18">
        <v>1</v>
      </c>
      <c r="L257" s="18">
        <v>99</v>
      </c>
      <c r="M257" s="18">
        <v>0.1</v>
      </c>
      <c r="N257" s="18">
        <v>0.1</v>
      </c>
      <c r="O257" s="18">
        <v>96.7</v>
      </c>
      <c r="P257" s="18">
        <v>0.04</v>
      </c>
      <c r="Q257" s="19"/>
      <c r="R257" s="18">
        <v>70</v>
      </c>
      <c r="S257" s="18">
        <v>50</v>
      </c>
      <c r="T257" s="18">
        <v>50</v>
      </c>
      <c r="U257" s="18">
        <v>50</v>
      </c>
      <c r="V257" s="18">
        <v>50</v>
      </c>
      <c r="W257" s="18">
        <v>50</v>
      </c>
      <c r="X257" s="18"/>
      <c r="Y257" s="18">
        <v>0</v>
      </c>
      <c r="Z257" s="18">
        <v>0</v>
      </c>
      <c r="AA257" s="18">
        <v>0</v>
      </c>
      <c r="AB257" s="18">
        <v>0</v>
      </c>
      <c r="AC257" s="18">
        <v>0</v>
      </c>
      <c r="AD257" s="18">
        <v>0</v>
      </c>
      <c r="AE257" s="18">
        <v>0</v>
      </c>
      <c r="AF257" s="18">
        <v>62626.262626262629</v>
      </c>
      <c r="AG257" s="18">
        <v>12525.252525252525</v>
      </c>
      <c r="AH257" s="18">
        <v>25050.505050504951</v>
      </c>
      <c r="AI257" s="18">
        <v>62626.262626262629</v>
      </c>
      <c r="AJ257" s="18">
        <v>125.25252525252525</v>
      </c>
      <c r="AK257" s="18">
        <v>219.1919191919192</v>
      </c>
      <c r="AL257" s="18"/>
      <c r="AM257" s="18">
        <v>0</v>
      </c>
      <c r="AN257" s="18">
        <v>0</v>
      </c>
      <c r="AO257" s="18">
        <v>0</v>
      </c>
      <c r="AP257" s="18">
        <v>0</v>
      </c>
      <c r="AQ257" s="18">
        <v>0</v>
      </c>
      <c r="AR257" s="18">
        <v>0</v>
      </c>
      <c r="AS257" s="18">
        <v>0</v>
      </c>
      <c r="AT257" s="18">
        <v>0</v>
      </c>
      <c r="AU257" s="18">
        <v>0</v>
      </c>
      <c r="AV257" s="18">
        <v>0</v>
      </c>
      <c r="AW257" s="18">
        <v>0</v>
      </c>
      <c r="AX257" s="18"/>
      <c r="AY257" s="18">
        <v>1</v>
      </c>
      <c r="AZ257" s="18">
        <v>1</v>
      </c>
      <c r="BA257" s="18">
        <v>1</v>
      </c>
      <c r="BB257" s="18">
        <v>1</v>
      </c>
      <c r="BC257" s="18">
        <v>1</v>
      </c>
      <c r="BD257" s="18">
        <v>1</v>
      </c>
      <c r="BE257" s="18">
        <v>1</v>
      </c>
      <c r="BF257" s="18">
        <v>1</v>
      </c>
      <c r="BG257" s="18">
        <v>1</v>
      </c>
      <c r="BH257" s="18">
        <v>1</v>
      </c>
      <c r="BI257" s="18">
        <v>1</v>
      </c>
      <c r="BJ257" s="19"/>
      <c r="BK257" s="18">
        <v>0.10101010101010102</v>
      </c>
      <c r="BL257" s="18">
        <v>0.10101010101010102</v>
      </c>
      <c r="BM257" s="18">
        <v>97.676767676767682</v>
      </c>
      <c r="BN257" s="18">
        <v>4.0404040404040407E-2</v>
      </c>
      <c r="BO257" s="18"/>
      <c r="BP257" s="18">
        <v>0</v>
      </c>
      <c r="BQ257" s="18">
        <v>0</v>
      </c>
      <c r="BR257" s="18">
        <v>-8.9311113457455155E-2</v>
      </c>
      <c r="BS257" s="18">
        <v>-8.327107812822121E-2</v>
      </c>
      <c r="BT257" s="19"/>
      <c r="BU257" s="18">
        <v>23.232323232323033</v>
      </c>
      <c r="BV257" s="18">
        <v>11.044733044732929</v>
      </c>
      <c r="BW257" s="18">
        <v>3.3189033189032928</v>
      </c>
      <c r="BX257" s="18">
        <v>0</v>
      </c>
      <c r="BY257" s="18">
        <v>0</v>
      </c>
      <c r="BZ257" s="18">
        <v>0</v>
      </c>
      <c r="CA257" s="18">
        <v>0</v>
      </c>
      <c r="CB257" s="19"/>
      <c r="CC257" s="19">
        <v>0</v>
      </c>
      <c r="CD257" s="19">
        <v>0</v>
      </c>
      <c r="CE257" s="19">
        <v>0</v>
      </c>
      <c r="CF257" s="19">
        <v>0</v>
      </c>
      <c r="CG257" s="19">
        <v>0</v>
      </c>
      <c r="CH257" s="19">
        <v>0</v>
      </c>
      <c r="CI257" s="19">
        <v>0</v>
      </c>
      <c r="CJ257" s="19"/>
      <c r="CK257" s="19">
        <v>62000</v>
      </c>
      <c r="CL257" s="19">
        <v>12400</v>
      </c>
      <c r="CM257" s="19">
        <v>24799.999999999902</v>
      </c>
      <c r="CN257" s="19">
        <v>62000</v>
      </c>
      <c r="CO257" s="19">
        <v>123.99999999999999</v>
      </c>
      <c r="CP257" s="19">
        <v>217</v>
      </c>
      <c r="CQ257" s="19">
        <v>0.7</v>
      </c>
      <c r="CR257" s="19">
        <v>-7.9169397816043574</v>
      </c>
      <c r="CS257" s="19">
        <v>0</v>
      </c>
      <c r="CT257" s="19">
        <v>0</v>
      </c>
      <c r="CU257" s="19">
        <v>0</v>
      </c>
      <c r="CV257" s="19">
        <v>0</v>
      </c>
      <c r="CW257" s="19">
        <v>0</v>
      </c>
      <c r="CX257" s="19">
        <v>0</v>
      </c>
      <c r="CY257" s="19">
        <v>0</v>
      </c>
      <c r="CZ257" s="19">
        <v>0</v>
      </c>
      <c r="DA257" s="19">
        <v>0</v>
      </c>
      <c r="DB257" s="19">
        <v>0</v>
      </c>
      <c r="DC257" s="19">
        <v>0</v>
      </c>
      <c r="DD257" s="19">
        <v>0</v>
      </c>
      <c r="DE257" s="19">
        <v>0</v>
      </c>
      <c r="DF257" s="23">
        <v>0</v>
      </c>
      <c r="DG257" s="23">
        <v>0</v>
      </c>
      <c r="DH257" s="23">
        <v>0</v>
      </c>
      <c r="DI257" s="19">
        <v>4960</v>
      </c>
      <c r="DJ257" s="19">
        <v>496</v>
      </c>
      <c r="DK257" s="19">
        <v>80600</v>
      </c>
      <c r="DL257" s="19">
        <v>1240</v>
      </c>
      <c r="DM257" s="19">
        <v>0</v>
      </c>
      <c r="DN257" s="19">
        <v>1240</v>
      </c>
      <c r="DO257" s="19">
        <v>2479.99999999999</v>
      </c>
      <c r="DP257" s="19">
        <v>1860</v>
      </c>
      <c r="DQ257" s="19">
        <v>12400</v>
      </c>
      <c r="DR257" s="19">
        <v>12400</v>
      </c>
      <c r="DS257" s="19">
        <v>6200</v>
      </c>
      <c r="DT257" s="19">
        <v>0</v>
      </c>
      <c r="DU257" s="19">
        <v>0</v>
      </c>
      <c r="DV257" s="19">
        <v>124</v>
      </c>
      <c r="DW257" s="17" t="s">
        <v>218</v>
      </c>
      <c r="DX257" s="22" t="s">
        <v>218</v>
      </c>
      <c r="DY257" s="22" t="s">
        <v>218</v>
      </c>
      <c r="DZ257" s="22" t="s">
        <v>218</v>
      </c>
      <c r="EA257" s="22" t="s">
        <v>218</v>
      </c>
      <c r="EB257" s="22" t="s">
        <v>218</v>
      </c>
      <c r="EC257" s="22" t="s">
        <v>218</v>
      </c>
      <c r="ED257" s="22" t="s">
        <v>218</v>
      </c>
      <c r="EE257" s="22" t="s">
        <v>218</v>
      </c>
      <c r="EF257" s="22" t="s">
        <v>218</v>
      </c>
      <c r="EG257" s="22" t="s">
        <v>218</v>
      </c>
      <c r="EH257" s="22" t="s">
        <v>218</v>
      </c>
      <c r="EI257" s="22" t="s">
        <v>218</v>
      </c>
      <c r="EJ257" s="22" t="s">
        <v>218</v>
      </c>
      <c r="EK257" s="22" t="s">
        <v>218</v>
      </c>
      <c r="EL257" s="22" t="s">
        <v>218</v>
      </c>
      <c r="EM257" s="22" t="s">
        <v>218</v>
      </c>
      <c r="EN257" s="22" t="s">
        <v>218</v>
      </c>
      <c r="EO257" s="22" t="s">
        <v>218</v>
      </c>
      <c r="EP257" s="22" t="s">
        <v>218</v>
      </c>
      <c r="EQ257" s="22" t="s">
        <v>218</v>
      </c>
      <c r="ER257" s="22" t="s">
        <v>218</v>
      </c>
      <c r="ES257" s="22" t="s">
        <v>218</v>
      </c>
      <c r="ET257" s="22" t="s">
        <v>218</v>
      </c>
      <c r="EU257" s="22" t="s">
        <v>218</v>
      </c>
      <c r="EV257" s="22" t="s">
        <v>218</v>
      </c>
      <c r="EW257" s="22" t="s">
        <v>218</v>
      </c>
      <c r="EX257" s="22" t="s">
        <v>218</v>
      </c>
      <c r="EY257" s="22" t="s">
        <v>218</v>
      </c>
      <c r="EZ257" s="22" t="s">
        <v>218</v>
      </c>
      <c r="FA257" s="22" t="s">
        <v>218</v>
      </c>
      <c r="FB257" s="22" t="s">
        <v>218</v>
      </c>
      <c r="FC257" s="22" t="s">
        <v>218</v>
      </c>
      <c r="FD257" s="22" t="s">
        <v>218</v>
      </c>
      <c r="FE257" s="22" t="s">
        <v>218</v>
      </c>
      <c r="FF257" s="22" t="s">
        <v>218</v>
      </c>
      <c r="FG257" s="22" t="s">
        <v>218</v>
      </c>
      <c r="FH257" s="22" t="s">
        <v>218</v>
      </c>
      <c r="FI257" s="22" t="s">
        <v>218</v>
      </c>
      <c r="FJ257" s="22" t="s">
        <v>218</v>
      </c>
      <c r="FK257" s="22" t="s">
        <v>218</v>
      </c>
      <c r="FL257" s="22" t="s">
        <v>218</v>
      </c>
      <c r="FM257" s="22" t="s">
        <v>218</v>
      </c>
      <c r="FN257" s="22" t="s">
        <v>218</v>
      </c>
      <c r="FO257" s="22" t="s">
        <v>218</v>
      </c>
      <c r="FP257" s="22" t="s">
        <v>218</v>
      </c>
      <c r="FQ257" s="22" t="s">
        <v>218</v>
      </c>
      <c r="FR257" s="22" t="s">
        <v>218</v>
      </c>
      <c r="FS257" s="22" t="s">
        <v>218</v>
      </c>
      <c r="FT257" s="22" t="s">
        <v>218</v>
      </c>
      <c r="FU257" s="22" t="s">
        <v>218</v>
      </c>
      <c r="FV257" s="22" t="s">
        <v>218</v>
      </c>
      <c r="FW257" s="22" t="s">
        <v>218</v>
      </c>
      <c r="FX257" s="22" t="s">
        <v>218</v>
      </c>
      <c r="FY257" s="22" t="s">
        <v>218</v>
      </c>
      <c r="FZ257" s="22" t="s">
        <v>218</v>
      </c>
      <c r="GA257" s="22" t="s">
        <v>218</v>
      </c>
      <c r="GB257" s="22" t="s">
        <v>218</v>
      </c>
      <c r="GC257" s="22" t="s">
        <v>218</v>
      </c>
      <c r="GD257" s="22" t="s">
        <v>218</v>
      </c>
      <c r="GE257" s="22" t="s">
        <v>218</v>
      </c>
      <c r="GF257" s="22" t="s">
        <v>218</v>
      </c>
      <c r="GG257" s="22" t="s">
        <v>218</v>
      </c>
      <c r="GH257" s="22" t="s">
        <v>218</v>
      </c>
      <c r="GI257" s="22" t="s">
        <v>218</v>
      </c>
      <c r="GJ257" s="22" t="s">
        <v>218</v>
      </c>
      <c r="GK257" s="22" t="s">
        <v>218</v>
      </c>
      <c r="GL257" s="22" t="s">
        <v>218</v>
      </c>
      <c r="GM257" s="22" t="s">
        <v>218</v>
      </c>
      <c r="GN257" s="22" t="s">
        <v>218</v>
      </c>
      <c r="GO257" s="22" t="s">
        <v>218</v>
      </c>
      <c r="GP257" s="22" t="s">
        <v>218</v>
      </c>
      <c r="GQ257" s="22" t="s">
        <v>218</v>
      </c>
      <c r="GR257" s="22" t="s">
        <v>218</v>
      </c>
      <c r="GS257" s="22" t="s">
        <v>218</v>
      </c>
      <c r="GT257" s="22" t="s">
        <v>218</v>
      </c>
      <c r="GU257" s="22" t="s">
        <v>218</v>
      </c>
      <c r="GV257" s="22" t="s">
        <v>218</v>
      </c>
      <c r="GW257" s="22" t="s">
        <v>218</v>
      </c>
      <c r="GX257" s="22" t="s">
        <v>218</v>
      </c>
      <c r="GY257" s="22" t="s">
        <v>218</v>
      </c>
      <c r="GZ257" s="22" t="s">
        <v>218</v>
      </c>
      <c r="HA257" s="22" t="s">
        <v>218</v>
      </c>
      <c r="HB257" s="22" t="s">
        <v>218</v>
      </c>
      <c r="HC257" s="22" t="s">
        <v>218</v>
      </c>
      <c r="HD257" s="22" t="s">
        <v>218</v>
      </c>
      <c r="HE257" s="22" t="s">
        <v>218</v>
      </c>
      <c r="HF257" s="22" t="s">
        <v>218</v>
      </c>
      <c r="HG257" s="22" t="s">
        <v>218</v>
      </c>
      <c r="HH257" s="22" t="s">
        <v>218</v>
      </c>
      <c r="HI257" s="22" t="s">
        <v>218</v>
      </c>
      <c r="HJ257" s="22" t="s">
        <v>218</v>
      </c>
      <c r="HK257" s="22" t="s">
        <v>218</v>
      </c>
      <c r="HL257" s="22" t="s">
        <v>218</v>
      </c>
      <c r="HM257" s="622">
        <f>'background data'!$G$10</f>
        <v>0.47300000000000003</v>
      </c>
      <c r="HN257" s="622">
        <f>'background data'!$H$10</f>
        <v>0.13</v>
      </c>
      <c r="HO257" s="622">
        <f>'background data'!$J$10</f>
        <v>0.39100000000000001</v>
      </c>
      <c r="HP257" s="622">
        <f>'background data'!$L$10</f>
        <v>5.5E-2</v>
      </c>
      <c r="HQ257" s="622">
        <f>'background data'!$M$10</f>
        <v>3.97</v>
      </c>
      <c r="HR257" s="622">
        <f>'background data'!$N$10</f>
        <v>4.5999999999999999E-3</v>
      </c>
      <c r="HS257" s="622">
        <f>'background data'!$O$10</f>
        <v>2.73</v>
      </c>
      <c r="HT257" s="145" t="s">
        <v>1797</v>
      </c>
      <c r="HU257" s="145" t="s">
        <v>1809</v>
      </c>
      <c r="HV257" s="22" t="s">
        <v>1926</v>
      </c>
      <c r="HW257" s="22">
        <v>0</v>
      </c>
      <c r="HX257" s="22">
        <v>0</v>
      </c>
      <c r="HY257" s="22">
        <v>0</v>
      </c>
      <c r="HZ257" s="19"/>
      <c r="IA257" s="19"/>
      <c r="IB257" s="622">
        <f>'background data'!$G$10</f>
        <v>0.47300000000000003</v>
      </c>
      <c r="IC257" s="622">
        <f>'background data'!$H$10</f>
        <v>0.13</v>
      </c>
      <c r="ID257" s="622">
        <f>'background data'!$J$10</f>
        <v>0.39100000000000001</v>
      </c>
      <c r="IE257" s="622">
        <f>'background data'!$L$10</f>
        <v>5.5E-2</v>
      </c>
      <c r="IF257" s="622">
        <f>'background data'!$M$10</f>
        <v>3.97</v>
      </c>
      <c r="IG257" s="622">
        <f>'background data'!$N$10</f>
        <v>4.5999999999999999E-3</v>
      </c>
      <c r="IH257" s="622">
        <f>'background data'!$O$10</f>
        <v>2.73</v>
      </c>
      <c r="II257" s="145" t="s">
        <v>1797</v>
      </c>
      <c r="IJ257" s="145"/>
      <c r="IK257" s="145"/>
      <c r="IL257" s="145"/>
      <c r="IM257" s="145"/>
      <c r="IN257" s="145"/>
      <c r="IO257" s="145"/>
      <c r="IP257" s="145"/>
      <c r="IQ257" s="145"/>
      <c r="IR257" s="145"/>
      <c r="IS257" s="145"/>
      <c r="IT257" s="145"/>
      <c r="IU257" s="145"/>
      <c r="IV257" s="145"/>
      <c r="IW257" s="145"/>
      <c r="IX257" s="145"/>
      <c r="IY257" s="145"/>
      <c r="IZ257" s="145"/>
      <c r="JA257" s="145"/>
      <c r="JB257" s="145"/>
      <c r="JC257" s="145"/>
      <c r="JD257" s="145"/>
      <c r="JE257" s="145"/>
      <c r="JF257" s="145"/>
      <c r="JG257" s="145"/>
      <c r="JH257" s="145"/>
      <c r="JI257" s="145"/>
      <c r="JJ257" s="145"/>
      <c r="JK257" s="145"/>
      <c r="JL257" s="145"/>
      <c r="JM257" s="145"/>
      <c r="JN257" s="145"/>
      <c r="JO257" s="145"/>
      <c r="JP257" s="145"/>
      <c r="JQ257" s="145"/>
      <c r="JR257" s="145"/>
      <c r="JS257" s="145"/>
      <c r="JT257" s="145"/>
      <c r="JU257" s="145"/>
      <c r="JV257" s="145"/>
      <c r="JW257" s="145"/>
      <c r="JX257" s="145"/>
      <c r="JY257" s="145"/>
      <c r="JZ257" s="145"/>
      <c r="KA257" s="145"/>
      <c r="KB257" s="145"/>
      <c r="KC257" s="145"/>
      <c r="KD257" s="145"/>
      <c r="KE257" s="145"/>
      <c r="KF257" s="145"/>
      <c r="KG257" s="145"/>
      <c r="KH257" s="145"/>
      <c r="KI257" s="145"/>
      <c r="KJ257" s="145"/>
      <c r="KK257" s="145"/>
      <c r="KL257" s="145"/>
      <c r="KM257" s="145"/>
      <c r="KN257" s="145"/>
      <c r="KO257" s="145"/>
      <c r="KP257" s="145"/>
      <c r="KQ257" s="145"/>
      <c r="KR257" s="145"/>
      <c r="KS257" s="145"/>
      <c r="KT257" s="145"/>
      <c r="KU257" s="145"/>
      <c r="KV257" s="145"/>
      <c r="KW257" s="145"/>
      <c r="KX257" s="145"/>
      <c r="KY257" s="145"/>
      <c r="KZ257" s="145"/>
      <c r="LA257" s="145"/>
      <c r="LB257" s="145"/>
      <c r="LC257" s="145"/>
      <c r="LD257" s="145"/>
      <c r="LE257" s="145"/>
      <c r="LF257" s="145"/>
      <c r="LG257" s="145"/>
      <c r="LH257" s="145"/>
      <c r="LI257" s="145"/>
      <c r="LJ257" s="145"/>
      <c r="LK257" s="145"/>
      <c r="LL257" s="145"/>
      <c r="LM257" s="145"/>
      <c r="LN257" s="145"/>
      <c r="LO257" s="145"/>
      <c r="LP257" s="145"/>
      <c r="LQ257" s="145"/>
      <c r="LR257" s="145"/>
      <c r="LS257" s="145"/>
      <c r="LT257" s="145"/>
      <c r="LU257" s="145"/>
      <c r="LV257" s="145"/>
      <c r="LW257" s="145"/>
      <c r="LX257" s="145"/>
      <c r="LY257" s="145"/>
      <c r="LZ257" s="145"/>
      <c r="MA257" s="145"/>
      <c r="MB257" s="145"/>
      <c r="MC257" s="145"/>
      <c r="MD257" s="145"/>
      <c r="ME257" s="145"/>
      <c r="MF257" s="145"/>
      <c r="MG257" s="145"/>
      <c r="MH257" s="145"/>
      <c r="MI257" s="145"/>
      <c r="MJ257" s="145"/>
      <c r="MK257" s="145"/>
      <c r="ML257" s="145"/>
      <c r="MM257" s="145"/>
      <c r="MN257" s="145"/>
      <c r="MO257" s="145"/>
      <c r="MP257" s="145"/>
      <c r="MQ257" s="145"/>
      <c r="MR257" s="145"/>
      <c r="MS257" s="145"/>
      <c r="MT257" s="145"/>
      <c r="MU257" s="145"/>
      <c r="MV257" s="145"/>
      <c r="MW257" s="145"/>
      <c r="MX257" s="145"/>
      <c r="MY257" s="145"/>
      <c r="MZ257" s="145"/>
      <c r="NA257" s="145"/>
      <c r="NB257" s="145"/>
      <c r="NC257" s="145"/>
      <c r="ND257" s="145"/>
      <c r="NE257" s="145"/>
      <c r="NF257" s="145"/>
      <c r="NG257" s="145"/>
      <c r="NH257" s="145"/>
      <c r="NI257" s="145"/>
      <c r="NJ257" s="145"/>
      <c r="NK257" s="145"/>
      <c r="NL257" s="145"/>
      <c r="NM257" s="145"/>
      <c r="NN257" s="145"/>
      <c r="NO257" s="145"/>
      <c r="NP257" s="145"/>
      <c r="NQ257" s="145"/>
      <c r="NR257" s="145"/>
      <c r="NS257" s="145"/>
    </row>
    <row r="258" spans="1:383" s="16" customFormat="1" ht="15" customHeight="1" x14ac:dyDescent="0.2">
      <c r="A258" s="15">
        <v>42500</v>
      </c>
      <c r="B258" s="25">
        <v>425</v>
      </c>
      <c r="C258" s="26">
        <v>0</v>
      </c>
      <c r="D258" s="20" t="s">
        <v>707</v>
      </c>
      <c r="E258" s="14">
        <v>40310</v>
      </c>
      <c r="F258" s="18">
        <v>-8.8418002322880607E-2</v>
      </c>
      <c r="G258" s="18">
        <v>-8.2438367346939004E-2</v>
      </c>
      <c r="H258" s="21">
        <v>70</v>
      </c>
      <c r="I258" s="21">
        <v>60</v>
      </c>
      <c r="J258" s="21">
        <v>90</v>
      </c>
      <c r="K258" s="18">
        <v>1</v>
      </c>
      <c r="L258" s="18">
        <v>99</v>
      </c>
      <c r="M258" s="18">
        <v>0.1</v>
      </c>
      <c r="N258" s="18">
        <v>0.1</v>
      </c>
      <c r="O258" s="18">
        <v>96.7</v>
      </c>
      <c r="P258" s="18">
        <v>0.04</v>
      </c>
      <c r="Q258" s="19"/>
      <c r="R258" s="18">
        <v>70</v>
      </c>
      <c r="S258" s="18">
        <v>50</v>
      </c>
      <c r="T258" s="18">
        <v>50</v>
      </c>
      <c r="U258" s="18">
        <v>50</v>
      </c>
      <c r="V258" s="18">
        <v>50</v>
      </c>
      <c r="W258" s="18">
        <v>50</v>
      </c>
      <c r="X258" s="18"/>
      <c r="Y258" s="18">
        <v>0</v>
      </c>
      <c r="Z258" s="18">
        <v>0</v>
      </c>
      <c r="AA258" s="18">
        <v>0</v>
      </c>
      <c r="AB258" s="18">
        <v>0</v>
      </c>
      <c r="AC258" s="18">
        <v>0</v>
      </c>
      <c r="AD258" s="18">
        <v>0</v>
      </c>
      <c r="AE258" s="18">
        <v>0</v>
      </c>
      <c r="AF258" s="18">
        <v>62626.262626262629</v>
      </c>
      <c r="AG258" s="18">
        <v>12525.252525252525</v>
      </c>
      <c r="AH258" s="18">
        <v>25050.505050504951</v>
      </c>
      <c r="AI258" s="18">
        <v>62626.262626262629</v>
      </c>
      <c r="AJ258" s="18">
        <v>125.25252525252525</v>
      </c>
      <c r="AK258" s="18">
        <v>219.1919191919192</v>
      </c>
      <c r="AL258" s="18"/>
      <c r="AM258" s="18">
        <v>0</v>
      </c>
      <c r="AN258" s="18">
        <v>0</v>
      </c>
      <c r="AO258" s="18">
        <v>0</v>
      </c>
      <c r="AP258" s="18">
        <v>0</v>
      </c>
      <c r="AQ258" s="18">
        <v>0</v>
      </c>
      <c r="AR258" s="18">
        <v>0</v>
      </c>
      <c r="AS258" s="18">
        <v>0</v>
      </c>
      <c r="AT258" s="18">
        <v>0</v>
      </c>
      <c r="AU258" s="18">
        <v>0</v>
      </c>
      <c r="AV258" s="18">
        <v>0</v>
      </c>
      <c r="AW258" s="18">
        <v>0</v>
      </c>
      <c r="AX258" s="18"/>
      <c r="AY258" s="18">
        <v>1</v>
      </c>
      <c r="AZ258" s="18">
        <v>1</v>
      </c>
      <c r="BA258" s="18">
        <v>1</v>
      </c>
      <c r="BB258" s="18">
        <v>1</v>
      </c>
      <c r="BC258" s="18">
        <v>1</v>
      </c>
      <c r="BD258" s="18">
        <v>1</v>
      </c>
      <c r="BE258" s="18">
        <v>1</v>
      </c>
      <c r="BF258" s="18">
        <v>1</v>
      </c>
      <c r="BG258" s="18">
        <v>1</v>
      </c>
      <c r="BH258" s="18">
        <v>1</v>
      </c>
      <c r="BI258" s="18">
        <v>1</v>
      </c>
      <c r="BJ258" s="19"/>
      <c r="BK258" s="18">
        <v>0.10101010101010102</v>
      </c>
      <c r="BL258" s="18">
        <v>0.10101010101010102</v>
      </c>
      <c r="BM258" s="18">
        <v>97.676767676767682</v>
      </c>
      <c r="BN258" s="18">
        <v>4.0404040404040407E-2</v>
      </c>
      <c r="BO258" s="18"/>
      <c r="BP258" s="18">
        <v>0</v>
      </c>
      <c r="BQ258" s="18">
        <v>0</v>
      </c>
      <c r="BR258" s="18">
        <v>-8.9311113457455155E-2</v>
      </c>
      <c r="BS258" s="18">
        <v>-8.327107812822121E-2</v>
      </c>
      <c r="BT258" s="19"/>
      <c r="BU258" s="18">
        <v>23.232323232323033</v>
      </c>
      <c r="BV258" s="18">
        <v>11.044733044732929</v>
      </c>
      <c r="BW258" s="18">
        <v>3.3189033189032928</v>
      </c>
      <c r="BX258" s="18">
        <v>0</v>
      </c>
      <c r="BY258" s="18">
        <v>0</v>
      </c>
      <c r="BZ258" s="18">
        <v>0</v>
      </c>
      <c r="CA258" s="18">
        <v>0</v>
      </c>
      <c r="CB258" s="19"/>
      <c r="CC258" s="19">
        <v>0</v>
      </c>
      <c r="CD258" s="19">
        <v>0</v>
      </c>
      <c r="CE258" s="19">
        <v>0</v>
      </c>
      <c r="CF258" s="19">
        <v>0</v>
      </c>
      <c r="CG258" s="19">
        <v>0</v>
      </c>
      <c r="CH258" s="19">
        <v>0</v>
      </c>
      <c r="CI258" s="19">
        <v>0</v>
      </c>
      <c r="CJ258" s="19"/>
      <c r="CK258" s="19">
        <v>62000</v>
      </c>
      <c r="CL258" s="19">
        <v>12400</v>
      </c>
      <c r="CM258" s="19">
        <v>24799.999999999902</v>
      </c>
      <c r="CN258" s="19">
        <v>62000</v>
      </c>
      <c r="CO258" s="19">
        <v>123.99999999999999</v>
      </c>
      <c r="CP258" s="19">
        <v>217</v>
      </c>
      <c r="CQ258" s="19">
        <v>0.7</v>
      </c>
      <c r="CR258" s="19">
        <v>-7.9169397816043574</v>
      </c>
      <c r="CS258" s="19">
        <v>0</v>
      </c>
      <c r="CT258" s="19">
        <v>0</v>
      </c>
      <c r="CU258" s="19">
        <v>0</v>
      </c>
      <c r="CV258" s="19">
        <v>0</v>
      </c>
      <c r="CW258" s="19">
        <v>0</v>
      </c>
      <c r="CX258" s="19">
        <v>0</v>
      </c>
      <c r="CY258" s="19">
        <v>0</v>
      </c>
      <c r="CZ258" s="19">
        <v>0</v>
      </c>
      <c r="DA258" s="19">
        <v>0</v>
      </c>
      <c r="DB258" s="19">
        <v>0</v>
      </c>
      <c r="DC258" s="19">
        <v>0</v>
      </c>
      <c r="DD258" s="19">
        <v>0</v>
      </c>
      <c r="DE258" s="19">
        <v>0</v>
      </c>
      <c r="DF258" s="23">
        <v>0</v>
      </c>
      <c r="DG258" s="23">
        <v>0</v>
      </c>
      <c r="DH258" s="23">
        <v>0</v>
      </c>
      <c r="DI258" s="19">
        <v>3000</v>
      </c>
      <c r="DJ258" s="19">
        <v>300</v>
      </c>
      <c r="DK258" s="19">
        <v>80000</v>
      </c>
      <c r="DL258" s="19">
        <v>1200</v>
      </c>
      <c r="DM258" s="19">
        <v>0</v>
      </c>
      <c r="DN258" s="19">
        <v>1200</v>
      </c>
      <c r="DO258" s="19">
        <v>2400</v>
      </c>
      <c r="DP258" s="19">
        <v>1800</v>
      </c>
      <c r="DQ258" s="19">
        <v>12000</v>
      </c>
      <c r="DR258" s="19">
        <v>12000</v>
      </c>
      <c r="DS258" s="19">
        <v>6000</v>
      </c>
      <c r="DT258" s="19">
        <v>0</v>
      </c>
      <c r="DU258" s="19">
        <v>0</v>
      </c>
      <c r="DV258" s="19">
        <v>120</v>
      </c>
      <c r="DW258" s="17" t="s">
        <v>218</v>
      </c>
      <c r="DX258" s="22" t="s">
        <v>218</v>
      </c>
      <c r="DY258" s="22" t="s">
        <v>218</v>
      </c>
      <c r="DZ258" s="22" t="s">
        <v>218</v>
      </c>
      <c r="EA258" s="22" t="s">
        <v>218</v>
      </c>
      <c r="EB258" s="22" t="s">
        <v>218</v>
      </c>
      <c r="EC258" s="22" t="s">
        <v>218</v>
      </c>
      <c r="ED258" s="22" t="s">
        <v>218</v>
      </c>
      <c r="EE258" s="22" t="s">
        <v>218</v>
      </c>
      <c r="EF258" s="22" t="s">
        <v>218</v>
      </c>
      <c r="EG258" s="22" t="s">
        <v>218</v>
      </c>
      <c r="EH258" s="22" t="s">
        <v>218</v>
      </c>
      <c r="EI258" s="22" t="s">
        <v>218</v>
      </c>
      <c r="EJ258" s="22" t="s">
        <v>218</v>
      </c>
      <c r="EK258" s="22" t="s">
        <v>218</v>
      </c>
      <c r="EL258" s="22" t="s">
        <v>218</v>
      </c>
      <c r="EM258" s="22" t="s">
        <v>218</v>
      </c>
      <c r="EN258" s="22" t="s">
        <v>218</v>
      </c>
      <c r="EO258" s="22" t="s">
        <v>218</v>
      </c>
      <c r="EP258" s="22" t="s">
        <v>218</v>
      </c>
      <c r="EQ258" s="22" t="s">
        <v>218</v>
      </c>
      <c r="ER258" s="22" t="s">
        <v>218</v>
      </c>
      <c r="ES258" s="22" t="s">
        <v>218</v>
      </c>
      <c r="ET258" s="22" t="s">
        <v>218</v>
      </c>
      <c r="EU258" s="22" t="s">
        <v>218</v>
      </c>
      <c r="EV258" s="22" t="s">
        <v>218</v>
      </c>
      <c r="EW258" s="22" t="s">
        <v>218</v>
      </c>
      <c r="EX258" s="22" t="s">
        <v>218</v>
      </c>
      <c r="EY258" s="22" t="s">
        <v>218</v>
      </c>
      <c r="EZ258" s="22" t="s">
        <v>218</v>
      </c>
      <c r="FA258" s="22" t="s">
        <v>218</v>
      </c>
      <c r="FB258" s="22" t="s">
        <v>218</v>
      </c>
      <c r="FC258" s="22" t="s">
        <v>218</v>
      </c>
      <c r="FD258" s="22" t="s">
        <v>218</v>
      </c>
      <c r="FE258" s="22" t="s">
        <v>218</v>
      </c>
      <c r="FF258" s="22" t="s">
        <v>218</v>
      </c>
      <c r="FG258" s="22" t="s">
        <v>218</v>
      </c>
      <c r="FH258" s="22" t="s">
        <v>218</v>
      </c>
      <c r="FI258" s="22" t="s">
        <v>218</v>
      </c>
      <c r="FJ258" s="22" t="s">
        <v>218</v>
      </c>
      <c r="FK258" s="22" t="s">
        <v>218</v>
      </c>
      <c r="FL258" s="22" t="s">
        <v>218</v>
      </c>
      <c r="FM258" s="22" t="s">
        <v>218</v>
      </c>
      <c r="FN258" s="22" t="s">
        <v>218</v>
      </c>
      <c r="FO258" s="22" t="s">
        <v>218</v>
      </c>
      <c r="FP258" s="22" t="s">
        <v>218</v>
      </c>
      <c r="FQ258" s="22" t="s">
        <v>218</v>
      </c>
      <c r="FR258" s="22" t="s">
        <v>218</v>
      </c>
      <c r="FS258" s="22" t="s">
        <v>218</v>
      </c>
      <c r="FT258" s="22" t="s">
        <v>218</v>
      </c>
      <c r="FU258" s="22" t="s">
        <v>218</v>
      </c>
      <c r="FV258" s="22" t="s">
        <v>218</v>
      </c>
      <c r="FW258" s="22" t="s">
        <v>218</v>
      </c>
      <c r="FX258" s="22" t="s">
        <v>218</v>
      </c>
      <c r="FY258" s="22" t="s">
        <v>218</v>
      </c>
      <c r="FZ258" s="22" t="s">
        <v>218</v>
      </c>
      <c r="GA258" s="22" t="s">
        <v>218</v>
      </c>
      <c r="GB258" s="22" t="s">
        <v>218</v>
      </c>
      <c r="GC258" s="22" t="s">
        <v>218</v>
      </c>
      <c r="GD258" s="22" t="s">
        <v>218</v>
      </c>
      <c r="GE258" s="22" t="s">
        <v>218</v>
      </c>
      <c r="GF258" s="22" t="s">
        <v>218</v>
      </c>
      <c r="GG258" s="22" t="s">
        <v>218</v>
      </c>
      <c r="GH258" s="22" t="s">
        <v>218</v>
      </c>
      <c r="GI258" s="22" t="s">
        <v>218</v>
      </c>
      <c r="GJ258" s="22" t="s">
        <v>218</v>
      </c>
      <c r="GK258" s="22" t="s">
        <v>218</v>
      </c>
      <c r="GL258" s="22" t="s">
        <v>218</v>
      </c>
      <c r="GM258" s="22" t="s">
        <v>218</v>
      </c>
      <c r="GN258" s="22" t="s">
        <v>218</v>
      </c>
      <c r="GO258" s="22" t="s">
        <v>218</v>
      </c>
      <c r="GP258" s="22" t="s">
        <v>218</v>
      </c>
      <c r="GQ258" s="22" t="s">
        <v>218</v>
      </c>
      <c r="GR258" s="22" t="s">
        <v>218</v>
      </c>
      <c r="GS258" s="22" t="s">
        <v>218</v>
      </c>
      <c r="GT258" s="22" t="s">
        <v>218</v>
      </c>
      <c r="GU258" s="22" t="s">
        <v>218</v>
      </c>
      <c r="GV258" s="22" t="s">
        <v>218</v>
      </c>
      <c r="GW258" s="22" t="s">
        <v>218</v>
      </c>
      <c r="GX258" s="22" t="s">
        <v>218</v>
      </c>
      <c r="GY258" s="22" t="s">
        <v>218</v>
      </c>
      <c r="GZ258" s="22" t="s">
        <v>218</v>
      </c>
      <c r="HA258" s="22" t="s">
        <v>218</v>
      </c>
      <c r="HB258" s="22" t="s">
        <v>218</v>
      </c>
      <c r="HC258" s="22" t="s">
        <v>218</v>
      </c>
      <c r="HD258" s="22" t="s">
        <v>218</v>
      </c>
      <c r="HE258" s="22" t="s">
        <v>218</v>
      </c>
      <c r="HF258" s="22" t="s">
        <v>218</v>
      </c>
      <c r="HG258" s="22" t="s">
        <v>218</v>
      </c>
      <c r="HH258" s="22" t="s">
        <v>218</v>
      </c>
      <c r="HI258" s="22" t="s">
        <v>218</v>
      </c>
      <c r="HJ258" s="22" t="s">
        <v>218</v>
      </c>
      <c r="HK258" s="22" t="s">
        <v>218</v>
      </c>
      <c r="HL258" s="22" t="s">
        <v>218</v>
      </c>
      <c r="HM258" s="622">
        <f>'background data'!$G$10</f>
        <v>0.47300000000000003</v>
      </c>
      <c r="HN258" s="622">
        <f>'background data'!$H$10</f>
        <v>0.13</v>
      </c>
      <c r="HO258" s="622">
        <f>'background data'!$J$10</f>
        <v>0.39100000000000001</v>
      </c>
      <c r="HP258" s="622">
        <f>'background data'!$L$10</f>
        <v>5.5E-2</v>
      </c>
      <c r="HQ258" s="622">
        <f>'background data'!$M$10</f>
        <v>3.97</v>
      </c>
      <c r="HR258" s="622">
        <f>'background data'!$N$10</f>
        <v>4.5999999999999999E-3</v>
      </c>
      <c r="HS258" s="622">
        <f>'background data'!$O$10</f>
        <v>2.73</v>
      </c>
      <c r="HT258" s="145" t="s">
        <v>1797</v>
      </c>
      <c r="HU258" s="145" t="s">
        <v>1809</v>
      </c>
      <c r="HV258" s="22" t="s">
        <v>1926</v>
      </c>
      <c r="HW258" s="22">
        <v>0</v>
      </c>
      <c r="HX258" s="22">
        <v>0</v>
      </c>
      <c r="HY258" s="22">
        <v>0</v>
      </c>
      <c r="HZ258" s="19"/>
      <c r="IA258" s="19"/>
      <c r="IB258" s="622">
        <f>'background data'!$G$10</f>
        <v>0.47300000000000003</v>
      </c>
      <c r="IC258" s="622">
        <f>'background data'!$H$10</f>
        <v>0.13</v>
      </c>
      <c r="ID258" s="622">
        <f>'background data'!$J$10</f>
        <v>0.39100000000000001</v>
      </c>
      <c r="IE258" s="622">
        <f>'background data'!$L$10</f>
        <v>5.5E-2</v>
      </c>
      <c r="IF258" s="622">
        <f>'background data'!$M$10</f>
        <v>3.97</v>
      </c>
      <c r="IG258" s="622">
        <f>'background data'!$N$10</f>
        <v>4.5999999999999999E-3</v>
      </c>
      <c r="IH258" s="622">
        <f>'background data'!$O$10</f>
        <v>2.73</v>
      </c>
      <c r="II258" s="145" t="s">
        <v>1797</v>
      </c>
      <c r="IJ258" s="145"/>
      <c r="IK258" s="145"/>
      <c r="IL258" s="145"/>
      <c r="IM258" s="145"/>
      <c r="IN258" s="145"/>
      <c r="IO258" s="145"/>
      <c r="IP258" s="145"/>
      <c r="IQ258" s="145"/>
      <c r="IR258" s="145"/>
      <c r="IS258" s="145"/>
      <c r="IT258" s="145"/>
      <c r="IU258" s="145"/>
      <c r="IV258" s="145"/>
      <c r="IW258" s="145"/>
      <c r="IX258" s="145"/>
      <c r="IY258" s="145"/>
      <c r="IZ258" s="145"/>
      <c r="JA258" s="145"/>
      <c r="JB258" s="145"/>
      <c r="JC258" s="145"/>
      <c r="JD258" s="145"/>
      <c r="JE258" s="145"/>
      <c r="JF258" s="145"/>
      <c r="JG258" s="145"/>
      <c r="JH258" s="145"/>
      <c r="JI258" s="145"/>
      <c r="JJ258" s="145"/>
      <c r="JK258" s="145"/>
      <c r="JL258" s="145"/>
      <c r="JM258" s="145"/>
      <c r="JN258" s="145"/>
      <c r="JO258" s="145"/>
      <c r="JP258" s="145"/>
      <c r="JQ258" s="145"/>
      <c r="JR258" s="145"/>
      <c r="JS258" s="145"/>
      <c r="JT258" s="145"/>
      <c r="JU258" s="145"/>
      <c r="JV258" s="145"/>
      <c r="JW258" s="145"/>
      <c r="JX258" s="145"/>
      <c r="JY258" s="145"/>
      <c r="JZ258" s="145"/>
      <c r="KA258" s="145"/>
      <c r="KB258" s="145"/>
      <c r="KC258" s="145"/>
      <c r="KD258" s="145"/>
      <c r="KE258" s="145"/>
      <c r="KF258" s="145"/>
      <c r="KG258" s="145"/>
      <c r="KH258" s="145"/>
      <c r="KI258" s="145"/>
      <c r="KJ258" s="145"/>
      <c r="KK258" s="145"/>
      <c r="KL258" s="145"/>
      <c r="KM258" s="145"/>
      <c r="KN258" s="145"/>
      <c r="KO258" s="145"/>
      <c r="KP258" s="145"/>
      <c r="KQ258" s="145"/>
      <c r="KR258" s="145"/>
      <c r="KS258" s="145"/>
      <c r="KT258" s="145"/>
      <c r="KU258" s="145"/>
      <c r="KV258" s="145"/>
      <c r="KW258" s="145"/>
      <c r="KX258" s="145"/>
      <c r="KY258" s="145"/>
      <c r="KZ258" s="145"/>
      <c r="LA258" s="145"/>
      <c r="LB258" s="145"/>
      <c r="LC258" s="145"/>
      <c r="LD258" s="145"/>
      <c r="LE258" s="145"/>
      <c r="LF258" s="145"/>
      <c r="LG258" s="145"/>
      <c r="LH258" s="145"/>
      <c r="LI258" s="145"/>
      <c r="LJ258" s="145"/>
      <c r="LK258" s="145"/>
      <c r="LL258" s="145"/>
      <c r="LM258" s="145"/>
      <c r="LN258" s="145"/>
      <c r="LO258" s="145"/>
      <c r="LP258" s="145"/>
      <c r="LQ258" s="145"/>
      <c r="LR258" s="145"/>
      <c r="LS258" s="145"/>
      <c r="LT258" s="145"/>
      <c r="LU258" s="145"/>
      <c r="LV258" s="145"/>
      <c r="LW258" s="145"/>
      <c r="LX258" s="145"/>
      <c r="LY258" s="145"/>
      <c r="LZ258" s="145"/>
      <c r="MA258" s="145"/>
      <c r="MB258" s="145"/>
      <c r="MC258" s="145"/>
      <c r="MD258" s="145"/>
      <c r="ME258" s="145"/>
      <c r="MF258" s="145"/>
      <c r="MG258" s="145"/>
      <c r="MH258" s="145"/>
      <c r="MI258" s="145"/>
      <c r="MJ258" s="145"/>
      <c r="MK258" s="145"/>
      <c r="ML258" s="145"/>
      <c r="MM258" s="145"/>
      <c r="MN258" s="145"/>
      <c r="MO258" s="145"/>
      <c r="MP258" s="145"/>
      <c r="MQ258" s="145"/>
      <c r="MR258" s="145"/>
      <c r="MS258" s="145"/>
      <c r="MT258" s="145"/>
      <c r="MU258" s="145"/>
      <c r="MV258" s="145"/>
      <c r="MW258" s="145"/>
      <c r="MX258" s="145"/>
      <c r="MY258" s="145"/>
      <c r="MZ258" s="145"/>
      <c r="NA258" s="145"/>
      <c r="NB258" s="145"/>
      <c r="NC258" s="145"/>
      <c r="ND258" s="145"/>
      <c r="NE258" s="145"/>
      <c r="NF258" s="145"/>
      <c r="NG258" s="145"/>
      <c r="NH258" s="145"/>
      <c r="NI258" s="145"/>
      <c r="NJ258" s="145"/>
      <c r="NK258" s="145"/>
      <c r="NL258" s="145"/>
      <c r="NM258" s="145"/>
      <c r="NN258" s="145"/>
      <c r="NO258" s="145"/>
      <c r="NP258" s="145"/>
      <c r="NQ258" s="145"/>
      <c r="NR258" s="145"/>
      <c r="NS258" s="145"/>
    </row>
    <row r="259" spans="1:383" s="16" customFormat="1" ht="15" customHeight="1" x14ac:dyDescent="0.2">
      <c r="A259" s="15">
        <v>45500</v>
      </c>
      <c r="B259" s="25">
        <v>455</v>
      </c>
      <c r="C259" s="26">
        <v>0</v>
      </c>
      <c r="D259" s="20" t="s">
        <v>708</v>
      </c>
      <c r="E259" s="14">
        <v>41814</v>
      </c>
      <c r="F259" s="18">
        <v>-8.8418002322880496E-2</v>
      </c>
      <c r="G259" s="18">
        <v>-8.2438367346938907E-2</v>
      </c>
      <c r="H259" s="21">
        <v>70</v>
      </c>
      <c r="I259" s="21">
        <v>60</v>
      </c>
      <c r="J259" s="21">
        <v>90</v>
      </c>
      <c r="K259" s="18">
        <v>1</v>
      </c>
      <c r="L259" s="18">
        <v>99</v>
      </c>
      <c r="M259" s="18">
        <v>0.1</v>
      </c>
      <c r="N259" s="18">
        <v>0.1</v>
      </c>
      <c r="O259" s="18">
        <v>96.7</v>
      </c>
      <c r="P259" s="18">
        <v>0.04</v>
      </c>
      <c r="Q259" s="19"/>
      <c r="R259" s="18">
        <v>70</v>
      </c>
      <c r="S259" s="18">
        <v>63</v>
      </c>
      <c r="T259" s="18">
        <v>63</v>
      </c>
      <c r="U259" s="18">
        <v>63</v>
      </c>
      <c r="V259" s="18">
        <v>63</v>
      </c>
      <c r="W259" s="18">
        <v>63</v>
      </c>
      <c r="X259" s="18"/>
      <c r="Y259" s="18">
        <v>0</v>
      </c>
      <c r="Z259" s="18">
        <v>0</v>
      </c>
      <c r="AA259" s="18">
        <v>0</v>
      </c>
      <c r="AB259" s="18">
        <v>0</v>
      </c>
      <c r="AC259" s="18">
        <v>0</v>
      </c>
      <c r="AD259" s="18">
        <v>0</v>
      </c>
      <c r="AE259" s="18">
        <v>0</v>
      </c>
      <c r="AF259" s="18">
        <v>16666.666666666668</v>
      </c>
      <c r="AG259" s="18">
        <v>11111.111111111111</v>
      </c>
      <c r="AH259" s="18">
        <v>22222.222222222223</v>
      </c>
      <c r="AI259" s="18">
        <v>55555.555555555555</v>
      </c>
      <c r="AJ259" s="18">
        <v>111.11111111111111</v>
      </c>
      <c r="AK259" s="18">
        <v>111.11111111111111</v>
      </c>
      <c r="AL259" s="18"/>
      <c r="AM259" s="18">
        <v>0</v>
      </c>
      <c r="AN259" s="18">
        <v>0</v>
      </c>
      <c r="AO259" s="18">
        <v>0</v>
      </c>
      <c r="AP259" s="18">
        <v>0</v>
      </c>
      <c r="AQ259" s="18">
        <v>0</v>
      </c>
      <c r="AR259" s="18">
        <v>0</v>
      </c>
      <c r="AS259" s="18">
        <v>0</v>
      </c>
      <c r="AT259" s="18">
        <v>0</v>
      </c>
      <c r="AU259" s="18">
        <v>0</v>
      </c>
      <c r="AV259" s="18">
        <v>0</v>
      </c>
      <c r="AW259" s="18">
        <v>0</v>
      </c>
      <c r="AX259" s="18"/>
      <c r="AY259" s="18">
        <v>1</v>
      </c>
      <c r="AZ259" s="18">
        <v>1</v>
      </c>
      <c r="BA259" s="18">
        <v>0</v>
      </c>
      <c r="BB259" s="18">
        <v>0</v>
      </c>
      <c r="BC259" s="18">
        <v>0</v>
      </c>
      <c r="BD259" s="18">
        <v>0</v>
      </c>
      <c r="BE259" s="18">
        <v>0</v>
      </c>
      <c r="BF259" s="18">
        <v>0</v>
      </c>
      <c r="BG259" s="18">
        <v>0</v>
      </c>
      <c r="BH259" s="18">
        <v>0</v>
      </c>
      <c r="BI259" s="18">
        <v>0</v>
      </c>
      <c r="BJ259" s="19"/>
      <c r="BK259" s="18">
        <v>0.10101010101010102</v>
      </c>
      <c r="BL259" s="18">
        <v>0.10101010101010102</v>
      </c>
      <c r="BM259" s="18">
        <v>97.676767676767682</v>
      </c>
      <c r="BN259" s="18">
        <v>4.0404040404040407E-2</v>
      </c>
      <c r="BO259" s="18"/>
      <c r="BP259" s="18">
        <v>0</v>
      </c>
      <c r="BQ259" s="18">
        <v>0</v>
      </c>
      <c r="BR259" s="18">
        <v>-8.9311113457455044E-2</v>
      </c>
      <c r="BS259" s="18">
        <v>-8.3271078128221113E-2</v>
      </c>
      <c r="BT259" s="19"/>
      <c r="BU259" s="18">
        <v>23.232323232323033</v>
      </c>
      <c r="BV259" s="18">
        <v>11.044733044732929</v>
      </c>
      <c r="BW259" s="18">
        <v>3.3189033189032928</v>
      </c>
      <c r="BX259" s="18" t="s">
        <v>217</v>
      </c>
      <c r="BY259" s="18" t="s">
        <v>217</v>
      </c>
      <c r="BZ259" s="18">
        <v>0</v>
      </c>
      <c r="CA259" s="18">
        <v>0</v>
      </c>
      <c r="CB259" s="19"/>
      <c r="CC259" s="19">
        <v>0</v>
      </c>
      <c r="CD259" s="19">
        <v>0</v>
      </c>
      <c r="CE259" s="19">
        <v>0</v>
      </c>
      <c r="CF259" s="19">
        <v>0</v>
      </c>
      <c r="CG259" s="19">
        <v>0</v>
      </c>
      <c r="CH259" s="19">
        <v>0</v>
      </c>
      <c r="CI259" s="19">
        <v>0</v>
      </c>
      <c r="CJ259" s="19"/>
      <c r="CK259" s="19">
        <v>16500</v>
      </c>
      <c r="CL259" s="19">
        <v>11000</v>
      </c>
      <c r="CM259" s="19">
        <v>22000</v>
      </c>
      <c r="CN259" s="19">
        <v>55000</v>
      </c>
      <c r="CO259" s="19">
        <v>110</v>
      </c>
      <c r="CP259" s="19">
        <v>110</v>
      </c>
      <c r="CQ259" s="19">
        <v>0.7</v>
      </c>
      <c r="CR259" s="19">
        <v>-7.9169397816043672</v>
      </c>
      <c r="CS259" s="19">
        <v>0</v>
      </c>
      <c r="CT259" s="19">
        <v>0</v>
      </c>
      <c r="CU259" s="19">
        <v>0</v>
      </c>
      <c r="CV259" s="19">
        <v>0</v>
      </c>
      <c r="CW259" s="19">
        <v>0</v>
      </c>
      <c r="CX259" s="19">
        <v>0</v>
      </c>
      <c r="CY259" s="19">
        <v>0</v>
      </c>
      <c r="CZ259" s="19">
        <v>0</v>
      </c>
      <c r="DA259" s="19">
        <v>0</v>
      </c>
      <c r="DB259" s="19">
        <v>0</v>
      </c>
      <c r="DC259" s="19">
        <v>0</v>
      </c>
      <c r="DD259" s="19">
        <v>0</v>
      </c>
      <c r="DE259" s="19">
        <v>0</v>
      </c>
      <c r="DF259" s="23">
        <v>0</v>
      </c>
      <c r="DG259" s="23">
        <v>0</v>
      </c>
      <c r="DH259" s="23">
        <v>0</v>
      </c>
      <c r="DI259" s="19">
        <v>2200</v>
      </c>
      <c r="DJ259" s="19">
        <v>220</v>
      </c>
      <c r="DK259" s="19">
        <v>20000</v>
      </c>
      <c r="DL259" s="19">
        <v>1100</v>
      </c>
      <c r="DM259" s="19">
        <v>0</v>
      </c>
      <c r="DN259" s="19">
        <v>1100</v>
      </c>
      <c r="DO259" s="19">
        <v>1100</v>
      </c>
      <c r="DP259" s="19">
        <v>1700</v>
      </c>
      <c r="DQ259" s="19">
        <v>12</v>
      </c>
      <c r="DR259" s="19">
        <v>11000</v>
      </c>
      <c r="DS259" s="19">
        <v>5500</v>
      </c>
      <c r="DT259" s="19">
        <v>0</v>
      </c>
      <c r="DU259" s="19">
        <v>0</v>
      </c>
      <c r="DV259" s="19">
        <v>30</v>
      </c>
      <c r="DW259" s="17" t="s">
        <v>218</v>
      </c>
      <c r="DX259" s="22" t="s">
        <v>218</v>
      </c>
      <c r="DY259" s="22" t="s">
        <v>218</v>
      </c>
      <c r="DZ259" s="22" t="s">
        <v>218</v>
      </c>
      <c r="EA259" s="22" t="s">
        <v>218</v>
      </c>
      <c r="EB259" s="22" t="s">
        <v>218</v>
      </c>
      <c r="EC259" s="22" t="s">
        <v>218</v>
      </c>
      <c r="ED259" s="22" t="s">
        <v>218</v>
      </c>
      <c r="EE259" s="22" t="s">
        <v>218</v>
      </c>
      <c r="EF259" s="22" t="s">
        <v>218</v>
      </c>
      <c r="EG259" s="22" t="s">
        <v>218</v>
      </c>
      <c r="EH259" s="22" t="s">
        <v>218</v>
      </c>
      <c r="EI259" s="22" t="s">
        <v>218</v>
      </c>
      <c r="EJ259" s="22" t="s">
        <v>218</v>
      </c>
      <c r="EK259" s="22" t="s">
        <v>218</v>
      </c>
      <c r="EL259" s="22" t="s">
        <v>218</v>
      </c>
      <c r="EM259" s="22" t="s">
        <v>218</v>
      </c>
      <c r="EN259" s="22" t="s">
        <v>218</v>
      </c>
      <c r="EO259" s="22" t="s">
        <v>218</v>
      </c>
      <c r="EP259" s="22" t="s">
        <v>218</v>
      </c>
      <c r="EQ259" s="22" t="s">
        <v>218</v>
      </c>
      <c r="ER259" s="22" t="s">
        <v>218</v>
      </c>
      <c r="ES259" s="22" t="s">
        <v>218</v>
      </c>
      <c r="ET259" s="22" t="s">
        <v>218</v>
      </c>
      <c r="EU259" s="22" t="s">
        <v>218</v>
      </c>
      <c r="EV259" s="22" t="s">
        <v>218</v>
      </c>
      <c r="EW259" s="22" t="s">
        <v>218</v>
      </c>
      <c r="EX259" s="22" t="s">
        <v>218</v>
      </c>
      <c r="EY259" s="22" t="s">
        <v>218</v>
      </c>
      <c r="EZ259" s="22" t="s">
        <v>218</v>
      </c>
      <c r="FA259" s="22" t="s">
        <v>218</v>
      </c>
      <c r="FB259" s="22" t="s">
        <v>218</v>
      </c>
      <c r="FC259" s="22" t="s">
        <v>218</v>
      </c>
      <c r="FD259" s="22" t="s">
        <v>218</v>
      </c>
      <c r="FE259" s="22" t="s">
        <v>218</v>
      </c>
      <c r="FF259" s="22" t="s">
        <v>218</v>
      </c>
      <c r="FG259" s="22" t="s">
        <v>218</v>
      </c>
      <c r="FH259" s="22" t="s">
        <v>218</v>
      </c>
      <c r="FI259" s="22" t="s">
        <v>218</v>
      </c>
      <c r="FJ259" s="22" t="s">
        <v>218</v>
      </c>
      <c r="FK259" s="22" t="s">
        <v>218</v>
      </c>
      <c r="FL259" s="22" t="s">
        <v>218</v>
      </c>
      <c r="FM259" s="22" t="s">
        <v>218</v>
      </c>
      <c r="FN259" s="22" t="s">
        <v>218</v>
      </c>
      <c r="FO259" s="22" t="s">
        <v>218</v>
      </c>
      <c r="FP259" s="22" t="s">
        <v>218</v>
      </c>
      <c r="FQ259" s="22" t="s">
        <v>218</v>
      </c>
      <c r="FR259" s="22" t="s">
        <v>218</v>
      </c>
      <c r="FS259" s="22" t="s">
        <v>218</v>
      </c>
      <c r="FT259" s="22" t="s">
        <v>218</v>
      </c>
      <c r="FU259" s="22" t="s">
        <v>218</v>
      </c>
      <c r="FV259" s="22" t="s">
        <v>218</v>
      </c>
      <c r="FW259" s="22" t="s">
        <v>218</v>
      </c>
      <c r="FX259" s="22" t="s">
        <v>218</v>
      </c>
      <c r="FY259" s="22" t="s">
        <v>218</v>
      </c>
      <c r="FZ259" s="22" t="s">
        <v>218</v>
      </c>
      <c r="GA259" s="22" t="s">
        <v>218</v>
      </c>
      <c r="GB259" s="22" t="s">
        <v>218</v>
      </c>
      <c r="GC259" s="22" t="s">
        <v>218</v>
      </c>
      <c r="GD259" s="22" t="s">
        <v>218</v>
      </c>
      <c r="GE259" s="22" t="s">
        <v>218</v>
      </c>
      <c r="GF259" s="22" t="s">
        <v>218</v>
      </c>
      <c r="GG259" s="22" t="s">
        <v>218</v>
      </c>
      <c r="GH259" s="22" t="s">
        <v>218</v>
      </c>
      <c r="GI259" s="22" t="s">
        <v>218</v>
      </c>
      <c r="GJ259" s="22" t="s">
        <v>218</v>
      </c>
      <c r="GK259" s="22" t="s">
        <v>218</v>
      </c>
      <c r="GL259" s="22" t="s">
        <v>218</v>
      </c>
      <c r="GM259" s="22" t="s">
        <v>218</v>
      </c>
      <c r="GN259" s="22" t="s">
        <v>218</v>
      </c>
      <c r="GO259" s="22" t="s">
        <v>218</v>
      </c>
      <c r="GP259" s="22" t="s">
        <v>218</v>
      </c>
      <c r="GQ259" s="22" t="s">
        <v>218</v>
      </c>
      <c r="GR259" s="22" t="s">
        <v>218</v>
      </c>
      <c r="GS259" s="22" t="s">
        <v>218</v>
      </c>
      <c r="GT259" s="22" t="s">
        <v>218</v>
      </c>
      <c r="GU259" s="22" t="s">
        <v>218</v>
      </c>
      <c r="GV259" s="22" t="s">
        <v>218</v>
      </c>
      <c r="GW259" s="22" t="s">
        <v>218</v>
      </c>
      <c r="GX259" s="22" t="s">
        <v>218</v>
      </c>
      <c r="GY259" s="22" t="s">
        <v>218</v>
      </c>
      <c r="GZ259" s="22" t="s">
        <v>218</v>
      </c>
      <c r="HA259" s="22" t="s">
        <v>218</v>
      </c>
      <c r="HB259" s="22" t="s">
        <v>218</v>
      </c>
      <c r="HC259" s="22" t="s">
        <v>218</v>
      </c>
      <c r="HD259" s="22" t="s">
        <v>218</v>
      </c>
      <c r="HE259" s="22" t="s">
        <v>218</v>
      </c>
      <c r="HF259" s="22" t="s">
        <v>218</v>
      </c>
      <c r="HG259" s="22" t="s">
        <v>218</v>
      </c>
      <c r="HH259" s="22" t="s">
        <v>218</v>
      </c>
      <c r="HI259" s="22" t="s">
        <v>218</v>
      </c>
      <c r="HJ259" s="22" t="s">
        <v>218</v>
      </c>
      <c r="HK259" s="22" t="s">
        <v>218</v>
      </c>
      <c r="HL259" s="22" t="s">
        <v>218</v>
      </c>
      <c r="HM259" s="622">
        <f>'background data'!$G$10</f>
        <v>0.47300000000000003</v>
      </c>
      <c r="HN259" s="622">
        <f>'background data'!$H$10</f>
        <v>0.13</v>
      </c>
      <c r="HO259" s="622">
        <f>'background data'!$J$10</f>
        <v>0.39100000000000001</v>
      </c>
      <c r="HP259" s="622">
        <f>'background data'!$L$10</f>
        <v>5.5E-2</v>
      </c>
      <c r="HQ259" s="622">
        <f>'background data'!$M$10</f>
        <v>3.97</v>
      </c>
      <c r="HR259" s="622">
        <f>'background data'!$N$10</f>
        <v>4.5999999999999999E-3</v>
      </c>
      <c r="HS259" s="622">
        <f>'background data'!$O$10</f>
        <v>2.73</v>
      </c>
      <c r="HT259" s="145" t="s">
        <v>1797</v>
      </c>
      <c r="HU259" s="145" t="s">
        <v>1809</v>
      </c>
      <c r="HV259" s="22" t="s">
        <v>1926</v>
      </c>
      <c r="HW259" s="22">
        <v>0</v>
      </c>
      <c r="HX259" s="22">
        <v>0</v>
      </c>
      <c r="HY259" s="22">
        <v>0</v>
      </c>
      <c r="HZ259" s="19"/>
      <c r="IA259" s="19"/>
      <c r="IB259" s="622">
        <f>'background data'!$G$10</f>
        <v>0.47300000000000003</v>
      </c>
      <c r="IC259" s="622">
        <f>'background data'!$H$10</f>
        <v>0.13</v>
      </c>
      <c r="ID259" s="622">
        <f>'background data'!$J$10</f>
        <v>0.39100000000000001</v>
      </c>
      <c r="IE259" s="622">
        <f>'background data'!$L$10</f>
        <v>5.5E-2</v>
      </c>
      <c r="IF259" s="622">
        <f>'background data'!$M$10</f>
        <v>3.97</v>
      </c>
      <c r="IG259" s="622">
        <f>'background data'!$N$10</f>
        <v>4.5999999999999999E-3</v>
      </c>
      <c r="IH259" s="622">
        <f>'background data'!$O$10</f>
        <v>2.73</v>
      </c>
      <c r="II259" s="145" t="s">
        <v>1797</v>
      </c>
      <c r="IJ259" s="145"/>
      <c r="IK259" s="145"/>
      <c r="IL259" s="145"/>
      <c r="IM259" s="145"/>
      <c r="IN259" s="145"/>
      <c r="IO259" s="145"/>
      <c r="IP259" s="145"/>
      <c r="IQ259" s="145"/>
      <c r="IR259" s="145"/>
      <c r="IS259" s="145"/>
      <c r="IT259" s="145"/>
      <c r="IU259" s="145"/>
      <c r="IV259" s="145"/>
      <c r="IW259" s="145"/>
      <c r="IX259" s="145"/>
      <c r="IY259" s="145"/>
      <c r="IZ259" s="145"/>
      <c r="JA259" s="145"/>
      <c r="JB259" s="145"/>
      <c r="JC259" s="145"/>
      <c r="JD259" s="145"/>
      <c r="JE259" s="145"/>
      <c r="JF259" s="145"/>
      <c r="JG259" s="145"/>
      <c r="JH259" s="145"/>
      <c r="JI259" s="145"/>
      <c r="JJ259" s="145"/>
      <c r="JK259" s="145"/>
      <c r="JL259" s="145"/>
      <c r="JM259" s="145"/>
      <c r="JN259" s="145"/>
      <c r="JO259" s="145"/>
      <c r="JP259" s="145"/>
      <c r="JQ259" s="145"/>
      <c r="JR259" s="145"/>
      <c r="JS259" s="145"/>
      <c r="JT259" s="145"/>
      <c r="JU259" s="145"/>
      <c r="JV259" s="145"/>
      <c r="JW259" s="145"/>
      <c r="JX259" s="145"/>
      <c r="JY259" s="145"/>
      <c r="JZ259" s="145"/>
      <c r="KA259" s="145"/>
      <c r="KB259" s="145"/>
      <c r="KC259" s="145"/>
      <c r="KD259" s="145"/>
      <c r="KE259" s="145"/>
      <c r="KF259" s="145"/>
      <c r="KG259" s="145"/>
      <c r="KH259" s="145"/>
      <c r="KI259" s="145"/>
      <c r="KJ259" s="145"/>
      <c r="KK259" s="145"/>
      <c r="KL259" s="145"/>
      <c r="KM259" s="145"/>
      <c r="KN259" s="145"/>
      <c r="KO259" s="145"/>
      <c r="KP259" s="145"/>
      <c r="KQ259" s="145"/>
      <c r="KR259" s="145"/>
      <c r="KS259" s="145"/>
      <c r="KT259" s="145"/>
      <c r="KU259" s="145"/>
      <c r="KV259" s="145"/>
      <c r="KW259" s="145"/>
      <c r="KX259" s="145"/>
      <c r="KY259" s="145"/>
      <c r="KZ259" s="145"/>
      <c r="LA259" s="145"/>
      <c r="LB259" s="145"/>
      <c r="LC259" s="145"/>
      <c r="LD259" s="145"/>
      <c r="LE259" s="145"/>
      <c r="LF259" s="145"/>
      <c r="LG259" s="145"/>
      <c r="LH259" s="145"/>
      <c r="LI259" s="145"/>
      <c r="LJ259" s="145"/>
      <c r="LK259" s="145"/>
      <c r="LL259" s="145"/>
      <c r="LM259" s="145"/>
      <c r="LN259" s="145"/>
      <c r="LO259" s="145"/>
      <c r="LP259" s="145"/>
      <c r="LQ259" s="145"/>
      <c r="LR259" s="145"/>
      <c r="LS259" s="145"/>
      <c r="LT259" s="145"/>
      <c r="LU259" s="145"/>
      <c r="LV259" s="145"/>
      <c r="LW259" s="145"/>
      <c r="LX259" s="145"/>
      <c r="LY259" s="145"/>
      <c r="LZ259" s="145"/>
      <c r="MA259" s="145"/>
      <c r="MB259" s="145"/>
      <c r="MC259" s="145"/>
      <c r="MD259" s="145"/>
      <c r="ME259" s="145"/>
      <c r="MF259" s="145"/>
      <c r="MG259" s="145"/>
      <c r="MH259" s="145"/>
      <c r="MI259" s="145"/>
      <c r="MJ259" s="145"/>
      <c r="MK259" s="145"/>
      <c r="ML259" s="145"/>
      <c r="MM259" s="145"/>
      <c r="MN259" s="145"/>
      <c r="MO259" s="145"/>
      <c r="MP259" s="145"/>
      <c r="MQ259" s="145"/>
      <c r="MR259" s="145"/>
      <c r="MS259" s="145"/>
      <c r="MT259" s="145"/>
      <c r="MU259" s="145"/>
      <c r="MV259" s="145"/>
      <c r="MW259" s="145"/>
      <c r="MX259" s="145"/>
      <c r="MY259" s="145"/>
      <c r="MZ259" s="145"/>
      <c r="NA259" s="145"/>
      <c r="NB259" s="145"/>
      <c r="NC259" s="145"/>
      <c r="ND259" s="145"/>
      <c r="NE259" s="145"/>
      <c r="NF259" s="145"/>
      <c r="NG259" s="145"/>
      <c r="NH259" s="145"/>
      <c r="NI259" s="145"/>
      <c r="NJ259" s="145"/>
      <c r="NK259" s="145"/>
      <c r="NL259" s="145"/>
      <c r="NM259" s="145"/>
      <c r="NN259" s="145"/>
      <c r="NO259" s="145"/>
      <c r="NP259" s="145"/>
      <c r="NQ259" s="145"/>
      <c r="NR259" s="145"/>
      <c r="NS259" s="145"/>
    </row>
    <row r="260" spans="1:383" s="16" customFormat="1" ht="15" customHeight="1" x14ac:dyDescent="0.2">
      <c r="A260" s="15">
        <v>41000</v>
      </c>
      <c r="B260" s="25">
        <v>410</v>
      </c>
      <c r="C260" s="26">
        <v>0</v>
      </c>
      <c r="D260" s="20" t="s">
        <v>709</v>
      </c>
      <c r="E260" s="14">
        <v>40310</v>
      </c>
      <c r="F260" s="18">
        <v>-9.1311730545877004E-2</v>
      </c>
      <c r="G260" s="18">
        <v>-8.5512504638219106E-2</v>
      </c>
      <c r="H260" s="21">
        <v>70</v>
      </c>
      <c r="I260" s="21">
        <v>60</v>
      </c>
      <c r="J260" s="21">
        <v>90</v>
      </c>
      <c r="K260" s="18">
        <v>1</v>
      </c>
      <c r="L260" s="18">
        <v>99</v>
      </c>
      <c r="M260" s="18">
        <v>0.1</v>
      </c>
      <c r="N260" s="18">
        <v>0.1</v>
      </c>
      <c r="O260" s="18">
        <v>97</v>
      </c>
      <c r="P260" s="18">
        <v>0.04</v>
      </c>
      <c r="Q260" s="19"/>
      <c r="R260" s="18">
        <v>77</v>
      </c>
      <c r="S260" s="18">
        <v>20</v>
      </c>
      <c r="T260" s="18">
        <v>27</v>
      </c>
      <c r="U260" s="18">
        <v>30</v>
      </c>
      <c r="V260" s="18">
        <v>32</v>
      </c>
      <c r="W260" s="18">
        <v>33</v>
      </c>
      <c r="X260" s="18"/>
      <c r="Y260" s="18">
        <v>1.5E-3</v>
      </c>
      <c r="Z260" s="18">
        <v>0</v>
      </c>
      <c r="AA260" s="18">
        <v>3.5000000000000001E-3</v>
      </c>
      <c r="AB260" s="18">
        <v>0</v>
      </c>
      <c r="AC260" s="18">
        <v>0</v>
      </c>
      <c r="AD260" s="18">
        <v>0</v>
      </c>
      <c r="AE260" s="18">
        <v>0</v>
      </c>
      <c r="AF260" s="18">
        <v>16666.666666666668</v>
      </c>
      <c r="AG260" s="18">
        <v>3333.3333333333335</v>
      </c>
      <c r="AH260" s="18">
        <v>22222.222222222223</v>
      </c>
      <c r="AI260" s="18">
        <v>55555.555555555555</v>
      </c>
      <c r="AJ260" s="18">
        <v>111.11111111111111</v>
      </c>
      <c r="AK260" s="18">
        <v>111.11111111111111</v>
      </c>
      <c r="AL260" s="18"/>
      <c r="AM260" s="18">
        <v>3.8</v>
      </c>
      <c r="AN260" s="18">
        <v>1.8</v>
      </c>
      <c r="AO260" s="18">
        <v>1.9</v>
      </c>
      <c r="AP260" s="18">
        <v>3.2000000000000099</v>
      </c>
      <c r="AQ260" s="18">
        <v>1.2</v>
      </c>
      <c r="AR260" s="18">
        <v>3.5</v>
      </c>
      <c r="AS260" s="18">
        <v>6.6</v>
      </c>
      <c r="AT260" s="18">
        <v>2.4</v>
      </c>
      <c r="AU260" s="18">
        <v>4.3</v>
      </c>
      <c r="AV260" s="18">
        <v>3</v>
      </c>
      <c r="AW260" s="18">
        <v>5.1000000000000103</v>
      </c>
      <c r="AX260" s="18"/>
      <c r="AY260" s="18">
        <v>1</v>
      </c>
      <c r="AZ260" s="18">
        <v>1</v>
      </c>
      <c r="BA260" s="18">
        <v>1</v>
      </c>
      <c r="BB260" s="18">
        <v>1</v>
      </c>
      <c r="BC260" s="18">
        <v>1</v>
      </c>
      <c r="BD260" s="18">
        <v>1</v>
      </c>
      <c r="BE260" s="18">
        <v>1</v>
      </c>
      <c r="BF260" s="18">
        <v>1</v>
      </c>
      <c r="BG260" s="18">
        <v>1</v>
      </c>
      <c r="BH260" s="18">
        <v>1</v>
      </c>
      <c r="BI260" s="18">
        <v>1</v>
      </c>
      <c r="BJ260" s="19"/>
      <c r="BK260" s="18">
        <v>0.10101010101010102</v>
      </c>
      <c r="BL260" s="18">
        <v>0.10101010101010102</v>
      </c>
      <c r="BM260" s="18">
        <v>97.979797979797979</v>
      </c>
      <c r="BN260" s="18">
        <v>4.0404040404040407E-2</v>
      </c>
      <c r="BO260" s="18"/>
      <c r="BP260" s="18">
        <v>0</v>
      </c>
      <c r="BQ260" s="18">
        <v>0</v>
      </c>
      <c r="BR260" s="18">
        <v>-9.2234071258461614E-2</v>
      </c>
      <c r="BS260" s="18">
        <v>-8.6376267311332425E-2</v>
      </c>
      <c r="BT260" s="19"/>
      <c r="BU260" s="18">
        <v>20.202020202020101</v>
      </c>
      <c r="BV260" s="18">
        <v>9.3564213564212828</v>
      </c>
      <c r="BW260" s="18">
        <v>2.8860028860028684</v>
      </c>
      <c r="BX260" s="18">
        <v>0</v>
      </c>
      <c r="BY260" s="18">
        <v>0</v>
      </c>
      <c r="BZ260" s="18">
        <v>0</v>
      </c>
      <c r="CA260" s="18">
        <v>0</v>
      </c>
      <c r="CB260" s="19"/>
      <c r="CC260" s="19">
        <v>1.485E-3</v>
      </c>
      <c r="CD260" s="19">
        <v>0</v>
      </c>
      <c r="CE260" s="19">
        <v>3.4650000000000002E-3</v>
      </c>
      <c r="CF260" s="19">
        <v>0</v>
      </c>
      <c r="CG260" s="19">
        <v>0</v>
      </c>
      <c r="CH260" s="19">
        <v>0</v>
      </c>
      <c r="CI260" s="19">
        <v>0</v>
      </c>
      <c r="CJ260" s="19"/>
      <c r="CK260" s="19">
        <v>16500</v>
      </c>
      <c r="CL260" s="19">
        <v>3300</v>
      </c>
      <c r="CM260" s="19">
        <v>22000</v>
      </c>
      <c r="CN260" s="19">
        <v>55000</v>
      </c>
      <c r="CO260" s="19">
        <v>110</v>
      </c>
      <c r="CP260" s="19">
        <v>110</v>
      </c>
      <c r="CQ260" s="19">
        <v>0.77</v>
      </c>
      <c r="CR260" s="19">
        <v>-8.4326514829672981</v>
      </c>
      <c r="CS260" s="19">
        <v>-0.32044075635275732</v>
      </c>
      <c r="CT260" s="19">
        <v>-0.15178772669341137</v>
      </c>
      <c r="CU260" s="19">
        <v>-0.16022037817637866</v>
      </c>
      <c r="CV260" s="19">
        <v>-0.31200810486979003</v>
      </c>
      <c r="CW260" s="19">
        <v>-0.26984484745495463</v>
      </c>
      <c r="CX260" s="19">
        <v>-0.10119181779560757</v>
      </c>
      <c r="CY260" s="19">
        <v>-0.29514280190385545</v>
      </c>
      <c r="CZ260" s="19">
        <v>-0.55655499787584162</v>
      </c>
      <c r="DA260" s="19">
        <v>-0.20238363559121514</v>
      </c>
      <c r="DB260" s="19">
        <v>-0.36260401376759382</v>
      </c>
      <c r="DC260" s="19">
        <v>-0.25297954448901894</v>
      </c>
      <c r="DD260" s="19">
        <v>-0.61558355825661271</v>
      </c>
      <c r="DE260" s="19">
        <v>-0.43006522563133331</v>
      </c>
      <c r="DF260" s="23">
        <v>0</v>
      </c>
      <c r="DG260" s="23">
        <v>0</v>
      </c>
      <c r="DH260" s="23">
        <v>0</v>
      </c>
      <c r="DI260" s="19">
        <v>4400</v>
      </c>
      <c r="DJ260" s="19">
        <v>440</v>
      </c>
      <c r="DK260" s="19">
        <v>82500</v>
      </c>
      <c r="DL260" s="19">
        <v>1100</v>
      </c>
      <c r="DM260" s="19">
        <v>0</v>
      </c>
      <c r="DN260" s="19">
        <v>1100</v>
      </c>
      <c r="DO260" s="19">
        <v>2750</v>
      </c>
      <c r="DP260" s="19">
        <v>1650</v>
      </c>
      <c r="DQ260" s="19">
        <v>11000</v>
      </c>
      <c r="DR260" s="19">
        <v>11000</v>
      </c>
      <c r="DS260" s="19">
        <v>8250</v>
      </c>
      <c r="DT260" s="19">
        <v>0</v>
      </c>
      <c r="DU260" s="19">
        <v>825</v>
      </c>
      <c r="DV260" s="19">
        <v>110</v>
      </c>
      <c r="DW260" s="17" t="s">
        <v>218</v>
      </c>
      <c r="DX260" s="22" t="s">
        <v>218</v>
      </c>
      <c r="DY260" s="22" t="s">
        <v>218</v>
      </c>
      <c r="DZ260" s="22" t="s">
        <v>218</v>
      </c>
      <c r="EA260" s="22" t="s">
        <v>218</v>
      </c>
      <c r="EB260" s="22" t="s">
        <v>218</v>
      </c>
      <c r="EC260" s="22" t="s">
        <v>218</v>
      </c>
      <c r="ED260" s="22" t="s">
        <v>218</v>
      </c>
      <c r="EE260" s="22" t="s">
        <v>218</v>
      </c>
      <c r="EF260" s="22" t="s">
        <v>218</v>
      </c>
      <c r="EG260" s="22" t="s">
        <v>218</v>
      </c>
      <c r="EH260" s="22" t="s">
        <v>218</v>
      </c>
      <c r="EI260" s="22" t="s">
        <v>218</v>
      </c>
      <c r="EJ260" s="22" t="s">
        <v>218</v>
      </c>
      <c r="EK260" s="22" t="s">
        <v>218</v>
      </c>
      <c r="EL260" s="22" t="s">
        <v>218</v>
      </c>
      <c r="EM260" s="22" t="s">
        <v>218</v>
      </c>
      <c r="EN260" s="22" t="s">
        <v>218</v>
      </c>
      <c r="EO260" s="22" t="s">
        <v>218</v>
      </c>
      <c r="EP260" s="22" t="s">
        <v>218</v>
      </c>
      <c r="EQ260" s="22" t="s">
        <v>218</v>
      </c>
      <c r="ER260" s="22" t="s">
        <v>218</v>
      </c>
      <c r="ES260" s="22" t="s">
        <v>218</v>
      </c>
      <c r="ET260" s="22" t="s">
        <v>218</v>
      </c>
      <c r="EU260" s="22" t="s">
        <v>218</v>
      </c>
      <c r="EV260" s="22" t="s">
        <v>218</v>
      </c>
      <c r="EW260" s="22" t="s">
        <v>218</v>
      </c>
      <c r="EX260" s="22" t="s">
        <v>218</v>
      </c>
      <c r="EY260" s="22" t="s">
        <v>218</v>
      </c>
      <c r="EZ260" s="22" t="s">
        <v>218</v>
      </c>
      <c r="FA260" s="22" t="s">
        <v>218</v>
      </c>
      <c r="FB260" s="22" t="s">
        <v>218</v>
      </c>
      <c r="FC260" s="22" t="s">
        <v>218</v>
      </c>
      <c r="FD260" s="22" t="s">
        <v>218</v>
      </c>
      <c r="FE260" s="22" t="s">
        <v>218</v>
      </c>
      <c r="FF260" s="22" t="s">
        <v>218</v>
      </c>
      <c r="FG260" s="22" t="s">
        <v>218</v>
      </c>
      <c r="FH260" s="22" t="s">
        <v>218</v>
      </c>
      <c r="FI260" s="22" t="s">
        <v>218</v>
      </c>
      <c r="FJ260" s="22" t="s">
        <v>218</v>
      </c>
      <c r="FK260" s="22" t="s">
        <v>218</v>
      </c>
      <c r="FL260" s="22" t="s">
        <v>218</v>
      </c>
      <c r="FM260" s="22" t="s">
        <v>218</v>
      </c>
      <c r="FN260" s="22" t="s">
        <v>218</v>
      </c>
      <c r="FO260" s="22" t="s">
        <v>218</v>
      </c>
      <c r="FP260" s="22" t="s">
        <v>218</v>
      </c>
      <c r="FQ260" s="22" t="s">
        <v>218</v>
      </c>
      <c r="FR260" s="22" t="s">
        <v>218</v>
      </c>
      <c r="FS260" s="22" t="s">
        <v>218</v>
      </c>
      <c r="FT260" s="22" t="s">
        <v>218</v>
      </c>
      <c r="FU260" s="22" t="s">
        <v>218</v>
      </c>
      <c r="FV260" s="22" t="s">
        <v>218</v>
      </c>
      <c r="FW260" s="22" t="s">
        <v>218</v>
      </c>
      <c r="FX260" s="22" t="s">
        <v>218</v>
      </c>
      <c r="FY260" s="22" t="s">
        <v>218</v>
      </c>
      <c r="FZ260" s="22" t="s">
        <v>218</v>
      </c>
      <c r="GA260" s="22" t="s">
        <v>218</v>
      </c>
      <c r="GB260" s="22" t="s">
        <v>218</v>
      </c>
      <c r="GC260" s="22" t="s">
        <v>218</v>
      </c>
      <c r="GD260" s="22" t="s">
        <v>218</v>
      </c>
      <c r="GE260" s="22" t="s">
        <v>218</v>
      </c>
      <c r="GF260" s="22" t="s">
        <v>218</v>
      </c>
      <c r="GG260" s="22" t="s">
        <v>218</v>
      </c>
      <c r="GH260" s="22" t="s">
        <v>218</v>
      </c>
      <c r="GI260" s="22" t="s">
        <v>218</v>
      </c>
      <c r="GJ260" s="22" t="s">
        <v>218</v>
      </c>
      <c r="GK260" s="22" t="s">
        <v>218</v>
      </c>
      <c r="GL260" s="22" t="s">
        <v>218</v>
      </c>
      <c r="GM260" s="22" t="s">
        <v>218</v>
      </c>
      <c r="GN260" s="22" t="s">
        <v>218</v>
      </c>
      <c r="GO260" s="22" t="s">
        <v>218</v>
      </c>
      <c r="GP260" s="22" t="s">
        <v>218</v>
      </c>
      <c r="GQ260" s="22" t="s">
        <v>218</v>
      </c>
      <c r="GR260" s="22" t="s">
        <v>218</v>
      </c>
      <c r="GS260" s="22" t="s">
        <v>218</v>
      </c>
      <c r="GT260" s="22" t="s">
        <v>218</v>
      </c>
      <c r="GU260" s="22" t="s">
        <v>218</v>
      </c>
      <c r="GV260" s="22" t="s">
        <v>218</v>
      </c>
      <c r="GW260" s="22" t="s">
        <v>218</v>
      </c>
      <c r="GX260" s="22" t="s">
        <v>218</v>
      </c>
      <c r="GY260" s="22" t="s">
        <v>218</v>
      </c>
      <c r="GZ260" s="22" t="s">
        <v>218</v>
      </c>
      <c r="HA260" s="22" t="s">
        <v>218</v>
      </c>
      <c r="HB260" s="22" t="s">
        <v>218</v>
      </c>
      <c r="HC260" s="22" t="s">
        <v>218</v>
      </c>
      <c r="HD260" s="22" t="s">
        <v>218</v>
      </c>
      <c r="HE260" s="22" t="s">
        <v>218</v>
      </c>
      <c r="HF260" s="22" t="s">
        <v>218</v>
      </c>
      <c r="HG260" s="22" t="s">
        <v>218</v>
      </c>
      <c r="HH260" s="22" t="s">
        <v>218</v>
      </c>
      <c r="HI260" s="22" t="s">
        <v>218</v>
      </c>
      <c r="HJ260" s="22" t="s">
        <v>218</v>
      </c>
      <c r="HK260" s="22" t="s">
        <v>218</v>
      </c>
      <c r="HL260" s="22" t="s">
        <v>218</v>
      </c>
      <c r="HM260" s="622">
        <f>'background data'!$G$10</f>
        <v>0.47300000000000003</v>
      </c>
      <c r="HN260" s="622">
        <f>'background data'!$H$10</f>
        <v>0.13</v>
      </c>
      <c r="HO260" s="622">
        <f>'background data'!$J$10</f>
        <v>0.39100000000000001</v>
      </c>
      <c r="HP260" s="622">
        <f>'background data'!$L$10</f>
        <v>5.5E-2</v>
      </c>
      <c r="HQ260" s="622">
        <f>'background data'!$M$10</f>
        <v>3.97</v>
      </c>
      <c r="HR260" s="622">
        <f>'background data'!$N$10</f>
        <v>4.5999999999999999E-3</v>
      </c>
      <c r="HS260" s="622">
        <f>'background data'!$O$10</f>
        <v>2.73</v>
      </c>
      <c r="HT260" s="145" t="s">
        <v>1797</v>
      </c>
      <c r="HU260" s="145" t="s">
        <v>1809</v>
      </c>
      <c r="HV260" s="22" t="s">
        <v>1926</v>
      </c>
      <c r="HW260" s="22">
        <v>0</v>
      </c>
      <c r="HX260" s="22">
        <v>0</v>
      </c>
      <c r="HY260" s="22">
        <v>0</v>
      </c>
      <c r="HZ260" s="19"/>
      <c r="IA260" s="19"/>
      <c r="IB260" s="622">
        <f>'background data'!$G$10</f>
        <v>0.47300000000000003</v>
      </c>
      <c r="IC260" s="622">
        <f>'background data'!$H$10</f>
        <v>0.13</v>
      </c>
      <c r="ID260" s="622">
        <f>'background data'!$J$10</f>
        <v>0.39100000000000001</v>
      </c>
      <c r="IE260" s="622">
        <f>'background data'!$L$10</f>
        <v>5.5E-2</v>
      </c>
      <c r="IF260" s="622">
        <f>'background data'!$M$10</f>
        <v>3.97</v>
      </c>
      <c r="IG260" s="622">
        <f>'background data'!$N$10</f>
        <v>4.5999999999999999E-3</v>
      </c>
      <c r="IH260" s="622">
        <f>'background data'!$O$10</f>
        <v>2.73</v>
      </c>
      <c r="II260" s="145" t="s">
        <v>1797</v>
      </c>
      <c r="IJ260" s="145"/>
      <c r="IK260" s="145"/>
      <c r="IL260" s="145"/>
      <c r="IM260" s="145"/>
      <c r="IN260" s="145"/>
      <c r="IO260" s="145"/>
      <c r="IP260" s="145"/>
      <c r="IQ260" s="145"/>
      <c r="IR260" s="145"/>
      <c r="IS260" s="145"/>
      <c r="IT260" s="145"/>
      <c r="IU260" s="145"/>
      <c r="IV260" s="145"/>
      <c r="IW260" s="145"/>
      <c r="IX260" s="145"/>
      <c r="IY260" s="145"/>
      <c r="IZ260" s="145"/>
      <c r="JA260" s="145"/>
      <c r="JB260" s="145"/>
      <c r="JC260" s="145"/>
      <c r="JD260" s="145"/>
      <c r="JE260" s="145"/>
      <c r="JF260" s="145"/>
      <c r="JG260" s="145"/>
      <c r="JH260" s="145"/>
      <c r="JI260" s="145"/>
      <c r="JJ260" s="145"/>
      <c r="JK260" s="145"/>
      <c r="JL260" s="145"/>
      <c r="JM260" s="145"/>
      <c r="JN260" s="145"/>
      <c r="JO260" s="145"/>
      <c r="JP260" s="145"/>
      <c r="JQ260" s="145"/>
      <c r="JR260" s="145"/>
      <c r="JS260" s="145"/>
      <c r="JT260" s="145"/>
      <c r="JU260" s="145"/>
      <c r="JV260" s="145"/>
      <c r="JW260" s="145"/>
      <c r="JX260" s="145"/>
      <c r="JY260" s="145"/>
      <c r="JZ260" s="145"/>
      <c r="KA260" s="145"/>
      <c r="KB260" s="145"/>
      <c r="KC260" s="145"/>
      <c r="KD260" s="145"/>
      <c r="KE260" s="145"/>
      <c r="KF260" s="145"/>
      <c r="KG260" s="145"/>
      <c r="KH260" s="145"/>
      <c r="KI260" s="145"/>
      <c r="KJ260" s="145"/>
      <c r="KK260" s="145"/>
      <c r="KL260" s="145"/>
      <c r="KM260" s="145"/>
      <c r="KN260" s="145"/>
      <c r="KO260" s="145"/>
      <c r="KP260" s="145"/>
      <c r="KQ260" s="145"/>
      <c r="KR260" s="145"/>
      <c r="KS260" s="145"/>
      <c r="KT260" s="145"/>
      <c r="KU260" s="145"/>
      <c r="KV260" s="145"/>
      <c r="KW260" s="145"/>
      <c r="KX260" s="145"/>
      <c r="KY260" s="145"/>
      <c r="KZ260" s="145"/>
      <c r="LA260" s="145"/>
      <c r="LB260" s="145"/>
      <c r="LC260" s="145"/>
      <c r="LD260" s="145"/>
      <c r="LE260" s="145"/>
      <c r="LF260" s="145"/>
      <c r="LG260" s="145"/>
      <c r="LH260" s="145"/>
      <c r="LI260" s="145"/>
      <c r="LJ260" s="145"/>
      <c r="LK260" s="145"/>
      <c r="LL260" s="145"/>
      <c r="LM260" s="145"/>
      <c r="LN260" s="145"/>
      <c r="LO260" s="145"/>
      <c r="LP260" s="145"/>
      <c r="LQ260" s="145"/>
      <c r="LR260" s="145"/>
      <c r="LS260" s="145"/>
      <c r="LT260" s="145"/>
      <c r="LU260" s="145"/>
      <c r="LV260" s="145"/>
      <c r="LW260" s="145"/>
      <c r="LX260" s="145"/>
      <c r="LY260" s="145"/>
      <c r="LZ260" s="145"/>
      <c r="MA260" s="145"/>
      <c r="MB260" s="145"/>
      <c r="MC260" s="145"/>
      <c r="MD260" s="145"/>
      <c r="ME260" s="145"/>
      <c r="MF260" s="145"/>
      <c r="MG260" s="145"/>
      <c r="MH260" s="145"/>
      <c r="MI260" s="145"/>
      <c r="MJ260" s="145"/>
      <c r="MK260" s="145"/>
      <c r="ML260" s="145"/>
      <c r="MM260" s="145"/>
      <c r="MN260" s="145"/>
      <c r="MO260" s="145"/>
      <c r="MP260" s="145"/>
      <c r="MQ260" s="145"/>
      <c r="MR260" s="145"/>
      <c r="MS260" s="145"/>
      <c r="MT260" s="145"/>
      <c r="MU260" s="145"/>
      <c r="MV260" s="145"/>
      <c r="MW260" s="145"/>
      <c r="MX260" s="145"/>
      <c r="MY260" s="145"/>
      <c r="MZ260" s="145"/>
      <c r="NA260" s="145"/>
      <c r="NB260" s="145"/>
      <c r="NC260" s="145"/>
      <c r="ND260" s="145"/>
      <c r="NE260" s="145"/>
      <c r="NF260" s="145"/>
      <c r="NG260" s="145"/>
      <c r="NH260" s="145"/>
      <c r="NI260" s="145"/>
      <c r="NJ260" s="145"/>
      <c r="NK260" s="145"/>
      <c r="NL260" s="145"/>
      <c r="NM260" s="145"/>
      <c r="NN260" s="145"/>
      <c r="NO260" s="145"/>
      <c r="NP260" s="145"/>
      <c r="NQ260" s="145"/>
      <c r="NR260" s="145"/>
      <c r="NS260" s="145"/>
    </row>
    <row r="261" spans="1:383" s="16" customFormat="1" ht="15" customHeight="1" x14ac:dyDescent="0.2">
      <c r="A261" s="15">
        <v>75000</v>
      </c>
      <c r="B261" s="25">
        <v>750</v>
      </c>
      <c r="C261" s="26">
        <v>0</v>
      </c>
      <c r="D261" s="20" t="s">
        <v>710</v>
      </c>
      <c r="E261" s="14">
        <v>42522</v>
      </c>
      <c r="F261" s="18">
        <v>0.28365631097561</v>
      </c>
      <c r="G261" s="18">
        <v>0.27240196558441598</v>
      </c>
      <c r="H261" s="21">
        <v>98</v>
      </c>
      <c r="I261" s="21">
        <v>98</v>
      </c>
      <c r="J261" s="21">
        <v>98</v>
      </c>
      <c r="K261" s="18">
        <v>1</v>
      </c>
      <c r="L261" s="18">
        <v>13.5</v>
      </c>
      <c r="M261" s="18">
        <v>3.5775000000000099</v>
      </c>
      <c r="N261" s="18">
        <v>4.1849999999999898</v>
      </c>
      <c r="O261" s="18">
        <v>0.81</v>
      </c>
      <c r="P261" s="18">
        <v>0</v>
      </c>
      <c r="Q261" s="19"/>
      <c r="R261" s="18">
        <v>94</v>
      </c>
      <c r="S261" s="18">
        <v>58</v>
      </c>
      <c r="T261" s="18">
        <v>58</v>
      </c>
      <c r="U261" s="18">
        <v>58</v>
      </c>
      <c r="V261" s="18">
        <v>58</v>
      </c>
      <c r="W261" s="18">
        <v>58</v>
      </c>
      <c r="X261" s="18"/>
      <c r="Y261" s="18">
        <v>8.6000000000000014</v>
      </c>
      <c r="Z261" s="18">
        <v>7.1999999999999931</v>
      </c>
      <c r="AA261" s="18">
        <v>3.1999999999999922</v>
      </c>
      <c r="AB261" s="18">
        <v>0</v>
      </c>
      <c r="AC261" s="18">
        <v>11</v>
      </c>
      <c r="AD261" s="18">
        <v>0.9</v>
      </c>
      <c r="AE261" s="18">
        <v>0</v>
      </c>
      <c r="AF261" s="18">
        <v>4</v>
      </c>
      <c r="AG261" s="18">
        <v>1</v>
      </c>
      <c r="AH261" s="18">
        <v>1</v>
      </c>
      <c r="AI261" s="18">
        <v>41</v>
      </c>
      <c r="AJ261" s="18">
        <v>0</v>
      </c>
      <c r="AK261" s="18">
        <v>0.3</v>
      </c>
      <c r="AL261" s="18"/>
      <c r="AM261" s="18">
        <v>7.87</v>
      </c>
      <c r="AN261" s="18">
        <v>2.4700000000000002</v>
      </c>
      <c r="AO261" s="18">
        <v>0.86</v>
      </c>
      <c r="AP261" s="18">
        <v>4.45</v>
      </c>
      <c r="AQ261" s="18">
        <v>1.3</v>
      </c>
      <c r="AR261" s="18">
        <v>5.71</v>
      </c>
      <c r="AS261" s="18">
        <v>10.01</v>
      </c>
      <c r="AT261" s="18">
        <v>2.87</v>
      </c>
      <c r="AU261" s="18">
        <v>4.83</v>
      </c>
      <c r="AV261" s="18">
        <v>4.91</v>
      </c>
      <c r="AW261" s="18">
        <v>6.72</v>
      </c>
      <c r="AX261" s="18"/>
      <c r="AY261" s="18">
        <v>1.03</v>
      </c>
      <c r="AZ261" s="18">
        <v>1.03</v>
      </c>
      <c r="BA261" s="18">
        <v>1.04</v>
      </c>
      <c r="BB261" s="18">
        <v>1.03</v>
      </c>
      <c r="BC261" s="18">
        <v>1</v>
      </c>
      <c r="BD261" s="18">
        <v>1.01</v>
      </c>
      <c r="BE261" s="18">
        <v>1.03</v>
      </c>
      <c r="BF261" s="18">
        <v>1.02</v>
      </c>
      <c r="BG261" s="18">
        <v>1.04</v>
      </c>
      <c r="BH261" s="18">
        <v>0.93</v>
      </c>
      <c r="BI261" s="18">
        <v>0.98</v>
      </c>
      <c r="BJ261" s="19"/>
      <c r="BK261" s="18">
        <v>26.500000000000071</v>
      </c>
      <c r="BL261" s="18">
        <v>30.999999999999925</v>
      </c>
      <c r="BM261" s="18">
        <v>6</v>
      </c>
      <c r="BN261" s="18">
        <v>0</v>
      </c>
      <c r="BO261" s="18"/>
      <c r="BP261" s="18">
        <v>0</v>
      </c>
      <c r="BQ261" s="18">
        <v>0</v>
      </c>
      <c r="BR261" s="18">
        <v>2.1011578590785924</v>
      </c>
      <c r="BS261" s="18">
        <v>2.0177923376623408</v>
      </c>
      <c r="BT261" s="19"/>
      <c r="BU261" s="18">
        <v>940</v>
      </c>
      <c r="BV261" s="18">
        <v>379.34999999999997</v>
      </c>
      <c r="BW261" s="18">
        <v>0</v>
      </c>
      <c r="BX261" s="18">
        <v>0</v>
      </c>
      <c r="BY261" s="18">
        <v>355.55555555555628</v>
      </c>
      <c r="BZ261" s="18">
        <v>0</v>
      </c>
      <c r="CA261" s="18">
        <v>0</v>
      </c>
      <c r="CB261" s="19"/>
      <c r="CC261" s="19">
        <v>1.1610000000000003</v>
      </c>
      <c r="CD261" s="19">
        <v>0.97199999999999909</v>
      </c>
      <c r="CE261" s="19">
        <v>0.431999999999999</v>
      </c>
      <c r="CF261" s="19">
        <v>0</v>
      </c>
      <c r="CG261" s="19">
        <v>1.4850000000000001</v>
      </c>
      <c r="CH261" s="19">
        <v>0.12150000000000001</v>
      </c>
      <c r="CI261" s="19">
        <v>0</v>
      </c>
      <c r="CJ261" s="19"/>
      <c r="CK261" s="19">
        <v>0.54</v>
      </c>
      <c r="CL261" s="19">
        <v>0.13500000000000001</v>
      </c>
      <c r="CM261" s="19">
        <v>0.13500000000000001</v>
      </c>
      <c r="CN261" s="19">
        <v>5.5350000000000001</v>
      </c>
      <c r="CO261" s="19">
        <v>0</v>
      </c>
      <c r="CP261" s="19">
        <v>4.0500000000000001E-2</v>
      </c>
      <c r="CQ261" s="19">
        <v>33.628500000000102</v>
      </c>
      <c r="CR261" s="19">
        <v>118.55368168731358</v>
      </c>
      <c r="CS261" s="19">
        <v>9.6100799912553327</v>
      </c>
      <c r="CT261" s="19">
        <v>3.0161242158069466</v>
      </c>
      <c r="CU261" s="19">
        <v>1.0603441290113331</v>
      </c>
      <c r="CV261" s="19">
        <v>4.0764683448182657</v>
      </c>
      <c r="CW261" s="19">
        <v>5.4339080001380369</v>
      </c>
      <c r="CX261" s="19">
        <v>1.541197861935079</v>
      </c>
      <c r="CY261" s="19">
        <v>6.8371093765890762</v>
      </c>
      <c r="CZ261" s="19">
        <v>12.223240243007091</v>
      </c>
      <c r="DA261" s="19">
        <v>3.4705404777144215</v>
      </c>
      <c r="DB261" s="19">
        <v>5.9551885385171532</v>
      </c>
      <c r="DC261" s="19">
        <v>5.4135167668878195</v>
      </c>
      <c r="DD261" s="19">
        <v>11.368705305404935</v>
      </c>
      <c r="DE261" s="19">
        <v>7.8074712611997343</v>
      </c>
      <c r="DF261" s="23">
        <v>0</v>
      </c>
      <c r="DG261" s="23">
        <v>0</v>
      </c>
      <c r="DH261" s="23">
        <v>0</v>
      </c>
      <c r="DI261" s="19">
        <v>0</v>
      </c>
      <c r="DJ261" s="19">
        <v>0</v>
      </c>
      <c r="DK261" s="19">
        <v>0</v>
      </c>
      <c r="DL261" s="19">
        <v>0</v>
      </c>
      <c r="DM261" s="19">
        <v>0</v>
      </c>
      <c r="DN261" s="19">
        <v>0</v>
      </c>
      <c r="DO261" s="19">
        <v>0</v>
      </c>
      <c r="DP261" s="19">
        <v>0</v>
      </c>
      <c r="DQ261" s="19">
        <v>0</v>
      </c>
      <c r="DR261" s="19">
        <v>0</v>
      </c>
      <c r="DS261" s="19">
        <v>0</v>
      </c>
      <c r="DT261" s="19">
        <v>0</v>
      </c>
      <c r="DU261" s="19">
        <v>0</v>
      </c>
      <c r="DV261" s="19">
        <v>0</v>
      </c>
      <c r="DW261" s="17" t="s">
        <v>711</v>
      </c>
      <c r="DX261" s="22" t="s">
        <v>218</v>
      </c>
      <c r="DY261" s="22" t="s">
        <v>218</v>
      </c>
      <c r="DZ261" s="22" t="s">
        <v>218</v>
      </c>
      <c r="EA261" s="22" t="s">
        <v>218</v>
      </c>
      <c r="EB261" s="22" t="s">
        <v>218</v>
      </c>
      <c r="EC261" s="22" t="s">
        <v>218</v>
      </c>
      <c r="ED261" s="22" t="s">
        <v>218</v>
      </c>
      <c r="EE261" s="22" t="s">
        <v>218</v>
      </c>
      <c r="EF261" s="22" t="s">
        <v>218</v>
      </c>
      <c r="EG261" s="22" t="s">
        <v>218</v>
      </c>
      <c r="EH261" s="22" t="s">
        <v>218</v>
      </c>
      <c r="EI261" s="22" t="s">
        <v>218</v>
      </c>
      <c r="EJ261" s="22" t="s">
        <v>218</v>
      </c>
      <c r="EK261" s="22" t="s">
        <v>218</v>
      </c>
      <c r="EL261" s="22" t="s">
        <v>218</v>
      </c>
      <c r="EM261" s="22" t="s">
        <v>218</v>
      </c>
      <c r="EN261" s="22" t="s">
        <v>218</v>
      </c>
      <c r="EO261" s="22" t="s">
        <v>218</v>
      </c>
      <c r="EP261" s="22" t="s">
        <v>218</v>
      </c>
      <c r="EQ261" s="22" t="s">
        <v>218</v>
      </c>
      <c r="ER261" s="22" t="s">
        <v>218</v>
      </c>
      <c r="ES261" s="22" t="s">
        <v>218</v>
      </c>
      <c r="ET261" s="22" t="s">
        <v>218</v>
      </c>
      <c r="EU261" s="22" t="s">
        <v>218</v>
      </c>
      <c r="EV261" s="22" t="s">
        <v>218</v>
      </c>
      <c r="EW261" s="22" t="s">
        <v>218</v>
      </c>
      <c r="EX261" s="22" t="s">
        <v>218</v>
      </c>
      <c r="EY261" s="22" t="s">
        <v>218</v>
      </c>
      <c r="EZ261" s="22" t="s">
        <v>218</v>
      </c>
      <c r="FA261" s="22" t="s">
        <v>218</v>
      </c>
      <c r="FB261" s="22" t="s">
        <v>218</v>
      </c>
      <c r="FC261" s="22" t="s">
        <v>218</v>
      </c>
      <c r="FD261" s="22" t="s">
        <v>218</v>
      </c>
      <c r="FE261" s="22" t="s">
        <v>218</v>
      </c>
      <c r="FF261" s="22" t="s">
        <v>218</v>
      </c>
      <c r="FG261" s="22" t="s">
        <v>218</v>
      </c>
      <c r="FH261" s="22" t="s">
        <v>218</v>
      </c>
      <c r="FI261" s="22" t="s">
        <v>218</v>
      </c>
      <c r="FJ261" s="22" t="s">
        <v>218</v>
      </c>
      <c r="FK261" s="22" t="s">
        <v>218</v>
      </c>
      <c r="FL261" s="22" t="s">
        <v>218</v>
      </c>
      <c r="FM261" s="22" t="s">
        <v>218</v>
      </c>
      <c r="FN261" s="22" t="s">
        <v>218</v>
      </c>
      <c r="FO261" s="22" t="s">
        <v>218</v>
      </c>
      <c r="FP261" s="22" t="s">
        <v>218</v>
      </c>
      <c r="FQ261" s="22" t="s">
        <v>218</v>
      </c>
      <c r="FR261" s="22" t="s">
        <v>218</v>
      </c>
      <c r="FS261" s="22" t="s">
        <v>218</v>
      </c>
      <c r="FT261" s="22" t="s">
        <v>218</v>
      </c>
      <c r="FU261" s="22" t="s">
        <v>218</v>
      </c>
      <c r="FV261" s="22" t="s">
        <v>218</v>
      </c>
      <c r="FW261" s="22" t="s">
        <v>218</v>
      </c>
      <c r="FX261" s="22" t="s">
        <v>218</v>
      </c>
      <c r="FY261" s="22" t="s">
        <v>218</v>
      </c>
      <c r="FZ261" s="22" t="s">
        <v>218</v>
      </c>
      <c r="GA261" s="22" t="s">
        <v>218</v>
      </c>
      <c r="GB261" s="22" t="s">
        <v>218</v>
      </c>
      <c r="GC261" s="22" t="s">
        <v>218</v>
      </c>
      <c r="GD261" s="22" t="s">
        <v>218</v>
      </c>
      <c r="GE261" s="22" t="s">
        <v>218</v>
      </c>
      <c r="GF261" s="22" t="s">
        <v>218</v>
      </c>
      <c r="GG261" s="22" t="s">
        <v>218</v>
      </c>
      <c r="GH261" s="22" t="s">
        <v>218</v>
      </c>
      <c r="GI261" s="22" t="s">
        <v>218</v>
      </c>
      <c r="GJ261" s="22" t="s">
        <v>218</v>
      </c>
      <c r="GK261" s="22" t="s">
        <v>218</v>
      </c>
      <c r="GL261" s="22" t="s">
        <v>218</v>
      </c>
      <c r="GM261" s="22" t="s">
        <v>218</v>
      </c>
      <c r="GN261" s="22" t="s">
        <v>218</v>
      </c>
      <c r="GO261" s="22" t="s">
        <v>218</v>
      </c>
      <c r="GP261" s="22" t="s">
        <v>218</v>
      </c>
      <c r="GQ261" s="22" t="s">
        <v>218</v>
      </c>
      <c r="GR261" s="22" t="s">
        <v>218</v>
      </c>
      <c r="GS261" s="22" t="s">
        <v>218</v>
      </c>
      <c r="GT261" s="22" t="s">
        <v>218</v>
      </c>
      <c r="GU261" s="22" t="s">
        <v>218</v>
      </c>
      <c r="GV261" s="22" t="s">
        <v>218</v>
      </c>
      <c r="GW261" s="22" t="s">
        <v>218</v>
      </c>
      <c r="GX261" s="22" t="s">
        <v>218</v>
      </c>
      <c r="GY261" s="22" t="s">
        <v>218</v>
      </c>
      <c r="GZ261" s="22" t="s">
        <v>218</v>
      </c>
      <c r="HA261" s="22" t="s">
        <v>218</v>
      </c>
      <c r="HB261" s="22" t="s">
        <v>218</v>
      </c>
      <c r="HC261" s="22" t="s">
        <v>218</v>
      </c>
      <c r="HD261" s="22" t="s">
        <v>218</v>
      </c>
      <c r="HE261" s="22" t="s">
        <v>218</v>
      </c>
      <c r="HF261" s="22" t="s">
        <v>218</v>
      </c>
      <c r="HG261" s="22" t="s">
        <v>218</v>
      </c>
      <c r="HH261" s="22" t="s">
        <v>218</v>
      </c>
      <c r="HI261" s="22" t="s">
        <v>218</v>
      </c>
      <c r="HJ261" s="22" t="s">
        <v>218</v>
      </c>
      <c r="HK261" s="22" t="s">
        <v>218</v>
      </c>
      <c r="HL261" s="22" t="s">
        <v>218</v>
      </c>
      <c r="HM261" s="622">
        <v>0</v>
      </c>
      <c r="HN261" s="622">
        <v>0</v>
      </c>
      <c r="HO261" s="622">
        <v>0</v>
      </c>
      <c r="HP261" s="622">
        <v>0</v>
      </c>
      <c r="HQ261" s="622">
        <v>0</v>
      </c>
      <c r="HR261" s="622">
        <v>0</v>
      </c>
      <c r="HS261" s="622">
        <v>0</v>
      </c>
      <c r="HT261" s="145"/>
      <c r="HU261" s="145" t="s">
        <v>1809</v>
      </c>
      <c r="HV261" s="22" t="s">
        <v>1985</v>
      </c>
      <c r="HW261" s="22">
        <v>0</v>
      </c>
      <c r="HX261" s="22">
        <v>0</v>
      </c>
      <c r="HY261" s="22">
        <v>0</v>
      </c>
      <c r="HZ261" s="19"/>
      <c r="IA261" s="19"/>
      <c r="IB261" s="622">
        <v>0</v>
      </c>
      <c r="IC261" s="622">
        <v>0</v>
      </c>
      <c r="ID261" s="622">
        <v>0</v>
      </c>
      <c r="IE261" s="622">
        <v>0</v>
      </c>
      <c r="IF261" s="622">
        <v>0</v>
      </c>
      <c r="IG261" s="622">
        <v>0</v>
      </c>
      <c r="IH261" s="622">
        <v>0</v>
      </c>
      <c r="II261" s="145"/>
      <c r="IJ261" s="145"/>
      <c r="IK261" s="145"/>
      <c r="IL261" s="145"/>
      <c r="IM261" s="145"/>
      <c r="IN261" s="145"/>
      <c r="IO261" s="145"/>
      <c r="IP261" s="145"/>
      <c r="IQ261" s="145"/>
      <c r="IR261" s="145"/>
      <c r="IS261" s="145"/>
      <c r="IT261" s="145"/>
      <c r="IU261" s="145"/>
      <c r="IV261" s="145"/>
      <c r="IW261" s="145"/>
      <c r="IX261" s="145"/>
      <c r="IY261" s="145"/>
      <c r="IZ261" s="145"/>
      <c r="JA261" s="145"/>
      <c r="JB261" s="145"/>
      <c r="JC261" s="145"/>
      <c r="JD261" s="145"/>
      <c r="JE261" s="145"/>
      <c r="JF261" s="145"/>
      <c r="JG261" s="145"/>
      <c r="JH261" s="145"/>
      <c r="JI261" s="145"/>
      <c r="JJ261" s="145"/>
      <c r="JK261" s="145"/>
      <c r="JL261" s="145"/>
      <c r="JM261" s="145"/>
      <c r="JN261" s="145"/>
      <c r="JO261" s="145"/>
      <c r="JP261" s="145"/>
      <c r="JQ261" s="145"/>
      <c r="JR261" s="145"/>
      <c r="JS261" s="145"/>
      <c r="JT261" s="145"/>
      <c r="JU261" s="145"/>
      <c r="JV261" s="145"/>
      <c r="JW261" s="145"/>
      <c r="JX261" s="145"/>
      <c r="JY261" s="145"/>
      <c r="JZ261" s="145"/>
      <c r="KA261" s="145"/>
      <c r="KB261" s="145"/>
      <c r="KC261" s="145"/>
      <c r="KD261" s="145"/>
      <c r="KE261" s="145"/>
      <c r="KF261" s="145"/>
      <c r="KG261" s="145"/>
      <c r="KH261" s="145"/>
      <c r="KI261" s="145"/>
      <c r="KJ261" s="145"/>
      <c r="KK261" s="145"/>
      <c r="KL261" s="145"/>
      <c r="KM261" s="145"/>
      <c r="KN261" s="145"/>
      <c r="KO261" s="145"/>
      <c r="KP261" s="145"/>
      <c r="KQ261" s="145"/>
      <c r="KR261" s="145"/>
      <c r="KS261" s="145"/>
      <c r="KT261" s="145"/>
      <c r="KU261" s="145"/>
      <c r="KV261" s="145"/>
      <c r="KW261" s="145"/>
      <c r="KX261" s="145"/>
      <c r="KY261" s="145"/>
      <c r="KZ261" s="145"/>
      <c r="LA261" s="145"/>
      <c r="LB261" s="145"/>
      <c r="LC261" s="145"/>
      <c r="LD261" s="145"/>
      <c r="LE261" s="145"/>
      <c r="LF261" s="145"/>
      <c r="LG261" s="145"/>
      <c r="LH261" s="145"/>
      <c r="LI261" s="145"/>
      <c r="LJ261" s="145"/>
      <c r="LK261" s="145"/>
      <c r="LL261" s="145"/>
      <c r="LM261" s="145"/>
      <c r="LN261" s="145"/>
      <c r="LO261" s="145"/>
      <c r="LP261" s="145"/>
      <c r="LQ261" s="145"/>
      <c r="LR261" s="145"/>
      <c r="LS261" s="145"/>
      <c r="LT261" s="145"/>
      <c r="LU261" s="145"/>
      <c r="LV261" s="145"/>
      <c r="LW261" s="145"/>
      <c r="LX261" s="145"/>
      <c r="LY261" s="145"/>
      <c r="LZ261" s="145"/>
      <c r="MA261" s="145"/>
      <c r="MB261" s="145"/>
      <c r="MC261" s="145"/>
      <c r="MD261" s="145"/>
      <c r="ME261" s="145"/>
      <c r="MF261" s="145"/>
      <c r="MG261" s="145"/>
      <c r="MH261" s="145"/>
      <c r="MI261" s="145"/>
      <c r="MJ261" s="145"/>
      <c r="MK261" s="145"/>
      <c r="ML261" s="145"/>
      <c r="MM261" s="145"/>
      <c r="MN261" s="145"/>
      <c r="MO261" s="145"/>
      <c r="MP261" s="145"/>
      <c r="MQ261" s="145"/>
      <c r="MR261" s="145"/>
      <c r="MS261" s="145"/>
      <c r="MT261" s="145"/>
      <c r="MU261" s="145"/>
      <c r="MV261" s="145"/>
      <c r="MW261" s="145"/>
      <c r="MX261" s="145"/>
      <c r="MY261" s="145"/>
      <c r="MZ261" s="145"/>
      <c r="NA261" s="145"/>
      <c r="NB261" s="145"/>
      <c r="NC261" s="145"/>
      <c r="ND261" s="145"/>
      <c r="NE261" s="145"/>
      <c r="NF261" s="145"/>
      <c r="NG261" s="145"/>
      <c r="NH261" s="145"/>
      <c r="NI261" s="145"/>
      <c r="NJ261" s="145"/>
      <c r="NK261" s="145"/>
      <c r="NL261" s="145"/>
      <c r="NM261" s="145"/>
      <c r="NN261" s="145"/>
      <c r="NO261" s="145"/>
      <c r="NP261" s="145"/>
      <c r="NQ261" s="145"/>
      <c r="NR261" s="145"/>
      <c r="NS261" s="145"/>
    </row>
    <row r="262" spans="1:383" s="16" customFormat="1" ht="15" customHeight="1" x14ac:dyDescent="0.2">
      <c r="A262" s="15">
        <v>76100</v>
      </c>
      <c r="B262" s="25">
        <v>761</v>
      </c>
      <c r="C262" s="26">
        <v>0</v>
      </c>
      <c r="D262" s="20" t="s">
        <v>712</v>
      </c>
      <c r="E262" s="14">
        <v>42522</v>
      </c>
      <c r="F262" s="18">
        <v>2.01711154471545</v>
      </c>
      <c r="G262" s="18">
        <v>1.9370806441558499</v>
      </c>
      <c r="H262" s="21">
        <v>98</v>
      </c>
      <c r="I262" s="21">
        <v>98</v>
      </c>
      <c r="J262" s="21">
        <v>98</v>
      </c>
      <c r="K262" s="18">
        <v>1</v>
      </c>
      <c r="L262" s="18">
        <v>96</v>
      </c>
      <c r="M262" s="18">
        <v>25.440000000000101</v>
      </c>
      <c r="N262" s="18">
        <v>29.759999999999899</v>
      </c>
      <c r="O262" s="18">
        <v>5.76</v>
      </c>
      <c r="P262" s="18">
        <v>0</v>
      </c>
      <c r="Q262" s="19"/>
      <c r="R262" s="18">
        <v>94</v>
      </c>
      <c r="S262" s="18">
        <v>58</v>
      </c>
      <c r="T262" s="18">
        <v>58</v>
      </c>
      <c r="U262" s="18">
        <v>58</v>
      </c>
      <c r="V262" s="18">
        <v>58</v>
      </c>
      <c r="W262" s="18">
        <v>58</v>
      </c>
      <c r="X262" s="18"/>
      <c r="Y262" s="18">
        <v>8.6000000000000103</v>
      </c>
      <c r="Z262" s="18">
        <v>7.1999999999999895</v>
      </c>
      <c r="AA262" s="18">
        <v>3.1999999999999891</v>
      </c>
      <c r="AB262" s="18">
        <v>0</v>
      </c>
      <c r="AC262" s="18">
        <v>11</v>
      </c>
      <c r="AD262" s="18">
        <v>0.89999999999999891</v>
      </c>
      <c r="AE262" s="18">
        <v>3.3000000000000003</v>
      </c>
      <c r="AF262" s="18">
        <v>4</v>
      </c>
      <c r="AG262" s="18">
        <v>1</v>
      </c>
      <c r="AH262" s="18">
        <v>1</v>
      </c>
      <c r="AI262" s="18">
        <v>41</v>
      </c>
      <c r="AJ262" s="18">
        <v>0</v>
      </c>
      <c r="AK262" s="18">
        <v>0.3</v>
      </c>
      <c r="AL262" s="18"/>
      <c r="AM262" s="18">
        <v>7.87</v>
      </c>
      <c r="AN262" s="18">
        <v>2.4700000000000002</v>
      </c>
      <c r="AO262" s="18">
        <v>0.86</v>
      </c>
      <c r="AP262" s="18">
        <v>4.45</v>
      </c>
      <c r="AQ262" s="18">
        <v>1.3</v>
      </c>
      <c r="AR262" s="18">
        <v>5.71</v>
      </c>
      <c r="AS262" s="18">
        <v>10</v>
      </c>
      <c r="AT262" s="18">
        <v>2.87</v>
      </c>
      <c r="AU262" s="18">
        <v>4.83</v>
      </c>
      <c r="AV262" s="18">
        <v>4.91</v>
      </c>
      <c r="AW262" s="18">
        <v>6.72</v>
      </c>
      <c r="AX262" s="18"/>
      <c r="AY262" s="18">
        <v>1.03</v>
      </c>
      <c r="AZ262" s="18">
        <v>1.03</v>
      </c>
      <c r="BA262" s="18">
        <v>1.04</v>
      </c>
      <c r="BB262" s="18">
        <v>1.03</v>
      </c>
      <c r="BC262" s="18">
        <v>1</v>
      </c>
      <c r="BD262" s="18">
        <v>1.01</v>
      </c>
      <c r="BE262" s="18">
        <v>1.03</v>
      </c>
      <c r="BF262" s="18">
        <v>1.02</v>
      </c>
      <c r="BG262" s="18">
        <v>1.04</v>
      </c>
      <c r="BH262" s="18">
        <v>0.93</v>
      </c>
      <c r="BI262" s="18">
        <v>0.98</v>
      </c>
      <c r="BJ262" s="19"/>
      <c r="BK262" s="18">
        <v>26.500000000000103</v>
      </c>
      <c r="BL262" s="18">
        <v>30.999999999999897</v>
      </c>
      <c r="BM262" s="18">
        <v>6</v>
      </c>
      <c r="BN262" s="18">
        <v>0</v>
      </c>
      <c r="BO262" s="18"/>
      <c r="BP262" s="18">
        <v>0</v>
      </c>
      <c r="BQ262" s="18">
        <v>0</v>
      </c>
      <c r="BR262" s="18">
        <v>2.1011578590785938</v>
      </c>
      <c r="BS262" s="18">
        <v>2.0177923376623439</v>
      </c>
      <c r="BT262" s="19"/>
      <c r="BU262" s="18">
        <v>940</v>
      </c>
      <c r="BV262" s="18">
        <v>379.34999999999997</v>
      </c>
      <c r="BW262" s="18">
        <v>0</v>
      </c>
      <c r="BX262" s="18">
        <v>0</v>
      </c>
      <c r="BY262" s="18">
        <v>387.5</v>
      </c>
      <c r="BZ262" s="18">
        <v>0</v>
      </c>
      <c r="CA262" s="18">
        <v>0</v>
      </c>
      <c r="CB262" s="19"/>
      <c r="CC262" s="19">
        <v>8.2560000000000091</v>
      </c>
      <c r="CD262" s="19">
        <v>6.9119999999999893</v>
      </c>
      <c r="CE262" s="19">
        <v>3.0719999999999894</v>
      </c>
      <c r="CF262" s="19">
        <v>0</v>
      </c>
      <c r="CG262" s="19">
        <v>10.559999999999999</v>
      </c>
      <c r="CH262" s="19">
        <v>0.86399999999999888</v>
      </c>
      <c r="CI262" s="19">
        <v>3.1680000000000001</v>
      </c>
      <c r="CJ262" s="19"/>
      <c r="CK262" s="19">
        <v>3.84</v>
      </c>
      <c r="CL262" s="19">
        <v>0.96</v>
      </c>
      <c r="CM262" s="19">
        <v>0.96</v>
      </c>
      <c r="CN262" s="19">
        <v>39.36</v>
      </c>
      <c r="CO262" s="19">
        <v>0</v>
      </c>
      <c r="CP262" s="19">
        <v>0.28799999999999998</v>
      </c>
      <c r="CQ262" s="19">
        <v>239.13600000000099</v>
      </c>
      <c r="CR262" s="19">
        <v>118.55368168731366</v>
      </c>
      <c r="CS262" s="19">
        <v>9.6100799912553416</v>
      </c>
      <c r="CT262" s="19">
        <v>3.0161242158069439</v>
      </c>
      <c r="CU262" s="19">
        <v>1.0603441290113338</v>
      </c>
      <c r="CV262" s="19">
        <v>4.0764683448182781</v>
      </c>
      <c r="CW262" s="19">
        <v>5.4339080001379987</v>
      </c>
      <c r="CX262" s="19">
        <v>1.5411978619350761</v>
      </c>
      <c r="CY262" s="19">
        <v>6.837109376589086</v>
      </c>
      <c r="CZ262" s="19">
        <v>12.211029213793305</v>
      </c>
      <c r="DA262" s="19">
        <v>3.4705404777144206</v>
      </c>
      <c r="DB262" s="19">
        <v>5.955188538517115</v>
      </c>
      <c r="DC262" s="19">
        <v>5.4135167668877813</v>
      </c>
      <c r="DD262" s="19">
        <v>11.368705305404944</v>
      </c>
      <c r="DE262" s="19">
        <v>7.807471261199745</v>
      </c>
      <c r="DF262" s="23">
        <v>0</v>
      </c>
      <c r="DG262" s="23">
        <v>0</v>
      </c>
      <c r="DH262" s="23">
        <v>0</v>
      </c>
      <c r="DI262" s="19">
        <v>0</v>
      </c>
      <c r="DJ262" s="19">
        <v>0</v>
      </c>
      <c r="DK262" s="19">
        <v>0</v>
      </c>
      <c r="DL262" s="19">
        <v>0</v>
      </c>
      <c r="DM262" s="19">
        <v>0</v>
      </c>
      <c r="DN262" s="19">
        <v>0</v>
      </c>
      <c r="DO262" s="19">
        <v>0</v>
      </c>
      <c r="DP262" s="19">
        <v>0</v>
      </c>
      <c r="DQ262" s="19">
        <v>0</v>
      </c>
      <c r="DR262" s="19">
        <v>0</v>
      </c>
      <c r="DS262" s="19">
        <v>0</v>
      </c>
      <c r="DT262" s="19">
        <v>0</v>
      </c>
      <c r="DU262" s="19">
        <v>0</v>
      </c>
      <c r="DV262" s="19">
        <v>0</v>
      </c>
      <c r="DW262" s="17" t="s">
        <v>711</v>
      </c>
      <c r="DX262" s="22" t="s">
        <v>218</v>
      </c>
      <c r="DY262" s="22" t="s">
        <v>218</v>
      </c>
      <c r="DZ262" s="22" t="s">
        <v>218</v>
      </c>
      <c r="EA262" s="22" t="s">
        <v>218</v>
      </c>
      <c r="EB262" s="22" t="s">
        <v>218</v>
      </c>
      <c r="EC262" s="22" t="s">
        <v>218</v>
      </c>
      <c r="ED262" s="22" t="s">
        <v>218</v>
      </c>
      <c r="EE262" s="22" t="s">
        <v>218</v>
      </c>
      <c r="EF262" s="22" t="s">
        <v>218</v>
      </c>
      <c r="EG262" s="22" t="s">
        <v>218</v>
      </c>
      <c r="EH262" s="22" t="s">
        <v>218</v>
      </c>
      <c r="EI262" s="22" t="s">
        <v>218</v>
      </c>
      <c r="EJ262" s="22" t="s">
        <v>218</v>
      </c>
      <c r="EK262" s="22" t="s">
        <v>218</v>
      </c>
      <c r="EL262" s="22" t="s">
        <v>218</v>
      </c>
      <c r="EM262" s="22" t="s">
        <v>218</v>
      </c>
      <c r="EN262" s="22" t="s">
        <v>218</v>
      </c>
      <c r="EO262" s="22" t="s">
        <v>218</v>
      </c>
      <c r="EP262" s="22" t="s">
        <v>218</v>
      </c>
      <c r="EQ262" s="22" t="s">
        <v>218</v>
      </c>
      <c r="ER262" s="22" t="s">
        <v>218</v>
      </c>
      <c r="ES262" s="22" t="s">
        <v>218</v>
      </c>
      <c r="ET262" s="22" t="s">
        <v>218</v>
      </c>
      <c r="EU262" s="22" t="s">
        <v>218</v>
      </c>
      <c r="EV262" s="22" t="s">
        <v>218</v>
      </c>
      <c r="EW262" s="22" t="s">
        <v>218</v>
      </c>
      <c r="EX262" s="22" t="s">
        <v>218</v>
      </c>
      <c r="EY262" s="22" t="s">
        <v>218</v>
      </c>
      <c r="EZ262" s="22" t="s">
        <v>218</v>
      </c>
      <c r="FA262" s="22" t="s">
        <v>218</v>
      </c>
      <c r="FB262" s="22" t="s">
        <v>218</v>
      </c>
      <c r="FC262" s="22" t="s">
        <v>218</v>
      </c>
      <c r="FD262" s="22" t="s">
        <v>218</v>
      </c>
      <c r="FE262" s="22" t="s">
        <v>218</v>
      </c>
      <c r="FF262" s="22" t="s">
        <v>218</v>
      </c>
      <c r="FG262" s="22" t="s">
        <v>218</v>
      </c>
      <c r="FH262" s="22" t="s">
        <v>218</v>
      </c>
      <c r="FI262" s="22" t="s">
        <v>218</v>
      </c>
      <c r="FJ262" s="22" t="s">
        <v>218</v>
      </c>
      <c r="FK262" s="22" t="s">
        <v>218</v>
      </c>
      <c r="FL262" s="22" t="s">
        <v>218</v>
      </c>
      <c r="FM262" s="22" t="s">
        <v>218</v>
      </c>
      <c r="FN262" s="22" t="s">
        <v>218</v>
      </c>
      <c r="FO262" s="22" t="s">
        <v>218</v>
      </c>
      <c r="FP262" s="22" t="s">
        <v>218</v>
      </c>
      <c r="FQ262" s="22" t="s">
        <v>218</v>
      </c>
      <c r="FR262" s="22" t="s">
        <v>218</v>
      </c>
      <c r="FS262" s="22" t="s">
        <v>218</v>
      </c>
      <c r="FT262" s="22" t="s">
        <v>218</v>
      </c>
      <c r="FU262" s="22" t="s">
        <v>218</v>
      </c>
      <c r="FV262" s="22" t="s">
        <v>218</v>
      </c>
      <c r="FW262" s="22" t="s">
        <v>218</v>
      </c>
      <c r="FX262" s="22" t="s">
        <v>218</v>
      </c>
      <c r="FY262" s="22" t="s">
        <v>218</v>
      </c>
      <c r="FZ262" s="22" t="s">
        <v>218</v>
      </c>
      <c r="GA262" s="22" t="s">
        <v>218</v>
      </c>
      <c r="GB262" s="22" t="s">
        <v>218</v>
      </c>
      <c r="GC262" s="22" t="s">
        <v>218</v>
      </c>
      <c r="GD262" s="22" t="s">
        <v>218</v>
      </c>
      <c r="GE262" s="22" t="s">
        <v>218</v>
      </c>
      <c r="GF262" s="22" t="s">
        <v>218</v>
      </c>
      <c r="GG262" s="22" t="s">
        <v>218</v>
      </c>
      <c r="GH262" s="22" t="s">
        <v>218</v>
      </c>
      <c r="GI262" s="22" t="s">
        <v>218</v>
      </c>
      <c r="GJ262" s="22" t="s">
        <v>218</v>
      </c>
      <c r="GK262" s="22" t="s">
        <v>218</v>
      </c>
      <c r="GL262" s="22" t="s">
        <v>218</v>
      </c>
      <c r="GM262" s="22" t="s">
        <v>218</v>
      </c>
      <c r="GN262" s="22" t="s">
        <v>218</v>
      </c>
      <c r="GO262" s="22" t="s">
        <v>218</v>
      </c>
      <c r="GP262" s="22" t="s">
        <v>218</v>
      </c>
      <c r="GQ262" s="22" t="s">
        <v>218</v>
      </c>
      <c r="GR262" s="22" t="s">
        <v>218</v>
      </c>
      <c r="GS262" s="22" t="s">
        <v>218</v>
      </c>
      <c r="GT262" s="22" t="s">
        <v>218</v>
      </c>
      <c r="GU262" s="22" t="s">
        <v>218</v>
      </c>
      <c r="GV262" s="22" t="s">
        <v>218</v>
      </c>
      <c r="GW262" s="22" t="s">
        <v>218</v>
      </c>
      <c r="GX262" s="22" t="s">
        <v>218</v>
      </c>
      <c r="GY262" s="22" t="s">
        <v>218</v>
      </c>
      <c r="GZ262" s="22" t="s">
        <v>218</v>
      </c>
      <c r="HA262" s="22" t="s">
        <v>218</v>
      </c>
      <c r="HB262" s="22" t="s">
        <v>218</v>
      </c>
      <c r="HC262" s="22" t="s">
        <v>218</v>
      </c>
      <c r="HD262" s="22" t="s">
        <v>218</v>
      </c>
      <c r="HE262" s="22" t="s">
        <v>218</v>
      </c>
      <c r="HF262" s="22" t="s">
        <v>218</v>
      </c>
      <c r="HG262" s="22" t="s">
        <v>218</v>
      </c>
      <c r="HH262" s="22" t="s">
        <v>218</v>
      </c>
      <c r="HI262" s="22" t="s">
        <v>218</v>
      </c>
      <c r="HJ262" s="22" t="s">
        <v>218</v>
      </c>
      <c r="HK262" s="22" t="s">
        <v>218</v>
      </c>
      <c r="HL262" s="22" t="s">
        <v>218</v>
      </c>
      <c r="HM262" s="622">
        <v>8.1999999999999993</v>
      </c>
      <c r="HN262" s="861"/>
      <c r="HO262" s="861"/>
      <c r="HP262" s="861"/>
      <c r="HQ262" s="861"/>
      <c r="HR262" s="861"/>
      <c r="HS262" s="861"/>
      <c r="HT262" s="145" t="s">
        <v>1804</v>
      </c>
      <c r="HU262" s="145" t="s">
        <v>1809</v>
      </c>
      <c r="HV262" s="22" t="s">
        <v>1986</v>
      </c>
      <c r="HW262" s="22">
        <v>0</v>
      </c>
      <c r="HX262" s="22">
        <v>0</v>
      </c>
      <c r="HY262" s="22">
        <v>0</v>
      </c>
      <c r="HZ262" s="19"/>
      <c r="IA262" s="19"/>
      <c r="IB262" s="622">
        <v>8.1999999999999993</v>
      </c>
      <c r="IC262" s="624">
        <f>'background data'!$H$10</f>
        <v>0.13</v>
      </c>
      <c r="ID262" s="624">
        <f>'background data'!$J$10</f>
        <v>0.39100000000000001</v>
      </c>
      <c r="IE262" s="624">
        <f>'background data'!$L$10</f>
        <v>5.5E-2</v>
      </c>
      <c r="IF262" s="624">
        <f>'background data'!$M$10</f>
        <v>3.97</v>
      </c>
      <c r="IG262" s="624">
        <f>'background data'!$N$10</f>
        <v>4.5999999999999999E-3</v>
      </c>
      <c r="IH262" s="624">
        <f>'background data'!$O$10</f>
        <v>2.73</v>
      </c>
      <c r="II262" s="145" t="s">
        <v>1804</v>
      </c>
      <c r="IJ262" s="145"/>
      <c r="IK262" s="145"/>
      <c r="IL262" s="145"/>
      <c r="IM262" s="145"/>
      <c r="IN262" s="145"/>
      <c r="IO262" s="145"/>
      <c r="IP262" s="145"/>
      <c r="IQ262" s="145"/>
      <c r="IR262" s="145"/>
      <c r="IS262" s="145"/>
      <c r="IT262" s="145"/>
      <c r="IU262" s="145"/>
      <c r="IV262" s="145"/>
      <c r="IW262" s="145"/>
      <c r="IX262" s="145"/>
      <c r="IY262" s="145"/>
      <c r="IZ262" s="145"/>
      <c r="JA262" s="145"/>
      <c r="JB262" s="145"/>
      <c r="JC262" s="145"/>
      <c r="JD262" s="145"/>
      <c r="JE262" s="145"/>
      <c r="JF262" s="145"/>
      <c r="JG262" s="145"/>
      <c r="JH262" s="145"/>
      <c r="JI262" s="145"/>
      <c r="JJ262" s="145"/>
      <c r="JK262" s="145"/>
      <c r="JL262" s="145"/>
      <c r="JM262" s="145"/>
      <c r="JN262" s="145"/>
      <c r="JO262" s="145"/>
      <c r="JP262" s="145"/>
      <c r="JQ262" s="145"/>
      <c r="JR262" s="145"/>
      <c r="JS262" s="145"/>
      <c r="JT262" s="145"/>
      <c r="JU262" s="145"/>
      <c r="JV262" s="145"/>
      <c r="JW262" s="145"/>
      <c r="JX262" s="145"/>
      <c r="JY262" s="145"/>
      <c r="JZ262" s="145"/>
      <c r="KA262" s="145"/>
      <c r="KB262" s="145"/>
      <c r="KC262" s="145"/>
      <c r="KD262" s="145"/>
      <c r="KE262" s="145"/>
      <c r="KF262" s="145"/>
      <c r="KG262" s="145"/>
      <c r="KH262" s="145"/>
      <c r="KI262" s="145"/>
      <c r="KJ262" s="145"/>
      <c r="KK262" s="145"/>
      <c r="KL262" s="145"/>
      <c r="KM262" s="145"/>
      <c r="KN262" s="145"/>
      <c r="KO262" s="145"/>
      <c r="KP262" s="145"/>
      <c r="KQ262" s="145"/>
      <c r="KR262" s="145"/>
      <c r="KS262" s="145"/>
      <c r="KT262" s="145"/>
      <c r="KU262" s="145"/>
      <c r="KV262" s="145"/>
      <c r="KW262" s="145"/>
      <c r="KX262" s="145"/>
      <c r="KY262" s="145"/>
      <c r="KZ262" s="145"/>
      <c r="LA262" s="145"/>
      <c r="LB262" s="145"/>
      <c r="LC262" s="145"/>
      <c r="LD262" s="145"/>
      <c r="LE262" s="145"/>
      <c r="LF262" s="145"/>
      <c r="LG262" s="145"/>
      <c r="LH262" s="145"/>
      <c r="LI262" s="145"/>
      <c r="LJ262" s="145"/>
      <c r="LK262" s="145"/>
      <c r="LL262" s="145"/>
      <c r="LM262" s="145"/>
      <c r="LN262" s="145"/>
      <c r="LO262" s="145"/>
      <c r="LP262" s="145"/>
      <c r="LQ262" s="145"/>
      <c r="LR262" s="145"/>
      <c r="LS262" s="145"/>
      <c r="LT262" s="145"/>
      <c r="LU262" s="145"/>
      <c r="LV262" s="145"/>
      <c r="LW262" s="145"/>
      <c r="LX262" s="145"/>
      <c r="LY262" s="145"/>
      <c r="LZ262" s="145"/>
      <c r="MA262" s="145"/>
      <c r="MB262" s="145"/>
      <c r="MC262" s="145"/>
      <c r="MD262" s="145"/>
      <c r="ME262" s="145"/>
      <c r="MF262" s="145"/>
      <c r="MG262" s="145"/>
      <c r="MH262" s="145"/>
      <c r="MI262" s="145"/>
      <c r="MJ262" s="145"/>
      <c r="MK262" s="145"/>
      <c r="ML262" s="145"/>
      <c r="MM262" s="145"/>
      <c r="MN262" s="145"/>
      <c r="MO262" s="145"/>
      <c r="MP262" s="145"/>
      <c r="MQ262" s="145"/>
      <c r="MR262" s="145"/>
      <c r="MS262" s="145"/>
      <c r="MT262" s="145"/>
      <c r="MU262" s="145"/>
      <c r="MV262" s="145"/>
      <c r="MW262" s="145"/>
      <c r="MX262" s="145"/>
      <c r="MY262" s="145"/>
      <c r="MZ262" s="145"/>
      <c r="NA262" s="145"/>
      <c r="NB262" s="145"/>
      <c r="NC262" s="145"/>
      <c r="ND262" s="145"/>
      <c r="NE262" s="145"/>
      <c r="NF262" s="145"/>
      <c r="NG262" s="145"/>
      <c r="NH262" s="145"/>
      <c r="NI262" s="145"/>
      <c r="NJ262" s="145"/>
      <c r="NK262" s="145"/>
      <c r="NL262" s="145"/>
      <c r="NM262" s="145"/>
      <c r="NN262" s="145"/>
      <c r="NO262" s="145"/>
      <c r="NP262" s="145"/>
      <c r="NQ262" s="145"/>
      <c r="NR262" s="145"/>
      <c r="NS262" s="145"/>
    </row>
    <row r="263" spans="1:383" s="16" customFormat="1" ht="15" customHeight="1" x14ac:dyDescent="0.2">
      <c r="A263" s="15">
        <v>68000</v>
      </c>
      <c r="B263" s="25">
        <v>680</v>
      </c>
      <c r="C263" s="26">
        <v>0</v>
      </c>
      <c r="D263" s="20" t="s">
        <v>713</v>
      </c>
      <c r="E263" s="14">
        <v>41814</v>
      </c>
      <c r="F263" s="18">
        <v>1.01861968672357</v>
      </c>
      <c r="G263" s="18">
        <v>1.02373352511905</v>
      </c>
      <c r="H263" s="21">
        <v>90</v>
      </c>
      <c r="I263" s="21">
        <v>80</v>
      </c>
      <c r="J263" s="21">
        <v>66</v>
      </c>
      <c r="K263" s="18">
        <v>1</v>
      </c>
      <c r="L263" s="18">
        <v>87</v>
      </c>
      <c r="M263" s="18">
        <v>2.8000001700000001</v>
      </c>
      <c r="N263" s="18">
        <v>0.70000026000000004</v>
      </c>
      <c r="O263" s="18">
        <v>5.4000003899999998</v>
      </c>
      <c r="P263" s="18">
        <v>3.7999999199999999</v>
      </c>
      <c r="Q263" s="19"/>
      <c r="R263" s="18">
        <v>13</v>
      </c>
      <c r="S263" s="18">
        <v>10</v>
      </c>
      <c r="T263" s="18">
        <v>10</v>
      </c>
      <c r="U263" s="18">
        <v>10</v>
      </c>
      <c r="V263" s="18">
        <v>10</v>
      </c>
      <c r="W263" s="18">
        <v>10</v>
      </c>
      <c r="X263" s="18"/>
      <c r="Y263" s="18">
        <v>2.4137900000000001</v>
      </c>
      <c r="Z263" s="18">
        <v>1.14943</v>
      </c>
      <c r="AA263" s="18">
        <v>0.22988999999999885</v>
      </c>
      <c r="AB263" s="18">
        <v>0</v>
      </c>
      <c r="AC263" s="18">
        <v>8.5057500000000008</v>
      </c>
      <c r="AD263" s="18">
        <v>1.3</v>
      </c>
      <c r="AE263" s="18">
        <v>0</v>
      </c>
      <c r="AF263" s="18">
        <v>1272.0000000000002</v>
      </c>
      <c r="AG263" s="18">
        <v>4</v>
      </c>
      <c r="AH263" s="18">
        <v>39</v>
      </c>
      <c r="AI263" s="18">
        <v>16</v>
      </c>
      <c r="AJ263" s="18">
        <v>0</v>
      </c>
      <c r="AK263" s="18">
        <v>0.10999999999999999</v>
      </c>
      <c r="AL263" s="18"/>
      <c r="AM263" s="18">
        <v>3.84</v>
      </c>
      <c r="AN263" s="18">
        <v>1.36</v>
      </c>
      <c r="AO263" s="18">
        <v>1.1599999999999999</v>
      </c>
      <c r="AP263" s="18">
        <v>3.33</v>
      </c>
      <c r="AQ263" s="18">
        <v>1.04</v>
      </c>
      <c r="AR263" s="18">
        <v>3.25</v>
      </c>
      <c r="AS263" s="18">
        <v>5.58</v>
      </c>
      <c r="AT263" s="18">
        <v>2.2599999999999998</v>
      </c>
      <c r="AU263" s="18">
        <v>4.22</v>
      </c>
      <c r="AV263" s="18">
        <v>2.21</v>
      </c>
      <c r="AW263" s="18">
        <v>4.2</v>
      </c>
      <c r="AX263" s="18"/>
      <c r="AY263" s="18">
        <v>1</v>
      </c>
      <c r="AZ263" s="18">
        <v>1</v>
      </c>
      <c r="BA263" s="18">
        <v>1</v>
      </c>
      <c r="BB263" s="18">
        <v>1</v>
      </c>
      <c r="BC263" s="18">
        <v>1</v>
      </c>
      <c r="BD263" s="18">
        <v>1</v>
      </c>
      <c r="BE263" s="18">
        <v>1</v>
      </c>
      <c r="BF263" s="18">
        <v>1</v>
      </c>
      <c r="BG263" s="18">
        <v>1</v>
      </c>
      <c r="BH263" s="18">
        <v>1</v>
      </c>
      <c r="BI263" s="18">
        <v>1</v>
      </c>
      <c r="BJ263" s="19"/>
      <c r="BK263" s="18">
        <v>3.218391</v>
      </c>
      <c r="BL263" s="18">
        <v>0.80459800000000004</v>
      </c>
      <c r="BM263" s="18">
        <v>6.2068969999999997</v>
      </c>
      <c r="BN263" s="18">
        <v>4.3678159999999995</v>
      </c>
      <c r="BO263" s="18"/>
      <c r="BP263" s="18">
        <v>0</v>
      </c>
      <c r="BQ263" s="18">
        <v>0</v>
      </c>
      <c r="BR263" s="18">
        <v>1.170827226119046</v>
      </c>
      <c r="BS263" s="18">
        <v>1.1767052012862644</v>
      </c>
      <c r="BT263" s="19"/>
      <c r="BU263" s="18">
        <v>937.93102999999996</v>
      </c>
      <c r="BV263" s="18">
        <v>673.05582115714253</v>
      </c>
      <c r="BW263" s="18">
        <v>133.99014714285747</v>
      </c>
      <c r="BX263" s="18" t="s">
        <v>217</v>
      </c>
      <c r="BY263" s="18" t="s">
        <v>217</v>
      </c>
      <c r="BZ263" s="18">
        <v>23.000000000000004</v>
      </c>
      <c r="CA263" s="18">
        <v>82.999999999999986</v>
      </c>
      <c r="CB263" s="19"/>
      <c r="CC263" s="19">
        <v>2.0999973000000001</v>
      </c>
      <c r="CD263" s="19">
        <v>1.0000041</v>
      </c>
      <c r="CE263" s="19">
        <v>0.200004299999999</v>
      </c>
      <c r="CF263" s="19">
        <v>0</v>
      </c>
      <c r="CG263" s="19">
        <v>7.4000025000000003</v>
      </c>
      <c r="CH263" s="19">
        <v>1.131</v>
      </c>
      <c r="CI263" s="19">
        <v>0</v>
      </c>
      <c r="CJ263" s="19"/>
      <c r="CK263" s="19">
        <v>1106.6400000000001</v>
      </c>
      <c r="CL263" s="19">
        <v>3.48</v>
      </c>
      <c r="CM263" s="19">
        <v>33.93</v>
      </c>
      <c r="CN263" s="19">
        <v>13.92</v>
      </c>
      <c r="CO263" s="19">
        <v>0</v>
      </c>
      <c r="CP263" s="19">
        <v>9.5699999999999993E-2</v>
      </c>
      <c r="CQ263" s="19">
        <v>3.6400002210000002</v>
      </c>
      <c r="CR263" s="19">
        <v>3.5734634510238097</v>
      </c>
      <c r="CS263" s="19">
        <v>0.1372209965193143</v>
      </c>
      <c r="CT263" s="19">
        <v>4.8599102933923805E-2</v>
      </c>
      <c r="CU263" s="19">
        <v>4.1452176031876189E-2</v>
      </c>
      <c r="CV263" s="19">
        <v>9.0051278965799994E-2</v>
      </c>
      <c r="CW263" s="19">
        <v>0.11899633291909285</v>
      </c>
      <c r="CX263" s="19">
        <v>3.7164019890647618E-2</v>
      </c>
      <c r="CY263" s="19">
        <v>0.11613756215827381</v>
      </c>
      <c r="CZ263" s="19">
        <v>0.19939926056712859</v>
      </c>
      <c r="DA263" s="19">
        <v>8.0760273993138093E-2</v>
      </c>
      <c r="DB263" s="19">
        <v>0.15080015763320476</v>
      </c>
      <c r="DC263" s="19">
        <v>7.8973542267626193E-2</v>
      </c>
      <c r="DD263" s="19">
        <v>0.22977369990083096</v>
      </c>
      <c r="DE263" s="19">
        <v>0.15008546494299999</v>
      </c>
      <c r="DF263" s="23">
        <v>0</v>
      </c>
      <c r="DG263" s="23">
        <v>0</v>
      </c>
      <c r="DH263" s="23">
        <v>0</v>
      </c>
      <c r="DI263" s="19">
        <v>0</v>
      </c>
      <c r="DJ263" s="19">
        <v>0</v>
      </c>
      <c r="DK263" s="19">
        <v>0</v>
      </c>
      <c r="DL263" s="19">
        <v>0</v>
      </c>
      <c r="DM263" s="19">
        <v>0</v>
      </c>
      <c r="DN263" s="19">
        <v>0</v>
      </c>
      <c r="DO263" s="19">
        <v>0</v>
      </c>
      <c r="DP263" s="19">
        <v>0</v>
      </c>
      <c r="DQ263" s="19">
        <v>0</v>
      </c>
      <c r="DR263" s="19">
        <v>0</v>
      </c>
      <c r="DS263" s="19">
        <v>0</v>
      </c>
      <c r="DT263" s="19">
        <v>0</v>
      </c>
      <c r="DU263" s="19">
        <v>0</v>
      </c>
      <c r="DV263" s="19">
        <v>0</v>
      </c>
      <c r="DW263" s="17" t="s">
        <v>714</v>
      </c>
      <c r="DX263" s="22" t="s">
        <v>218</v>
      </c>
      <c r="DY263" s="22" t="s">
        <v>218</v>
      </c>
      <c r="DZ263" s="22" t="s">
        <v>218</v>
      </c>
      <c r="EA263" s="22" t="s">
        <v>218</v>
      </c>
      <c r="EB263" s="22" t="s">
        <v>218</v>
      </c>
      <c r="EC263" s="22" t="s">
        <v>218</v>
      </c>
      <c r="ED263" s="22" t="s">
        <v>218</v>
      </c>
      <c r="EE263" s="22" t="s">
        <v>218</v>
      </c>
      <c r="EF263" s="22" t="s">
        <v>218</v>
      </c>
      <c r="EG263" s="22" t="s">
        <v>218</v>
      </c>
      <c r="EH263" s="22" t="s">
        <v>218</v>
      </c>
      <c r="EI263" s="22" t="s">
        <v>218</v>
      </c>
      <c r="EJ263" s="22" t="s">
        <v>218</v>
      </c>
      <c r="EK263" s="22" t="s">
        <v>218</v>
      </c>
      <c r="EL263" s="22" t="s">
        <v>218</v>
      </c>
      <c r="EM263" s="22" t="s">
        <v>218</v>
      </c>
      <c r="EN263" s="22" t="s">
        <v>218</v>
      </c>
      <c r="EO263" s="22" t="s">
        <v>218</v>
      </c>
      <c r="EP263" s="22" t="s">
        <v>218</v>
      </c>
      <c r="EQ263" s="22" t="s">
        <v>218</v>
      </c>
      <c r="ER263" s="22" t="s">
        <v>218</v>
      </c>
      <c r="ES263" s="22" t="s">
        <v>218</v>
      </c>
      <c r="ET263" s="22" t="s">
        <v>218</v>
      </c>
      <c r="EU263" s="22" t="s">
        <v>218</v>
      </c>
      <c r="EV263" s="22" t="s">
        <v>218</v>
      </c>
      <c r="EW263" s="22" t="s">
        <v>218</v>
      </c>
      <c r="EX263" s="22" t="s">
        <v>218</v>
      </c>
      <c r="EY263" s="22" t="s">
        <v>218</v>
      </c>
      <c r="EZ263" s="22" t="s">
        <v>218</v>
      </c>
      <c r="FA263" s="22" t="s">
        <v>218</v>
      </c>
      <c r="FB263" s="22" t="s">
        <v>218</v>
      </c>
      <c r="FC263" s="22" t="s">
        <v>218</v>
      </c>
      <c r="FD263" s="22" t="s">
        <v>218</v>
      </c>
      <c r="FE263" s="22" t="s">
        <v>218</v>
      </c>
      <c r="FF263" s="22" t="s">
        <v>218</v>
      </c>
      <c r="FG263" s="22" t="s">
        <v>218</v>
      </c>
      <c r="FH263" s="22" t="s">
        <v>218</v>
      </c>
      <c r="FI263" s="22" t="s">
        <v>218</v>
      </c>
      <c r="FJ263" s="22" t="s">
        <v>218</v>
      </c>
      <c r="FK263" s="22" t="s">
        <v>218</v>
      </c>
      <c r="FL263" s="22" t="s">
        <v>218</v>
      </c>
      <c r="FM263" s="22" t="s">
        <v>218</v>
      </c>
      <c r="FN263" s="22" t="s">
        <v>218</v>
      </c>
      <c r="FO263" s="22" t="s">
        <v>218</v>
      </c>
      <c r="FP263" s="22" t="s">
        <v>218</v>
      </c>
      <c r="FQ263" s="22" t="s">
        <v>218</v>
      </c>
      <c r="FR263" s="22" t="s">
        <v>218</v>
      </c>
      <c r="FS263" s="22" t="s">
        <v>218</v>
      </c>
      <c r="FT263" s="22" t="s">
        <v>218</v>
      </c>
      <c r="FU263" s="22" t="s">
        <v>218</v>
      </c>
      <c r="FV263" s="22" t="s">
        <v>218</v>
      </c>
      <c r="FW263" s="22" t="s">
        <v>218</v>
      </c>
      <c r="FX263" s="22" t="s">
        <v>218</v>
      </c>
      <c r="FY263" s="22" t="s">
        <v>218</v>
      </c>
      <c r="FZ263" s="22" t="s">
        <v>218</v>
      </c>
      <c r="GA263" s="22" t="s">
        <v>218</v>
      </c>
      <c r="GB263" s="22" t="s">
        <v>218</v>
      </c>
      <c r="GC263" s="22" t="s">
        <v>218</v>
      </c>
      <c r="GD263" s="22" t="s">
        <v>218</v>
      </c>
      <c r="GE263" s="22" t="s">
        <v>218</v>
      </c>
      <c r="GF263" s="22" t="s">
        <v>218</v>
      </c>
      <c r="GG263" s="22" t="s">
        <v>218</v>
      </c>
      <c r="GH263" s="22" t="s">
        <v>218</v>
      </c>
      <c r="GI263" s="22" t="s">
        <v>218</v>
      </c>
      <c r="GJ263" s="22" t="s">
        <v>218</v>
      </c>
      <c r="GK263" s="22" t="s">
        <v>218</v>
      </c>
      <c r="GL263" s="22" t="s">
        <v>218</v>
      </c>
      <c r="GM263" s="22" t="s">
        <v>218</v>
      </c>
      <c r="GN263" s="22" t="s">
        <v>218</v>
      </c>
      <c r="GO263" s="22" t="s">
        <v>218</v>
      </c>
      <c r="GP263" s="22" t="s">
        <v>218</v>
      </c>
      <c r="GQ263" s="22" t="s">
        <v>218</v>
      </c>
      <c r="GR263" s="22" t="s">
        <v>218</v>
      </c>
      <c r="GS263" s="22" t="s">
        <v>218</v>
      </c>
      <c r="GT263" s="22" t="s">
        <v>218</v>
      </c>
      <c r="GU263" s="22" t="s">
        <v>218</v>
      </c>
      <c r="GV263" s="22" t="s">
        <v>218</v>
      </c>
      <c r="GW263" s="22" t="s">
        <v>218</v>
      </c>
      <c r="GX263" s="22" t="s">
        <v>218</v>
      </c>
      <c r="GY263" s="22" t="s">
        <v>218</v>
      </c>
      <c r="GZ263" s="22" t="s">
        <v>218</v>
      </c>
      <c r="HA263" s="22" t="s">
        <v>218</v>
      </c>
      <c r="HB263" s="22" t="s">
        <v>218</v>
      </c>
      <c r="HC263" s="22" t="s">
        <v>218</v>
      </c>
      <c r="HD263" s="22" t="s">
        <v>218</v>
      </c>
      <c r="HE263" s="22" t="s">
        <v>218</v>
      </c>
      <c r="HF263" s="22" t="s">
        <v>218</v>
      </c>
      <c r="HG263" s="22" t="s">
        <v>218</v>
      </c>
      <c r="HH263" s="22" t="s">
        <v>218</v>
      </c>
      <c r="HI263" s="22" t="s">
        <v>218</v>
      </c>
      <c r="HJ263" s="22" t="s">
        <v>218</v>
      </c>
      <c r="HK263" s="22" t="s">
        <v>218</v>
      </c>
      <c r="HL263" s="22" t="s">
        <v>218</v>
      </c>
      <c r="HM263" s="860"/>
      <c r="HN263" s="860"/>
      <c r="HO263" s="860"/>
      <c r="HP263" s="860"/>
      <c r="HQ263" s="860"/>
      <c r="HR263" s="860"/>
      <c r="HS263" s="860"/>
      <c r="HT263" s="145"/>
      <c r="HU263" s="145" t="s">
        <v>1809</v>
      </c>
      <c r="HV263" s="22" t="s">
        <v>1987</v>
      </c>
      <c r="HW263" s="22" t="s">
        <v>715</v>
      </c>
      <c r="HX263" s="22" t="s">
        <v>716</v>
      </c>
      <c r="HY263" s="22" t="s">
        <v>717</v>
      </c>
      <c r="HZ263" s="19"/>
      <c r="IA263" s="19"/>
      <c r="IB263" s="621">
        <f>'background data'!$G$10</f>
        <v>0.47300000000000003</v>
      </c>
      <c r="IC263" s="621">
        <f>'background data'!$H$10</f>
        <v>0.13</v>
      </c>
      <c r="ID263" s="621">
        <f>'background data'!$J$10</f>
        <v>0.39100000000000001</v>
      </c>
      <c r="IE263" s="621">
        <f>'background data'!$L$10</f>
        <v>5.5E-2</v>
      </c>
      <c r="IF263" s="621">
        <f>'background data'!$M$10</f>
        <v>3.97</v>
      </c>
      <c r="IG263" s="621">
        <f>'background data'!$N$10</f>
        <v>4.5999999999999999E-3</v>
      </c>
      <c r="IH263" s="621">
        <f>'background data'!$O$10</f>
        <v>2.73</v>
      </c>
      <c r="II263" s="145"/>
      <c r="IJ263" s="145"/>
      <c r="IK263" s="145"/>
      <c r="IL263" s="145"/>
      <c r="IM263" s="145"/>
      <c r="IN263" s="145"/>
      <c r="IO263" s="145"/>
      <c r="IP263" s="145"/>
      <c r="IQ263" s="145"/>
      <c r="IR263" s="145"/>
      <c r="IS263" s="145"/>
      <c r="IT263" s="145"/>
      <c r="IU263" s="145"/>
      <c r="IV263" s="145"/>
      <c r="IW263" s="145"/>
      <c r="IX263" s="145"/>
      <c r="IY263" s="145"/>
      <c r="IZ263" s="145"/>
      <c r="JA263" s="145"/>
      <c r="JB263" s="145"/>
      <c r="JC263" s="145"/>
      <c r="JD263" s="145"/>
      <c r="JE263" s="145"/>
      <c r="JF263" s="145"/>
      <c r="JG263" s="145"/>
      <c r="JH263" s="145"/>
      <c r="JI263" s="145"/>
      <c r="JJ263" s="145"/>
      <c r="JK263" s="145"/>
      <c r="JL263" s="145"/>
      <c r="JM263" s="145"/>
      <c r="JN263" s="145"/>
      <c r="JO263" s="145"/>
      <c r="JP263" s="145"/>
      <c r="JQ263" s="145"/>
      <c r="JR263" s="145"/>
      <c r="JS263" s="145"/>
      <c r="JT263" s="145"/>
      <c r="JU263" s="145"/>
      <c r="JV263" s="145"/>
      <c r="JW263" s="145"/>
      <c r="JX263" s="145"/>
      <c r="JY263" s="145"/>
      <c r="JZ263" s="145"/>
      <c r="KA263" s="145"/>
      <c r="KB263" s="145"/>
      <c r="KC263" s="145"/>
      <c r="KD263" s="145"/>
      <c r="KE263" s="145"/>
      <c r="KF263" s="145"/>
      <c r="KG263" s="145"/>
      <c r="KH263" s="145"/>
      <c r="KI263" s="145"/>
      <c r="KJ263" s="145"/>
      <c r="KK263" s="145"/>
      <c r="KL263" s="145"/>
      <c r="KM263" s="145"/>
      <c r="KN263" s="145"/>
      <c r="KO263" s="145"/>
      <c r="KP263" s="145"/>
      <c r="KQ263" s="145"/>
      <c r="KR263" s="145"/>
      <c r="KS263" s="145"/>
      <c r="KT263" s="145"/>
      <c r="KU263" s="145"/>
      <c r="KV263" s="145"/>
      <c r="KW263" s="145"/>
      <c r="KX263" s="145"/>
      <c r="KY263" s="145"/>
      <c r="KZ263" s="145"/>
      <c r="LA263" s="145"/>
      <c r="LB263" s="145"/>
      <c r="LC263" s="145"/>
      <c r="LD263" s="145"/>
      <c r="LE263" s="145"/>
      <c r="LF263" s="145"/>
      <c r="LG263" s="145"/>
      <c r="LH263" s="145"/>
      <c r="LI263" s="145"/>
      <c r="LJ263" s="145"/>
      <c r="LK263" s="145"/>
      <c r="LL263" s="145"/>
      <c r="LM263" s="145"/>
      <c r="LN263" s="145"/>
      <c r="LO263" s="145"/>
      <c r="LP263" s="145"/>
      <c r="LQ263" s="145"/>
      <c r="LR263" s="145"/>
      <c r="LS263" s="145"/>
      <c r="LT263" s="145"/>
      <c r="LU263" s="145"/>
      <c r="LV263" s="145"/>
      <c r="LW263" s="145"/>
      <c r="LX263" s="145"/>
      <c r="LY263" s="145"/>
      <c r="LZ263" s="145"/>
      <c r="MA263" s="145"/>
      <c r="MB263" s="145"/>
      <c r="MC263" s="145"/>
      <c r="MD263" s="145"/>
      <c r="ME263" s="145"/>
      <c r="MF263" s="145"/>
      <c r="MG263" s="145"/>
      <c r="MH263" s="145"/>
      <c r="MI263" s="145"/>
      <c r="MJ263" s="145"/>
      <c r="MK263" s="145"/>
      <c r="ML263" s="145"/>
      <c r="MM263" s="145"/>
      <c r="MN263" s="145"/>
      <c r="MO263" s="145"/>
      <c r="MP263" s="145"/>
      <c r="MQ263" s="145"/>
      <c r="MR263" s="145"/>
      <c r="MS263" s="145"/>
      <c r="MT263" s="145"/>
      <c r="MU263" s="145"/>
      <c r="MV263" s="145"/>
      <c r="MW263" s="145"/>
      <c r="MX263" s="145"/>
      <c r="MY263" s="145"/>
      <c r="MZ263" s="145"/>
      <c r="NA263" s="145"/>
      <c r="NB263" s="145"/>
      <c r="NC263" s="145"/>
      <c r="ND263" s="145"/>
      <c r="NE263" s="145"/>
      <c r="NF263" s="145"/>
      <c r="NG263" s="145"/>
      <c r="NH263" s="145"/>
      <c r="NI263" s="145"/>
      <c r="NJ263" s="145"/>
      <c r="NK263" s="145"/>
      <c r="NL263" s="145"/>
      <c r="NM263" s="145"/>
      <c r="NN263" s="145"/>
      <c r="NO263" s="145"/>
      <c r="NP263" s="145"/>
      <c r="NQ263" s="145"/>
      <c r="NR263" s="145"/>
      <c r="NS263" s="145"/>
    </row>
    <row r="264" spans="1:383" s="16" customFormat="1" ht="15" customHeight="1" x14ac:dyDescent="0.2">
      <c r="A264" s="15">
        <v>39003</v>
      </c>
      <c r="B264" s="25">
        <v>390</v>
      </c>
      <c r="C264" s="26">
        <v>3</v>
      </c>
      <c r="D264" s="20" t="s">
        <v>718</v>
      </c>
      <c r="E264" s="14">
        <v>41814</v>
      </c>
      <c r="F264" s="18">
        <v>1.0314118440484801</v>
      </c>
      <c r="G264" s="18">
        <v>1.0360534384378499</v>
      </c>
      <c r="H264" s="21">
        <v>82.210912650568304</v>
      </c>
      <c r="I264" s="21">
        <v>77.8211578600461</v>
      </c>
      <c r="J264" s="21">
        <v>94.971522461697006</v>
      </c>
      <c r="K264" s="18">
        <v>1</v>
      </c>
      <c r="L264" s="18">
        <v>91.03</v>
      </c>
      <c r="M264" s="18">
        <v>32.2513997872</v>
      </c>
      <c r="N264" s="18">
        <v>3.0099997144000001</v>
      </c>
      <c r="O264" s="18">
        <v>2.590000238</v>
      </c>
      <c r="P264" s="18">
        <v>4.4799997172000001</v>
      </c>
      <c r="Q264" s="19"/>
      <c r="R264" s="18">
        <v>91.249680978721301</v>
      </c>
      <c r="S264" s="18">
        <v>20</v>
      </c>
      <c r="T264" s="18">
        <v>27</v>
      </c>
      <c r="U264" s="18">
        <v>30</v>
      </c>
      <c r="V264" s="18">
        <v>32</v>
      </c>
      <c r="W264" s="18">
        <v>33</v>
      </c>
      <c r="X264" s="18"/>
      <c r="Y264" s="18">
        <v>0.69208068768537945</v>
      </c>
      <c r="Z264" s="18">
        <v>4.9983515610238385</v>
      </c>
      <c r="AA264" s="18">
        <v>7.6900094474349104E-2</v>
      </c>
      <c r="AB264" s="18">
        <v>0</v>
      </c>
      <c r="AC264" s="18">
        <v>5.6135321542348677</v>
      </c>
      <c r="AD264" s="18">
        <v>1.6802153136328684</v>
      </c>
      <c r="AE264" s="18">
        <v>0</v>
      </c>
      <c r="AF264" s="18">
        <v>67.880698670767885</v>
      </c>
      <c r="AG264" s="18">
        <v>8.0650335054377678</v>
      </c>
      <c r="AH264" s="18">
        <v>49.062287158079755</v>
      </c>
      <c r="AI264" s="18">
        <v>53.094803910798639</v>
      </c>
      <c r="AJ264" s="18">
        <v>0</v>
      </c>
      <c r="AK264" s="18">
        <v>4.7046028781720317E-2</v>
      </c>
      <c r="AL264" s="18"/>
      <c r="AM264" s="18">
        <v>1.28664180295669</v>
      </c>
      <c r="AN264" s="18">
        <v>0.52785304736684702</v>
      </c>
      <c r="AO264" s="18">
        <v>0.65981630920856205</v>
      </c>
      <c r="AP264" s="18">
        <v>92.221187884012096</v>
      </c>
      <c r="AQ264" s="18">
        <v>0.46517049799203403</v>
      </c>
      <c r="AR264" s="18">
        <v>1.08869691019412</v>
      </c>
      <c r="AS264" s="18">
        <v>2.0487296400925801</v>
      </c>
      <c r="AT264" s="18">
        <v>0.85776120197112704</v>
      </c>
      <c r="AU264" s="18">
        <v>1.28994088450274</v>
      </c>
      <c r="AV264" s="18">
        <v>0.923742832891982</v>
      </c>
      <c r="AW264" s="18">
        <v>1.58685822364659</v>
      </c>
      <c r="AX264" s="18"/>
      <c r="AY264" s="18">
        <v>0.81327697753081196</v>
      </c>
      <c r="AZ264" s="18">
        <v>0.87769495594909397</v>
      </c>
      <c r="BA264" s="18">
        <v>0.84548596673995302</v>
      </c>
      <c r="BB264" s="18">
        <v>1.0918924532860701</v>
      </c>
      <c r="BC264" s="18">
        <v>0.91795619246052096</v>
      </c>
      <c r="BD264" s="18">
        <v>0.84548596673995302</v>
      </c>
      <c r="BE264" s="18">
        <v>0.82938147213538305</v>
      </c>
      <c r="BF264" s="18">
        <v>0.87769495594909397</v>
      </c>
      <c r="BG264" s="18">
        <v>0.88574720325137901</v>
      </c>
      <c r="BH264" s="18">
        <v>0.83743371943766798</v>
      </c>
      <c r="BI264" s="18">
        <v>0.82938147213538305</v>
      </c>
      <c r="BJ264" s="19"/>
      <c r="BK264" s="18">
        <v>35.429418639129956</v>
      </c>
      <c r="BL264" s="18">
        <v>3.3066019053059432</v>
      </c>
      <c r="BM264" s="18">
        <v>2.8452161243546081</v>
      </c>
      <c r="BN264" s="18">
        <v>4.9214541548939907</v>
      </c>
      <c r="BO264" s="18"/>
      <c r="BP264" s="18">
        <v>30</v>
      </c>
      <c r="BQ264" s="18">
        <v>9.9198057159178195</v>
      </c>
      <c r="BR264" s="18">
        <v>1.1330460771706909</v>
      </c>
      <c r="BS264" s="18">
        <v>1.1381450493659782</v>
      </c>
      <c r="BT264" s="19"/>
      <c r="BU264" s="18">
        <v>971.54783875645398</v>
      </c>
      <c r="BV264" s="18">
        <v>383.3100715609645</v>
      </c>
      <c r="BW264" s="18">
        <v>60.926525420037677</v>
      </c>
      <c r="BX264" s="18" t="s">
        <v>217</v>
      </c>
      <c r="BY264" s="18" t="s">
        <v>217</v>
      </c>
      <c r="BZ264" s="18">
        <v>47.718114907173465</v>
      </c>
      <c r="CA264" s="18">
        <v>87.371196308909049</v>
      </c>
      <c r="CB264" s="19"/>
      <c r="CC264" s="19">
        <v>0.63000105000000095</v>
      </c>
      <c r="CD264" s="19">
        <v>4.5499994260000003</v>
      </c>
      <c r="CE264" s="19">
        <v>7.0002155999999996E-2</v>
      </c>
      <c r="CF264" s="19">
        <v>0</v>
      </c>
      <c r="CG264" s="19">
        <v>5.1099983199999999</v>
      </c>
      <c r="CH264" s="19">
        <v>1.5295000000000001</v>
      </c>
      <c r="CI264" s="19">
        <v>0</v>
      </c>
      <c r="CJ264" s="19"/>
      <c r="CK264" s="19">
        <v>61.791800000000002</v>
      </c>
      <c r="CL264" s="19">
        <v>7.3415999999999997</v>
      </c>
      <c r="CM264" s="19">
        <v>44.6614</v>
      </c>
      <c r="CN264" s="19">
        <v>48.3322</v>
      </c>
      <c r="CO264" s="19">
        <v>0</v>
      </c>
      <c r="CP264" s="19">
        <v>4.2826000000000003E-2</v>
      </c>
      <c r="CQ264" s="19">
        <v>294.29299416992001</v>
      </c>
      <c r="CR264" s="19">
        <v>285.33024501131013</v>
      </c>
      <c r="CS264" s="19">
        <v>2.985684717625178</v>
      </c>
      <c r="CT264" s="19">
        <v>1.3219177830764983</v>
      </c>
      <c r="CU264" s="19">
        <v>1.5917587984292736</v>
      </c>
      <c r="CV264" s="19">
        <v>2.9136765815057721</v>
      </c>
      <c r="CW264" s="19">
        <v>287.31505664697596</v>
      </c>
      <c r="CX264" s="19">
        <v>1.2183776631405767</v>
      </c>
      <c r="CY264" s="19">
        <v>2.6264020174082878</v>
      </c>
      <c r="CZ264" s="19">
        <v>4.8482699059015024</v>
      </c>
      <c r="DA264" s="19">
        <v>2.1481163974993089</v>
      </c>
      <c r="DB264" s="19">
        <v>3.2600736152591838</v>
      </c>
      <c r="DC264" s="19">
        <v>2.2072388671552456</v>
      </c>
      <c r="DD264" s="19">
        <v>5.4673124824144388</v>
      </c>
      <c r="DE264" s="19">
        <v>3.7552621976467475</v>
      </c>
      <c r="DF264" s="23">
        <v>0</v>
      </c>
      <c r="DG264" s="23">
        <v>0</v>
      </c>
      <c r="DH264" s="23">
        <v>0</v>
      </c>
      <c r="DI264" s="19">
        <v>0</v>
      </c>
      <c r="DJ264" s="19">
        <v>0</v>
      </c>
      <c r="DK264" s="19">
        <v>0</v>
      </c>
      <c r="DL264" s="19">
        <v>0</v>
      </c>
      <c r="DM264" s="19">
        <v>0</v>
      </c>
      <c r="DN264" s="19">
        <v>0</v>
      </c>
      <c r="DO264" s="19">
        <v>0</v>
      </c>
      <c r="DP264" s="19">
        <v>0</v>
      </c>
      <c r="DQ264" s="19">
        <v>0</v>
      </c>
      <c r="DR264" s="19">
        <v>0</v>
      </c>
      <c r="DS264" s="19">
        <v>0</v>
      </c>
      <c r="DT264" s="19">
        <v>0</v>
      </c>
      <c r="DU264" s="19">
        <v>0</v>
      </c>
      <c r="DV264" s="19">
        <v>0</v>
      </c>
      <c r="DW264" s="17" t="s">
        <v>218</v>
      </c>
      <c r="DX264" s="22" t="s">
        <v>218</v>
      </c>
      <c r="DY264" s="22" t="s">
        <v>218</v>
      </c>
      <c r="DZ264" s="22" t="s">
        <v>218</v>
      </c>
      <c r="EA264" s="22" t="s">
        <v>218</v>
      </c>
      <c r="EB264" s="22" t="s">
        <v>218</v>
      </c>
      <c r="EC264" s="22" t="s">
        <v>218</v>
      </c>
      <c r="ED264" s="22" t="s">
        <v>218</v>
      </c>
      <c r="EE264" s="22" t="s">
        <v>218</v>
      </c>
      <c r="EF264" s="22" t="s">
        <v>218</v>
      </c>
      <c r="EG264" s="22" t="s">
        <v>218</v>
      </c>
      <c r="EH264" s="22" t="s">
        <v>218</v>
      </c>
      <c r="EI264" s="22" t="s">
        <v>218</v>
      </c>
      <c r="EJ264" s="22" t="s">
        <v>218</v>
      </c>
      <c r="EK264" s="22" t="s">
        <v>218</v>
      </c>
      <c r="EL264" s="22" t="s">
        <v>218</v>
      </c>
      <c r="EM264" s="22" t="s">
        <v>218</v>
      </c>
      <c r="EN264" s="22" t="s">
        <v>218</v>
      </c>
      <c r="EO264" s="22" t="s">
        <v>218</v>
      </c>
      <c r="EP264" s="22" t="s">
        <v>218</v>
      </c>
      <c r="EQ264" s="22" t="s">
        <v>218</v>
      </c>
      <c r="ER264" s="22" t="s">
        <v>218</v>
      </c>
      <c r="ES264" s="22" t="s">
        <v>218</v>
      </c>
      <c r="ET264" s="22" t="s">
        <v>218</v>
      </c>
      <c r="EU264" s="22" t="s">
        <v>218</v>
      </c>
      <c r="EV264" s="22" t="s">
        <v>218</v>
      </c>
      <c r="EW264" s="22" t="s">
        <v>218</v>
      </c>
      <c r="EX264" s="22" t="s">
        <v>218</v>
      </c>
      <c r="EY264" s="22" t="s">
        <v>218</v>
      </c>
      <c r="EZ264" s="22" t="s">
        <v>218</v>
      </c>
      <c r="FA264" s="22" t="s">
        <v>218</v>
      </c>
      <c r="FB264" s="22" t="s">
        <v>218</v>
      </c>
      <c r="FC264" s="22" t="s">
        <v>218</v>
      </c>
      <c r="FD264" s="22" t="s">
        <v>218</v>
      </c>
      <c r="FE264" s="22" t="s">
        <v>218</v>
      </c>
      <c r="FF264" s="22" t="s">
        <v>218</v>
      </c>
      <c r="FG264" s="22" t="s">
        <v>218</v>
      </c>
      <c r="FH264" s="22" t="s">
        <v>218</v>
      </c>
      <c r="FI264" s="22" t="s">
        <v>218</v>
      </c>
      <c r="FJ264" s="22" t="s">
        <v>218</v>
      </c>
      <c r="FK264" s="22" t="s">
        <v>218</v>
      </c>
      <c r="FL264" s="22" t="s">
        <v>218</v>
      </c>
      <c r="FM264" s="22" t="s">
        <v>218</v>
      </c>
      <c r="FN264" s="22" t="s">
        <v>218</v>
      </c>
      <c r="FO264" s="22" t="s">
        <v>218</v>
      </c>
      <c r="FP264" s="22" t="s">
        <v>218</v>
      </c>
      <c r="FQ264" s="22" t="s">
        <v>218</v>
      </c>
      <c r="FR264" s="22" t="s">
        <v>218</v>
      </c>
      <c r="FS264" s="22" t="s">
        <v>218</v>
      </c>
      <c r="FT264" s="22" t="s">
        <v>218</v>
      </c>
      <c r="FU264" s="22" t="s">
        <v>218</v>
      </c>
      <c r="FV264" s="22" t="s">
        <v>218</v>
      </c>
      <c r="FW264" s="22" t="s">
        <v>218</v>
      </c>
      <c r="FX264" s="22" t="s">
        <v>218</v>
      </c>
      <c r="FY264" s="22" t="s">
        <v>218</v>
      </c>
      <c r="FZ264" s="22" t="s">
        <v>218</v>
      </c>
      <c r="GA264" s="22" t="s">
        <v>218</v>
      </c>
      <c r="GB264" s="22" t="s">
        <v>218</v>
      </c>
      <c r="GC264" s="22" t="s">
        <v>218</v>
      </c>
      <c r="GD264" s="22" t="s">
        <v>218</v>
      </c>
      <c r="GE264" s="22" t="s">
        <v>218</v>
      </c>
      <c r="GF264" s="22" t="s">
        <v>218</v>
      </c>
      <c r="GG264" s="22" t="s">
        <v>218</v>
      </c>
      <c r="GH264" s="22" t="s">
        <v>218</v>
      </c>
      <c r="GI264" s="22" t="s">
        <v>218</v>
      </c>
      <c r="GJ264" s="22" t="s">
        <v>218</v>
      </c>
      <c r="GK264" s="22" t="s">
        <v>218</v>
      </c>
      <c r="GL264" s="22" t="s">
        <v>218</v>
      </c>
      <c r="GM264" s="22" t="s">
        <v>218</v>
      </c>
      <c r="GN264" s="22" t="s">
        <v>218</v>
      </c>
      <c r="GO264" s="22" t="s">
        <v>218</v>
      </c>
      <c r="GP264" s="22" t="s">
        <v>218</v>
      </c>
      <c r="GQ264" s="22" t="s">
        <v>218</v>
      </c>
      <c r="GR264" s="22" t="s">
        <v>218</v>
      </c>
      <c r="GS264" s="22" t="s">
        <v>218</v>
      </c>
      <c r="GT264" s="22" t="s">
        <v>218</v>
      </c>
      <c r="GU264" s="22" t="s">
        <v>218</v>
      </c>
      <c r="GV264" s="22" t="s">
        <v>218</v>
      </c>
      <c r="GW264" s="22" t="s">
        <v>218</v>
      </c>
      <c r="GX264" s="22" t="s">
        <v>218</v>
      </c>
      <c r="GY264" s="22" t="s">
        <v>218</v>
      </c>
      <c r="GZ264" s="22" t="s">
        <v>218</v>
      </c>
      <c r="HA264" s="22" t="s">
        <v>218</v>
      </c>
      <c r="HB264" s="22" t="s">
        <v>218</v>
      </c>
      <c r="HC264" s="22" t="s">
        <v>218</v>
      </c>
      <c r="HD264" s="22" t="s">
        <v>218</v>
      </c>
      <c r="HE264" s="22" t="s">
        <v>218</v>
      </c>
      <c r="HF264" s="22" t="s">
        <v>218</v>
      </c>
      <c r="HG264" s="22" t="s">
        <v>218</v>
      </c>
      <c r="HH264" s="22" t="s">
        <v>218</v>
      </c>
      <c r="HI264" s="22" t="s">
        <v>218</v>
      </c>
      <c r="HJ264" s="22" t="s">
        <v>218</v>
      </c>
      <c r="HK264" s="22" t="s">
        <v>218</v>
      </c>
      <c r="HL264" s="22" t="s">
        <v>218</v>
      </c>
      <c r="HM264" s="860"/>
      <c r="HN264" s="860"/>
      <c r="HO264" s="860"/>
      <c r="HP264" s="860"/>
      <c r="HQ264" s="860"/>
      <c r="HR264" s="860"/>
      <c r="HS264" s="860"/>
      <c r="HT264" s="145"/>
      <c r="HU264" s="145" t="s">
        <v>1809</v>
      </c>
      <c r="HV264" s="22" t="s">
        <v>1926</v>
      </c>
      <c r="HW264" s="22">
        <v>0</v>
      </c>
      <c r="HX264" s="22">
        <v>0</v>
      </c>
      <c r="HY264" s="22">
        <v>0</v>
      </c>
      <c r="HZ264" s="19"/>
      <c r="IA264" s="19"/>
      <c r="IB264" s="621">
        <f>'background data'!$G$10</f>
        <v>0.47300000000000003</v>
      </c>
      <c r="IC264" s="621">
        <f>'background data'!$H$10</f>
        <v>0.13</v>
      </c>
      <c r="ID264" s="621">
        <f>'background data'!$J$10</f>
        <v>0.39100000000000001</v>
      </c>
      <c r="IE264" s="621">
        <f>'background data'!$L$10</f>
        <v>5.5E-2</v>
      </c>
      <c r="IF264" s="621">
        <f>'background data'!$M$10</f>
        <v>3.97</v>
      </c>
      <c r="IG264" s="621">
        <f>'background data'!$N$10</f>
        <v>4.5999999999999999E-3</v>
      </c>
      <c r="IH264" s="621">
        <f>'background data'!$O$10</f>
        <v>2.73</v>
      </c>
      <c r="II264" s="145"/>
      <c r="IJ264" s="145"/>
      <c r="IK264" s="145"/>
      <c r="IL264" s="145"/>
      <c r="IM264" s="145"/>
      <c r="IN264" s="145"/>
      <c r="IO264" s="145"/>
      <c r="IP264" s="145"/>
      <c r="IQ264" s="145"/>
      <c r="IR264" s="145"/>
      <c r="IS264" s="145"/>
      <c r="IT264" s="145"/>
      <c r="IU264" s="145"/>
      <c r="IV264" s="145"/>
      <c r="IW264" s="145"/>
      <c r="IX264" s="145"/>
      <c r="IY264" s="145"/>
      <c r="IZ264" s="145"/>
      <c r="JA264" s="145"/>
      <c r="JB264" s="145"/>
      <c r="JC264" s="145"/>
      <c r="JD264" s="145"/>
      <c r="JE264" s="145"/>
      <c r="JF264" s="145"/>
      <c r="JG264" s="145"/>
      <c r="JH264" s="145"/>
      <c r="JI264" s="145"/>
      <c r="JJ264" s="145"/>
      <c r="JK264" s="145"/>
      <c r="JL264" s="145"/>
      <c r="JM264" s="145"/>
      <c r="JN264" s="145"/>
      <c r="JO264" s="145"/>
      <c r="JP264" s="145"/>
      <c r="JQ264" s="145"/>
      <c r="JR264" s="145"/>
      <c r="JS264" s="145"/>
      <c r="JT264" s="145"/>
      <c r="JU264" s="145"/>
      <c r="JV264" s="145"/>
      <c r="JW264" s="145"/>
      <c r="JX264" s="145"/>
      <c r="JY264" s="145"/>
      <c r="JZ264" s="145"/>
      <c r="KA264" s="145"/>
      <c r="KB264" s="145"/>
      <c r="KC264" s="145"/>
      <c r="KD264" s="145"/>
      <c r="KE264" s="145"/>
      <c r="KF264" s="145"/>
      <c r="KG264" s="145"/>
      <c r="KH264" s="145"/>
      <c r="KI264" s="145"/>
      <c r="KJ264" s="145"/>
      <c r="KK264" s="145"/>
      <c r="KL264" s="145"/>
      <c r="KM264" s="145"/>
      <c r="KN264" s="145"/>
      <c r="KO264" s="145"/>
      <c r="KP264" s="145"/>
      <c r="KQ264" s="145"/>
      <c r="KR264" s="145"/>
      <c r="KS264" s="145"/>
      <c r="KT264" s="145"/>
      <c r="KU264" s="145"/>
      <c r="KV264" s="145"/>
      <c r="KW264" s="145"/>
      <c r="KX264" s="145"/>
      <c r="KY264" s="145"/>
      <c r="KZ264" s="145"/>
      <c r="LA264" s="145"/>
      <c r="LB264" s="145"/>
      <c r="LC264" s="145"/>
      <c r="LD264" s="145"/>
      <c r="LE264" s="145"/>
      <c r="LF264" s="145"/>
      <c r="LG264" s="145"/>
      <c r="LH264" s="145"/>
      <c r="LI264" s="145"/>
      <c r="LJ264" s="145"/>
      <c r="LK264" s="145"/>
      <c r="LL264" s="145"/>
      <c r="LM264" s="145"/>
      <c r="LN264" s="145"/>
      <c r="LO264" s="145"/>
      <c r="LP264" s="145"/>
      <c r="LQ264" s="145"/>
      <c r="LR264" s="145"/>
      <c r="LS264" s="145"/>
      <c r="LT264" s="145"/>
      <c r="LU264" s="145"/>
      <c r="LV264" s="145"/>
      <c r="LW264" s="145"/>
      <c r="LX264" s="145"/>
      <c r="LY264" s="145"/>
      <c r="LZ264" s="145"/>
      <c r="MA264" s="145"/>
      <c r="MB264" s="145"/>
      <c r="MC264" s="145"/>
      <c r="MD264" s="145"/>
      <c r="ME264" s="145"/>
      <c r="MF264" s="145"/>
      <c r="MG264" s="145"/>
      <c r="MH264" s="145"/>
      <c r="MI264" s="145"/>
      <c r="MJ264" s="145"/>
      <c r="MK264" s="145"/>
      <c r="ML264" s="145"/>
      <c r="MM264" s="145"/>
      <c r="MN264" s="145"/>
      <c r="MO264" s="145"/>
      <c r="MP264" s="145"/>
      <c r="MQ264" s="145"/>
      <c r="MR264" s="145"/>
      <c r="MS264" s="145"/>
      <c r="MT264" s="145"/>
      <c r="MU264" s="145"/>
      <c r="MV264" s="145"/>
      <c r="MW264" s="145"/>
      <c r="MX264" s="145"/>
      <c r="MY264" s="145"/>
      <c r="MZ264" s="145"/>
      <c r="NA264" s="145"/>
      <c r="NB264" s="145"/>
      <c r="NC264" s="145"/>
      <c r="ND264" s="145"/>
      <c r="NE264" s="145"/>
      <c r="NF264" s="145"/>
      <c r="NG264" s="145"/>
      <c r="NH264" s="145"/>
      <c r="NI264" s="145"/>
      <c r="NJ264" s="145"/>
      <c r="NK264" s="145"/>
      <c r="NL264" s="145"/>
      <c r="NM264" s="145"/>
      <c r="NN264" s="145"/>
      <c r="NO264" s="145"/>
      <c r="NP264" s="145"/>
      <c r="NQ264" s="145"/>
      <c r="NR264" s="145"/>
      <c r="NS264" s="145"/>
    </row>
    <row r="265" spans="1:383" s="16" customFormat="1" ht="15" customHeight="1" x14ac:dyDescent="0.2">
      <c r="A265" s="15">
        <v>39104</v>
      </c>
      <c r="B265" s="25">
        <v>391</v>
      </c>
      <c r="C265" s="26">
        <v>4</v>
      </c>
      <c r="D265" s="20" t="s">
        <v>719</v>
      </c>
      <c r="E265" s="14">
        <v>40310</v>
      </c>
      <c r="F265" s="18">
        <v>1.13840946301624</v>
      </c>
      <c r="G265" s="18">
        <v>1.1250112045315299</v>
      </c>
      <c r="H265" s="21">
        <v>87.403419079323001</v>
      </c>
      <c r="I265" s="21">
        <v>84.568218298555394</v>
      </c>
      <c r="J265" s="21">
        <v>97.288398261818301</v>
      </c>
      <c r="K265" s="18">
        <v>1</v>
      </c>
      <c r="L265" s="18">
        <v>93.45</v>
      </c>
      <c r="M265" s="18">
        <v>43.618999848000001</v>
      </c>
      <c r="N265" s="18">
        <v>2.1499997959999999</v>
      </c>
      <c r="O265" s="18">
        <v>1.8500001699999999</v>
      </c>
      <c r="P265" s="18">
        <v>3.1999997979999999</v>
      </c>
      <c r="Q265" s="19"/>
      <c r="R265" s="18">
        <v>95.378651537760007</v>
      </c>
      <c r="S265" s="18">
        <v>20</v>
      </c>
      <c r="T265" s="18">
        <v>27</v>
      </c>
      <c r="U265" s="18">
        <v>30</v>
      </c>
      <c r="V265" s="18">
        <v>32</v>
      </c>
      <c r="W265" s="18">
        <v>33</v>
      </c>
      <c r="X265" s="18"/>
      <c r="Y265" s="18">
        <v>0.48154173354735258</v>
      </c>
      <c r="Z265" s="18">
        <v>3.4777951738897803</v>
      </c>
      <c r="AA265" s="18">
        <v>5.3506195826645259E-2</v>
      </c>
      <c r="AB265" s="18">
        <v>0</v>
      </c>
      <c r="AC265" s="18">
        <v>3.9058307116104869</v>
      </c>
      <c r="AD265" s="18">
        <v>1.1690743713215623</v>
      </c>
      <c r="AE265" s="18">
        <v>0</v>
      </c>
      <c r="AF265" s="18">
        <v>47.230604601391114</v>
      </c>
      <c r="AG265" s="18">
        <v>5.6115569823434992</v>
      </c>
      <c r="AH265" s="18">
        <v>34.136971642589621</v>
      </c>
      <c r="AI265" s="18">
        <v>36.942750133761372</v>
      </c>
      <c r="AJ265" s="18">
        <v>0</v>
      </c>
      <c r="AK265" s="18">
        <v>3.2734082397003851E-2</v>
      </c>
      <c r="AL265" s="18"/>
      <c r="AM265" s="18">
        <v>0.67952038126704395</v>
      </c>
      <c r="AN265" s="18">
        <v>0.27877759231468402</v>
      </c>
      <c r="AO265" s="18">
        <v>0.34847199039335702</v>
      </c>
      <c r="AP265" s="18">
        <v>112.878883437401</v>
      </c>
      <c r="AQ265" s="18">
        <v>0.24567275322731499</v>
      </c>
      <c r="AR265" s="18">
        <v>0.57497878414903503</v>
      </c>
      <c r="AS265" s="18">
        <v>1.08200553017137</v>
      </c>
      <c r="AT265" s="18">
        <v>0.453013587511361</v>
      </c>
      <c r="AU265" s="18">
        <v>0.68126274121900998</v>
      </c>
      <c r="AV265" s="18">
        <v>0.48786078655069698</v>
      </c>
      <c r="AW265" s="18">
        <v>0.83807513689601998</v>
      </c>
      <c r="AX265" s="18"/>
      <c r="AY265" s="18">
        <v>0.77806997216400497</v>
      </c>
      <c r="AZ265" s="18">
        <v>0.83969927688986701</v>
      </c>
      <c r="BA265" s="18">
        <v>0.80888462452693599</v>
      </c>
      <c r="BB265" s="18">
        <v>1.0468006992691601</v>
      </c>
      <c r="BC265" s="18">
        <v>0.87821759234353103</v>
      </c>
      <c r="BD265" s="18">
        <v>0.80888462452693599</v>
      </c>
      <c r="BE265" s="18">
        <v>0.79347729834547098</v>
      </c>
      <c r="BF265" s="18">
        <v>0.83969927688986701</v>
      </c>
      <c r="BG265" s="18">
        <v>0.84740293998060001</v>
      </c>
      <c r="BH265" s="18">
        <v>0.80118096143620399</v>
      </c>
      <c r="BI265" s="18">
        <v>0.79347729834547098</v>
      </c>
      <c r="BJ265" s="19"/>
      <c r="BK265" s="18">
        <v>46.676297322632422</v>
      </c>
      <c r="BL265" s="18">
        <v>2.3006953408239696</v>
      </c>
      <c r="BM265" s="18">
        <v>1.979668453718566</v>
      </c>
      <c r="BN265" s="18">
        <v>3.4242908485821291</v>
      </c>
      <c r="BO265" s="18"/>
      <c r="BP265" s="18">
        <v>0</v>
      </c>
      <c r="BQ265" s="18">
        <v>0</v>
      </c>
      <c r="BR265" s="18">
        <v>1.2182016725695453</v>
      </c>
      <c r="BS265" s="18">
        <v>1.2038643173157089</v>
      </c>
      <c r="BT265" s="19"/>
      <c r="BU265" s="18">
        <v>980.20331546281432</v>
      </c>
      <c r="BV265" s="18">
        <v>369.95911541127447</v>
      </c>
      <c r="BW265" s="18">
        <v>39.701045790159547</v>
      </c>
      <c r="BX265" s="18">
        <v>269.35473515248793</v>
      </c>
      <c r="BY265" s="18">
        <v>16.834670947030496</v>
      </c>
      <c r="BZ265" s="18">
        <v>33.201712145532369</v>
      </c>
      <c r="CA265" s="18">
        <v>60.791867308721244</v>
      </c>
      <c r="CB265" s="19"/>
      <c r="CC265" s="19">
        <v>0.450000750000001</v>
      </c>
      <c r="CD265" s="19">
        <v>3.2499995899999998</v>
      </c>
      <c r="CE265" s="19">
        <v>5.0001539999999997E-2</v>
      </c>
      <c r="CF265" s="19">
        <v>0</v>
      </c>
      <c r="CG265" s="19">
        <v>3.6499988000000001</v>
      </c>
      <c r="CH265" s="19">
        <v>1.0925</v>
      </c>
      <c r="CI265" s="19">
        <v>0</v>
      </c>
      <c r="CJ265" s="19"/>
      <c r="CK265" s="19">
        <v>44.136999999999993</v>
      </c>
      <c r="CL265" s="19">
        <v>5.2439999999999998</v>
      </c>
      <c r="CM265" s="19">
        <v>31.901</v>
      </c>
      <c r="CN265" s="19">
        <v>34.523000000000003</v>
      </c>
      <c r="CO265" s="19">
        <v>0</v>
      </c>
      <c r="CP265" s="19">
        <v>3.05900000000001E-2</v>
      </c>
      <c r="CQ265" s="19">
        <v>416.0321386928</v>
      </c>
      <c r="CR265" s="19">
        <v>365.4503517482313</v>
      </c>
      <c r="CS265" s="19">
        <v>1.9321886496634131</v>
      </c>
      <c r="CT265" s="19">
        <v>0.85548032622822723</v>
      </c>
      <c r="CU265" s="19">
        <v>1.0301081909858307</v>
      </c>
      <c r="CV265" s="19">
        <v>1.8855885172140547</v>
      </c>
      <c r="CW265" s="19">
        <v>431.82232677491032</v>
      </c>
      <c r="CX265" s="19">
        <v>0.78847424104314745</v>
      </c>
      <c r="CY265" s="19">
        <v>1.6996785151266063</v>
      </c>
      <c r="CZ265" s="19">
        <v>3.1375623914298187</v>
      </c>
      <c r="DA265" s="19">
        <v>1.3901555301208646</v>
      </c>
      <c r="DB265" s="19">
        <v>2.109759680680964</v>
      </c>
      <c r="DC265" s="19">
        <v>1.4284166915003433</v>
      </c>
      <c r="DD265" s="19">
        <v>3.5381763721813067</v>
      </c>
      <c r="DE265" s="19">
        <v>2.4302214336195598</v>
      </c>
      <c r="DF265" s="23">
        <v>0</v>
      </c>
      <c r="DG265" s="23">
        <v>0</v>
      </c>
      <c r="DH265" s="23">
        <v>0</v>
      </c>
      <c r="DI265" s="19">
        <v>0</v>
      </c>
      <c r="DJ265" s="19">
        <v>0</v>
      </c>
      <c r="DK265" s="19">
        <v>0</v>
      </c>
      <c r="DL265" s="19">
        <v>0</v>
      </c>
      <c r="DM265" s="19">
        <v>0</v>
      </c>
      <c r="DN265" s="19">
        <v>0</v>
      </c>
      <c r="DO265" s="19">
        <v>0</v>
      </c>
      <c r="DP265" s="19">
        <v>0</v>
      </c>
      <c r="DQ265" s="19">
        <v>0</v>
      </c>
      <c r="DR265" s="19">
        <v>0</v>
      </c>
      <c r="DS265" s="19">
        <v>0</v>
      </c>
      <c r="DT265" s="19">
        <v>0</v>
      </c>
      <c r="DU265" s="19">
        <v>0</v>
      </c>
      <c r="DV265" s="19">
        <v>0</v>
      </c>
      <c r="DW265" s="17" t="s">
        <v>218</v>
      </c>
      <c r="DX265" s="22" t="s">
        <v>218</v>
      </c>
      <c r="DY265" s="22" t="s">
        <v>218</v>
      </c>
      <c r="DZ265" s="22" t="s">
        <v>218</v>
      </c>
      <c r="EA265" s="22" t="s">
        <v>218</v>
      </c>
      <c r="EB265" s="22" t="s">
        <v>218</v>
      </c>
      <c r="EC265" s="22" t="s">
        <v>218</v>
      </c>
      <c r="ED265" s="22" t="s">
        <v>218</v>
      </c>
      <c r="EE265" s="22" t="s">
        <v>218</v>
      </c>
      <c r="EF265" s="22" t="s">
        <v>218</v>
      </c>
      <c r="EG265" s="22" t="s">
        <v>218</v>
      </c>
      <c r="EH265" s="22" t="s">
        <v>218</v>
      </c>
      <c r="EI265" s="22" t="s">
        <v>218</v>
      </c>
      <c r="EJ265" s="22" t="s">
        <v>218</v>
      </c>
      <c r="EK265" s="22" t="s">
        <v>218</v>
      </c>
      <c r="EL265" s="22" t="s">
        <v>218</v>
      </c>
      <c r="EM265" s="22" t="s">
        <v>218</v>
      </c>
      <c r="EN265" s="22" t="s">
        <v>218</v>
      </c>
      <c r="EO265" s="22" t="s">
        <v>218</v>
      </c>
      <c r="EP265" s="22" t="s">
        <v>218</v>
      </c>
      <c r="EQ265" s="22" t="s">
        <v>218</v>
      </c>
      <c r="ER265" s="22" t="s">
        <v>218</v>
      </c>
      <c r="ES265" s="22" t="s">
        <v>218</v>
      </c>
      <c r="ET265" s="22" t="s">
        <v>218</v>
      </c>
      <c r="EU265" s="22" t="s">
        <v>218</v>
      </c>
      <c r="EV265" s="22" t="s">
        <v>218</v>
      </c>
      <c r="EW265" s="22" t="s">
        <v>218</v>
      </c>
      <c r="EX265" s="22" t="s">
        <v>218</v>
      </c>
      <c r="EY265" s="22" t="s">
        <v>218</v>
      </c>
      <c r="EZ265" s="22" t="s">
        <v>218</v>
      </c>
      <c r="FA265" s="22" t="s">
        <v>218</v>
      </c>
      <c r="FB265" s="22" t="s">
        <v>218</v>
      </c>
      <c r="FC265" s="22" t="s">
        <v>218</v>
      </c>
      <c r="FD265" s="22" t="s">
        <v>218</v>
      </c>
      <c r="FE265" s="22" t="s">
        <v>218</v>
      </c>
      <c r="FF265" s="22" t="s">
        <v>218</v>
      </c>
      <c r="FG265" s="22" t="s">
        <v>218</v>
      </c>
      <c r="FH265" s="22" t="s">
        <v>218</v>
      </c>
      <c r="FI265" s="22" t="s">
        <v>218</v>
      </c>
      <c r="FJ265" s="22" t="s">
        <v>218</v>
      </c>
      <c r="FK265" s="22" t="s">
        <v>218</v>
      </c>
      <c r="FL265" s="22" t="s">
        <v>218</v>
      </c>
      <c r="FM265" s="22" t="s">
        <v>218</v>
      </c>
      <c r="FN265" s="22" t="s">
        <v>218</v>
      </c>
      <c r="FO265" s="22" t="s">
        <v>218</v>
      </c>
      <c r="FP265" s="22" t="s">
        <v>218</v>
      </c>
      <c r="FQ265" s="22" t="s">
        <v>218</v>
      </c>
      <c r="FR265" s="22" t="s">
        <v>218</v>
      </c>
      <c r="FS265" s="22" t="s">
        <v>218</v>
      </c>
      <c r="FT265" s="22" t="s">
        <v>218</v>
      </c>
      <c r="FU265" s="22" t="s">
        <v>218</v>
      </c>
      <c r="FV265" s="22" t="s">
        <v>218</v>
      </c>
      <c r="FW265" s="22" t="s">
        <v>218</v>
      </c>
      <c r="FX265" s="22" t="s">
        <v>218</v>
      </c>
      <c r="FY265" s="22" t="s">
        <v>218</v>
      </c>
      <c r="FZ265" s="22" t="s">
        <v>218</v>
      </c>
      <c r="GA265" s="22" t="s">
        <v>218</v>
      </c>
      <c r="GB265" s="22" t="s">
        <v>218</v>
      </c>
      <c r="GC265" s="22" t="s">
        <v>218</v>
      </c>
      <c r="GD265" s="22" t="s">
        <v>218</v>
      </c>
      <c r="GE265" s="22" t="s">
        <v>218</v>
      </c>
      <c r="GF265" s="22" t="s">
        <v>218</v>
      </c>
      <c r="GG265" s="22" t="s">
        <v>218</v>
      </c>
      <c r="GH265" s="22" t="s">
        <v>218</v>
      </c>
      <c r="GI265" s="22" t="s">
        <v>218</v>
      </c>
      <c r="GJ265" s="22" t="s">
        <v>218</v>
      </c>
      <c r="GK265" s="22" t="s">
        <v>218</v>
      </c>
      <c r="GL265" s="22" t="s">
        <v>218</v>
      </c>
      <c r="GM265" s="22" t="s">
        <v>218</v>
      </c>
      <c r="GN265" s="22" t="s">
        <v>218</v>
      </c>
      <c r="GO265" s="22" t="s">
        <v>218</v>
      </c>
      <c r="GP265" s="22" t="s">
        <v>218</v>
      </c>
      <c r="GQ265" s="22" t="s">
        <v>218</v>
      </c>
      <c r="GR265" s="22" t="s">
        <v>218</v>
      </c>
      <c r="GS265" s="22" t="s">
        <v>218</v>
      </c>
      <c r="GT265" s="22" t="s">
        <v>218</v>
      </c>
      <c r="GU265" s="22" t="s">
        <v>218</v>
      </c>
      <c r="GV265" s="22" t="s">
        <v>218</v>
      </c>
      <c r="GW265" s="22" t="s">
        <v>218</v>
      </c>
      <c r="GX265" s="22" t="s">
        <v>218</v>
      </c>
      <c r="GY265" s="22" t="s">
        <v>218</v>
      </c>
      <c r="GZ265" s="22" t="s">
        <v>218</v>
      </c>
      <c r="HA265" s="22" t="s">
        <v>218</v>
      </c>
      <c r="HB265" s="22" t="s">
        <v>218</v>
      </c>
      <c r="HC265" s="22" t="s">
        <v>218</v>
      </c>
      <c r="HD265" s="22" t="s">
        <v>218</v>
      </c>
      <c r="HE265" s="22" t="s">
        <v>218</v>
      </c>
      <c r="HF265" s="22" t="s">
        <v>218</v>
      </c>
      <c r="HG265" s="22" t="s">
        <v>218</v>
      </c>
      <c r="HH265" s="22" t="s">
        <v>218</v>
      </c>
      <c r="HI265" s="22" t="s">
        <v>218</v>
      </c>
      <c r="HJ265" s="22" t="s">
        <v>218</v>
      </c>
      <c r="HK265" s="22" t="s">
        <v>218</v>
      </c>
      <c r="HL265" s="22" t="s">
        <v>218</v>
      </c>
      <c r="HM265" s="860"/>
      <c r="HN265" s="860"/>
      <c r="HO265" s="860"/>
      <c r="HP265" s="860"/>
      <c r="HQ265" s="860"/>
      <c r="HR265" s="860"/>
      <c r="HS265" s="860"/>
      <c r="HT265" s="145"/>
      <c r="HU265" s="145" t="s">
        <v>1809</v>
      </c>
      <c r="HV265" s="22" t="s">
        <v>1926</v>
      </c>
      <c r="HW265" s="22">
        <v>0</v>
      </c>
      <c r="HX265" s="22">
        <v>0</v>
      </c>
      <c r="HY265" s="22">
        <v>0</v>
      </c>
      <c r="HZ265" s="19"/>
      <c r="IA265" s="19"/>
      <c r="IB265" s="621">
        <f>'background data'!$G$10</f>
        <v>0.47300000000000003</v>
      </c>
      <c r="IC265" s="621">
        <f>'background data'!$H$10</f>
        <v>0.13</v>
      </c>
      <c r="ID265" s="621">
        <f>'background data'!$J$10</f>
        <v>0.39100000000000001</v>
      </c>
      <c r="IE265" s="621">
        <f>'background data'!$L$10</f>
        <v>5.5E-2</v>
      </c>
      <c r="IF265" s="621">
        <f>'background data'!$M$10</f>
        <v>3.97</v>
      </c>
      <c r="IG265" s="621">
        <f>'background data'!$N$10</f>
        <v>4.5999999999999999E-3</v>
      </c>
      <c r="IH265" s="621">
        <f>'background data'!$O$10</f>
        <v>2.73</v>
      </c>
      <c r="II265" s="145"/>
      <c r="IJ265" s="145"/>
      <c r="IK265" s="145"/>
      <c r="IL265" s="145"/>
      <c r="IM265" s="145"/>
      <c r="IN265" s="145"/>
      <c r="IO265" s="145"/>
      <c r="IP265" s="145"/>
      <c r="IQ265" s="145"/>
      <c r="IR265" s="145"/>
      <c r="IS265" s="145"/>
      <c r="IT265" s="145"/>
      <c r="IU265" s="145"/>
      <c r="IV265" s="145"/>
      <c r="IW265" s="145"/>
      <c r="IX265" s="145"/>
      <c r="IY265" s="145"/>
      <c r="IZ265" s="145"/>
      <c r="JA265" s="145"/>
      <c r="JB265" s="145"/>
      <c r="JC265" s="145"/>
      <c r="JD265" s="145"/>
      <c r="JE265" s="145"/>
      <c r="JF265" s="145"/>
      <c r="JG265" s="145"/>
      <c r="JH265" s="145"/>
      <c r="JI265" s="145"/>
      <c r="JJ265" s="145"/>
      <c r="JK265" s="145"/>
      <c r="JL265" s="145"/>
      <c r="JM265" s="145"/>
      <c r="JN265" s="145"/>
      <c r="JO265" s="145"/>
      <c r="JP265" s="145"/>
      <c r="JQ265" s="145"/>
      <c r="JR265" s="145"/>
      <c r="JS265" s="145"/>
      <c r="JT265" s="145"/>
      <c r="JU265" s="145"/>
      <c r="JV265" s="145"/>
      <c r="JW265" s="145"/>
      <c r="JX265" s="145"/>
      <c r="JY265" s="145"/>
      <c r="JZ265" s="145"/>
      <c r="KA265" s="145"/>
      <c r="KB265" s="145"/>
      <c r="KC265" s="145"/>
      <c r="KD265" s="145"/>
      <c r="KE265" s="145"/>
      <c r="KF265" s="145"/>
      <c r="KG265" s="145"/>
      <c r="KH265" s="145"/>
      <c r="KI265" s="145"/>
      <c r="KJ265" s="145"/>
      <c r="KK265" s="145"/>
      <c r="KL265" s="145"/>
      <c r="KM265" s="145"/>
      <c r="KN265" s="145"/>
      <c r="KO265" s="145"/>
      <c r="KP265" s="145"/>
      <c r="KQ265" s="145"/>
      <c r="KR265" s="145"/>
      <c r="KS265" s="145"/>
      <c r="KT265" s="145"/>
      <c r="KU265" s="145"/>
      <c r="KV265" s="145"/>
      <c r="KW265" s="145"/>
      <c r="KX265" s="145"/>
      <c r="KY265" s="145"/>
      <c r="KZ265" s="145"/>
      <c r="LA265" s="145"/>
      <c r="LB265" s="145"/>
      <c r="LC265" s="145"/>
      <c r="LD265" s="145"/>
      <c r="LE265" s="145"/>
      <c r="LF265" s="145"/>
      <c r="LG265" s="145"/>
      <c r="LH265" s="145"/>
      <c r="LI265" s="145"/>
      <c r="LJ265" s="145"/>
      <c r="LK265" s="145"/>
      <c r="LL265" s="145"/>
      <c r="LM265" s="145"/>
      <c r="LN265" s="145"/>
      <c r="LO265" s="145"/>
      <c r="LP265" s="145"/>
      <c r="LQ265" s="145"/>
      <c r="LR265" s="145"/>
      <c r="LS265" s="145"/>
      <c r="LT265" s="145"/>
      <c r="LU265" s="145"/>
      <c r="LV265" s="145"/>
      <c r="LW265" s="145"/>
      <c r="LX265" s="145"/>
      <c r="LY265" s="145"/>
      <c r="LZ265" s="145"/>
      <c r="MA265" s="145"/>
      <c r="MB265" s="145"/>
      <c r="MC265" s="145"/>
      <c r="MD265" s="145"/>
      <c r="ME265" s="145"/>
      <c r="MF265" s="145"/>
      <c r="MG265" s="145"/>
      <c r="MH265" s="145"/>
      <c r="MI265" s="145"/>
      <c r="MJ265" s="145"/>
      <c r="MK265" s="145"/>
      <c r="ML265" s="145"/>
      <c r="MM265" s="145"/>
      <c r="MN265" s="145"/>
      <c r="MO265" s="145"/>
      <c r="MP265" s="145"/>
      <c r="MQ265" s="145"/>
      <c r="MR265" s="145"/>
      <c r="MS265" s="145"/>
      <c r="MT265" s="145"/>
      <c r="MU265" s="145"/>
      <c r="MV265" s="145"/>
      <c r="MW265" s="145"/>
      <c r="MX265" s="145"/>
      <c r="MY265" s="145"/>
      <c r="MZ265" s="145"/>
      <c r="NA265" s="145"/>
      <c r="NB265" s="145"/>
      <c r="NC265" s="145"/>
      <c r="ND265" s="145"/>
      <c r="NE265" s="145"/>
      <c r="NF265" s="145"/>
      <c r="NG265" s="145"/>
      <c r="NH265" s="145"/>
      <c r="NI265" s="145"/>
      <c r="NJ265" s="145"/>
      <c r="NK265" s="145"/>
      <c r="NL265" s="145"/>
      <c r="NM265" s="145"/>
      <c r="NN265" s="145"/>
      <c r="NO265" s="145"/>
      <c r="NP265" s="145"/>
      <c r="NQ265" s="145"/>
      <c r="NR265" s="145"/>
      <c r="NS265" s="145"/>
    </row>
    <row r="266" spans="1:383" s="16" customFormat="1" ht="15" customHeight="1" x14ac:dyDescent="0.2">
      <c r="A266" s="15">
        <v>99601</v>
      </c>
      <c r="B266" s="25">
        <v>996</v>
      </c>
      <c r="C266" s="26">
        <v>1</v>
      </c>
      <c r="D266" s="20" t="s">
        <v>720</v>
      </c>
      <c r="E266" s="14">
        <v>40310</v>
      </c>
      <c r="F266" s="18">
        <v>1.41764741734418</v>
      </c>
      <c r="G266" s="18">
        <v>1.3587321999999999</v>
      </c>
      <c r="H266" s="21">
        <v>100</v>
      </c>
      <c r="I266" s="21">
        <v>100</v>
      </c>
      <c r="J266" s="21">
        <v>100</v>
      </c>
      <c r="K266" s="18">
        <v>1</v>
      </c>
      <c r="L266" s="18">
        <v>99.5</v>
      </c>
      <c r="M266" s="18">
        <v>72.037999999999997</v>
      </c>
      <c r="N266" s="18">
        <v>0</v>
      </c>
      <c r="O266" s="18">
        <v>0</v>
      </c>
      <c r="P266" s="18">
        <v>0</v>
      </c>
      <c r="Q266" s="19"/>
      <c r="R266" s="18">
        <v>75</v>
      </c>
      <c r="S266" s="18">
        <v>0</v>
      </c>
      <c r="T266" s="18">
        <v>0</v>
      </c>
      <c r="U266" s="18">
        <v>0</v>
      </c>
      <c r="V266" s="18">
        <v>0</v>
      </c>
      <c r="W266" s="18">
        <v>0</v>
      </c>
      <c r="X266" s="18"/>
      <c r="Y266" s="18">
        <v>0</v>
      </c>
      <c r="Z266" s="18">
        <v>0</v>
      </c>
      <c r="AA266" s="18">
        <v>0</v>
      </c>
      <c r="AB266" s="18">
        <v>0</v>
      </c>
      <c r="AC266" s="18">
        <v>0</v>
      </c>
      <c r="AD266" s="18">
        <v>0</v>
      </c>
      <c r="AE266" s="18">
        <v>0</v>
      </c>
      <c r="AF266" s="18">
        <v>0</v>
      </c>
      <c r="AG266" s="18">
        <v>0</v>
      </c>
      <c r="AH266" s="18">
        <v>0</v>
      </c>
      <c r="AI266" s="18">
        <v>0</v>
      </c>
      <c r="AJ266" s="18">
        <v>0</v>
      </c>
      <c r="AK266" s="18">
        <v>0</v>
      </c>
      <c r="AL266" s="18"/>
      <c r="AM266" s="18">
        <v>0</v>
      </c>
      <c r="AN266" s="18">
        <v>0</v>
      </c>
      <c r="AO266" s="18">
        <v>0</v>
      </c>
      <c r="AP266" s="18">
        <v>136</v>
      </c>
      <c r="AQ266" s="18">
        <v>0</v>
      </c>
      <c r="AR266" s="18">
        <v>0</v>
      </c>
      <c r="AS266" s="18">
        <v>0</v>
      </c>
      <c r="AT266" s="18">
        <v>0</v>
      </c>
      <c r="AU266" s="18">
        <v>0</v>
      </c>
      <c r="AV266" s="18">
        <v>0</v>
      </c>
      <c r="AW266" s="18">
        <v>0</v>
      </c>
      <c r="AX266" s="18"/>
      <c r="AY266" s="18">
        <v>1</v>
      </c>
      <c r="AZ266" s="18">
        <v>1</v>
      </c>
      <c r="BA266" s="18">
        <v>1</v>
      </c>
      <c r="BB266" s="18">
        <v>1</v>
      </c>
      <c r="BC266" s="18">
        <v>1</v>
      </c>
      <c r="BD266" s="18">
        <v>1</v>
      </c>
      <c r="BE266" s="18">
        <v>1</v>
      </c>
      <c r="BF266" s="18">
        <v>1</v>
      </c>
      <c r="BG266" s="18">
        <v>1</v>
      </c>
      <c r="BH266" s="18">
        <v>1</v>
      </c>
      <c r="BI266" s="18">
        <v>1</v>
      </c>
      <c r="BJ266" s="19"/>
      <c r="BK266" s="18">
        <v>72.399999999999991</v>
      </c>
      <c r="BL266" s="18">
        <v>0</v>
      </c>
      <c r="BM266" s="18">
        <v>0</v>
      </c>
      <c r="BN266" s="18">
        <v>0</v>
      </c>
      <c r="BO266" s="18"/>
      <c r="BP266" s="18">
        <v>0</v>
      </c>
      <c r="BQ266" s="18">
        <v>0</v>
      </c>
      <c r="BR266" s="18">
        <v>1.4247712737127436</v>
      </c>
      <c r="BS266" s="18">
        <v>1.3655599999999999</v>
      </c>
      <c r="BT266" s="19"/>
      <c r="BU266" s="18">
        <v>1000</v>
      </c>
      <c r="BV266" s="18">
        <v>341.16</v>
      </c>
      <c r="BW266" s="18">
        <v>0</v>
      </c>
      <c r="BX266" s="18" t="s">
        <v>217</v>
      </c>
      <c r="BY266" s="18" t="s">
        <v>217</v>
      </c>
      <c r="BZ266" s="18" t="s">
        <v>217</v>
      </c>
      <c r="CA266" s="18" t="s">
        <v>217</v>
      </c>
      <c r="CB266" s="19"/>
      <c r="CC266" s="19">
        <v>0</v>
      </c>
      <c r="CD266" s="19">
        <v>0</v>
      </c>
      <c r="CE266" s="19">
        <v>0</v>
      </c>
      <c r="CF266" s="19">
        <v>0</v>
      </c>
      <c r="CG266" s="19">
        <v>0</v>
      </c>
      <c r="CH266" s="19">
        <v>0</v>
      </c>
      <c r="CI266" s="19">
        <v>0</v>
      </c>
      <c r="CJ266" s="19"/>
      <c r="CK266" s="19">
        <v>0</v>
      </c>
      <c r="CL266" s="19">
        <v>0</v>
      </c>
      <c r="CM266" s="19">
        <v>0</v>
      </c>
      <c r="CN266" s="19">
        <v>0</v>
      </c>
      <c r="CO266" s="19">
        <v>0</v>
      </c>
      <c r="CP266" s="19">
        <v>0</v>
      </c>
      <c r="CQ266" s="19">
        <v>540.28499999999997</v>
      </c>
      <c r="CR266" s="19">
        <v>381.11380403187252</v>
      </c>
      <c r="CS266" s="19">
        <v>0</v>
      </c>
      <c r="CT266" s="19">
        <v>0</v>
      </c>
      <c r="CU266" s="19">
        <v>0</v>
      </c>
      <c r="CV266" s="19">
        <v>0</v>
      </c>
      <c r="CW266" s="19">
        <v>518.31477348334658</v>
      </c>
      <c r="CX266" s="19">
        <v>0</v>
      </c>
      <c r="CY266" s="19">
        <v>0</v>
      </c>
      <c r="CZ266" s="19">
        <v>0</v>
      </c>
      <c r="DA266" s="19">
        <v>0</v>
      </c>
      <c r="DB266" s="19">
        <v>0</v>
      </c>
      <c r="DC266" s="19">
        <v>0</v>
      </c>
      <c r="DD266" s="19">
        <v>0</v>
      </c>
      <c r="DE266" s="19">
        <v>0</v>
      </c>
      <c r="DF266" s="23">
        <v>0</v>
      </c>
      <c r="DG266" s="23">
        <v>0</v>
      </c>
      <c r="DH266" s="23">
        <v>0</v>
      </c>
      <c r="DI266" s="19">
        <v>0</v>
      </c>
      <c r="DJ266" s="19">
        <v>0</v>
      </c>
      <c r="DK266" s="19">
        <v>0</v>
      </c>
      <c r="DL266" s="19">
        <v>0</v>
      </c>
      <c r="DM266" s="19">
        <v>0</v>
      </c>
      <c r="DN266" s="19">
        <v>0</v>
      </c>
      <c r="DO266" s="19">
        <v>0</v>
      </c>
      <c r="DP266" s="19">
        <v>0</v>
      </c>
      <c r="DQ266" s="19">
        <v>0</v>
      </c>
      <c r="DR266" s="19">
        <v>0</v>
      </c>
      <c r="DS266" s="19">
        <v>0</v>
      </c>
      <c r="DT266" s="19">
        <v>0</v>
      </c>
      <c r="DU266" s="19">
        <v>0</v>
      </c>
      <c r="DV266" s="19">
        <v>0</v>
      </c>
      <c r="DW266" s="17" t="s">
        <v>218</v>
      </c>
      <c r="DX266" s="22" t="s">
        <v>218</v>
      </c>
      <c r="DY266" s="22" t="s">
        <v>218</v>
      </c>
      <c r="DZ266" s="22" t="s">
        <v>218</v>
      </c>
      <c r="EA266" s="22" t="s">
        <v>218</v>
      </c>
      <c r="EB266" s="22" t="s">
        <v>218</v>
      </c>
      <c r="EC266" s="22" t="s">
        <v>218</v>
      </c>
      <c r="ED266" s="22" t="s">
        <v>218</v>
      </c>
      <c r="EE266" s="22" t="s">
        <v>218</v>
      </c>
      <c r="EF266" s="22" t="s">
        <v>218</v>
      </c>
      <c r="EG266" s="22" t="s">
        <v>218</v>
      </c>
      <c r="EH266" s="22" t="s">
        <v>218</v>
      </c>
      <c r="EI266" s="22" t="s">
        <v>218</v>
      </c>
      <c r="EJ266" s="22" t="s">
        <v>218</v>
      </c>
      <c r="EK266" s="22" t="s">
        <v>218</v>
      </c>
      <c r="EL266" s="22" t="s">
        <v>218</v>
      </c>
      <c r="EM266" s="22" t="s">
        <v>218</v>
      </c>
      <c r="EN266" s="22" t="s">
        <v>218</v>
      </c>
      <c r="EO266" s="22" t="s">
        <v>218</v>
      </c>
      <c r="EP266" s="22" t="s">
        <v>218</v>
      </c>
      <c r="EQ266" s="22" t="s">
        <v>218</v>
      </c>
      <c r="ER266" s="22" t="s">
        <v>218</v>
      </c>
      <c r="ES266" s="22" t="s">
        <v>218</v>
      </c>
      <c r="ET266" s="22" t="s">
        <v>218</v>
      </c>
      <c r="EU266" s="22" t="s">
        <v>218</v>
      </c>
      <c r="EV266" s="22" t="s">
        <v>218</v>
      </c>
      <c r="EW266" s="22" t="s">
        <v>218</v>
      </c>
      <c r="EX266" s="22" t="s">
        <v>218</v>
      </c>
      <c r="EY266" s="22" t="s">
        <v>218</v>
      </c>
      <c r="EZ266" s="22" t="s">
        <v>218</v>
      </c>
      <c r="FA266" s="22" t="s">
        <v>218</v>
      </c>
      <c r="FB266" s="22" t="s">
        <v>218</v>
      </c>
      <c r="FC266" s="22" t="s">
        <v>218</v>
      </c>
      <c r="FD266" s="22" t="s">
        <v>218</v>
      </c>
      <c r="FE266" s="22" t="s">
        <v>218</v>
      </c>
      <c r="FF266" s="22" t="s">
        <v>218</v>
      </c>
      <c r="FG266" s="22" t="s">
        <v>218</v>
      </c>
      <c r="FH266" s="22" t="s">
        <v>218</v>
      </c>
      <c r="FI266" s="22" t="s">
        <v>218</v>
      </c>
      <c r="FJ266" s="22" t="s">
        <v>218</v>
      </c>
      <c r="FK266" s="22" t="s">
        <v>218</v>
      </c>
      <c r="FL266" s="22" t="s">
        <v>218</v>
      </c>
      <c r="FM266" s="22" t="s">
        <v>218</v>
      </c>
      <c r="FN266" s="22" t="s">
        <v>218</v>
      </c>
      <c r="FO266" s="22" t="s">
        <v>218</v>
      </c>
      <c r="FP266" s="22" t="s">
        <v>218</v>
      </c>
      <c r="FQ266" s="22" t="s">
        <v>218</v>
      </c>
      <c r="FR266" s="22" t="s">
        <v>218</v>
      </c>
      <c r="FS266" s="22" t="s">
        <v>218</v>
      </c>
      <c r="FT266" s="22" t="s">
        <v>218</v>
      </c>
      <c r="FU266" s="22" t="s">
        <v>218</v>
      </c>
      <c r="FV266" s="22" t="s">
        <v>218</v>
      </c>
      <c r="FW266" s="22" t="s">
        <v>218</v>
      </c>
      <c r="FX266" s="22" t="s">
        <v>218</v>
      </c>
      <c r="FY266" s="22" t="s">
        <v>218</v>
      </c>
      <c r="FZ266" s="22" t="s">
        <v>218</v>
      </c>
      <c r="GA266" s="22" t="s">
        <v>218</v>
      </c>
      <c r="GB266" s="22" t="s">
        <v>218</v>
      </c>
      <c r="GC266" s="22" t="s">
        <v>218</v>
      </c>
      <c r="GD266" s="22" t="s">
        <v>218</v>
      </c>
      <c r="GE266" s="22" t="s">
        <v>218</v>
      </c>
      <c r="GF266" s="22" t="s">
        <v>218</v>
      </c>
      <c r="GG266" s="22" t="s">
        <v>218</v>
      </c>
      <c r="GH266" s="22" t="s">
        <v>218</v>
      </c>
      <c r="GI266" s="22" t="s">
        <v>218</v>
      </c>
      <c r="GJ266" s="22" t="s">
        <v>218</v>
      </c>
      <c r="GK266" s="22" t="s">
        <v>218</v>
      </c>
      <c r="GL266" s="22" t="s">
        <v>218</v>
      </c>
      <c r="GM266" s="22" t="s">
        <v>218</v>
      </c>
      <c r="GN266" s="22" t="s">
        <v>218</v>
      </c>
      <c r="GO266" s="22" t="s">
        <v>218</v>
      </c>
      <c r="GP266" s="22" t="s">
        <v>218</v>
      </c>
      <c r="GQ266" s="22" t="s">
        <v>218</v>
      </c>
      <c r="GR266" s="22" t="s">
        <v>218</v>
      </c>
      <c r="GS266" s="22" t="s">
        <v>218</v>
      </c>
      <c r="GT266" s="22" t="s">
        <v>218</v>
      </c>
      <c r="GU266" s="22" t="s">
        <v>218</v>
      </c>
      <c r="GV266" s="22" t="s">
        <v>218</v>
      </c>
      <c r="GW266" s="22" t="s">
        <v>218</v>
      </c>
      <c r="GX266" s="22" t="s">
        <v>218</v>
      </c>
      <c r="GY266" s="22" t="s">
        <v>218</v>
      </c>
      <c r="GZ266" s="22" t="s">
        <v>218</v>
      </c>
      <c r="HA266" s="22" t="s">
        <v>218</v>
      </c>
      <c r="HB266" s="22" t="s">
        <v>218</v>
      </c>
      <c r="HC266" s="22" t="s">
        <v>218</v>
      </c>
      <c r="HD266" s="22" t="s">
        <v>218</v>
      </c>
      <c r="HE266" s="22" t="s">
        <v>218</v>
      </c>
      <c r="HF266" s="22" t="s">
        <v>218</v>
      </c>
      <c r="HG266" s="22" t="s">
        <v>218</v>
      </c>
      <c r="HH266" s="22" t="s">
        <v>218</v>
      </c>
      <c r="HI266" s="22" t="s">
        <v>218</v>
      </c>
      <c r="HJ266" s="22" t="s">
        <v>218</v>
      </c>
      <c r="HK266" s="22" t="s">
        <v>218</v>
      </c>
      <c r="HL266" s="22" t="s">
        <v>218</v>
      </c>
      <c r="HM266" s="860"/>
      <c r="HN266" s="860"/>
      <c r="HO266" s="860"/>
      <c r="HP266" s="860"/>
      <c r="HQ266" s="860"/>
      <c r="HR266" s="860"/>
      <c r="HS266" s="860"/>
      <c r="HT266" s="145"/>
      <c r="HU266" s="145" t="s">
        <v>1809</v>
      </c>
      <c r="HV266" s="22" t="s">
        <v>1926</v>
      </c>
      <c r="HW266" s="22" t="s">
        <v>218</v>
      </c>
      <c r="HX266" s="22" t="s">
        <v>218</v>
      </c>
      <c r="HY266" s="22" t="s">
        <v>218</v>
      </c>
      <c r="HZ266" s="19"/>
      <c r="IA266" s="19"/>
      <c r="IB266" s="621">
        <f>'background data'!$G$10</f>
        <v>0.47300000000000003</v>
      </c>
      <c r="IC266" s="621">
        <f>'background data'!$H$10</f>
        <v>0.13</v>
      </c>
      <c r="ID266" s="621">
        <f>'background data'!$J$10</f>
        <v>0.39100000000000001</v>
      </c>
      <c r="IE266" s="621">
        <f>'background data'!$L$10</f>
        <v>5.5E-2</v>
      </c>
      <c r="IF266" s="621">
        <f>'background data'!$M$10</f>
        <v>3.97</v>
      </c>
      <c r="IG266" s="621">
        <f>'background data'!$N$10</f>
        <v>4.5999999999999999E-3</v>
      </c>
      <c r="IH266" s="621">
        <f>'background data'!$O$10</f>
        <v>2.73</v>
      </c>
      <c r="II266" s="145"/>
      <c r="IJ266" s="145"/>
      <c r="IK266" s="145"/>
      <c r="IL266" s="145"/>
      <c r="IM266" s="145"/>
      <c r="IN266" s="145"/>
      <c r="IO266" s="145"/>
      <c r="IP266" s="145"/>
      <c r="IQ266" s="145"/>
      <c r="IR266" s="145"/>
      <c r="IS266" s="145"/>
      <c r="IT266" s="145"/>
      <c r="IU266" s="145"/>
      <c r="IV266" s="145"/>
      <c r="IW266" s="145"/>
      <c r="IX266" s="145"/>
      <c r="IY266" s="145"/>
      <c r="IZ266" s="145"/>
      <c r="JA266" s="145"/>
      <c r="JB266" s="145"/>
      <c r="JC266" s="145"/>
      <c r="JD266" s="145"/>
      <c r="JE266" s="145"/>
      <c r="JF266" s="145"/>
      <c r="JG266" s="145"/>
      <c r="JH266" s="145"/>
      <c r="JI266" s="145"/>
      <c r="JJ266" s="145"/>
      <c r="JK266" s="145"/>
      <c r="JL266" s="145"/>
      <c r="JM266" s="145"/>
      <c r="JN266" s="145"/>
      <c r="JO266" s="145"/>
      <c r="JP266" s="145"/>
      <c r="JQ266" s="145"/>
      <c r="JR266" s="145"/>
      <c r="JS266" s="145"/>
      <c r="JT266" s="145"/>
      <c r="JU266" s="145"/>
      <c r="JV266" s="145"/>
      <c r="JW266" s="145"/>
      <c r="JX266" s="145"/>
      <c r="JY266" s="145"/>
      <c r="JZ266" s="145"/>
      <c r="KA266" s="145"/>
      <c r="KB266" s="145"/>
      <c r="KC266" s="145"/>
      <c r="KD266" s="145"/>
      <c r="KE266" s="145"/>
      <c r="KF266" s="145"/>
      <c r="KG266" s="145"/>
      <c r="KH266" s="145"/>
      <c r="KI266" s="145"/>
      <c r="KJ266" s="145"/>
      <c r="KK266" s="145"/>
      <c r="KL266" s="145"/>
      <c r="KM266" s="145"/>
      <c r="KN266" s="145"/>
      <c r="KO266" s="145"/>
      <c r="KP266" s="145"/>
      <c r="KQ266" s="145"/>
      <c r="KR266" s="145"/>
      <c r="KS266" s="145"/>
      <c r="KT266" s="145"/>
      <c r="KU266" s="145"/>
      <c r="KV266" s="145"/>
      <c r="KW266" s="145"/>
      <c r="KX266" s="145"/>
      <c r="KY266" s="145"/>
      <c r="KZ266" s="145"/>
      <c r="LA266" s="145"/>
      <c r="LB266" s="145"/>
      <c r="LC266" s="145"/>
      <c r="LD266" s="145"/>
      <c r="LE266" s="145"/>
      <c r="LF266" s="145"/>
      <c r="LG266" s="145"/>
      <c r="LH266" s="145"/>
      <c r="LI266" s="145"/>
      <c r="LJ266" s="145"/>
      <c r="LK266" s="145"/>
      <c r="LL266" s="145"/>
      <c r="LM266" s="145"/>
      <c r="LN266" s="145"/>
      <c r="LO266" s="145"/>
      <c r="LP266" s="145"/>
      <c r="LQ266" s="145"/>
      <c r="LR266" s="145"/>
      <c r="LS266" s="145"/>
      <c r="LT266" s="145"/>
      <c r="LU266" s="145"/>
      <c r="LV266" s="145"/>
      <c r="LW266" s="145"/>
      <c r="LX266" s="145"/>
      <c r="LY266" s="145"/>
      <c r="LZ266" s="145"/>
      <c r="MA266" s="145"/>
      <c r="MB266" s="145"/>
      <c r="MC266" s="145"/>
      <c r="MD266" s="145"/>
      <c r="ME266" s="145"/>
      <c r="MF266" s="145"/>
      <c r="MG266" s="145"/>
      <c r="MH266" s="145"/>
      <c r="MI266" s="145"/>
      <c r="MJ266" s="145"/>
      <c r="MK266" s="145"/>
      <c r="ML266" s="145"/>
      <c r="MM266" s="145"/>
      <c r="MN266" s="145"/>
      <c r="MO266" s="145"/>
      <c r="MP266" s="145"/>
      <c r="MQ266" s="145"/>
      <c r="MR266" s="145"/>
      <c r="MS266" s="145"/>
      <c r="MT266" s="145"/>
      <c r="MU266" s="145"/>
      <c r="MV266" s="145"/>
      <c r="MW266" s="145"/>
      <c r="MX266" s="145"/>
      <c r="MY266" s="145"/>
      <c r="MZ266" s="145"/>
      <c r="NA266" s="145"/>
      <c r="NB266" s="145"/>
      <c r="NC266" s="145"/>
      <c r="ND266" s="145"/>
      <c r="NE266" s="145"/>
      <c r="NF266" s="145"/>
      <c r="NG266" s="145"/>
      <c r="NH266" s="145"/>
      <c r="NI266" s="145"/>
      <c r="NJ266" s="145"/>
      <c r="NK266" s="145"/>
      <c r="NL266" s="145"/>
      <c r="NM266" s="145"/>
      <c r="NN266" s="145"/>
      <c r="NO266" s="145"/>
      <c r="NP266" s="145"/>
      <c r="NQ266" s="145"/>
      <c r="NR266" s="145"/>
      <c r="NS266" s="145"/>
    </row>
    <row r="267" spans="1:383" s="16" customFormat="1" ht="15" customHeight="1" x14ac:dyDescent="0.2">
      <c r="A267" s="15">
        <v>99600</v>
      </c>
      <c r="B267" s="25">
        <v>996</v>
      </c>
      <c r="C267" s="26">
        <v>0</v>
      </c>
      <c r="D267" s="20" t="s">
        <v>721</v>
      </c>
      <c r="E267" s="14">
        <v>40310</v>
      </c>
      <c r="F267" s="18">
        <v>1.41764741734418</v>
      </c>
      <c r="G267" s="18">
        <v>1.3587321999999999</v>
      </c>
      <c r="H267" s="21">
        <v>100</v>
      </c>
      <c r="I267" s="21">
        <v>100</v>
      </c>
      <c r="J267" s="21">
        <v>100</v>
      </c>
      <c r="K267" s="18">
        <v>1</v>
      </c>
      <c r="L267" s="18">
        <v>99.5</v>
      </c>
      <c r="M267" s="18">
        <v>72.037999999999997</v>
      </c>
      <c r="N267" s="18">
        <v>0</v>
      </c>
      <c r="O267" s="18">
        <v>0</v>
      </c>
      <c r="P267" s="18">
        <v>0</v>
      </c>
      <c r="Q267" s="19"/>
      <c r="R267" s="18">
        <v>100</v>
      </c>
      <c r="S267" s="18">
        <v>0</v>
      </c>
      <c r="T267" s="18">
        <v>0</v>
      </c>
      <c r="U267" s="18">
        <v>0</v>
      </c>
      <c r="V267" s="18">
        <v>0</v>
      </c>
      <c r="W267" s="18">
        <v>0</v>
      </c>
      <c r="X267" s="18"/>
      <c r="Y267" s="18">
        <v>0</v>
      </c>
      <c r="Z267" s="18">
        <v>0</v>
      </c>
      <c r="AA267" s="18">
        <v>0</v>
      </c>
      <c r="AB267" s="18">
        <v>0</v>
      </c>
      <c r="AC267" s="18">
        <v>0</v>
      </c>
      <c r="AD267" s="18">
        <v>0</v>
      </c>
      <c r="AE267" s="18">
        <v>0</v>
      </c>
      <c r="AF267" s="18">
        <v>0</v>
      </c>
      <c r="AG267" s="18">
        <v>0</v>
      </c>
      <c r="AH267" s="18">
        <v>0</v>
      </c>
      <c r="AI267" s="18">
        <v>0</v>
      </c>
      <c r="AJ267" s="18">
        <v>0</v>
      </c>
      <c r="AK267" s="18">
        <v>0</v>
      </c>
      <c r="AL267" s="18"/>
      <c r="AM267" s="18">
        <v>0</v>
      </c>
      <c r="AN267" s="18">
        <v>0</v>
      </c>
      <c r="AO267" s="18">
        <v>0</v>
      </c>
      <c r="AP267" s="18">
        <v>136</v>
      </c>
      <c r="AQ267" s="18">
        <v>0</v>
      </c>
      <c r="AR267" s="18">
        <v>0</v>
      </c>
      <c r="AS267" s="18">
        <v>0</v>
      </c>
      <c r="AT267" s="18">
        <v>0</v>
      </c>
      <c r="AU267" s="18">
        <v>0</v>
      </c>
      <c r="AV267" s="18">
        <v>0</v>
      </c>
      <c r="AW267" s="18">
        <v>0</v>
      </c>
      <c r="AX267" s="18"/>
      <c r="AY267" s="18">
        <v>1</v>
      </c>
      <c r="AZ267" s="18">
        <v>1</v>
      </c>
      <c r="BA267" s="18">
        <v>1</v>
      </c>
      <c r="BB267" s="18">
        <v>1</v>
      </c>
      <c r="BC267" s="18">
        <v>1</v>
      </c>
      <c r="BD267" s="18">
        <v>1</v>
      </c>
      <c r="BE267" s="18">
        <v>1</v>
      </c>
      <c r="BF267" s="18">
        <v>1</v>
      </c>
      <c r="BG267" s="18">
        <v>1</v>
      </c>
      <c r="BH267" s="18">
        <v>1</v>
      </c>
      <c r="BI267" s="18">
        <v>1</v>
      </c>
      <c r="BJ267" s="19"/>
      <c r="BK267" s="18">
        <v>72.399999999999991</v>
      </c>
      <c r="BL267" s="18">
        <v>0</v>
      </c>
      <c r="BM267" s="18">
        <v>0</v>
      </c>
      <c r="BN267" s="18">
        <v>0</v>
      </c>
      <c r="BO267" s="18"/>
      <c r="BP267" s="18">
        <v>0</v>
      </c>
      <c r="BQ267" s="18">
        <v>0</v>
      </c>
      <c r="BR267" s="18">
        <v>1.4247712737127436</v>
      </c>
      <c r="BS267" s="18">
        <v>1.3655599999999999</v>
      </c>
      <c r="BT267" s="19"/>
      <c r="BU267" s="18">
        <v>1000</v>
      </c>
      <c r="BV267" s="18">
        <v>341.16</v>
      </c>
      <c r="BW267" s="18">
        <v>0</v>
      </c>
      <c r="BX267" s="18" t="s">
        <v>217</v>
      </c>
      <c r="BY267" s="18" t="s">
        <v>217</v>
      </c>
      <c r="BZ267" s="18" t="s">
        <v>217</v>
      </c>
      <c r="CA267" s="18" t="s">
        <v>217</v>
      </c>
      <c r="CB267" s="19"/>
      <c r="CC267" s="19">
        <v>0</v>
      </c>
      <c r="CD267" s="19">
        <v>0</v>
      </c>
      <c r="CE267" s="19">
        <v>0</v>
      </c>
      <c r="CF267" s="19">
        <v>0</v>
      </c>
      <c r="CG267" s="19">
        <v>0</v>
      </c>
      <c r="CH267" s="19">
        <v>0</v>
      </c>
      <c r="CI267" s="19">
        <v>0</v>
      </c>
      <c r="CJ267" s="19"/>
      <c r="CK267" s="19">
        <v>0</v>
      </c>
      <c r="CL267" s="19">
        <v>0</v>
      </c>
      <c r="CM267" s="19">
        <v>0</v>
      </c>
      <c r="CN267" s="19">
        <v>0</v>
      </c>
      <c r="CO267" s="19">
        <v>0</v>
      </c>
      <c r="CP267" s="19">
        <v>0</v>
      </c>
      <c r="CQ267" s="19">
        <v>720.38</v>
      </c>
      <c r="CR267" s="19">
        <v>508.15173870916334</v>
      </c>
      <c r="CS267" s="19">
        <v>0</v>
      </c>
      <c r="CT267" s="19">
        <v>0</v>
      </c>
      <c r="CU267" s="19">
        <v>0</v>
      </c>
      <c r="CV267" s="19">
        <v>0</v>
      </c>
      <c r="CW267" s="19">
        <v>691.08636464446215</v>
      </c>
      <c r="CX267" s="19">
        <v>0</v>
      </c>
      <c r="CY267" s="19">
        <v>0</v>
      </c>
      <c r="CZ267" s="19">
        <v>0</v>
      </c>
      <c r="DA267" s="19">
        <v>0</v>
      </c>
      <c r="DB267" s="19">
        <v>0</v>
      </c>
      <c r="DC267" s="19">
        <v>0</v>
      </c>
      <c r="DD267" s="19">
        <v>0</v>
      </c>
      <c r="DE267" s="19">
        <v>0</v>
      </c>
      <c r="DF267" s="23">
        <v>0</v>
      </c>
      <c r="DG267" s="23">
        <v>0</v>
      </c>
      <c r="DH267" s="23">
        <v>0</v>
      </c>
      <c r="DI267" s="19">
        <v>0</v>
      </c>
      <c r="DJ267" s="19">
        <v>0</v>
      </c>
      <c r="DK267" s="19">
        <v>0</v>
      </c>
      <c r="DL267" s="19">
        <v>0</v>
      </c>
      <c r="DM267" s="19">
        <v>0</v>
      </c>
      <c r="DN267" s="19">
        <v>0</v>
      </c>
      <c r="DO267" s="19">
        <v>0</v>
      </c>
      <c r="DP267" s="19">
        <v>0</v>
      </c>
      <c r="DQ267" s="19">
        <v>0</v>
      </c>
      <c r="DR267" s="19">
        <v>0</v>
      </c>
      <c r="DS267" s="19">
        <v>0</v>
      </c>
      <c r="DT267" s="19">
        <v>0</v>
      </c>
      <c r="DU267" s="19">
        <v>0</v>
      </c>
      <c r="DV267" s="19">
        <v>0</v>
      </c>
      <c r="DW267" s="17" t="s">
        <v>218</v>
      </c>
      <c r="DX267" s="22" t="s">
        <v>218</v>
      </c>
      <c r="DY267" s="22" t="s">
        <v>218</v>
      </c>
      <c r="DZ267" s="22" t="s">
        <v>218</v>
      </c>
      <c r="EA267" s="22" t="s">
        <v>218</v>
      </c>
      <c r="EB267" s="22" t="s">
        <v>218</v>
      </c>
      <c r="EC267" s="22" t="s">
        <v>218</v>
      </c>
      <c r="ED267" s="22" t="s">
        <v>218</v>
      </c>
      <c r="EE267" s="22" t="s">
        <v>218</v>
      </c>
      <c r="EF267" s="22" t="s">
        <v>218</v>
      </c>
      <c r="EG267" s="22" t="s">
        <v>218</v>
      </c>
      <c r="EH267" s="22" t="s">
        <v>218</v>
      </c>
      <c r="EI267" s="22" t="s">
        <v>218</v>
      </c>
      <c r="EJ267" s="22" t="s">
        <v>218</v>
      </c>
      <c r="EK267" s="22" t="s">
        <v>218</v>
      </c>
      <c r="EL267" s="22" t="s">
        <v>218</v>
      </c>
      <c r="EM267" s="22" t="s">
        <v>218</v>
      </c>
      <c r="EN267" s="22" t="s">
        <v>218</v>
      </c>
      <c r="EO267" s="22" t="s">
        <v>218</v>
      </c>
      <c r="EP267" s="22" t="s">
        <v>218</v>
      </c>
      <c r="EQ267" s="22" t="s">
        <v>218</v>
      </c>
      <c r="ER267" s="22" t="s">
        <v>218</v>
      </c>
      <c r="ES267" s="22" t="s">
        <v>218</v>
      </c>
      <c r="ET267" s="22" t="s">
        <v>218</v>
      </c>
      <c r="EU267" s="22" t="s">
        <v>218</v>
      </c>
      <c r="EV267" s="22" t="s">
        <v>218</v>
      </c>
      <c r="EW267" s="22" t="s">
        <v>218</v>
      </c>
      <c r="EX267" s="22" t="s">
        <v>218</v>
      </c>
      <c r="EY267" s="22" t="s">
        <v>218</v>
      </c>
      <c r="EZ267" s="22" t="s">
        <v>218</v>
      </c>
      <c r="FA267" s="22" t="s">
        <v>218</v>
      </c>
      <c r="FB267" s="22" t="s">
        <v>218</v>
      </c>
      <c r="FC267" s="22" t="s">
        <v>218</v>
      </c>
      <c r="FD267" s="22" t="s">
        <v>218</v>
      </c>
      <c r="FE267" s="22" t="s">
        <v>218</v>
      </c>
      <c r="FF267" s="22" t="s">
        <v>218</v>
      </c>
      <c r="FG267" s="22" t="s">
        <v>218</v>
      </c>
      <c r="FH267" s="22" t="s">
        <v>218</v>
      </c>
      <c r="FI267" s="22" t="s">
        <v>218</v>
      </c>
      <c r="FJ267" s="22" t="s">
        <v>218</v>
      </c>
      <c r="FK267" s="22" t="s">
        <v>218</v>
      </c>
      <c r="FL267" s="22" t="s">
        <v>218</v>
      </c>
      <c r="FM267" s="22" t="s">
        <v>218</v>
      </c>
      <c r="FN267" s="22" t="s">
        <v>218</v>
      </c>
      <c r="FO267" s="22" t="s">
        <v>218</v>
      </c>
      <c r="FP267" s="22" t="s">
        <v>218</v>
      </c>
      <c r="FQ267" s="22" t="s">
        <v>218</v>
      </c>
      <c r="FR267" s="22" t="s">
        <v>218</v>
      </c>
      <c r="FS267" s="22" t="s">
        <v>218</v>
      </c>
      <c r="FT267" s="22" t="s">
        <v>218</v>
      </c>
      <c r="FU267" s="22" t="s">
        <v>218</v>
      </c>
      <c r="FV267" s="22" t="s">
        <v>218</v>
      </c>
      <c r="FW267" s="22" t="s">
        <v>218</v>
      </c>
      <c r="FX267" s="22" t="s">
        <v>218</v>
      </c>
      <c r="FY267" s="22" t="s">
        <v>218</v>
      </c>
      <c r="FZ267" s="22" t="s">
        <v>218</v>
      </c>
      <c r="GA267" s="22" t="s">
        <v>218</v>
      </c>
      <c r="GB267" s="22" t="s">
        <v>218</v>
      </c>
      <c r="GC267" s="22" t="s">
        <v>218</v>
      </c>
      <c r="GD267" s="22" t="s">
        <v>218</v>
      </c>
      <c r="GE267" s="22" t="s">
        <v>218</v>
      </c>
      <c r="GF267" s="22" t="s">
        <v>218</v>
      </c>
      <c r="GG267" s="22" t="s">
        <v>218</v>
      </c>
      <c r="GH267" s="22" t="s">
        <v>218</v>
      </c>
      <c r="GI267" s="22" t="s">
        <v>218</v>
      </c>
      <c r="GJ267" s="22" t="s">
        <v>218</v>
      </c>
      <c r="GK267" s="22" t="s">
        <v>218</v>
      </c>
      <c r="GL267" s="22" t="s">
        <v>218</v>
      </c>
      <c r="GM267" s="22" t="s">
        <v>218</v>
      </c>
      <c r="GN267" s="22" t="s">
        <v>218</v>
      </c>
      <c r="GO267" s="22" t="s">
        <v>218</v>
      </c>
      <c r="GP267" s="22" t="s">
        <v>218</v>
      </c>
      <c r="GQ267" s="22" t="s">
        <v>218</v>
      </c>
      <c r="GR267" s="22" t="s">
        <v>218</v>
      </c>
      <c r="GS267" s="22" t="s">
        <v>218</v>
      </c>
      <c r="GT267" s="22" t="s">
        <v>218</v>
      </c>
      <c r="GU267" s="22" t="s">
        <v>218</v>
      </c>
      <c r="GV267" s="22" t="s">
        <v>218</v>
      </c>
      <c r="GW267" s="22" t="s">
        <v>218</v>
      </c>
      <c r="GX267" s="22" t="s">
        <v>218</v>
      </c>
      <c r="GY267" s="22" t="s">
        <v>218</v>
      </c>
      <c r="GZ267" s="22" t="s">
        <v>218</v>
      </c>
      <c r="HA267" s="22" t="s">
        <v>218</v>
      </c>
      <c r="HB267" s="22" t="s">
        <v>218</v>
      </c>
      <c r="HC267" s="22" t="s">
        <v>218</v>
      </c>
      <c r="HD267" s="22" t="s">
        <v>218</v>
      </c>
      <c r="HE267" s="22" t="s">
        <v>218</v>
      </c>
      <c r="HF267" s="22" t="s">
        <v>218</v>
      </c>
      <c r="HG267" s="22" t="s">
        <v>218</v>
      </c>
      <c r="HH267" s="22" t="s">
        <v>218</v>
      </c>
      <c r="HI267" s="22" t="s">
        <v>218</v>
      </c>
      <c r="HJ267" s="22" t="s">
        <v>218</v>
      </c>
      <c r="HK267" s="22" t="s">
        <v>218</v>
      </c>
      <c r="HL267" s="22" t="s">
        <v>218</v>
      </c>
      <c r="HM267" s="860"/>
      <c r="HN267" s="860"/>
      <c r="HO267" s="860"/>
      <c r="HP267" s="860"/>
      <c r="HQ267" s="860"/>
      <c r="HR267" s="860"/>
      <c r="HS267" s="860"/>
      <c r="HT267" s="145"/>
      <c r="HU267" s="145" t="s">
        <v>1809</v>
      </c>
      <c r="HV267" s="22" t="s">
        <v>1926</v>
      </c>
      <c r="HW267" s="22" t="s">
        <v>218</v>
      </c>
      <c r="HX267" s="22" t="s">
        <v>218</v>
      </c>
      <c r="HY267" s="22" t="s">
        <v>218</v>
      </c>
      <c r="HZ267" s="19"/>
      <c r="IA267" s="19"/>
      <c r="IB267" s="621">
        <f>'background data'!$G$10</f>
        <v>0.47300000000000003</v>
      </c>
      <c r="IC267" s="621">
        <f>'background data'!$H$10</f>
        <v>0.13</v>
      </c>
      <c r="ID267" s="621">
        <f>'background data'!$J$10</f>
        <v>0.39100000000000001</v>
      </c>
      <c r="IE267" s="621">
        <f>'background data'!$L$10</f>
        <v>5.5E-2</v>
      </c>
      <c r="IF267" s="621">
        <f>'background data'!$M$10</f>
        <v>3.97</v>
      </c>
      <c r="IG267" s="621">
        <f>'background data'!$N$10</f>
        <v>4.5999999999999999E-3</v>
      </c>
      <c r="IH267" s="621">
        <f>'background data'!$O$10</f>
        <v>2.73</v>
      </c>
      <c r="II267" s="145"/>
      <c r="IJ267" s="145"/>
      <c r="IK267" s="145"/>
      <c r="IL267" s="145"/>
      <c r="IM267" s="145"/>
      <c r="IN267" s="145"/>
      <c r="IO267" s="145"/>
      <c r="IP267" s="145"/>
      <c r="IQ267" s="145"/>
      <c r="IR267" s="145"/>
      <c r="IS267" s="145"/>
      <c r="IT267" s="145"/>
      <c r="IU267" s="145"/>
      <c r="IV267" s="145"/>
      <c r="IW267" s="145"/>
      <c r="IX267" s="145"/>
      <c r="IY267" s="145"/>
      <c r="IZ267" s="145"/>
      <c r="JA267" s="145"/>
      <c r="JB267" s="145"/>
      <c r="JC267" s="145"/>
      <c r="JD267" s="145"/>
      <c r="JE267" s="145"/>
      <c r="JF267" s="145"/>
      <c r="JG267" s="145"/>
      <c r="JH267" s="145"/>
      <c r="JI267" s="145"/>
      <c r="JJ267" s="145"/>
      <c r="JK267" s="145"/>
      <c r="JL267" s="145"/>
      <c r="JM267" s="145"/>
      <c r="JN267" s="145"/>
      <c r="JO267" s="145"/>
      <c r="JP267" s="145"/>
      <c r="JQ267" s="145"/>
      <c r="JR267" s="145"/>
      <c r="JS267" s="145"/>
      <c r="JT267" s="145"/>
      <c r="JU267" s="145"/>
      <c r="JV267" s="145"/>
      <c r="JW267" s="145"/>
      <c r="JX267" s="145"/>
      <c r="JY267" s="145"/>
      <c r="JZ267" s="145"/>
      <c r="KA267" s="145"/>
      <c r="KB267" s="145"/>
      <c r="KC267" s="145"/>
      <c r="KD267" s="145"/>
      <c r="KE267" s="145"/>
      <c r="KF267" s="145"/>
      <c r="KG267" s="145"/>
      <c r="KH267" s="145"/>
      <c r="KI267" s="145"/>
      <c r="KJ267" s="145"/>
      <c r="KK267" s="145"/>
      <c r="KL267" s="145"/>
      <c r="KM267" s="145"/>
      <c r="KN267" s="145"/>
      <c r="KO267" s="145"/>
      <c r="KP267" s="145"/>
      <c r="KQ267" s="145"/>
      <c r="KR267" s="145"/>
      <c r="KS267" s="145"/>
      <c r="KT267" s="145"/>
      <c r="KU267" s="145"/>
      <c r="KV267" s="145"/>
      <c r="KW267" s="145"/>
      <c r="KX267" s="145"/>
      <c r="KY267" s="145"/>
      <c r="KZ267" s="145"/>
      <c r="LA267" s="145"/>
      <c r="LB267" s="145"/>
      <c r="LC267" s="145"/>
      <c r="LD267" s="145"/>
      <c r="LE267" s="145"/>
      <c r="LF267" s="145"/>
      <c r="LG267" s="145"/>
      <c r="LH267" s="145"/>
      <c r="LI267" s="145"/>
      <c r="LJ267" s="145"/>
      <c r="LK267" s="145"/>
      <c r="LL267" s="145"/>
      <c r="LM267" s="145"/>
      <c r="LN267" s="145"/>
      <c r="LO267" s="145"/>
      <c r="LP267" s="145"/>
      <c r="LQ267" s="145"/>
      <c r="LR267" s="145"/>
      <c r="LS267" s="145"/>
      <c r="LT267" s="145"/>
      <c r="LU267" s="145"/>
      <c r="LV267" s="145"/>
      <c r="LW267" s="145"/>
      <c r="LX267" s="145"/>
      <c r="LY267" s="145"/>
      <c r="LZ267" s="145"/>
      <c r="MA267" s="145"/>
      <c r="MB267" s="145"/>
      <c r="MC267" s="145"/>
      <c r="MD267" s="145"/>
      <c r="ME267" s="145"/>
      <c r="MF267" s="145"/>
      <c r="MG267" s="145"/>
      <c r="MH267" s="145"/>
      <c r="MI267" s="145"/>
      <c r="MJ267" s="145"/>
      <c r="MK267" s="145"/>
      <c r="ML267" s="145"/>
      <c r="MM267" s="145"/>
      <c r="MN267" s="145"/>
      <c r="MO267" s="145"/>
      <c r="MP267" s="145"/>
      <c r="MQ267" s="145"/>
      <c r="MR267" s="145"/>
      <c r="MS267" s="145"/>
      <c r="MT267" s="145"/>
      <c r="MU267" s="145"/>
      <c r="MV267" s="145"/>
      <c r="MW267" s="145"/>
      <c r="MX267" s="145"/>
      <c r="MY267" s="145"/>
      <c r="MZ267" s="145"/>
      <c r="NA267" s="145"/>
      <c r="NB267" s="145"/>
      <c r="NC267" s="145"/>
      <c r="ND267" s="145"/>
      <c r="NE267" s="145"/>
      <c r="NF267" s="145"/>
      <c r="NG267" s="145"/>
      <c r="NH267" s="145"/>
      <c r="NI267" s="145"/>
      <c r="NJ267" s="145"/>
      <c r="NK267" s="145"/>
      <c r="NL267" s="145"/>
      <c r="NM267" s="145"/>
      <c r="NN267" s="145"/>
      <c r="NO267" s="145"/>
      <c r="NP267" s="145"/>
      <c r="NQ267" s="145"/>
      <c r="NR267" s="145"/>
      <c r="NS267" s="145"/>
    </row>
    <row r="268" spans="1:383" s="16" customFormat="1" ht="15" customHeight="1" x14ac:dyDescent="0.2">
      <c r="A268" s="15">
        <v>56000</v>
      </c>
      <c r="B268" s="25">
        <v>560</v>
      </c>
      <c r="C268" s="26">
        <v>0</v>
      </c>
      <c r="D268" s="20" t="s">
        <v>722</v>
      </c>
      <c r="E268" s="14">
        <v>42678</v>
      </c>
      <c r="F268" s="18">
        <v>1.12659417344173</v>
      </c>
      <c r="G268" s="18">
        <v>1.1126718389610399</v>
      </c>
      <c r="H268" s="21">
        <v>90.4</v>
      </c>
      <c r="I268" s="21">
        <v>85.200011200000006</v>
      </c>
      <c r="J268" s="21">
        <v>93</v>
      </c>
      <c r="K268" s="18">
        <v>1</v>
      </c>
      <c r="L268" s="18">
        <v>85</v>
      </c>
      <c r="M268" s="18">
        <v>9.1999999999999904</v>
      </c>
      <c r="N268" s="18">
        <v>2.1</v>
      </c>
      <c r="O268" s="18">
        <v>1.7</v>
      </c>
      <c r="P268" s="18">
        <v>2.6</v>
      </c>
      <c r="Q268" s="19"/>
      <c r="R268" s="18">
        <v>82.352621739130399</v>
      </c>
      <c r="S268" s="18">
        <v>50</v>
      </c>
      <c r="T268" s="18">
        <v>54</v>
      </c>
      <c r="U268" s="18">
        <v>55</v>
      </c>
      <c r="V268" s="18">
        <v>56</v>
      </c>
      <c r="W268" s="18">
        <v>57</v>
      </c>
      <c r="X268" s="18"/>
      <c r="Y268" s="18">
        <v>0.51764705882352946</v>
      </c>
      <c r="Z268" s="18">
        <v>3.5294117647058822</v>
      </c>
      <c r="AA268" s="18">
        <v>0.1</v>
      </c>
      <c r="AB268" s="18">
        <v>0</v>
      </c>
      <c r="AC268" s="18">
        <v>3.1000018235283413</v>
      </c>
      <c r="AD268" s="18">
        <v>0.60000035294096943</v>
      </c>
      <c r="AE268" s="18">
        <v>0.60000035294096943</v>
      </c>
      <c r="AF268" s="18">
        <v>12.000007058819412</v>
      </c>
      <c r="AG268" s="18">
        <v>2.0000011764699059</v>
      </c>
      <c r="AH268" s="18">
        <v>14.000008235289295</v>
      </c>
      <c r="AI268" s="18">
        <v>18.500010882346469</v>
      </c>
      <c r="AJ268" s="18">
        <v>0</v>
      </c>
      <c r="AK268" s="18">
        <v>0</v>
      </c>
      <c r="AL268" s="18"/>
      <c r="AM268" s="18">
        <v>3.24</v>
      </c>
      <c r="AN268" s="18">
        <v>1.69</v>
      </c>
      <c r="AO268" s="18">
        <v>2.2200000000000002</v>
      </c>
      <c r="AP268" s="18">
        <v>3.15</v>
      </c>
      <c r="AQ268" s="18">
        <v>1.22</v>
      </c>
      <c r="AR268" s="18">
        <v>3.36</v>
      </c>
      <c r="AS268" s="18">
        <v>6.42</v>
      </c>
      <c r="AT268" s="18">
        <v>2.2200000000000002</v>
      </c>
      <c r="AU268" s="18">
        <v>4.3600000000000003</v>
      </c>
      <c r="AV268" s="18">
        <v>2.8</v>
      </c>
      <c r="AW268" s="18">
        <v>4.5199999999999996</v>
      </c>
      <c r="AX268" s="18"/>
      <c r="AY268" s="18">
        <v>0.98</v>
      </c>
      <c r="AZ268" s="18">
        <v>1.05</v>
      </c>
      <c r="BA268" s="18">
        <v>1.03</v>
      </c>
      <c r="BB268" s="18">
        <v>0.95</v>
      </c>
      <c r="BC268" s="18">
        <v>0.92</v>
      </c>
      <c r="BD268" s="18">
        <v>1.01</v>
      </c>
      <c r="BE268" s="18">
        <v>1.01</v>
      </c>
      <c r="BF268" s="18">
        <v>1.03</v>
      </c>
      <c r="BG268" s="18">
        <v>1.06</v>
      </c>
      <c r="BH268" s="18">
        <v>1</v>
      </c>
      <c r="BI268" s="18">
        <v>0.98</v>
      </c>
      <c r="BJ268" s="19"/>
      <c r="BK268" s="18">
        <v>10.823529411764696</v>
      </c>
      <c r="BL268" s="18">
        <v>2.4705882352941178</v>
      </c>
      <c r="BM268" s="18">
        <v>2</v>
      </c>
      <c r="BN268" s="18">
        <v>3.0588235294117645</v>
      </c>
      <c r="BO268" s="18"/>
      <c r="BP268" s="18">
        <v>105</v>
      </c>
      <c r="BQ268" s="18">
        <v>25.941176470588236</v>
      </c>
      <c r="BR268" s="18">
        <v>1.3254049099314469</v>
      </c>
      <c r="BS268" s="18">
        <v>1.3090256928953412</v>
      </c>
      <c r="BT268" s="19"/>
      <c r="BU268" s="18">
        <v>980</v>
      </c>
      <c r="BV268" s="18">
        <v>690.66117647058832</v>
      </c>
      <c r="BW268" s="18">
        <v>72.799843199999998</v>
      </c>
      <c r="BX268" s="18">
        <v>641</v>
      </c>
      <c r="BY268" s="18">
        <v>33</v>
      </c>
      <c r="BZ268" s="18">
        <v>31.712629150588235</v>
      </c>
      <c r="CA268" s="18">
        <v>126.84972379058824</v>
      </c>
      <c r="CB268" s="19"/>
      <c r="CC268" s="19">
        <v>0.44</v>
      </c>
      <c r="CD268" s="19">
        <v>3</v>
      </c>
      <c r="CE268" s="19">
        <v>8.5000000000000006E-2</v>
      </c>
      <c r="CF268" s="19">
        <v>0</v>
      </c>
      <c r="CG268" s="19">
        <v>2.6350015499990902</v>
      </c>
      <c r="CH268" s="19">
        <v>0.51000029999982399</v>
      </c>
      <c r="CI268" s="19">
        <v>0.51000029999982399</v>
      </c>
      <c r="CJ268" s="19"/>
      <c r="CK268" s="19">
        <v>10.200005999996499</v>
      </c>
      <c r="CL268" s="19">
        <v>1.7000009999994199</v>
      </c>
      <c r="CM268" s="19">
        <v>11.900006999995901</v>
      </c>
      <c r="CN268" s="19">
        <v>15.725009249994498</v>
      </c>
      <c r="CO268" s="19">
        <v>0</v>
      </c>
      <c r="CP268" s="19">
        <v>0</v>
      </c>
      <c r="CQ268" s="19">
        <v>75.764411999999993</v>
      </c>
      <c r="CR268" s="19">
        <v>67.250846654515115</v>
      </c>
      <c r="CS268" s="19">
        <v>2.1353488829741645</v>
      </c>
      <c r="CT268" s="19">
        <v>1.1933662738843709</v>
      </c>
      <c r="CU268" s="19">
        <v>1.5377578596021431</v>
      </c>
      <c r="CV268" s="19">
        <v>2.7311241334865137</v>
      </c>
      <c r="CW268" s="19">
        <v>2.012481586136365</v>
      </c>
      <c r="CX268" s="19">
        <v>0.75482350285027777</v>
      </c>
      <c r="CY268" s="19">
        <v>2.2822247320676254</v>
      </c>
      <c r="CZ268" s="19">
        <v>4.3606793987720698</v>
      </c>
      <c r="DA268" s="19">
        <v>1.5377578596021431</v>
      </c>
      <c r="DB268" s="19">
        <v>3.1080651289850714</v>
      </c>
      <c r="DC268" s="19">
        <v>1.8830237063264235</v>
      </c>
      <c r="DD268" s="19">
        <v>4.9910888353114853</v>
      </c>
      <c r="DE268" s="19">
        <v>2.9789435034084022</v>
      </c>
      <c r="DF268" s="23">
        <v>0</v>
      </c>
      <c r="DG268" s="23">
        <v>0</v>
      </c>
      <c r="DH268" s="23">
        <v>0</v>
      </c>
      <c r="DI268" s="19">
        <v>0</v>
      </c>
      <c r="DJ268" s="19">
        <v>0</v>
      </c>
      <c r="DK268" s="19">
        <v>0</v>
      </c>
      <c r="DL268" s="19">
        <v>0</v>
      </c>
      <c r="DM268" s="19">
        <v>0</v>
      </c>
      <c r="DN268" s="19">
        <v>0</v>
      </c>
      <c r="DO268" s="19">
        <v>0</v>
      </c>
      <c r="DP268" s="19">
        <v>0</v>
      </c>
      <c r="DQ268" s="19">
        <v>0</v>
      </c>
      <c r="DR268" s="19">
        <v>0</v>
      </c>
      <c r="DS268" s="19">
        <v>0</v>
      </c>
      <c r="DT268" s="19">
        <v>0</v>
      </c>
      <c r="DU268" s="19">
        <v>0</v>
      </c>
      <c r="DV268" s="19">
        <v>0</v>
      </c>
      <c r="DW268" s="17" t="s">
        <v>723</v>
      </c>
      <c r="DX268" s="22" t="s">
        <v>218</v>
      </c>
      <c r="DY268" s="22">
        <v>24</v>
      </c>
      <c r="DZ268" s="22">
        <v>12</v>
      </c>
      <c r="EA268" s="22">
        <v>12</v>
      </c>
      <c r="EB268" s="22" t="s">
        <v>218</v>
      </c>
      <c r="EC268" s="22">
        <v>12</v>
      </c>
      <c r="ED268" s="22">
        <v>16</v>
      </c>
      <c r="EE268" s="22" t="s">
        <v>218</v>
      </c>
      <c r="EF268" s="22">
        <v>12</v>
      </c>
      <c r="EG268" s="22">
        <v>12</v>
      </c>
      <c r="EH268" s="22" t="s">
        <v>218</v>
      </c>
      <c r="EI268" s="22" t="s">
        <v>218</v>
      </c>
      <c r="EJ268" s="22" t="s">
        <v>218</v>
      </c>
      <c r="EK268" s="22" t="s">
        <v>218</v>
      </c>
      <c r="EL268" s="22" t="s">
        <v>218</v>
      </c>
      <c r="EM268" s="22" t="s">
        <v>218</v>
      </c>
      <c r="EN268" s="22" t="s">
        <v>218</v>
      </c>
      <c r="EO268" s="22" t="s">
        <v>218</v>
      </c>
      <c r="EP268" s="22" t="s">
        <v>218</v>
      </c>
      <c r="EQ268" s="22" t="s">
        <v>218</v>
      </c>
      <c r="ER268" s="22" t="s">
        <v>218</v>
      </c>
      <c r="ES268" s="22">
        <v>12</v>
      </c>
      <c r="ET268" s="22">
        <v>24</v>
      </c>
      <c r="EU268" s="22" t="s">
        <v>218</v>
      </c>
      <c r="EV268" s="22" t="s">
        <v>218</v>
      </c>
      <c r="EW268" s="22" t="s">
        <v>218</v>
      </c>
      <c r="EX268" s="22" t="s">
        <v>218</v>
      </c>
      <c r="EY268" s="22" t="s">
        <v>218</v>
      </c>
      <c r="EZ268" s="22" t="s">
        <v>218</v>
      </c>
      <c r="FA268" s="22" t="s">
        <v>218</v>
      </c>
      <c r="FB268" s="22" t="s">
        <v>218</v>
      </c>
      <c r="FC268" s="22" t="s">
        <v>218</v>
      </c>
      <c r="FD268" s="22" t="s">
        <v>218</v>
      </c>
      <c r="FE268" s="22" t="s">
        <v>218</v>
      </c>
      <c r="FF268" s="22" t="s">
        <v>218</v>
      </c>
      <c r="FG268" s="22">
        <v>0.98</v>
      </c>
      <c r="FH268" s="22">
        <v>0.39</v>
      </c>
      <c r="FI268" s="22">
        <v>0.15</v>
      </c>
      <c r="FJ268" s="22" t="s">
        <v>218</v>
      </c>
      <c r="FK268" s="22">
        <v>1.1100000000000001</v>
      </c>
      <c r="FL268" s="22">
        <v>1.27</v>
      </c>
      <c r="FM268" s="22" t="s">
        <v>218</v>
      </c>
      <c r="FN268" s="22">
        <v>2.31</v>
      </c>
      <c r="FO268" s="22">
        <v>1.89</v>
      </c>
      <c r="FP268" s="22" t="s">
        <v>218</v>
      </c>
      <c r="FQ268" s="22" t="s">
        <v>218</v>
      </c>
      <c r="FR268" s="22" t="s">
        <v>218</v>
      </c>
      <c r="FS268" s="22" t="s">
        <v>218</v>
      </c>
      <c r="FT268" s="22" t="s">
        <v>218</v>
      </c>
      <c r="FU268" s="22" t="s">
        <v>218</v>
      </c>
      <c r="FV268" s="22" t="s">
        <v>218</v>
      </c>
      <c r="FW268" s="22" t="s">
        <v>218</v>
      </c>
      <c r="FX268" s="22" t="s">
        <v>218</v>
      </c>
      <c r="FY268" s="22" t="s">
        <v>218</v>
      </c>
      <c r="FZ268" s="22" t="s">
        <v>218</v>
      </c>
      <c r="GA268" s="22">
        <v>7.0000000000000007E-2</v>
      </c>
      <c r="GB268" s="22">
        <v>0.32</v>
      </c>
      <c r="GC268" s="22" t="s">
        <v>218</v>
      </c>
      <c r="GD268" s="22" t="s">
        <v>218</v>
      </c>
      <c r="GE268" s="22" t="s">
        <v>218</v>
      </c>
      <c r="GF268" s="22" t="s">
        <v>218</v>
      </c>
      <c r="GG268" s="22" t="s">
        <v>218</v>
      </c>
      <c r="GH268" s="22" t="s">
        <v>218</v>
      </c>
      <c r="GI268" s="22" t="s">
        <v>218</v>
      </c>
      <c r="GJ268" s="22" t="s">
        <v>218</v>
      </c>
      <c r="GK268" s="22" t="s">
        <v>218</v>
      </c>
      <c r="GL268" s="22" t="s">
        <v>218</v>
      </c>
      <c r="GM268" s="22" t="s">
        <v>218</v>
      </c>
      <c r="GN268" s="22" t="s">
        <v>218</v>
      </c>
      <c r="GO268" s="22" t="s">
        <v>238</v>
      </c>
      <c r="GP268" s="22" t="s">
        <v>238</v>
      </c>
      <c r="GQ268" s="22" t="s">
        <v>238</v>
      </c>
      <c r="GR268" s="22" t="s">
        <v>218</v>
      </c>
      <c r="GS268" s="22" t="s">
        <v>238</v>
      </c>
      <c r="GT268" s="22" t="s">
        <v>238</v>
      </c>
      <c r="GU268" s="22" t="s">
        <v>218</v>
      </c>
      <c r="GV268" s="22" t="s">
        <v>238</v>
      </c>
      <c r="GW268" s="22" t="s">
        <v>238</v>
      </c>
      <c r="GX268" s="22" t="s">
        <v>218</v>
      </c>
      <c r="GY268" s="22" t="s">
        <v>218</v>
      </c>
      <c r="GZ268" s="22" t="s">
        <v>218</v>
      </c>
      <c r="HA268" s="22" t="s">
        <v>218</v>
      </c>
      <c r="HB268" s="22" t="s">
        <v>218</v>
      </c>
      <c r="HC268" s="22" t="s">
        <v>218</v>
      </c>
      <c r="HD268" s="22" t="s">
        <v>218</v>
      </c>
      <c r="HE268" s="22" t="s">
        <v>218</v>
      </c>
      <c r="HF268" s="22" t="s">
        <v>218</v>
      </c>
      <c r="HG268" s="22" t="s">
        <v>218</v>
      </c>
      <c r="HH268" s="22" t="s">
        <v>218</v>
      </c>
      <c r="HI268" s="22" t="s">
        <v>238</v>
      </c>
      <c r="HJ268" s="22" t="s">
        <v>238</v>
      </c>
      <c r="HK268" s="22" t="s">
        <v>218</v>
      </c>
      <c r="HL268" s="22" t="s">
        <v>218</v>
      </c>
      <c r="HM268" s="622">
        <f>'background data'!$G$10</f>
        <v>0.47300000000000003</v>
      </c>
      <c r="HN268" s="622">
        <f>'background data'!$H$10</f>
        <v>0.13</v>
      </c>
      <c r="HO268" s="622">
        <f>'background data'!$J$10</f>
        <v>0.39100000000000001</v>
      </c>
      <c r="HP268" s="622">
        <f>'background data'!$L$10</f>
        <v>5.5E-2</v>
      </c>
      <c r="HQ268" s="622">
        <f>'background data'!$M$10</f>
        <v>3.97</v>
      </c>
      <c r="HR268" s="622">
        <f>'background data'!$N$10</f>
        <v>4.5999999999999999E-3</v>
      </c>
      <c r="HS268" s="622">
        <f>'background data'!$O$10</f>
        <v>2.73</v>
      </c>
      <c r="HT268" s="145" t="s">
        <v>1797</v>
      </c>
      <c r="HU268" s="145" t="s">
        <v>1809</v>
      </c>
      <c r="HV268" s="22" t="s">
        <v>818</v>
      </c>
      <c r="HW268" s="22" t="s">
        <v>724</v>
      </c>
      <c r="HX268" s="22" t="s">
        <v>725</v>
      </c>
      <c r="HY268" s="22" t="s">
        <v>726</v>
      </c>
      <c r="HZ268" s="19"/>
      <c r="IA268" s="19"/>
      <c r="IB268" s="622">
        <f>'background data'!$G$10</f>
        <v>0.47300000000000003</v>
      </c>
      <c r="IC268" s="622">
        <f>'background data'!$H$10</f>
        <v>0.13</v>
      </c>
      <c r="ID268" s="622">
        <f>'background data'!$J$10</f>
        <v>0.39100000000000001</v>
      </c>
      <c r="IE268" s="622">
        <f>'background data'!$L$10</f>
        <v>5.5E-2</v>
      </c>
      <c r="IF268" s="622">
        <f>'background data'!$M$10</f>
        <v>3.97</v>
      </c>
      <c r="IG268" s="622">
        <f>'background data'!$N$10</f>
        <v>4.5999999999999999E-3</v>
      </c>
      <c r="IH268" s="622">
        <f>'background data'!$O$10</f>
        <v>2.73</v>
      </c>
      <c r="II268" s="145" t="s">
        <v>1797</v>
      </c>
      <c r="IJ268" s="145" t="s">
        <v>818</v>
      </c>
      <c r="IK268" s="145"/>
      <c r="IL268" s="145"/>
      <c r="IM268" s="145"/>
      <c r="IN268" s="145"/>
      <c r="IO268" s="145"/>
      <c r="IP268" s="145"/>
      <c r="IQ268" s="145"/>
      <c r="IR268" s="145"/>
      <c r="IS268" s="145"/>
      <c r="IT268" s="145"/>
      <c r="IU268" s="145"/>
      <c r="IV268" s="145"/>
      <c r="IW268" s="145"/>
      <c r="IX268" s="145"/>
      <c r="IY268" s="145"/>
      <c r="IZ268" s="145"/>
      <c r="JA268" s="145"/>
      <c r="JB268" s="145"/>
      <c r="JC268" s="145"/>
      <c r="JD268" s="145"/>
      <c r="JE268" s="145"/>
      <c r="JF268" s="145"/>
      <c r="JG268" s="145"/>
      <c r="JH268" s="145"/>
      <c r="JI268" s="145"/>
      <c r="JJ268" s="145"/>
      <c r="JK268" s="145"/>
      <c r="JL268" s="145"/>
      <c r="JM268" s="145"/>
      <c r="JN268" s="145"/>
      <c r="JO268" s="145"/>
      <c r="JP268" s="145"/>
      <c r="JQ268" s="145"/>
      <c r="JR268" s="145"/>
      <c r="JS268" s="145"/>
      <c r="JT268" s="145"/>
      <c r="JU268" s="145"/>
      <c r="JV268" s="145"/>
      <c r="JW268" s="145"/>
      <c r="JX268" s="145"/>
      <c r="JY268" s="145"/>
      <c r="JZ268" s="145"/>
      <c r="KA268" s="145"/>
      <c r="KB268" s="145"/>
      <c r="KC268" s="145"/>
      <c r="KD268" s="145"/>
      <c r="KE268" s="145"/>
      <c r="KF268" s="145"/>
      <c r="KG268" s="145"/>
      <c r="KH268" s="145"/>
      <c r="KI268" s="145"/>
      <c r="KJ268" s="145"/>
      <c r="KK268" s="145"/>
      <c r="KL268" s="145"/>
      <c r="KM268" s="145"/>
      <c r="KN268" s="145"/>
      <c r="KO268" s="145"/>
      <c r="KP268" s="145"/>
      <c r="KQ268" s="145"/>
      <c r="KR268" s="145"/>
      <c r="KS268" s="145"/>
      <c r="KT268" s="145"/>
      <c r="KU268" s="145"/>
      <c r="KV268" s="145"/>
      <c r="KW268" s="145"/>
      <c r="KX268" s="145"/>
      <c r="KY268" s="145"/>
      <c r="KZ268" s="145"/>
      <c r="LA268" s="145"/>
      <c r="LB268" s="145"/>
      <c r="LC268" s="145"/>
      <c r="LD268" s="145"/>
      <c r="LE268" s="145"/>
      <c r="LF268" s="145"/>
      <c r="LG268" s="145"/>
      <c r="LH268" s="145"/>
      <c r="LI268" s="145"/>
      <c r="LJ268" s="145"/>
      <c r="LK268" s="145"/>
      <c r="LL268" s="145"/>
      <c r="LM268" s="145"/>
      <c r="LN268" s="145"/>
      <c r="LO268" s="145"/>
      <c r="LP268" s="145"/>
      <c r="LQ268" s="145"/>
      <c r="LR268" s="145"/>
      <c r="LS268" s="145"/>
      <c r="LT268" s="145"/>
      <c r="LU268" s="145"/>
      <c r="LV268" s="145"/>
      <c r="LW268" s="145"/>
      <c r="LX268" s="145"/>
      <c r="LY268" s="145"/>
      <c r="LZ268" s="145"/>
      <c r="MA268" s="145"/>
      <c r="MB268" s="145"/>
      <c r="MC268" s="145"/>
      <c r="MD268" s="145"/>
      <c r="ME268" s="145"/>
      <c r="MF268" s="145"/>
      <c r="MG268" s="145"/>
      <c r="MH268" s="145"/>
      <c r="MI268" s="145"/>
      <c r="MJ268" s="145"/>
      <c r="MK268" s="145"/>
      <c r="ML268" s="145"/>
      <c r="MM268" s="145"/>
      <c r="MN268" s="145"/>
      <c r="MO268" s="145"/>
      <c r="MP268" s="145"/>
      <c r="MQ268" s="145"/>
      <c r="MR268" s="145"/>
      <c r="MS268" s="145"/>
      <c r="MT268" s="145"/>
      <c r="MU268" s="145"/>
      <c r="MV268" s="145"/>
      <c r="MW268" s="145"/>
      <c r="MX268" s="145"/>
      <c r="MY268" s="145"/>
      <c r="MZ268" s="145"/>
      <c r="NA268" s="145"/>
      <c r="NB268" s="145"/>
      <c r="NC268" s="145"/>
      <c r="ND268" s="145"/>
      <c r="NE268" s="145"/>
      <c r="NF268" s="145"/>
      <c r="NG268" s="145"/>
      <c r="NH268" s="145"/>
      <c r="NI268" s="145"/>
      <c r="NJ268" s="145"/>
      <c r="NK268" s="145"/>
      <c r="NL268" s="145"/>
      <c r="NM268" s="145"/>
      <c r="NN268" s="145"/>
      <c r="NO268" s="145"/>
      <c r="NP268" s="145"/>
      <c r="NQ268" s="145"/>
      <c r="NR268" s="145"/>
      <c r="NS268" s="145"/>
    </row>
    <row r="269" spans="1:383" s="16" customFormat="1" ht="15" customHeight="1" x14ac:dyDescent="0.2">
      <c r="A269" s="15">
        <v>56001</v>
      </c>
      <c r="B269" s="25">
        <v>560</v>
      </c>
      <c r="C269" s="26">
        <v>1</v>
      </c>
      <c r="D269" s="20" t="s">
        <v>727</v>
      </c>
      <c r="E269" s="14">
        <v>42678</v>
      </c>
      <c r="F269" s="18">
        <v>1.1362689701897</v>
      </c>
      <c r="G269" s="18">
        <v>1.1194718389610401</v>
      </c>
      <c r="H269" s="21">
        <v>90.4</v>
      </c>
      <c r="I269" s="21">
        <v>85.999960799999997</v>
      </c>
      <c r="J269" s="21">
        <v>93</v>
      </c>
      <c r="K269" s="18">
        <v>1</v>
      </c>
      <c r="L269" s="18">
        <v>85</v>
      </c>
      <c r="M269" s="18">
        <v>9.1999999999999904</v>
      </c>
      <c r="N269" s="18">
        <v>2.1</v>
      </c>
      <c r="O269" s="18">
        <v>1.7</v>
      </c>
      <c r="P269" s="18">
        <v>2.6</v>
      </c>
      <c r="Q269" s="19"/>
      <c r="R269" s="18">
        <v>83.035578260869599</v>
      </c>
      <c r="S269" s="18">
        <v>50</v>
      </c>
      <c r="T269" s="18">
        <v>54</v>
      </c>
      <c r="U269" s="18">
        <v>55</v>
      </c>
      <c r="V269" s="18">
        <v>56</v>
      </c>
      <c r="W269" s="18">
        <v>57</v>
      </c>
      <c r="X269" s="18"/>
      <c r="Y269" s="18">
        <v>0.51764705882352946</v>
      </c>
      <c r="Z269" s="18">
        <v>3.5294117647058822</v>
      </c>
      <c r="AA269" s="18">
        <v>0.1</v>
      </c>
      <c r="AB269" s="18">
        <v>0</v>
      </c>
      <c r="AC269" s="18">
        <v>3.1000018235283413</v>
      </c>
      <c r="AD269" s="18">
        <v>0.60000035294096943</v>
      </c>
      <c r="AE269" s="18">
        <v>0.60000035294096943</v>
      </c>
      <c r="AF269" s="18">
        <v>12.000007058819412</v>
      </c>
      <c r="AG269" s="18">
        <v>2.0000011764699059</v>
      </c>
      <c r="AH269" s="18">
        <v>14.000008235289295</v>
      </c>
      <c r="AI269" s="18">
        <v>18.500010882346469</v>
      </c>
      <c r="AJ269" s="18">
        <v>0</v>
      </c>
      <c r="AK269" s="18">
        <v>0</v>
      </c>
      <c r="AL269" s="18"/>
      <c r="AM269" s="18">
        <v>3.24</v>
      </c>
      <c r="AN269" s="18">
        <v>1.69</v>
      </c>
      <c r="AO269" s="18">
        <v>2.2200000000000002</v>
      </c>
      <c r="AP269" s="18">
        <v>3.15</v>
      </c>
      <c r="AQ269" s="18">
        <v>1.22</v>
      </c>
      <c r="AR269" s="18">
        <v>3.36</v>
      </c>
      <c r="AS269" s="18">
        <v>6.42</v>
      </c>
      <c r="AT269" s="18">
        <v>2.2200000000000002</v>
      </c>
      <c r="AU269" s="18">
        <v>4.3600000000000003</v>
      </c>
      <c r="AV269" s="18">
        <v>2.8</v>
      </c>
      <c r="AW269" s="18">
        <v>4.5199999999999996</v>
      </c>
      <c r="AX269" s="18"/>
      <c r="AY269" s="18">
        <v>0.98</v>
      </c>
      <c r="AZ269" s="18">
        <v>1.05</v>
      </c>
      <c r="BA269" s="18">
        <v>1.03</v>
      </c>
      <c r="BB269" s="18">
        <v>0.95</v>
      </c>
      <c r="BC269" s="18">
        <v>0.92</v>
      </c>
      <c r="BD269" s="18">
        <v>1.01</v>
      </c>
      <c r="BE269" s="18">
        <v>1.01</v>
      </c>
      <c r="BF269" s="18">
        <v>1.03</v>
      </c>
      <c r="BG269" s="18">
        <v>1.06</v>
      </c>
      <c r="BH269" s="18">
        <v>1</v>
      </c>
      <c r="BI269" s="18">
        <v>0.98</v>
      </c>
      <c r="BJ269" s="19"/>
      <c r="BK269" s="18">
        <v>10.823529411764696</v>
      </c>
      <c r="BL269" s="18">
        <v>2.4705882352941178</v>
      </c>
      <c r="BM269" s="18">
        <v>2</v>
      </c>
      <c r="BN269" s="18">
        <v>3.0588235294117645</v>
      </c>
      <c r="BO269" s="18"/>
      <c r="BP269" s="18">
        <v>105</v>
      </c>
      <c r="BQ269" s="18">
        <v>25.941176470588236</v>
      </c>
      <c r="BR269" s="18">
        <v>1.3367870237525883</v>
      </c>
      <c r="BS269" s="18">
        <v>1.3170256928953412</v>
      </c>
      <c r="BT269" s="19"/>
      <c r="BU269" s="18">
        <v>980</v>
      </c>
      <c r="BV269" s="18">
        <v>701.86117647058825</v>
      </c>
      <c r="BW269" s="18">
        <v>61.600548799999885</v>
      </c>
      <c r="BX269" s="18">
        <v>641</v>
      </c>
      <c r="BY269" s="18">
        <v>33</v>
      </c>
      <c r="BZ269" s="18">
        <v>29.472617950588237</v>
      </c>
      <c r="CA269" s="18">
        <v>117.88973499058824</v>
      </c>
      <c r="CB269" s="19"/>
      <c r="CC269" s="19">
        <v>0.44</v>
      </c>
      <c r="CD269" s="19">
        <v>3</v>
      </c>
      <c r="CE269" s="19">
        <v>8.5000000000000006E-2</v>
      </c>
      <c r="CF269" s="19">
        <v>0</v>
      </c>
      <c r="CG269" s="19">
        <v>2.6350015499990902</v>
      </c>
      <c r="CH269" s="19">
        <v>0.51000029999982399</v>
      </c>
      <c r="CI269" s="19">
        <v>0.51000029999982399</v>
      </c>
      <c r="CJ269" s="19"/>
      <c r="CK269" s="19">
        <v>10.200005999996499</v>
      </c>
      <c r="CL269" s="19">
        <v>1.7000009999994199</v>
      </c>
      <c r="CM269" s="19">
        <v>11.900006999995901</v>
      </c>
      <c r="CN269" s="19">
        <v>15.725009249994498</v>
      </c>
      <c r="CO269" s="19">
        <v>0</v>
      </c>
      <c r="CP269" s="19">
        <v>0</v>
      </c>
      <c r="CQ269" s="19">
        <v>76.392731999999896</v>
      </c>
      <c r="CR269" s="19">
        <v>67.23120493842768</v>
      </c>
      <c r="CS269" s="19">
        <v>2.1347252192049586</v>
      </c>
      <c r="CT269" s="19">
        <v>1.1930177316324009</v>
      </c>
      <c r="CU269" s="19">
        <v>1.5373087321220895</v>
      </c>
      <c r="CV269" s="19">
        <v>2.7303264637544817</v>
      </c>
      <c r="CW269" s="19">
        <v>2.0118938077824509</v>
      </c>
      <c r="CX269" s="19">
        <v>0.75460304422891245</v>
      </c>
      <c r="CY269" s="19">
        <v>2.2815581707904848</v>
      </c>
      <c r="CZ269" s="19">
        <v>4.359405790617525</v>
      </c>
      <c r="DA269" s="19">
        <v>1.5373087321220895</v>
      </c>
      <c r="DB269" s="19">
        <v>3.107157367434378</v>
      </c>
      <c r="DC269" s="19">
        <v>1.8824737382759775</v>
      </c>
      <c r="DD269" s="19">
        <v>4.9896311057103562</v>
      </c>
      <c r="DE269" s="19">
        <v>2.978073453952597</v>
      </c>
      <c r="DF269" s="23">
        <v>0</v>
      </c>
      <c r="DG269" s="23">
        <v>0</v>
      </c>
      <c r="DH269" s="23">
        <v>0</v>
      </c>
      <c r="DI269" s="19">
        <v>0</v>
      </c>
      <c r="DJ269" s="19">
        <v>0</v>
      </c>
      <c r="DK269" s="19">
        <v>0</v>
      </c>
      <c r="DL269" s="19">
        <v>0</v>
      </c>
      <c r="DM269" s="19">
        <v>0</v>
      </c>
      <c r="DN269" s="19">
        <v>0</v>
      </c>
      <c r="DO269" s="19">
        <v>0</v>
      </c>
      <c r="DP269" s="19">
        <v>0</v>
      </c>
      <c r="DQ269" s="19">
        <v>0</v>
      </c>
      <c r="DR269" s="19">
        <v>0</v>
      </c>
      <c r="DS269" s="19">
        <v>0</v>
      </c>
      <c r="DT269" s="19">
        <v>0</v>
      </c>
      <c r="DU269" s="19">
        <v>0</v>
      </c>
      <c r="DV269" s="19">
        <v>0</v>
      </c>
      <c r="DW269" s="17" t="s">
        <v>723</v>
      </c>
      <c r="DX269" s="22" t="s">
        <v>218</v>
      </c>
      <c r="DY269" s="22">
        <v>24</v>
      </c>
      <c r="DZ269" s="22">
        <v>12</v>
      </c>
      <c r="EA269" s="22">
        <v>12</v>
      </c>
      <c r="EB269" s="22" t="s">
        <v>218</v>
      </c>
      <c r="EC269" s="22">
        <v>12</v>
      </c>
      <c r="ED269" s="22">
        <v>16</v>
      </c>
      <c r="EE269" s="22" t="s">
        <v>218</v>
      </c>
      <c r="EF269" s="22">
        <v>12</v>
      </c>
      <c r="EG269" s="22">
        <v>12</v>
      </c>
      <c r="EH269" s="22" t="s">
        <v>218</v>
      </c>
      <c r="EI269" s="22" t="s">
        <v>218</v>
      </c>
      <c r="EJ269" s="22" t="s">
        <v>218</v>
      </c>
      <c r="EK269" s="22" t="s">
        <v>218</v>
      </c>
      <c r="EL269" s="22" t="s">
        <v>218</v>
      </c>
      <c r="EM269" s="22" t="s">
        <v>218</v>
      </c>
      <c r="EN269" s="22" t="s">
        <v>218</v>
      </c>
      <c r="EO269" s="22" t="s">
        <v>218</v>
      </c>
      <c r="EP269" s="22" t="s">
        <v>218</v>
      </c>
      <c r="EQ269" s="22" t="s">
        <v>218</v>
      </c>
      <c r="ER269" s="22" t="s">
        <v>218</v>
      </c>
      <c r="ES269" s="22">
        <v>12</v>
      </c>
      <c r="ET269" s="22">
        <v>24</v>
      </c>
      <c r="EU269" s="22" t="s">
        <v>218</v>
      </c>
      <c r="EV269" s="22" t="s">
        <v>218</v>
      </c>
      <c r="EW269" s="22" t="s">
        <v>218</v>
      </c>
      <c r="EX269" s="22" t="s">
        <v>218</v>
      </c>
      <c r="EY269" s="22" t="s">
        <v>218</v>
      </c>
      <c r="EZ269" s="22" t="s">
        <v>218</v>
      </c>
      <c r="FA269" s="22" t="s">
        <v>218</v>
      </c>
      <c r="FB269" s="22" t="s">
        <v>218</v>
      </c>
      <c r="FC269" s="22" t="s">
        <v>218</v>
      </c>
      <c r="FD269" s="22" t="s">
        <v>218</v>
      </c>
      <c r="FE269" s="22" t="s">
        <v>218</v>
      </c>
      <c r="FF269" s="22" t="s">
        <v>218</v>
      </c>
      <c r="FG269" s="22">
        <v>0.98</v>
      </c>
      <c r="FH269" s="22">
        <v>0.39</v>
      </c>
      <c r="FI269" s="22">
        <v>0.15</v>
      </c>
      <c r="FJ269" s="22" t="s">
        <v>218</v>
      </c>
      <c r="FK269" s="22">
        <v>1.1100000000000001</v>
      </c>
      <c r="FL269" s="22">
        <v>1.27</v>
      </c>
      <c r="FM269" s="22" t="s">
        <v>218</v>
      </c>
      <c r="FN269" s="22">
        <v>2.31</v>
      </c>
      <c r="FO269" s="22">
        <v>1.89</v>
      </c>
      <c r="FP269" s="22" t="s">
        <v>218</v>
      </c>
      <c r="FQ269" s="22" t="s">
        <v>218</v>
      </c>
      <c r="FR269" s="22" t="s">
        <v>218</v>
      </c>
      <c r="FS269" s="22" t="s">
        <v>218</v>
      </c>
      <c r="FT269" s="22" t="s">
        <v>218</v>
      </c>
      <c r="FU269" s="22" t="s">
        <v>218</v>
      </c>
      <c r="FV269" s="22" t="s">
        <v>218</v>
      </c>
      <c r="FW269" s="22" t="s">
        <v>218</v>
      </c>
      <c r="FX269" s="22" t="s">
        <v>218</v>
      </c>
      <c r="FY269" s="22" t="s">
        <v>218</v>
      </c>
      <c r="FZ269" s="22" t="s">
        <v>218</v>
      </c>
      <c r="GA269" s="22">
        <v>7.0000000000000007E-2</v>
      </c>
      <c r="GB269" s="22">
        <v>0.32</v>
      </c>
      <c r="GC269" s="22" t="s">
        <v>218</v>
      </c>
      <c r="GD269" s="22" t="s">
        <v>218</v>
      </c>
      <c r="GE269" s="22" t="s">
        <v>218</v>
      </c>
      <c r="GF269" s="22" t="s">
        <v>218</v>
      </c>
      <c r="GG269" s="22" t="s">
        <v>218</v>
      </c>
      <c r="GH269" s="22" t="s">
        <v>218</v>
      </c>
      <c r="GI269" s="22" t="s">
        <v>218</v>
      </c>
      <c r="GJ269" s="22" t="s">
        <v>218</v>
      </c>
      <c r="GK269" s="22" t="s">
        <v>218</v>
      </c>
      <c r="GL269" s="22" t="s">
        <v>218</v>
      </c>
      <c r="GM269" s="22" t="s">
        <v>218</v>
      </c>
      <c r="GN269" s="22" t="s">
        <v>218</v>
      </c>
      <c r="GO269" s="22" t="s">
        <v>238</v>
      </c>
      <c r="GP269" s="22" t="s">
        <v>238</v>
      </c>
      <c r="GQ269" s="22" t="s">
        <v>238</v>
      </c>
      <c r="GR269" s="22" t="s">
        <v>218</v>
      </c>
      <c r="GS269" s="22" t="s">
        <v>238</v>
      </c>
      <c r="GT269" s="22" t="s">
        <v>238</v>
      </c>
      <c r="GU269" s="22" t="s">
        <v>218</v>
      </c>
      <c r="GV269" s="22" t="s">
        <v>238</v>
      </c>
      <c r="GW269" s="22" t="s">
        <v>238</v>
      </c>
      <c r="GX269" s="22" t="s">
        <v>218</v>
      </c>
      <c r="GY269" s="22" t="s">
        <v>218</v>
      </c>
      <c r="GZ269" s="22" t="s">
        <v>218</v>
      </c>
      <c r="HA269" s="22" t="s">
        <v>218</v>
      </c>
      <c r="HB269" s="22" t="s">
        <v>218</v>
      </c>
      <c r="HC269" s="22" t="s">
        <v>218</v>
      </c>
      <c r="HD269" s="22" t="s">
        <v>218</v>
      </c>
      <c r="HE269" s="22" t="s">
        <v>218</v>
      </c>
      <c r="HF269" s="22" t="s">
        <v>218</v>
      </c>
      <c r="HG269" s="22" t="s">
        <v>218</v>
      </c>
      <c r="HH269" s="22" t="s">
        <v>218</v>
      </c>
      <c r="HI269" s="22" t="s">
        <v>238</v>
      </c>
      <c r="HJ269" s="22" t="s">
        <v>238</v>
      </c>
      <c r="HK269" s="22" t="s">
        <v>218</v>
      </c>
      <c r="HL269" s="22" t="s">
        <v>218</v>
      </c>
      <c r="HM269" s="622">
        <f>'background data'!$G$10</f>
        <v>0.47300000000000003</v>
      </c>
      <c r="HN269" s="622">
        <f>'background data'!$H$10</f>
        <v>0.13</v>
      </c>
      <c r="HO269" s="622">
        <f>'background data'!$J$10</f>
        <v>0.39100000000000001</v>
      </c>
      <c r="HP269" s="622">
        <f>'background data'!$L$10</f>
        <v>5.5E-2</v>
      </c>
      <c r="HQ269" s="622">
        <f>'background data'!$M$10</f>
        <v>3.97</v>
      </c>
      <c r="HR269" s="622">
        <f>'background data'!$N$10</f>
        <v>4.5999999999999999E-3</v>
      </c>
      <c r="HS269" s="622">
        <f>'background data'!$O$10</f>
        <v>2.73</v>
      </c>
      <c r="HT269" s="145" t="s">
        <v>1797</v>
      </c>
      <c r="HU269" s="145" t="s">
        <v>1809</v>
      </c>
      <c r="HV269" s="22" t="s">
        <v>818</v>
      </c>
      <c r="HW269" s="22" t="s">
        <v>724</v>
      </c>
      <c r="HX269" s="22" t="s">
        <v>725</v>
      </c>
      <c r="HY269" s="22" t="s">
        <v>726</v>
      </c>
      <c r="HZ269" s="19"/>
      <c r="IA269" s="19"/>
      <c r="IB269" s="622">
        <f>'background data'!$G$10</f>
        <v>0.47300000000000003</v>
      </c>
      <c r="IC269" s="622">
        <f>'background data'!$H$10</f>
        <v>0.13</v>
      </c>
      <c r="ID269" s="622">
        <f>'background data'!$J$10</f>
        <v>0.39100000000000001</v>
      </c>
      <c r="IE269" s="622">
        <f>'background data'!$L$10</f>
        <v>5.5E-2</v>
      </c>
      <c r="IF269" s="622">
        <f>'background data'!$M$10</f>
        <v>3.97</v>
      </c>
      <c r="IG269" s="622">
        <f>'background data'!$N$10</f>
        <v>4.5999999999999999E-3</v>
      </c>
      <c r="IH269" s="622">
        <f>'background data'!$O$10</f>
        <v>2.73</v>
      </c>
      <c r="II269" s="145" t="s">
        <v>1797</v>
      </c>
      <c r="IJ269" s="145" t="s">
        <v>818</v>
      </c>
      <c r="IK269" s="145"/>
      <c r="IL269" s="145"/>
      <c r="IM269" s="145"/>
      <c r="IN269" s="145"/>
      <c r="IO269" s="145"/>
      <c r="IP269" s="145"/>
      <c r="IQ269" s="145"/>
      <c r="IR269" s="145"/>
      <c r="IS269" s="145"/>
      <c r="IT269" s="145"/>
      <c r="IU269" s="145"/>
      <c r="IV269" s="145"/>
      <c r="IW269" s="145"/>
      <c r="IX269" s="145"/>
      <c r="IY269" s="145"/>
      <c r="IZ269" s="145"/>
      <c r="JA269" s="145"/>
      <c r="JB269" s="145"/>
      <c r="JC269" s="145"/>
      <c r="JD269" s="145"/>
      <c r="JE269" s="145"/>
      <c r="JF269" s="145"/>
      <c r="JG269" s="145"/>
      <c r="JH269" s="145"/>
      <c r="JI269" s="145"/>
      <c r="JJ269" s="145"/>
      <c r="JK269" s="145"/>
      <c r="JL269" s="145"/>
      <c r="JM269" s="145"/>
      <c r="JN269" s="145"/>
      <c r="JO269" s="145"/>
      <c r="JP269" s="145"/>
      <c r="JQ269" s="145"/>
      <c r="JR269" s="145"/>
      <c r="JS269" s="145"/>
      <c r="JT269" s="145"/>
      <c r="JU269" s="145"/>
      <c r="JV269" s="145"/>
      <c r="JW269" s="145"/>
      <c r="JX269" s="145"/>
      <c r="JY269" s="145"/>
      <c r="JZ269" s="145"/>
      <c r="KA269" s="145"/>
      <c r="KB269" s="145"/>
      <c r="KC269" s="145"/>
      <c r="KD269" s="145"/>
      <c r="KE269" s="145"/>
      <c r="KF269" s="145"/>
      <c r="KG269" s="145"/>
      <c r="KH269" s="145"/>
      <c r="KI269" s="145"/>
      <c r="KJ269" s="145"/>
      <c r="KK269" s="145"/>
      <c r="KL269" s="145"/>
      <c r="KM269" s="145"/>
      <c r="KN269" s="145"/>
      <c r="KO269" s="145"/>
      <c r="KP269" s="145"/>
      <c r="KQ269" s="145"/>
      <c r="KR269" s="145"/>
      <c r="KS269" s="145"/>
      <c r="KT269" s="145"/>
      <c r="KU269" s="145"/>
      <c r="KV269" s="145"/>
      <c r="KW269" s="145"/>
      <c r="KX269" s="145"/>
      <c r="KY269" s="145"/>
      <c r="KZ269" s="145"/>
      <c r="LA269" s="145"/>
      <c r="LB269" s="145"/>
      <c r="LC269" s="145"/>
      <c r="LD269" s="145"/>
      <c r="LE269" s="145"/>
      <c r="LF269" s="145"/>
      <c r="LG269" s="145"/>
      <c r="LH269" s="145"/>
      <c r="LI269" s="145"/>
      <c r="LJ269" s="145"/>
      <c r="LK269" s="145"/>
      <c r="LL269" s="145"/>
      <c r="LM269" s="145"/>
      <c r="LN269" s="145"/>
      <c r="LO269" s="145"/>
      <c r="LP269" s="145"/>
      <c r="LQ269" s="145"/>
      <c r="LR269" s="145"/>
      <c r="LS269" s="145"/>
      <c r="LT269" s="145"/>
      <c r="LU269" s="145"/>
      <c r="LV269" s="145"/>
      <c r="LW269" s="145"/>
      <c r="LX269" s="145"/>
      <c r="LY269" s="145"/>
      <c r="LZ269" s="145"/>
      <c r="MA269" s="145"/>
      <c r="MB269" s="145"/>
      <c r="MC269" s="145"/>
      <c r="MD269" s="145"/>
      <c r="ME269" s="145"/>
      <c r="MF269" s="145"/>
      <c r="MG269" s="145"/>
      <c r="MH269" s="145"/>
      <c r="MI269" s="145"/>
      <c r="MJ269" s="145"/>
      <c r="MK269" s="145"/>
      <c r="ML269" s="145"/>
      <c r="MM269" s="145"/>
      <c r="MN269" s="145"/>
      <c r="MO269" s="145"/>
      <c r="MP269" s="145"/>
      <c r="MQ269" s="145"/>
      <c r="MR269" s="145"/>
      <c r="MS269" s="145"/>
      <c r="MT269" s="145"/>
      <c r="MU269" s="145"/>
      <c r="MV269" s="145"/>
      <c r="MW269" s="145"/>
      <c r="MX269" s="145"/>
      <c r="MY269" s="145"/>
      <c r="MZ269" s="145"/>
      <c r="NA269" s="145"/>
      <c r="NB269" s="145"/>
      <c r="NC269" s="145"/>
      <c r="ND269" s="145"/>
      <c r="NE269" s="145"/>
      <c r="NF269" s="145"/>
      <c r="NG269" s="145"/>
      <c r="NH269" s="145"/>
      <c r="NI269" s="145"/>
      <c r="NJ269" s="145"/>
      <c r="NK269" s="145"/>
      <c r="NL269" s="145"/>
      <c r="NM269" s="145"/>
      <c r="NN269" s="145"/>
      <c r="NO269" s="145"/>
      <c r="NP269" s="145"/>
      <c r="NQ269" s="145"/>
      <c r="NR269" s="145"/>
      <c r="NS269" s="145"/>
    </row>
    <row r="270" spans="1:383" s="16" customFormat="1" ht="15" customHeight="1" x14ac:dyDescent="0.2">
      <c r="A270" s="15">
        <v>56010</v>
      </c>
      <c r="B270" s="25">
        <v>560</v>
      </c>
      <c r="C270" s="26">
        <v>10</v>
      </c>
      <c r="D270" s="20" t="s">
        <v>728</v>
      </c>
      <c r="E270" s="14">
        <v>42678</v>
      </c>
      <c r="F270" s="18">
        <v>1.12659417344173</v>
      </c>
      <c r="G270" s="18">
        <v>1.1126718389610399</v>
      </c>
      <c r="H270" s="21">
        <v>90.4</v>
      </c>
      <c r="I270" s="21">
        <v>85.200011200000006</v>
      </c>
      <c r="J270" s="21">
        <v>93</v>
      </c>
      <c r="K270" s="18">
        <v>1</v>
      </c>
      <c r="L270" s="18">
        <v>85</v>
      </c>
      <c r="M270" s="18">
        <v>9.1999999999999904</v>
      </c>
      <c r="N270" s="18">
        <v>2.1</v>
      </c>
      <c r="O270" s="18">
        <v>1.7</v>
      </c>
      <c r="P270" s="18">
        <v>2.6</v>
      </c>
      <c r="Q270" s="19"/>
      <c r="R270" s="18">
        <v>82.352621739130399</v>
      </c>
      <c r="S270" s="18">
        <v>28</v>
      </c>
      <c r="T270" s="18">
        <v>42</v>
      </c>
      <c r="U270" s="18">
        <v>48</v>
      </c>
      <c r="V270" s="18">
        <v>53</v>
      </c>
      <c r="W270" s="18">
        <v>56</v>
      </c>
      <c r="X270" s="18"/>
      <c r="Y270" s="18">
        <v>0.51764705882352946</v>
      </c>
      <c r="Z270" s="18">
        <v>3.5294117647058822</v>
      </c>
      <c r="AA270" s="18">
        <v>0.1</v>
      </c>
      <c r="AB270" s="18">
        <v>0</v>
      </c>
      <c r="AC270" s="18">
        <v>6.2</v>
      </c>
      <c r="AD270" s="18">
        <v>1.2</v>
      </c>
      <c r="AE270" s="18">
        <v>1.2</v>
      </c>
      <c r="AF270" s="18">
        <v>23.999999999999996</v>
      </c>
      <c r="AG270" s="18">
        <v>4</v>
      </c>
      <c r="AH270" s="18">
        <v>28</v>
      </c>
      <c r="AI270" s="18">
        <v>37</v>
      </c>
      <c r="AJ270" s="18">
        <v>0</v>
      </c>
      <c r="AK270" s="18">
        <v>0</v>
      </c>
      <c r="AL270" s="18"/>
      <c r="AM270" s="18">
        <v>3.24</v>
      </c>
      <c r="AN270" s="18">
        <v>1.69</v>
      </c>
      <c r="AO270" s="18">
        <v>2.2200000000000002</v>
      </c>
      <c r="AP270" s="18">
        <v>3.15</v>
      </c>
      <c r="AQ270" s="18">
        <v>1.22</v>
      </c>
      <c r="AR270" s="18">
        <v>3.36</v>
      </c>
      <c r="AS270" s="18">
        <v>6.42</v>
      </c>
      <c r="AT270" s="18">
        <v>2.2200000000000002</v>
      </c>
      <c r="AU270" s="18">
        <v>4.3600000000000003</v>
      </c>
      <c r="AV270" s="18">
        <v>2.8</v>
      </c>
      <c r="AW270" s="18">
        <v>4.5199999999999996</v>
      </c>
      <c r="AX270" s="18"/>
      <c r="AY270" s="18">
        <v>0.98</v>
      </c>
      <c r="AZ270" s="18">
        <v>1.05</v>
      </c>
      <c r="BA270" s="18">
        <v>1.03</v>
      </c>
      <c r="BB270" s="18">
        <v>0.95</v>
      </c>
      <c r="BC270" s="18">
        <v>0.92</v>
      </c>
      <c r="BD270" s="18">
        <v>1.01</v>
      </c>
      <c r="BE270" s="18">
        <v>1.01</v>
      </c>
      <c r="BF270" s="18">
        <v>1.03</v>
      </c>
      <c r="BG270" s="18">
        <v>1.06</v>
      </c>
      <c r="BH270" s="18">
        <v>1</v>
      </c>
      <c r="BI270" s="18">
        <v>0.98</v>
      </c>
      <c r="BJ270" s="19"/>
      <c r="BK270" s="18">
        <v>10.823529411764696</v>
      </c>
      <c r="BL270" s="18">
        <v>2.4705882352941178</v>
      </c>
      <c r="BM270" s="18">
        <v>2</v>
      </c>
      <c r="BN270" s="18">
        <v>3.0588235294117645</v>
      </c>
      <c r="BO270" s="18"/>
      <c r="BP270" s="18">
        <v>105</v>
      </c>
      <c r="BQ270" s="18">
        <v>25.941176470588236</v>
      </c>
      <c r="BR270" s="18">
        <v>1.3254049099314469</v>
      </c>
      <c r="BS270" s="18">
        <v>1.3090256928953412</v>
      </c>
      <c r="BT270" s="19"/>
      <c r="BU270" s="18">
        <v>980</v>
      </c>
      <c r="BV270" s="18">
        <v>690.66117647058832</v>
      </c>
      <c r="BW270" s="18">
        <v>72.799843199999998</v>
      </c>
      <c r="BX270" s="18">
        <v>641</v>
      </c>
      <c r="BY270" s="18">
        <v>33</v>
      </c>
      <c r="BZ270" s="18">
        <v>31.712470588235295</v>
      </c>
      <c r="CA270" s="18">
        <v>126.84988235294118</v>
      </c>
      <c r="CB270" s="19"/>
      <c r="CC270" s="19">
        <v>0.44</v>
      </c>
      <c r="CD270" s="19">
        <v>3</v>
      </c>
      <c r="CE270" s="19">
        <v>8.5000000000000006E-2</v>
      </c>
      <c r="CF270" s="19">
        <v>0</v>
      </c>
      <c r="CG270" s="19">
        <v>5.27</v>
      </c>
      <c r="CH270" s="19">
        <v>1.02</v>
      </c>
      <c r="CI270" s="19">
        <v>1.02</v>
      </c>
      <c r="CJ270" s="19"/>
      <c r="CK270" s="19">
        <v>20.399999999999995</v>
      </c>
      <c r="CL270" s="19">
        <v>3.4</v>
      </c>
      <c r="CM270" s="19">
        <v>23.8</v>
      </c>
      <c r="CN270" s="19">
        <v>31.45</v>
      </c>
      <c r="CO270" s="19">
        <v>0</v>
      </c>
      <c r="CP270" s="19">
        <v>0</v>
      </c>
      <c r="CQ270" s="19">
        <v>75.764411999999993</v>
      </c>
      <c r="CR270" s="19">
        <v>67.250846654515115</v>
      </c>
      <c r="CS270" s="19">
        <v>2.1353488829741645</v>
      </c>
      <c r="CT270" s="19">
        <v>1.1933662738843709</v>
      </c>
      <c r="CU270" s="19">
        <v>1.5377578596021431</v>
      </c>
      <c r="CV270" s="19">
        <v>2.7311241334865137</v>
      </c>
      <c r="CW270" s="19">
        <v>2.012481586136365</v>
      </c>
      <c r="CX270" s="19">
        <v>0.75482350285027777</v>
      </c>
      <c r="CY270" s="19">
        <v>2.2822247320676254</v>
      </c>
      <c r="CZ270" s="19">
        <v>4.3606793987720698</v>
      </c>
      <c r="DA270" s="19">
        <v>1.5377578596021431</v>
      </c>
      <c r="DB270" s="19">
        <v>3.1080651289850714</v>
      </c>
      <c r="DC270" s="19">
        <v>1.8830237063264235</v>
      </c>
      <c r="DD270" s="19">
        <v>4.9910888353114853</v>
      </c>
      <c r="DE270" s="19">
        <v>2.9789435034084022</v>
      </c>
      <c r="DF270" s="23">
        <v>0</v>
      </c>
      <c r="DG270" s="23">
        <v>0</v>
      </c>
      <c r="DH270" s="23">
        <v>0</v>
      </c>
      <c r="DI270" s="19">
        <v>0</v>
      </c>
      <c r="DJ270" s="19">
        <v>0</v>
      </c>
      <c r="DK270" s="19">
        <v>0</v>
      </c>
      <c r="DL270" s="19">
        <v>0</v>
      </c>
      <c r="DM270" s="19">
        <v>0</v>
      </c>
      <c r="DN270" s="19">
        <v>0</v>
      </c>
      <c r="DO270" s="19">
        <v>0</v>
      </c>
      <c r="DP270" s="19">
        <v>0</v>
      </c>
      <c r="DQ270" s="19">
        <v>0</v>
      </c>
      <c r="DR270" s="19">
        <v>0</v>
      </c>
      <c r="DS270" s="19">
        <v>0</v>
      </c>
      <c r="DT270" s="19">
        <v>0</v>
      </c>
      <c r="DU270" s="19">
        <v>0</v>
      </c>
      <c r="DV270" s="19">
        <v>0</v>
      </c>
      <c r="DW270" s="17" t="s">
        <v>723</v>
      </c>
      <c r="DX270" s="22" t="s">
        <v>218</v>
      </c>
      <c r="DY270" s="22">
        <v>24</v>
      </c>
      <c r="DZ270" s="22">
        <v>12</v>
      </c>
      <c r="EA270" s="22">
        <v>12</v>
      </c>
      <c r="EB270" s="22" t="s">
        <v>218</v>
      </c>
      <c r="EC270" s="22">
        <v>12</v>
      </c>
      <c r="ED270" s="22">
        <v>16</v>
      </c>
      <c r="EE270" s="22" t="s">
        <v>218</v>
      </c>
      <c r="EF270" s="22">
        <v>12</v>
      </c>
      <c r="EG270" s="22">
        <v>12</v>
      </c>
      <c r="EH270" s="22" t="s">
        <v>218</v>
      </c>
      <c r="EI270" s="22" t="s">
        <v>218</v>
      </c>
      <c r="EJ270" s="22" t="s">
        <v>218</v>
      </c>
      <c r="EK270" s="22" t="s">
        <v>218</v>
      </c>
      <c r="EL270" s="22" t="s">
        <v>218</v>
      </c>
      <c r="EM270" s="22" t="s">
        <v>218</v>
      </c>
      <c r="EN270" s="22" t="s">
        <v>218</v>
      </c>
      <c r="EO270" s="22" t="s">
        <v>218</v>
      </c>
      <c r="EP270" s="22" t="s">
        <v>218</v>
      </c>
      <c r="EQ270" s="22" t="s">
        <v>218</v>
      </c>
      <c r="ER270" s="22" t="s">
        <v>218</v>
      </c>
      <c r="ES270" s="22">
        <v>12</v>
      </c>
      <c r="ET270" s="22">
        <v>24</v>
      </c>
      <c r="EU270" s="22" t="s">
        <v>218</v>
      </c>
      <c r="EV270" s="22" t="s">
        <v>218</v>
      </c>
      <c r="EW270" s="22" t="s">
        <v>218</v>
      </c>
      <c r="EX270" s="22" t="s">
        <v>218</v>
      </c>
      <c r="EY270" s="22" t="s">
        <v>218</v>
      </c>
      <c r="EZ270" s="22" t="s">
        <v>218</v>
      </c>
      <c r="FA270" s="22" t="s">
        <v>218</v>
      </c>
      <c r="FB270" s="22" t="s">
        <v>218</v>
      </c>
      <c r="FC270" s="22" t="s">
        <v>218</v>
      </c>
      <c r="FD270" s="22" t="s">
        <v>218</v>
      </c>
      <c r="FE270" s="22" t="s">
        <v>218</v>
      </c>
      <c r="FF270" s="22" t="s">
        <v>218</v>
      </c>
      <c r="FG270" s="22">
        <v>0.98</v>
      </c>
      <c r="FH270" s="22">
        <v>0.39</v>
      </c>
      <c r="FI270" s="22">
        <v>0.15</v>
      </c>
      <c r="FJ270" s="22" t="s">
        <v>218</v>
      </c>
      <c r="FK270" s="22">
        <v>1.1100000000000001</v>
      </c>
      <c r="FL270" s="22">
        <v>1.27</v>
      </c>
      <c r="FM270" s="22" t="s">
        <v>218</v>
      </c>
      <c r="FN270" s="22">
        <v>2.31</v>
      </c>
      <c r="FO270" s="22">
        <v>1.89</v>
      </c>
      <c r="FP270" s="22" t="s">
        <v>218</v>
      </c>
      <c r="FQ270" s="22" t="s">
        <v>218</v>
      </c>
      <c r="FR270" s="22" t="s">
        <v>218</v>
      </c>
      <c r="FS270" s="22" t="s">
        <v>218</v>
      </c>
      <c r="FT270" s="22" t="s">
        <v>218</v>
      </c>
      <c r="FU270" s="22" t="s">
        <v>218</v>
      </c>
      <c r="FV270" s="22" t="s">
        <v>218</v>
      </c>
      <c r="FW270" s="22" t="s">
        <v>218</v>
      </c>
      <c r="FX270" s="22" t="s">
        <v>218</v>
      </c>
      <c r="FY270" s="22" t="s">
        <v>218</v>
      </c>
      <c r="FZ270" s="22" t="s">
        <v>218</v>
      </c>
      <c r="GA270" s="22">
        <v>7.0000000000000007E-2</v>
      </c>
      <c r="GB270" s="22">
        <v>0.32</v>
      </c>
      <c r="GC270" s="22" t="s">
        <v>218</v>
      </c>
      <c r="GD270" s="22" t="s">
        <v>218</v>
      </c>
      <c r="GE270" s="22" t="s">
        <v>218</v>
      </c>
      <c r="GF270" s="22" t="s">
        <v>218</v>
      </c>
      <c r="GG270" s="22" t="s">
        <v>218</v>
      </c>
      <c r="GH270" s="22" t="s">
        <v>218</v>
      </c>
      <c r="GI270" s="22" t="s">
        <v>218</v>
      </c>
      <c r="GJ270" s="22" t="s">
        <v>218</v>
      </c>
      <c r="GK270" s="22" t="s">
        <v>218</v>
      </c>
      <c r="GL270" s="22" t="s">
        <v>218</v>
      </c>
      <c r="GM270" s="22" t="s">
        <v>218</v>
      </c>
      <c r="GN270" s="22" t="s">
        <v>218</v>
      </c>
      <c r="GO270" s="22" t="s">
        <v>238</v>
      </c>
      <c r="GP270" s="22" t="s">
        <v>238</v>
      </c>
      <c r="GQ270" s="22" t="s">
        <v>238</v>
      </c>
      <c r="GR270" s="22" t="s">
        <v>218</v>
      </c>
      <c r="GS270" s="22" t="s">
        <v>238</v>
      </c>
      <c r="GT270" s="22" t="s">
        <v>238</v>
      </c>
      <c r="GU270" s="22" t="s">
        <v>218</v>
      </c>
      <c r="GV270" s="22" t="s">
        <v>238</v>
      </c>
      <c r="GW270" s="22" t="s">
        <v>238</v>
      </c>
      <c r="GX270" s="22" t="s">
        <v>218</v>
      </c>
      <c r="GY270" s="22" t="s">
        <v>218</v>
      </c>
      <c r="GZ270" s="22" t="s">
        <v>218</v>
      </c>
      <c r="HA270" s="22" t="s">
        <v>218</v>
      </c>
      <c r="HB270" s="22" t="s">
        <v>218</v>
      </c>
      <c r="HC270" s="22" t="s">
        <v>218</v>
      </c>
      <c r="HD270" s="22" t="s">
        <v>218</v>
      </c>
      <c r="HE270" s="22" t="s">
        <v>218</v>
      </c>
      <c r="HF270" s="22" t="s">
        <v>218</v>
      </c>
      <c r="HG270" s="22" t="s">
        <v>218</v>
      </c>
      <c r="HH270" s="22" t="s">
        <v>218</v>
      </c>
      <c r="HI270" s="22" t="s">
        <v>238</v>
      </c>
      <c r="HJ270" s="22" t="s">
        <v>238</v>
      </c>
      <c r="HK270" s="22" t="s">
        <v>218</v>
      </c>
      <c r="HL270" s="22" t="s">
        <v>218</v>
      </c>
      <c r="HM270" s="622">
        <f>'background data'!$G$10</f>
        <v>0.47300000000000003</v>
      </c>
      <c r="HN270" s="622">
        <f>'background data'!$H$10</f>
        <v>0.13</v>
      </c>
      <c r="HO270" s="622">
        <f>'background data'!$J$10</f>
        <v>0.39100000000000001</v>
      </c>
      <c r="HP270" s="622">
        <f>'background data'!$L$10</f>
        <v>5.5E-2</v>
      </c>
      <c r="HQ270" s="622">
        <f>'background data'!$M$10</f>
        <v>3.97</v>
      </c>
      <c r="HR270" s="622">
        <f>'background data'!$N$10</f>
        <v>4.5999999999999999E-3</v>
      </c>
      <c r="HS270" s="622">
        <f>'background data'!$O$10</f>
        <v>2.73</v>
      </c>
      <c r="HT270" s="145" t="s">
        <v>1797</v>
      </c>
      <c r="HU270" s="145" t="s">
        <v>1809</v>
      </c>
      <c r="HV270" s="22" t="s">
        <v>818</v>
      </c>
      <c r="HW270" s="22" t="s">
        <v>729</v>
      </c>
      <c r="HX270" s="22" t="s">
        <v>725</v>
      </c>
      <c r="HY270" s="22" t="s">
        <v>726</v>
      </c>
      <c r="HZ270" s="19"/>
      <c r="IA270" s="19"/>
      <c r="IB270" s="622">
        <f>'background data'!$G$10</f>
        <v>0.47300000000000003</v>
      </c>
      <c r="IC270" s="622">
        <f>'background data'!$H$10</f>
        <v>0.13</v>
      </c>
      <c r="ID270" s="622">
        <f>'background data'!$J$10</f>
        <v>0.39100000000000001</v>
      </c>
      <c r="IE270" s="622">
        <f>'background data'!$L$10</f>
        <v>5.5E-2</v>
      </c>
      <c r="IF270" s="622">
        <f>'background data'!$M$10</f>
        <v>3.97</v>
      </c>
      <c r="IG270" s="622">
        <f>'background data'!$N$10</f>
        <v>4.5999999999999999E-3</v>
      </c>
      <c r="IH270" s="622">
        <f>'background data'!$O$10</f>
        <v>2.73</v>
      </c>
      <c r="II270" s="145" t="s">
        <v>1797</v>
      </c>
      <c r="IJ270" s="145" t="s">
        <v>818</v>
      </c>
      <c r="IK270" s="145"/>
      <c r="IL270" s="145"/>
      <c r="IM270" s="145"/>
      <c r="IN270" s="145"/>
      <c r="IO270" s="145"/>
      <c r="IP270" s="145"/>
      <c r="IQ270" s="145"/>
      <c r="IR270" s="145"/>
      <c r="IS270" s="145"/>
      <c r="IT270" s="145"/>
      <c r="IU270" s="145"/>
      <c r="IV270" s="145"/>
      <c r="IW270" s="145"/>
      <c r="IX270" s="145"/>
      <c r="IY270" s="145"/>
      <c r="IZ270" s="145"/>
      <c r="JA270" s="145"/>
      <c r="JB270" s="145"/>
      <c r="JC270" s="145"/>
      <c r="JD270" s="145"/>
      <c r="JE270" s="145"/>
      <c r="JF270" s="145"/>
      <c r="JG270" s="145"/>
      <c r="JH270" s="145"/>
      <c r="JI270" s="145"/>
      <c r="JJ270" s="145"/>
      <c r="JK270" s="145"/>
      <c r="JL270" s="145"/>
      <c r="JM270" s="145"/>
      <c r="JN270" s="145"/>
      <c r="JO270" s="145"/>
      <c r="JP270" s="145"/>
      <c r="JQ270" s="145"/>
      <c r="JR270" s="145"/>
      <c r="JS270" s="145"/>
      <c r="JT270" s="145"/>
      <c r="JU270" s="145"/>
      <c r="JV270" s="145"/>
      <c r="JW270" s="145"/>
      <c r="JX270" s="145"/>
      <c r="JY270" s="145"/>
      <c r="JZ270" s="145"/>
      <c r="KA270" s="145"/>
      <c r="KB270" s="145"/>
      <c r="KC270" s="145"/>
      <c r="KD270" s="145"/>
      <c r="KE270" s="145"/>
      <c r="KF270" s="145"/>
      <c r="KG270" s="145"/>
      <c r="KH270" s="145"/>
      <c r="KI270" s="145"/>
      <c r="KJ270" s="145"/>
      <c r="KK270" s="145"/>
      <c r="KL270" s="145"/>
      <c r="KM270" s="145"/>
      <c r="KN270" s="145"/>
      <c r="KO270" s="145"/>
      <c r="KP270" s="145"/>
      <c r="KQ270" s="145"/>
      <c r="KR270" s="145"/>
      <c r="KS270" s="145"/>
      <c r="KT270" s="145"/>
      <c r="KU270" s="145"/>
      <c r="KV270" s="145"/>
      <c r="KW270" s="145"/>
      <c r="KX270" s="145"/>
      <c r="KY270" s="145"/>
      <c r="KZ270" s="145"/>
      <c r="LA270" s="145"/>
      <c r="LB270" s="145"/>
      <c r="LC270" s="145"/>
      <c r="LD270" s="145"/>
      <c r="LE270" s="145"/>
      <c r="LF270" s="145"/>
      <c r="LG270" s="145"/>
      <c r="LH270" s="145"/>
      <c r="LI270" s="145"/>
      <c r="LJ270" s="145"/>
      <c r="LK270" s="145"/>
      <c r="LL270" s="145"/>
      <c r="LM270" s="145"/>
      <c r="LN270" s="145"/>
      <c r="LO270" s="145"/>
      <c r="LP270" s="145"/>
      <c r="LQ270" s="145"/>
      <c r="LR270" s="145"/>
      <c r="LS270" s="145"/>
      <c r="LT270" s="145"/>
      <c r="LU270" s="145"/>
      <c r="LV270" s="145"/>
      <c r="LW270" s="145"/>
      <c r="LX270" s="145"/>
      <c r="LY270" s="145"/>
      <c r="LZ270" s="145"/>
      <c r="MA270" s="145"/>
      <c r="MB270" s="145"/>
      <c r="MC270" s="145"/>
      <c r="MD270" s="145"/>
      <c r="ME270" s="145"/>
      <c r="MF270" s="145"/>
      <c r="MG270" s="145"/>
      <c r="MH270" s="145"/>
      <c r="MI270" s="145"/>
      <c r="MJ270" s="145"/>
      <c r="MK270" s="145"/>
      <c r="ML270" s="145"/>
      <c r="MM270" s="145"/>
      <c r="MN270" s="145"/>
      <c r="MO270" s="145"/>
      <c r="MP270" s="145"/>
      <c r="MQ270" s="145"/>
      <c r="MR270" s="145"/>
      <c r="MS270" s="145"/>
      <c r="MT270" s="145"/>
      <c r="MU270" s="145"/>
      <c r="MV270" s="145"/>
      <c r="MW270" s="145"/>
      <c r="MX270" s="145"/>
      <c r="MY270" s="145"/>
      <c r="MZ270" s="145"/>
      <c r="NA270" s="145"/>
      <c r="NB270" s="145"/>
      <c r="NC270" s="145"/>
      <c r="ND270" s="145"/>
      <c r="NE270" s="145"/>
      <c r="NF270" s="145"/>
      <c r="NG270" s="145"/>
      <c r="NH270" s="145"/>
      <c r="NI270" s="145"/>
      <c r="NJ270" s="145"/>
      <c r="NK270" s="145"/>
      <c r="NL270" s="145"/>
      <c r="NM270" s="145"/>
      <c r="NN270" s="145"/>
      <c r="NO270" s="145"/>
      <c r="NP270" s="145"/>
      <c r="NQ270" s="145"/>
      <c r="NR270" s="145"/>
      <c r="NS270" s="145"/>
    </row>
    <row r="271" spans="1:383" s="16" customFormat="1" ht="15" customHeight="1" x14ac:dyDescent="0.2">
      <c r="A271" s="15">
        <v>56011</v>
      </c>
      <c r="B271" s="25">
        <v>560</v>
      </c>
      <c r="C271" s="26">
        <v>11</v>
      </c>
      <c r="D271" s="20" t="s">
        <v>730</v>
      </c>
      <c r="E271" s="14">
        <v>42678</v>
      </c>
      <c r="F271" s="18">
        <v>1.1362689701897</v>
      </c>
      <c r="G271" s="18">
        <v>1.1194718389610401</v>
      </c>
      <c r="H271" s="21">
        <v>90.4</v>
      </c>
      <c r="I271" s="21">
        <v>85.999960799999997</v>
      </c>
      <c r="J271" s="21">
        <v>93</v>
      </c>
      <c r="K271" s="18">
        <v>1</v>
      </c>
      <c r="L271" s="18">
        <v>85</v>
      </c>
      <c r="M271" s="18">
        <v>9.1999999999999904</v>
      </c>
      <c r="N271" s="18">
        <v>2.1</v>
      </c>
      <c r="O271" s="18">
        <v>1.7</v>
      </c>
      <c r="P271" s="18">
        <v>2.6</v>
      </c>
      <c r="Q271" s="19"/>
      <c r="R271" s="18">
        <v>83.035578260869599</v>
      </c>
      <c r="S271" s="18">
        <v>28</v>
      </c>
      <c r="T271" s="18">
        <v>42</v>
      </c>
      <c r="U271" s="18">
        <v>48</v>
      </c>
      <c r="V271" s="18">
        <v>53</v>
      </c>
      <c r="W271" s="18">
        <v>56</v>
      </c>
      <c r="X271" s="18"/>
      <c r="Y271" s="18">
        <v>0.51764705882352946</v>
      </c>
      <c r="Z271" s="18">
        <v>3.5294117647058822</v>
      </c>
      <c r="AA271" s="18">
        <v>0.1</v>
      </c>
      <c r="AB271" s="18">
        <v>0</v>
      </c>
      <c r="AC271" s="18">
        <v>6.2</v>
      </c>
      <c r="AD271" s="18">
        <v>1.2</v>
      </c>
      <c r="AE271" s="18">
        <v>1.2</v>
      </c>
      <c r="AF271" s="18">
        <v>23.999999999999996</v>
      </c>
      <c r="AG271" s="18">
        <v>4</v>
      </c>
      <c r="AH271" s="18">
        <v>28</v>
      </c>
      <c r="AI271" s="18">
        <v>37</v>
      </c>
      <c r="AJ271" s="18">
        <v>0</v>
      </c>
      <c r="AK271" s="18">
        <v>0</v>
      </c>
      <c r="AL271" s="18"/>
      <c r="AM271" s="18">
        <v>3.24</v>
      </c>
      <c r="AN271" s="18">
        <v>1.69</v>
      </c>
      <c r="AO271" s="18">
        <v>2.2200000000000002</v>
      </c>
      <c r="AP271" s="18">
        <v>3.15</v>
      </c>
      <c r="AQ271" s="18">
        <v>1.22</v>
      </c>
      <c r="AR271" s="18">
        <v>3.36</v>
      </c>
      <c r="AS271" s="18">
        <v>6.42</v>
      </c>
      <c r="AT271" s="18">
        <v>2.2200000000000002</v>
      </c>
      <c r="AU271" s="18">
        <v>4.3600000000000003</v>
      </c>
      <c r="AV271" s="18">
        <v>2.8</v>
      </c>
      <c r="AW271" s="18">
        <v>4.5199999999999996</v>
      </c>
      <c r="AX271" s="18"/>
      <c r="AY271" s="18">
        <v>0.98</v>
      </c>
      <c r="AZ271" s="18">
        <v>1.05</v>
      </c>
      <c r="BA271" s="18">
        <v>1.03</v>
      </c>
      <c r="BB271" s="18">
        <v>0.95</v>
      </c>
      <c r="BC271" s="18">
        <v>0.92</v>
      </c>
      <c r="BD271" s="18">
        <v>1.01</v>
      </c>
      <c r="BE271" s="18">
        <v>1.01</v>
      </c>
      <c r="BF271" s="18">
        <v>1.03</v>
      </c>
      <c r="BG271" s="18">
        <v>1.06</v>
      </c>
      <c r="BH271" s="18">
        <v>1</v>
      </c>
      <c r="BI271" s="18">
        <v>0.98</v>
      </c>
      <c r="BJ271" s="19"/>
      <c r="BK271" s="18">
        <v>10.823529411764696</v>
      </c>
      <c r="BL271" s="18">
        <v>2.4705882352941178</v>
      </c>
      <c r="BM271" s="18">
        <v>2</v>
      </c>
      <c r="BN271" s="18">
        <v>3.0588235294117645</v>
      </c>
      <c r="BO271" s="18"/>
      <c r="BP271" s="18">
        <v>105</v>
      </c>
      <c r="BQ271" s="18">
        <v>25.941176470588236</v>
      </c>
      <c r="BR271" s="18">
        <v>1.3367870237525883</v>
      </c>
      <c r="BS271" s="18">
        <v>1.3170256928953412</v>
      </c>
      <c r="BT271" s="19"/>
      <c r="BU271" s="18">
        <v>980</v>
      </c>
      <c r="BV271" s="18">
        <v>701.86117647058825</v>
      </c>
      <c r="BW271" s="18">
        <v>61.600548799999885</v>
      </c>
      <c r="BX271" s="18">
        <v>641</v>
      </c>
      <c r="BY271" s="18">
        <v>33</v>
      </c>
      <c r="BZ271" s="18">
        <v>29.472470588235293</v>
      </c>
      <c r="CA271" s="18">
        <v>117.88988235294117</v>
      </c>
      <c r="CB271" s="19"/>
      <c r="CC271" s="19">
        <v>0.44</v>
      </c>
      <c r="CD271" s="19">
        <v>3</v>
      </c>
      <c r="CE271" s="19">
        <v>8.5000000000000006E-2</v>
      </c>
      <c r="CF271" s="19">
        <v>0</v>
      </c>
      <c r="CG271" s="19">
        <v>5.27</v>
      </c>
      <c r="CH271" s="19">
        <v>1.02</v>
      </c>
      <c r="CI271" s="19">
        <v>1.02</v>
      </c>
      <c r="CJ271" s="19"/>
      <c r="CK271" s="19">
        <v>20.399999999999995</v>
      </c>
      <c r="CL271" s="19">
        <v>3.4</v>
      </c>
      <c r="CM271" s="19">
        <v>23.8</v>
      </c>
      <c r="CN271" s="19">
        <v>31.45</v>
      </c>
      <c r="CO271" s="19">
        <v>0</v>
      </c>
      <c r="CP271" s="19">
        <v>0</v>
      </c>
      <c r="CQ271" s="19">
        <v>76.392731999999896</v>
      </c>
      <c r="CR271" s="19">
        <v>67.23120493842768</v>
      </c>
      <c r="CS271" s="19">
        <v>2.1347252192049586</v>
      </c>
      <c r="CT271" s="19">
        <v>1.1930177316324009</v>
      </c>
      <c r="CU271" s="19">
        <v>1.5373087321220895</v>
      </c>
      <c r="CV271" s="19">
        <v>2.7303264637544817</v>
      </c>
      <c r="CW271" s="19">
        <v>2.0118938077824509</v>
      </c>
      <c r="CX271" s="19">
        <v>0.75460304422891245</v>
      </c>
      <c r="CY271" s="19">
        <v>2.2815581707904848</v>
      </c>
      <c r="CZ271" s="19">
        <v>4.359405790617525</v>
      </c>
      <c r="DA271" s="19">
        <v>1.5373087321220895</v>
      </c>
      <c r="DB271" s="19">
        <v>3.107157367434378</v>
      </c>
      <c r="DC271" s="19">
        <v>1.8824737382759775</v>
      </c>
      <c r="DD271" s="19">
        <v>4.9896311057103562</v>
      </c>
      <c r="DE271" s="19">
        <v>2.978073453952597</v>
      </c>
      <c r="DF271" s="23">
        <v>0</v>
      </c>
      <c r="DG271" s="23">
        <v>0</v>
      </c>
      <c r="DH271" s="23">
        <v>0</v>
      </c>
      <c r="DI271" s="19">
        <v>0</v>
      </c>
      <c r="DJ271" s="19">
        <v>0</v>
      </c>
      <c r="DK271" s="19">
        <v>0</v>
      </c>
      <c r="DL271" s="19">
        <v>0</v>
      </c>
      <c r="DM271" s="19">
        <v>0</v>
      </c>
      <c r="DN271" s="19">
        <v>0</v>
      </c>
      <c r="DO271" s="19">
        <v>0</v>
      </c>
      <c r="DP271" s="19">
        <v>0</v>
      </c>
      <c r="DQ271" s="19">
        <v>0</v>
      </c>
      <c r="DR271" s="19">
        <v>0</v>
      </c>
      <c r="DS271" s="19">
        <v>0</v>
      </c>
      <c r="DT271" s="19">
        <v>0</v>
      </c>
      <c r="DU271" s="19">
        <v>0</v>
      </c>
      <c r="DV271" s="19">
        <v>0</v>
      </c>
      <c r="DW271" s="17" t="s">
        <v>723</v>
      </c>
      <c r="DX271" s="22" t="s">
        <v>218</v>
      </c>
      <c r="DY271" s="22">
        <v>24</v>
      </c>
      <c r="DZ271" s="22">
        <v>12</v>
      </c>
      <c r="EA271" s="22">
        <v>12</v>
      </c>
      <c r="EB271" s="22" t="s">
        <v>218</v>
      </c>
      <c r="EC271" s="22">
        <v>12</v>
      </c>
      <c r="ED271" s="22">
        <v>16</v>
      </c>
      <c r="EE271" s="22" t="s">
        <v>218</v>
      </c>
      <c r="EF271" s="22">
        <v>12</v>
      </c>
      <c r="EG271" s="22">
        <v>12</v>
      </c>
      <c r="EH271" s="22" t="s">
        <v>218</v>
      </c>
      <c r="EI271" s="22" t="s">
        <v>218</v>
      </c>
      <c r="EJ271" s="22" t="s">
        <v>218</v>
      </c>
      <c r="EK271" s="22" t="s">
        <v>218</v>
      </c>
      <c r="EL271" s="22" t="s">
        <v>218</v>
      </c>
      <c r="EM271" s="22" t="s">
        <v>218</v>
      </c>
      <c r="EN271" s="22" t="s">
        <v>218</v>
      </c>
      <c r="EO271" s="22" t="s">
        <v>218</v>
      </c>
      <c r="EP271" s="22" t="s">
        <v>218</v>
      </c>
      <c r="EQ271" s="22" t="s">
        <v>218</v>
      </c>
      <c r="ER271" s="22" t="s">
        <v>218</v>
      </c>
      <c r="ES271" s="22">
        <v>12</v>
      </c>
      <c r="ET271" s="22">
        <v>24</v>
      </c>
      <c r="EU271" s="22" t="s">
        <v>218</v>
      </c>
      <c r="EV271" s="22" t="s">
        <v>218</v>
      </c>
      <c r="EW271" s="22" t="s">
        <v>218</v>
      </c>
      <c r="EX271" s="22" t="s">
        <v>218</v>
      </c>
      <c r="EY271" s="22" t="s">
        <v>218</v>
      </c>
      <c r="EZ271" s="22" t="s">
        <v>218</v>
      </c>
      <c r="FA271" s="22" t="s">
        <v>218</v>
      </c>
      <c r="FB271" s="22" t="s">
        <v>218</v>
      </c>
      <c r="FC271" s="22" t="s">
        <v>218</v>
      </c>
      <c r="FD271" s="22" t="s">
        <v>218</v>
      </c>
      <c r="FE271" s="22" t="s">
        <v>218</v>
      </c>
      <c r="FF271" s="22" t="s">
        <v>218</v>
      </c>
      <c r="FG271" s="22">
        <v>0.98</v>
      </c>
      <c r="FH271" s="22">
        <v>0.39</v>
      </c>
      <c r="FI271" s="22">
        <v>0.15</v>
      </c>
      <c r="FJ271" s="22" t="s">
        <v>218</v>
      </c>
      <c r="FK271" s="22">
        <v>1.1100000000000001</v>
      </c>
      <c r="FL271" s="22">
        <v>1.27</v>
      </c>
      <c r="FM271" s="22" t="s">
        <v>218</v>
      </c>
      <c r="FN271" s="22">
        <v>2.31</v>
      </c>
      <c r="FO271" s="22">
        <v>1.89</v>
      </c>
      <c r="FP271" s="22" t="s">
        <v>218</v>
      </c>
      <c r="FQ271" s="22" t="s">
        <v>218</v>
      </c>
      <c r="FR271" s="22" t="s">
        <v>218</v>
      </c>
      <c r="FS271" s="22" t="s">
        <v>218</v>
      </c>
      <c r="FT271" s="22" t="s">
        <v>218</v>
      </c>
      <c r="FU271" s="22" t="s">
        <v>218</v>
      </c>
      <c r="FV271" s="22" t="s">
        <v>218</v>
      </c>
      <c r="FW271" s="22" t="s">
        <v>218</v>
      </c>
      <c r="FX271" s="22" t="s">
        <v>218</v>
      </c>
      <c r="FY271" s="22" t="s">
        <v>218</v>
      </c>
      <c r="FZ271" s="22" t="s">
        <v>218</v>
      </c>
      <c r="GA271" s="22">
        <v>7.0000000000000007E-2</v>
      </c>
      <c r="GB271" s="22">
        <v>0.32</v>
      </c>
      <c r="GC271" s="22" t="s">
        <v>218</v>
      </c>
      <c r="GD271" s="22" t="s">
        <v>218</v>
      </c>
      <c r="GE271" s="22" t="s">
        <v>218</v>
      </c>
      <c r="GF271" s="22" t="s">
        <v>218</v>
      </c>
      <c r="GG271" s="22" t="s">
        <v>218</v>
      </c>
      <c r="GH271" s="22" t="s">
        <v>218</v>
      </c>
      <c r="GI271" s="22" t="s">
        <v>218</v>
      </c>
      <c r="GJ271" s="22" t="s">
        <v>218</v>
      </c>
      <c r="GK271" s="22" t="s">
        <v>218</v>
      </c>
      <c r="GL271" s="22" t="s">
        <v>218</v>
      </c>
      <c r="GM271" s="22" t="s">
        <v>218</v>
      </c>
      <c r="GN271" s="22" t="s">
        <v>218</v>
      </c>
      <c r="GO271" s="22" t="s">
        <v>238</v>
      </c>
      <c r="GP271" s="22" t="s">
        <v>238</v>
      </c>
      <c r="GQ271" s="22" t="s">
        <v>238</v>
      </c>
      <c r="GR271" s="22" t="s">
        <v>218</v>
      </c>
      <c r="GS271" s="22" t="s">
        <v>238</v>
      </c>
      <c r="GT271" s="22" t="s">
        <v>238</v>
      </c>
      <c r="GU271" s="22" t="s">
        <v>218</v>
      </c>
      <c r="GV271" s="22" t="s">
        <v>238</v>
      </c>
      <c r="GW271" s="22" t="s">
        <v>238</v>
      </c>
      <c r="GX271" s="22" t="s">
        <v>218</v>
      </c>
      <c r="GY271" s="22" t="s">
        <v>218</v>
      </c>
      <c r="GZ271" s="22" t="s">
        <v>218</v>
      </c>
      <c r="HA271" s="22" t="s">
        <v>218</v>
      </c>
      <c r="HB271" s="22" t="s">
        <v>218</v>
      </c>
      <c r="HC271" s="22" t="s">
        <v>218</v>
      </c>
      <c r="HD271" s="22" t="s">
        <v>218</v>
      </c>
      <c r="HE271" s="22" t="s">
        <v>218</v>
      </c>
      <c r="HF271" s="22" t="s">
        <v>218</v>
      </c>
      <c r="HG271" s="22" t="s">
        <v>218</v>
      </c>
      <c r="HH271" s="22" t="s">
        <v>218</v>
      </c>
      <c r="HI271" s="22" t="s">
        <v>238</v>
      </c>
      <c r="HJ271" s="22" t="s">
        <v>238</v>
      </c>
      <c r="HK271" s="22" t="s">
        <v>218</v>
      </c>
      <c r="HL271" s="22" t="s">
        <v>218</v>
      </c>
      <c r="HM271" s="622">
        <f>'background data'!$G$10</f>
        <v>0.47300000000000003</v>
      </c>
      <c r="HN271" s="622">
        <f>'background data'!$H$10</f>
        <v>0.13</v>
      </c>
      <c r="HO271" s="622">
        <f>'background data'!$J$10</f>
        <v>0.39100000000000001</v>
      </c>
      <c r="HP271" s="622">
        <f>'background data'!$L$10</f>
        <v>5.5E-2</v>
      </c>
      <c r="HQ271" s="622">
        <f>'background data'!$M$10</f>
        <v>3.97</v>
      </c>
      <c r="HR271" s="622">
        <f>'background data'!$N$10</f>
        <v>4.5999999999999999E-3</v>
      </c>
      <c r="HS271" s="622">
        <f>'background data'!$O$10</f>
        <v>2.73</v>
      </c>
      <c r="HT271" s="145" t="s">
        <v>1797</v>
      </c>
      <c r="HU271" s="145" t="s">
        <v>1809</v>
      </c>
      <c r="HV271" s="22" t="s">
        <v>818</v>
      </c>
      <c r="HW271" s="22" t="s">
        <v>724</v>
      </c>
      <c r="HX271" s="22" t="s">
        <v>725</v>
      </c>
      <c r="HY271" s="22" t="s">
        <v>726</v>
      </c>
      <c r="HZ271" s="19"/>
      <c r="IA271" s="19"/>
      <c r="IB271" s="622">
        <f>'background data'!$G$10</f>
        <v>0.47300000000000003</v>
      </c>
      <c r="IC271" s="622">
        <f>'background data'!$H$10</f>
        <v>0.13</v>
      </c>
      <c r="ID271" s="622">
        <f>'background data'!$J$10</f>
        <v>0.39100000000000001</v>
      </c>
      <c r="IE271" s="622">
        <f>'background data'!$L$10</f>
        <v>5.5E-2</v>
      </c>
      <c r="IF271" s="622">
        <f>'background data'!$M$10</f>
        <v>3.97</v>
      </c>
      <c r="IG271" s="622">
        <f>'background data'!$N$10</f>
        <v>4.5999999999999999E-3</v>
      </c>
      <c r="IH271" s="622">
        <f>'background data'!$O$10</f>
        <v>2.73</v>
      </c>
      <c r="II271" s="145" t="s">
        <v>1797</v>
      </c>
      <c r="IJ271" s="145" t="s">
        <v>818</v>
      </c>
      <c r="IK271" s="145"/>
      <c r="IL271" s="145"/>
      <c r="IM271" s="145"/>
      <c r="IN271" s="145"/>
      <c r="IO271" s="145"/>
      <c r="IP271" s="145"/>
      <c r="IQ271" s="145"/>
      <c r="IR271" s="145"/>
      <c r="IS271" s="145"/>
      <c r="IT271" s="145"/>
      <c r="IU271" s="145"/>
      <c r="IV271" s="145"/>
      <c r="IW271" s="145"/>
      <c r="IX271" s="145"/>
      <c r="IY271" s="145"/>
      <c r="IZ271" s="145"/>
      <c r="JA271" s="145"/>
      <c r="JB271" s="145"/>
      <c r="JC271" s="145"/>
      <c r="JD271" s="145"/>
      <c r="JE271" s="145"/>
      <c r="JF271" s="145"/>
      <c r="JG271" s="145"/>
      <c r="JH271" s="145"/>
      <c r="JI271" s="145"/>
      <c r="JJ271" s="145"/>
      <c r="JK271" s="145"/>
      <c r="JL271" s="145"/>
      <c r="JM271" s="145"/>
      <c r="JN271" s="145"/>
      <c r="JO271" s="145"/>
      <c r="JP271" s="145"/>
      <c r="JQ271" s="145"/>
      <c r="JR271" s="145"/>
      <c r="JS271" s="145"/>
      <c r="JT271" s="145"/>
      <c r="JU271" s="145"/>
      <c r="JV271" s="145"/>
      <c r="JW271" s="145"/>
      <c r="JX271" s="145"/>
      <c r="JY271" s="145"/>
      <c r="JZ271" s="145"/>
      <c r="KA271" s="145"/>
      <c r="KB271" s="145"/>
      <c r="KC271" s="145"/>
      <c r="KD271" s="145"/>
      <c r="KE271" s="145"/>
      <c r="KF271" s="145"/>
      <c r="KG271" s="145"/>
      <c r="KH271" s="145"/>
      <c r="KI271" s="145"/>
      <c r="KJ271" s="145"/>
      <c r="KK271" s="145"/>
      <c r="KL271" s="145"/>
      <c r="KM271" s="145"/>
      <c r="KN271" s="145"/>
      <c r="KO271" s="145"/>
      <c r="KP271" s="145"/>
      <c r="KQ271" s="145"/>
      <c r="KR271" s="145"/>
      <c r="KS271" s="145"/>
      <c r="KT271" s="145"/>
      <c r="KU271" s="145"/>
      <c r="KV271" s="145"/>
      <c r="KW271" s="145"/>
      <c r="KX271" s="145"/>
      <c r="KY271" s="145"/>
      <c r="KZ271" s="145"/>
      <c r="LA271" s="145"/>
      <c r="LB271" s="145"/>
      <c r="LC271" s="145"/>
      <c r="LD271" s="145"/>
      <c r="LE271" s="145"/>
      <c r="LF271" s="145"/>
      <c r="LG271" s="145"/>
      <c r="LH271" s="145"/>
      <c r="LI271" s="145"/>
      <c r="LJ271" s="145"/>
      <c r="LK271" s="145"/>
      <c r="LL271" s="145"/>
      <c r="LM271" s="145"/>
      <c r="LN271" s="145"/>
      <c r="LO271" s="145"/>
      <c r="LP271" s="145"/>
      <c r="LQ271" s="145"/>
      <c r="LR271" s="145"/>
      <c r="LS271" s="145"/>
      <c r="LT271" s="145"/>
      <c r="LU271" s="145"/>
      <c r="LV271" s="145"/>
      <c r="LW271" s="145"/>
      <c r="LX271" s="145"/>
      <c r="LY271" s="145"/>
      <c r="LZ271" s="145"/>
      <c r="MA271" s="145"/>
      <c r="MB271" s="145"/>
      <c r="MC271" s="145"/>
      <c r="MD271" s="145"/>
      <c r="ME271" s="145"/>
      <c r="MF271" s="145"/>
      <c r="MG271" s="145"/>
      <c r="MH271" s="145"/>
      <c r="MI271" s="145"/>
      <c r="MJ271" s="145"/>
      <c r="MK271" s="145"/>
      <c r="ML271" s="145"/>
      <c r="MM271" s="145"/>
      <c r="MN271" s="145"/>
      <c r="MO271" s="145"/>
      <c r="MP271" s="145"/>
      <c r="MQ271" s="145"/>
      <c r="MR271" s="145"/>
      <c r="MS271" s="145"/>
      <c r="MT271" s="145"/>
      <c r="MU271" s="145"/>
      <c r="MV271" s="145"/>
      <c r="MW271" s="145"/>
      <c r="MX271" s="145"/>
      <c r="MY271" s="145"/>
      <c r="MZ271" s="145"/>
      <c r="NA271" s="145"/>
      <c r="NB271" s="145"/>
      <c r="NC271" s="145"/>
      <c r="ND271" s="145"/>
      <c r="NE271" s="145"/>
      <c r="NF271" s="145"/>
      <c r="NG271" s="145"/>
      <c r="NH271" s="145"/>
      <c r="NI271" s="145"/>
      <c r="NJ271" s="145"/>
      <c r="NK271" s="145"/>
      <c r="NL271" s="145"/>
      <c r="NM271" s="145"/>
      <c r="NN271" s="145"/>
      <c r="NO271" s="145"/>
      <c r="NP271" s="145"/>
      <c r="NQ271" s="145"/>
      <c r="NR271" s="145"/>
      <c r="NS271" s="145"/>
    </row>
    <row r="272" spans="1:383" s="16" customFormat="1" ht="15" customHeight="1" x14ac:dyDescent="0.2">
      <c r="A272" s="15">
        <v>56100</v>
      </c>
      <c r="B272" s="25">
        <v>561</v>
      </c>
      <c r="C272" s="26">
        <v>0</v>
      </c>
      <c r="D272" s="20" t="s">
        <v>731</v>
      </c>
      <c r="E272" s="14">
        <v>42678</v>
      </c>
      <c r="F272" s="18">
        <v>1.12403800813008</v>
      </c>
      <c r="G272" s="18">
        <v>1.1074305038961101</v>
      </c>
      <c r="H272" s="21">
        <v>89.7</v>
      </c>
      <c r="I272" s="21">
        <v>85.800023400000001</v>
      </c>
      <c r="J272" s="21">
        <v>93</v>
      </c>
      <c r="K272" s="18">
        <v>1</v>
      </c>
      <c r="L272" s="18">
        <v>85</v>
      </c>
      <c r="M272" s="18">
        <v>10.199999999999999</v>
      </c>
      <c r="N272" s="18">
        <v>1.9</v>
      </c>
      <c r="O272" s="18">
        <v>1.7</v>
      </c>
      <c r="P272" s="18">
        <v>2.6</v>
      </c>
      <c r="Q272" s="19"/>
      <c r="R272" s="18">
        <v>84.029241176470606</v>
      </c>
      <c r="S272" s="18">
        <v>50</v>
      </c>
      <c r="T272" s="18">
        <v>54</v>
      </c>
      <c r="U272" s="18">
        <v>55</v>
      </c>
      <c r="V272" s="18">
        <v>56</v>
      </c>
      <c r="W272" s="18">
        <v>57</v>
      </c>
      <c r="X272" s="18"/>
      <c r="Y272" s="18">
        <v>0.58823529411764708</v>
      </c>
      <c r="Z272" s="18">
        <v>3.5294117647058822</v>
      </c>
      <c r="AA272" s="18">
        <v>0.1</v>
      </c>
      <c r="AB272" s="18">
        <v>0</v>
      </c>
      <c r="AC272" s="18">
        <v>0</v>
      </c>
      <c r="AD272" s="18">
        <v>0</v>
      </c>
      <c r="AE272" s="18">
        <v>0</v>
      </c>
      <c r="AF272" s="18">
        <v>0</v>
      </c>
      <c r="AG272" s="18">
        <v>0</v>
      </c>
      <c r="AH272" s="18">
        <v>0</v>
      </c>
      <c r="AI272" s="18">
        <v>0</v>
      </c>
      <c r="AJ272" s="18">
        <v>0</v>
      </c>
      <c r="AK272" s="18">
        <v>0</v>
      </c>
      <c r="AL272" s="18"/>
      <c r="AM272" s="18">
        <v>3.24</v>
      </c>
      <c r="AN272" s="18">
        <v>1.69</v>
      </c>
      <c r="AO272" s="18">
        <v>2.2200000000000002</v>
      </c>
      <c r="AP272" s="18">
        <v>3.15</v>
      </c>
      <c r="AQ272" s="18">
        <v>1.22</v>
      </c>
      <c r="AR272" s="18">
        <v>3.36</v>
      </c>
      <c r="AS272" s="18">
        <v>6.42</v>
      </c>
      <c r="AT272" s="18">
        <v>2.2200000000000002</v>
      </c>
      <c r="AU272" s="18">
        <v>4.3600000000000003</v>
      </c>
      <c r="AV272" s="18">
        <v>2.8</v>
      </c>
      <c r="AW272" s="18">
        <v>4.5199999999999996</v>
      </c>
      <c r="AX272" s="18"/>
      <c r="AY272" s="18">
        <v>0.98</v>
      </c>
      <c r="AZ272" s="18">
        <v>1.05</v>
      </c>
      <c r="BA272" s="18">
        <v>1.03</v>
      </c>
      <c r="BB272" s="18">
        <v>0.95</v>
      </c>
      <c r="BC272" s="18">
        <v>0.92</v>
      </c>
      <c r="BD272" s="18">
        <v>1.01</v>
      </c>
      <c r="BE272" s="18">
        <v>1.01</v>
      </c>
      <c r="BF272" s="18">
        <v>1.03</v>
      </c>
      <c r="BG272" s="18">
        <v>1.06</v>
      </c>
      <c r="BH272" s="18">
        <v>1</v>
      </c>
      <c r="BI272" s="18">
        <v>0.98</v>
      </c>
      <c r="BJ272" s="19"/>
      <c r="BK272" s="18">
        <v>11.999999999999998</v>
      </c>
      <c r="BL272" s="18">
        <v>2.2352941176470589</v>
      </c>
      <c r="BM272" s="18">
        <v>2</v>
      </c>
      <c r="BN272" s="18">
        <v>3.0588235294117645</v>
      </c>
      <c r="BO272" s="18"/>
      <c r="BP272" s="18">
        <v>105</v>
      </c>
      <c r="BQ272" s="18">
        <v>23.470588235294116</v>
      </c>
      <c r="BR272" s="18">
        <v>1.3223976566236235</v>
      </c>
      <c r="BS272" s="18">
        <v>1.3028594163483649</v>
      </c>
      <c r="BT272" s="19"/>
      <c r="BU272" s="18">
        <v>980</v>
      </c>
      <c r="BV272" s="18">
        <v>693.57764705882357</v>
      </c>
      <c r="BW272" s="18">
        <v>54.599672400000237</v>
      </c>
      <c r="BX272" s="18">
        <v>641</v>
      </c>
      <c r="BY272" s="18">
        <v>33</v>
      </c>
      <c r="BZ272" s="18">
        <v>29.293882352941175</v>
      </c>
      <c r="CA272" s="18">
        <v>117.17552941176505</v>
      </c>
      <c r="CB272" s="19"/>
      <c r="CC272" s="19">
        <v>0.5</v>
      </c>
      <c r="CD272" s="19">
        <v>3</v>
      </c>
      <c r="CE272" s="19">
        <v>8.5000000000000006E-2</v>
      </c>
      <c r="CF272" s="19">
        <v>0</v>
      </c>
      <c r="CG272" s="19">
        <v>0</v>
      </c>
      <c r="CH272" s="19">
        <v>0</v>
      </c>
      <c r="CI272" s="19">
        <v>0</v>
      </c>
      <c r="CJ272" s="19"/>
      <c r="CK272" s="19">
        <v>0</v>
      </c>
      <c r="CL272" s="19">
        <v>0</v>
      </c>
      <c r="CM272" s="19">
        <v>0</v>
      </c>
      <c r="CN272" s="19">
        <v>0</v>
      </c>
      <c r="CO272" s="19">
        <v>0</v>
      </c>
      <c r="CP272" s="19">
        <v>0</v>
      </c>
      <c r="CQ272" s="19">
        <v>85.709826000000206</v>
      </c>
      <c r="CR272" s="19">
        <v>76.251715137804652</v>
      </c>
      <c r="CS272" s="19">
        <v>2.4211444590555673</v>
      </c>
      <c r="CT272" s="19">
        <v>1.35308668512034</v>
      </c>
      <c r="CU272" s="19">
        <v>1.7435717183410369</v>
      </c>
      <c r="CV272" s="19">
        <v>3.0966584034613773</v>
      </c>
      <c r="CW272" s="19">
        <v>2.2818325754987985</v>
      </c>
      <c r="CX272" s="19">
        <v>0.85584925070671725</v>
      </c>
      <c r="CY272" s="19">
        <v>2.5876782049165321</v>
      </c>
      <c r="CZ272" s="19">
        <v>4.944313712965517</v>
      </c>
      <c r="DA272" s="19">
        <v>1.7435717183410369</v>
      </c>
      <c r="DB272" s="19">
        <v>3.5240492668087797</v>
      </c>
      <c r="DC272" s="19">
        <v>2.1350480238585252</v>
      </c>
      <c r="DD272" s="19">
        <v>5.6590972906672965</v>
      </c>
      <c r="DE272" s="19">
        <v>3.3776459737441864</v>
      </c>
      <c r="DF272" s="23">
        <v>0</v>
      </c>
      <c r="DG272" s="23">
        <v>0</v>
      </c>
      <c r="DH272" s="23">
        <v>0</v>
      </c>
      <c r="DI272" s="19">
        <v>0</v>
      </c>
      <c r="DJ272" s="19">
        <v>0</v>
      </c>
      <c r="DK272" s="19">
        <v>0</v>
      </c>
      <c r="DL272" s="19">
        <v>0</v>
      </c>
      <c r="DM272" s="19">
        <v>0</v>
      </c>
      <c r="DN272" s="19">
        <v>0</v>
      </c>
      <c r="DO272" s="19">
        <v>0</v>
      </c>
      <c r="DP272" s="19">
        <v>0</v>
      </c>
      <c r="DQ272" s="19">
        <v>0</v>
      </c>
      <c r="DR272" s="19">
        <v>0</v>
      </c>
      <c r="DS272" s="19">
        <v>0</v>
      </c>
      <c r="DT272" s="19">
        <v>0</v>
      </c>
      <c r="DU272" s="19">
        <v>0</v>
      </c>
      <c r="DV272" s="19">
        <v>0</v>
      </c>
      <c r="DW272" s="17" t="s">
        <v>723</v>
      </c>
      <c r="DX272" s="22" t="s">
        <v>218</v>
      </c>
      <c r="DY272" s="22">
        <v>8</v>
      </c>
      <c r="DZ272" s="22">
        <v>4</v>
      </c>
      <c r="EA272" s="22">
        <v>4</v>
      </c>
      <c r="EB272" s="22" t="s">
        <v>218</v>
      </c>
      <c r="EC272" s="22">
        <v>4</v>
      </c>
      <c r="ED272" s="22">
        <v>4</v>
      </c>
      <c r="EE272" s="22" t="s">
        <v>218</v>
      </c>
      <c r="EF272" s="22">
        <v>4</v>
      </c>
      <c r="EG272" s="22">
        <v>4</v>
      </c>
      <c r="EH272" s="22" t="s">
        <v>218</v>
      </c>
      <c r="EI272" s="22" t="s">
        <v>218</v>
      </c>
      <c r="EJ272" s="22" t="s">
        <v>218</v>
      </c>
      <c r="EK272" s="22" t="s">
        <v>218</v>
      </c>
      <c r="EL272" s="22" t="s">
        <v>218</v>
      </c>
      <c r="EM272" s="22" t="s">
        <v>218</v>
      </c>
      <c r="EN272" s="22" t="s">
        <v>218</v>
      </c>
      <c r="EO272" s="22" t="s">
        <v>218</v>
      </c>
      <c r="EP272" s="22" t="s">
        <v>218</v>
      </c>
      <c r="EQ272" s="22" t="s">
        <v>218</v>
      </c>
      <c r="ER272" s="22" t="s">
        <v>218</v>
      </c>
      <c r="ES272" s="22">
        <v>4</v>
      </c>
      <c r="ET272" s="22">
        <v>8</v>
      </c>
      <c r="EU272" s="22" t="s">
        <v>218</v>
      </c>
      <c r="EV272" s="22" t="s">
        <v>218</v>
      </c>
      <c r="EW272" s="22" t="s">
        <v>218</v>
      </c>
      <c r="EX272" s="22" t="s">
        <v>218</v>
      </c>
      <c r="EY272" s="22" t="s">
        <v>218</v>
      </c>
      <c r="EZ272" s="22" t="s">
        <v>218</v>
      </c>
      <c r="FA272" s="22" t="s">
        <v>218</v>
      </c>
      <c r="FB272" s="22" t="s">
        <v>218</v>
      </c>
      <c r="FC272" s="22" t="s">
        <v>218</v>
      </c>
      <c r="FD272" s="22" t="s">
        <v>218</v>
      </c>
      <c r="FE272" s="22" t="s">
        <v>218</v>
      </c>
      <c r="FF272" s="22" t="s">
        <v>218</v>
      </c>
      <c r="FG272" s="22">
        <v>1</v>
      </c>
      <c r="FH272" s="22">
        <v>0.4</v>
      </c>
      <c r="FI272" s="22">
        <v>0.15</v>
      </c>
      <c r="FJ272" s="22" t="s">
        <v>218</v>
      </c>
      <c r="FK272" s="22">
        <v>1.1000000000000001</v>
      </c>
      <c r="FL272" s="22">
        <v>1.3</v>
      </c>
      <c r="FM272" s="22" t="s">
        <v>218</v>
      </c>
      <c r="FN272" s="22">
        <v>2.2999999999999998</v>
      </c>
      <c r="FO272" s="22">
        <v>1.9</v>
      </c>
      <c r="FP272" s="22" t="s">
        <v>218</v>
      </c>
      <c r="FQ272" s="22" t="s">
        <v>218</v>
      </c>
      <c r="FR272" s="22" t="s">
        <v>218</v>
      </c>
      <c r="FS272" s="22" t="s">
        <v>218</v>
      </c>
      <c r="FT272" s="22" t="s">
        <v>218</v>
      </c>
      <c r="FU272" s="22" t="s">
        <v>218</v>
      </c>
      <c r="FV272" s="22" t="s">
        <v>218</v>
      </c>
      <c r="FW272" s="22" t="s">
        <v>218</v>
      </c>
      <c r="FX272" s="22" t="s">
        <v>218</v>
      </c>
      <c r="FY272" s="22" t="s">
        <v>218</v>
      </c>
      <c r="FZ272" s="22" t="s">
        <v>218</v>
      </c>
      <c r="GA272" s="22">
        <v>7.0000000000000007E-2</v>
      </c>
      <c r="GB272" s="22">
        <v>0.3</v>
      </c>
      <c r="GC272" s="22" t="s">
        <v>218</v>
      </c>
      <c r="GD272" s="22" t="s">
        <v>218</v>
      </c>
      <c r="GE272" s="22" t="s">
        <v>218</v>
      </c>
      <c r="GF272" s="22" t="s">
        <v>218</v>
      </c>
      <c r="GG272" s="22" t="s">
        <v>218</v>
      </c>
      <c r="GH272" s="22" t="s">
        <v>218</v>
      </c>
      <c r="GI272" s="22" t="s">
        <v>218</v>
      </c>
      <c r="GJ272" s="22" t="s">
        <v>218</v>
      </c>
      <c r="GK272" s="22" t="s">
        <v>218</v>
      </c>
      <c r="GL272" s="22" t="s">
        <v>218</v>
      </c>
      <c r="GM272" s="22" t="s">
        <v>218</v>
      </c>
      <c r="GN272" s="22" t="s">
        <v>218</v>
      </c>
      <c r="GO272" s="22">
        <v>2016</v>
      </c>
      <c r="GP272" s="22">
        <v>2016</v>
      </c>
      <c r="GQ272" s="22">
        <v>2016</v>
      </c>
      <c r="GR272" s="22" t="s">
        <v>218</v>
      </c>
      <c r="GS272" s="22">
        <v>2016</v>
      </c>
      <c r="GT272" s="22">
        <v>2016</v>
      </c>
      <c r="GU272" s="22" t="s">
        <v>218</v>
      </c>
      <c r="GV272" s="22">
        <v>2016</v>
      </c>
      <c r="GW272" s="22">
        <v>2016</v>
      </c>
      <c r="GX272" s="22" t="s">
        <v>218</v>
      </c>
      <c r="GY272" s="22" t="s">
        <v>218</v>
      </c>
      <c r="GZ272" s="22" t="s">
        <v>218</v>
      </c>
      <c r="HA272" s="22" t="s">
        <v>218</v>
      </c>
      <c r="HB272" s="22" t="s">
        <v>218</v>
      </c>
      <c r="HC272" s="22" t="s">
        <v>218</v>
      </c>
      <c r="HD272" s="22" t="s">
        <v>218</v>
      </c>
      <c r="HE272" s="22" t="s">
        <v>218</v>
      </c>
      <c r="HF272" s="22" t="s">
        <v>218</v>
      </c>
      <c r="HG272" s="22" t="s">
        <v>218</v>
      </c>
      <c r="HH272" s="22" t="s">
        <v>218</v>
      </c>
      <c r="HI272" s="22">
        <v>2016</v>
      </c>
      <c r="HJ272" s="22">
        <v>2016</v>
      </c>
      <c r="HK272" s="22" t="s">
        <v>218</v>
      </c>
      <c r="HL272" s="22" t="s">
        <v>218</v>
      </c>
      <c r="HM272" s="622">
        <f>'background data'!$G$10</f>
        <v>0.47300000000000003</v>
      </c>
      <c r="HN272" s="622">
        <f>'background data'!$H$10</f>
        <v>0.13</v>
      </c>
      <c r="HO272" s="622">
        <f>'background data'!$J$10</f>
        <v>0.39100000000000001</v>
      </c>
      <c r="HP272" s="622">
        <f>'background data'!$L$10</f>
        <v>5.5E-2</v>
      </c>
      <c r="HQ272" s="622">
        <f>'background data'!$M$10</f>
        <v>3.97</v>
      </c>
      <c r="HR272" s="622">
        <f>'background data'!$N$10</f>
        <v>4.5999999999999999E-3</v>
      </c>
      <c r="HS272" s="622">
        <f>'background data'!$O$10</f>
        <v>2.73</v>
      </c>
      <c r="HT272" s="145" t="s">
        <v>1797</v>
      </c>
      <c r="HU272" s="145" t="s">
        <v>1809</v>
      </c>
      <c r="HV272" s="22" t="s">
        <v>818</v>
      </c>
      <c r="HW272" s="22" t="s">
        <v>724</v>
      </c>
      <c r="HX272" s="22" t="s">
        <v>725</v>
      </c>
      <c r="HY272" s="22" t="s">
        <v>726</v>
      </c>
      <c r="HZ272" s="19"/>
      <c r="IA272" s="19"/>
      <c r="IB272" s="622">
        <f>'background data'!$G$10</f>
        <v>0.47300000000000003</v>
      </c>
      <c r="IC272" s="622">
        <f>'background data'!$H$10</f>
        <v>0.13</v>
      </c>
      <c r="ID272" s="622">
        <f>'background data'!$J$10</f>
        <v>0.39100000000000001</v>
      </c>
      <c r="IE272" s="622">
        <f>'background data'!$L$10</f>
        <v>5.5E-2</v>
      </c>
      <c r="IF272" s="622">
        <f>'background data'!$M$10</f>
        <v>3.97</v>
      </c>
      <c r="IG272" s="622">
        <f>'background data'!$N$10</f>
        <v>4.5999999999999999E-3</v>
      </c>
      <c r="IH272" s="622">
        <f>'background data'!$O$10</f>
        <v>2.73</v>
      </c>
      <c r="II272" s="145" t="s">
        <v>1797</v>
      </c>
      <c r="IJ272" s="145" t="s">
        <v>818</v>
      </c>
      <c r="IK272" s="145"/>
      <c r="IL272" s="145"/>
      <c r="IM272" s="145"/>
      <c r="IN272" s="145"/>
      <c r="IO272" s="145"/>
      <c r="IP272" s="145"/>
      <c r="IQ272" s="145"/>
      <c r="IR272" s="145"/>
      <c r="IS272" s="145"/>
      <c r="IT272" s="145"/>
      <c r="IU272" s="145"/>
      <c r="IV272" s="145"/>
      <c r="IW272" s="145"/>
      <c r="IX272" s="145"/>
      <c r="IY272" s="145"/>
      <c r="IZ272" s="145"/>
      <c r="JA272" s="145"/>
      <c r="JB272" s="145"/>
      <c r="JC272" s="145"/>
      <c r="JD272" s="145"/>
      <c r="JE272" s="145"/>
      <c r="JF272" s="145"/>
      <c r="JG272" s="145"/>
      <c r="JH272" s="145"/>
      <c r="JI272" s="145"/>
      <c r="JJ272" s="145"/>
      <c r="JK272" s="145"/>
      <c r="JL272" s="145"/>
      <c r="JM272" s="145"/>
      <c r="JN272" s="145"/>
      <c r="JO272" s="145"/>
      <c r="JP272" s="145"/>
      <c r="JQ272" s="145"/>
      <c r="JR272" s="145"/>
      <c r="JS272" s="145"/>
      <c r="JT272" s="145"/>
      <c r="JU272" s="145"/>
      <c r="JV272" s="145"/>
      <c r="JW272" s="145"/>
      <c r="JX272" s="145"/>
      <c r="JY272" s="145"/>
      <c r="JZ272" s="145"/>
      <c r="KA272" s="145"/>
      <c r="KB272" s="145"/>
      <c r="KC272" s="145"/>
      <c r="KD272" s="145"/>
      <c r="KE272" s="145"/>
      <c r="KF272" s="145"/>
      <c r="KG272" s="145"/>
      <c r="KH272" s="145"/>
      <c r="KI272" s="145"/>
      <c r="KJ272" s="145"/>
      <c r="KK272" s="145"/>
      <c r="KL272" s="145"/>
      <c r="KM272" s="145"/>
      <c r="KN272" s="145"/>
      <c r="KO272" s="145"/>
      <c r="KP272" s="145"/>
      <c r="KQ272" s="145"/>
      <c r="KR272" s="145"/>
      <c r="KS272" s="145"/>
      <c r="KT272" s="145"/>
      <c r="KU272" s="145"/>
      <c r="KV272" s="145"/>
      <c r="KW272" s="145"/>
      <c r="KX272" s="145"/>
      <c r="KY272" s="145"/>
      <c r="KZ272" s="145"/>
      <c r="LA272" s="145"/>
      <c r="LB272" s="145"/>
      <c r="LC272" s="145"/>
      <c r="LD272" s="145"/>
      <c r="LE272" s="145"/>
      <c r="LF272" s="145"/>
      <c r="LG272" s="145"/>
      <c r="LH272" s="145"/>
      <c r="LI272" s="145"/>
      <c r="LJ272" s="145"/>
      <c r="LK272" s="145"/>
      <c r="LL272" s="145"/>
      <c r="LM272" s="145"/>
      <c r="LN272" s="145"/>
      <c r="LO272" s="145"/>
      <c r="LP272" s="145"/>
      <c r="LQ272" s="145"/>
      <c r="LR272" s="145"/>
      <c r="LS272" s="145"/>
      <c r="LT272" s="145"/>
      <c r="LU272" s="145"/>
      <c r="LV272" s="145"/>
      <c r="LW272" s="145"/>
      <c r="LX272" s="145"/>
      <c r="LY272" s="145"/>
      <c r="LZ272" s="145"/>
      <c r="MA272" s="145"/>
      <c r="MB272" s="145"/>
      <c r="MC272" s="145"/>
      <c r="MD272" s="145"/>
      <c r="ME272" s="145"/>
      <c r="MF272" s="145"/>
      <c r="MG272" s="145"/>
      <c r="MH272" s="145"/>
      <c r="MI272" s="145"/>
      <c r="MJ272" s="145"/>
      <c r="MK272" s="145"/>
      <c r="ML272" s="145"/>
      <c r="MM272" s="145"/>
      <c r="MN272" s="145"/>
      <c r="MO272" s="145"/>
      <c r="MP272" s="145"/>
      <c r="MQ272" s="145"/>
      <c r="MR272" s="145"/>
      <c r="MS272" s="145"/>
      <c r="MT272" s="145"/>
      <c r="MU272" s="145"/>
      <c r="MV272" s="145"/>
      <c r="MW272" s="145"/>
      <c r="MX272" s="145"/>
      <c r="MY272" s="145"/>
      <c r="MZ272" s="145"/>
      <c r="NA272" s="145"/>
      <c r="NB272" s="145"/>
      <c r="NC272" s="145"/>
      <c r="ND272" s="145"/>
      <c r="NE272" s="145"/>
      <c r="NF272" s="145"/>
      <c r="NG272" s="145"/>
      <c r="NH272" s="145"/>
      <c r="NI272" s="145"/>
      <c r="NJ272" s="145"/>
      <c r="NK272" s="145"/>
      <c r="NL272" s="145"/>
      <c r="NM272" s="145"/>
      <c r="NN272" s="145"/>
      <c r="NO272" s="145"/>
      <c r="NP272" s="145"/>
      <c r="NQ272" s="145"/>
      <c r="NR272" s="145"/>
      <c r="NS272" s="145"/>
    </row>
    <row r="273" spans="1:383" s="16" customFormat="1" ht="15" customHeight="1" x14ac:dyDescent="0.2">
      <c r="A273" s="15">
        <v>56101</v>
      </c>
      <c r="B273" s="25">
        <v>561</v>
      </c>
      <c r="C273" s="26">
        <v>1</v>
      </c>
      <c r="D273" s="20" t="s">
        <v>732</v>
      </c>
      <c r="E273" s="14">
        <v>42678</v>
      </c>
      <c r="F273" s="18">
        <v>1.13371280487805</v>
      </c>
      <c r="G273" s="18">
        <v>1.11423050389611</v>
      </c>
      <c r="H273" s="21">
        <v>89.7</v>
      </c>
      <c r="I273" s="21">
        <v>86.599968000000004</v>
      </c>
      <c r="J273" s="21">
        <v>93</v>
      </c>
      <c r="K273" s="18">
        <v>1</v>
      </c>
      <c r="L273" s="18">
        <v>85</v>
      </c>
      <c r="M273" s="18">
        <v>10.199999999999999</v>
      </c>
      <c r="N273" s="18">
        <v>1.9</v>
      </c>
      <c r="O273" s="18">
        <v>1.7</v>
      </c>
      <c r="P273" s="18">
        <v>2.6</v>
      </c>
      <c r="Q273" s="19"/>
      <c r="R273" s="18">
        <v>84.645241176470606</v>
      </c>
      <c r="S273" s="18">
        <v>50</v>
      </c>
      <c r="T273" s="18">
        <v>54</v>
      </c>
      <c r="U273" s="18">
        <v>55</v>
      </c>
      <c r="V273" s="18">
        <v>56</v>
      </c>
      <c r="W273" s="18">
        <v>57</v>
      </c>
      <c r="X273" s="18"/>
      <c r="Y273" s="18">
        <v>0.58823529411764708</v>
      </c>
      <c r="Z273" s="18">
        <v>3.5294117647058822</v>
      </c>
      <c r="AA273" s="18">
        <v>0.1</v>
      </c>
      <c r="AB273" s="18">
        <v>0</v>
      </c>
      <c r="AC273" s="18">
        <v>0</v>
      </c>
      <c r="AD273" s="18">
        <v>0</v>
      </c>
      <c r="AE273" s="18">
        <v>0</v>
      </c>
      <c r="AF273" s="18">
        <v>0</v>
      </c>
      <c r="AG273" s="18">
        <v>0</v>
      </c>
      <c r="AH273" s="18">
        <v>0</v>
      </c>
      <c r="AI273" s="18">
        <v>0</v>
      </c>
      <c r="AJ273" s="18">
        <v>0</v>
      </c>
      <c r="AK273" s="18">
        <v>0</v>
      </c>
      <c r="AL273" s="18"/>
      <c r="AM273" s="18">
        <v>3.24</v>
      </c>
      <c r="AN273" s="18">
        <v>1.69</v>
      </c>
      <c r="AO273" s="18">
        <v>2.2200000000000002</v>
      </c>
      <c r="AP273" s="18">
        <v>3.15</v>
      </c>
      <c r="AQ273" s="18">
        <v>1.22</v>
      </c>
      <c r="AR273" s="18">
        <v>3.36</v>
      </c>
      <c r="AS273" s="18">
        <v>6.42</v>
      </c>
      <c r="AT273" s="18">
        <v>2.2200000000000002</v>
      </c>
      <c r="AU273" s="18">
        <v>4.3600000000000003</v>
      </c>
      <c r="AV273" s="18">
        <v>2.8</v>
      </c>
      <c r="AW273" s="18">
        <v>4.5199999999999996</v>
      </c>
      <c r="AX273" s="18"/>
      <c r="AY273" s="18">
        <v>0.98</v>
      </c>
      <c r="AZ273" s="18">
        <v>1.05</v>
      </c>
      <c r="BA273" s="18">
        <v>1.03</v>
      </c>
      <c r="BB273" s="18">
        <v>0.95</v>
      </c>
      <c r="BC273" s="18">
        <v>0.92</v>
      </c>
      <c r="BD273" s="18">
        <v>1.01</v>
      </c>
      <c r="BE273" s="18">
        <v>1.01</v>
      </c>
      <c r="BF273" s="18">
        <v>1.03</v>
      </c>
      <c r="BG273" s="18">
        <v>1.06</v>
      </c>
      <c r="BH273" s="18">
        <v>1</v>
      </c>
      <c r="BI273" s="18">
        <v>0.98</v>
      </c>
      <c r="BJ273" s="19"/>
      <c r="BK273" s="18">
        <v>11.999999999999998</v>
      </c>
      <c r="BL273" s="18">
        <v>2.2352941176470589</v>
      </c>
      <c r="BM273" s="18">
        <v>2</v>
      </c>
      <c r="BN273" s="18">
        <v>3.0588235294117645</v>
      </c>
      <c r="BO273" s="18"/>
      <c r="BP273" s="18">
        <v>105</v>
      </c>
      <c r="BQ273" s="18">
        <v>23.470588235294116</v>
      </c>
      <c r="BR273" s="18">
        <v>1.3337797704447649</v>
      </c>
      <c r="BS273" s="18">
        <v>1.3108594163483649</v>
      </c>
      <c r="BT273" s="19"/>
      <c r="BU273" s="18">
        <v>980</v>
      </c>
      <c r="BV273" s="18">
        <v>704.77764705882362</v>
      </c>
      <c r="BW273" s="18">
        <v>43.400448000000004</v>
      </c>
      <c r="BX273" s="18">
        <v>641</v>
      </c>
      <c r="BY273" s="18">
        <v>33</v>
      </c>
      <c r="BZ273" s="18">
        <v>27.053882352941176</v>
      </c>
      <c r="CA273" s="18">
        <v>108.21552941176505</v>
      </c>
      <c r="CB273" s="19"/>
      <c r="CC273" s="19">
        <v>0.5</v>
      </c>
      <c r="CD273" s="19">
        <v>3</v>
      </c>
      <c r="CE273" s="19">
        <v>8.5000000000000006E-2</v>
      </c>
      <c r="CF273" s="19">
        <v>0</v>
      </c>
      <c r="CG273" s="19">
        <v>0</v>
      </c>
      <c r="CH273" s="19">
        <v>0</v>
      </c>
      <c r="CI273" s="19">
        <v>0</v>
      </c>
      <c r="CJ273" s="19"/>
      <c r="CK273" s="19">
        <v>0</v>
      </c>
      <c r="CL273" s="19">
        <v>0</v>
      </c>
      <c r="CM273" s="19">
        <v>0</v>
      </c>
      <c r="CN273" s="19">
        <v>0</v>
      </c>
      <c r="CO273" s="19">
        <v>0</v>
      </c>
      <c r="CP273" s="19">
        <v>0</v>
      </c>
      <c r="CQ273" s="19">
        <v>86.338146000000293</v>
      </c>
      <c r="CR273" s="19">
        <v>76.155218172107894</v>
      </c>
      <c r="CS273" s="19">
        <v>2.4180804874007618</v>
      </c>
      <c r="CT273" s="19">
        <v>1.35137434646405</v>
      </c>
      <c r="CU273" s="19">
        <v>1.7413652187234132</v>
      </c>
      <c r="CV273" s="19">
        <v>3.0927395651874634</v>
      </c>
      <c r="CW273" s="19">
        <v>2.2789449038003209</v>
      </c>
      <c r="CX273" s="19">
        <v>0.85476616876373612</v>
      </c>
      <c r="CY273" s="19">
        <v>2.5844034838886363</v>
      </c>
      <c r="CZ273" s="19">
        <v>4.938056656715804</v>
      </c>
      <c r="DA273" s="19">
        <v>1.7413652187234132</v>
      </c>
      <c r="DB273" s="19">
        <v>3.5195895630421354</v>
      </c>
      <c r="DC273" s="19">
        <v>2.1323461088190139</v>
      </c>
      <c r="DD273" s="19">
        <v>5.6519356718611409</v>
      </c>
      <c r="DE273" s="19">
        <v>3.3733715441516803</v>
      </c>
      <c r="DF273" s="23">
        <v>0</v>
      </c>
      <c r="DG273" s="23">
        <v>0</v>
      </c>
      <c r="DH273" s="23">
        <v>0</v>
      </c>
      <c r="DI273" s="19">
        <v>0</v>
      </c>
      <c r="DJ273" s="19">
        <v>0</v>
      </c>
      <c r="DK273" s="19">
        <v>0</v>
      </c>
      <c r="DL273" s="19">
        <v>0</v>
      </c>
      <c r="DM273" s="19">
        <v>0</v>
      </c>
      <c r="DN273" s="19">
        <v>0</v>
      </c>
      <c r="DO273" s="19">
        <v>0</v>
      </c>
      <c r="DP273" s="19">
        <v>0</v>
      </c>
      <c r="DQ273" s="19">
        <v>0</v>
      </c>
      <c r="DR273" s="19">
        <v>0</v>
      </c>
      <c r="DS273" s="19">
        <v>0</v>
      </c>
      <c r="DT273" s="19">
        <v>0</v>
      </c>
      <c r="DU273" s="19">
        <v>0</v>
      </c>
      <c r="DV273" s="19">
        <v>0</v>
      </c>
      <c r="DW273" s="17" t="s">
        <v>723</v>
      </c>
      <c r="DX273" s="22" t="s">
        <v>218</v>
      </c>
      <c r="DY273" s="22">
        <v>8</v>
      </c>
      <c r="DZ273" s="22">
        <v>4</v>
      </c>
      <c r="EA273" s="22">
        <v>4</v>
      </c>
      <c r="EB273" s="22" t="s">
        <v>218</v>
      </c>
      <c r="EC273" s="22">
        <v>4</v>
      </c>
      <c r="ED273" s="22">
        <v>4</v>
      </c>
      <c r="EE273" s="22" t="s">
        <v>218</v>
      </c>
      <c r="EF273" s="22">
        <v>4</v>
      </c>
      <c r="EG273" s="22">
        <v>4</v>
      </c>
      <c r="EH273" s="22" t="s">
        <v>218</v>
      </c>
      <c r="EI273" s="22" t="s">
        <v>218</v>
      </c>
      <c r="EJ273" s="22" t="s">
        <v>218</v>
      </c>
      <c r="EK273" s="22" t="s">
        <v>218</v>
      </c>
      <c r="EL273" s="22" t="s">
        <v>218</v>
      </c>
      <c r="EM273" s="22" t="s">
        <v>218</v>
      </c>
      <c r="EN273" s="22" t="s">
        <v>218</v>
      </c>
      <c r="EO273" s="22" t="s">
        <v>218</v>
      </c>
      <c r="EP273" s="22" t="s">
        <v>218</v>
      </c>
      <c r="EQ273" s="22" t="s">
        <v>218</v>
      </c>
      <c r="ER273" s="22" t="s">
        <v>218</v>
      </c>
      <c r="ES273" s="22">
        <v>4</v>
      </c>
      <c r="ET273" s="22">
        <v>8</v>
      </c>
      <c r="EU273" s="22" t="s">
        <v>218</v>
      </c>
      <c r="EV273" s="22" t="s">
        <v>218</v>
      </c>
      <c r="EW273" s="22" t="s">
        <v>218</v>
      </c>
      <c r="EX273" s="22" t="s">
        <v>218</v>
      </c>
      <c r="EY273" s="22" t="s">
        <v>218</v>
      </c>
      <c r="EZ273" s="22" t="s">
        <v>218</v>
      </c>
      <c r="FA273" s="22" t="s">
        <v>218</v>
      </c>
      <c r="FB273" s="22" t="s">
        <v>218</v>
      </c>
      <c r="FC273" s="22" t="s">
        <v>218</v>
      </c>
      <c r="FD273" s="22" t="s">
        <v>218</v>
      </c>
      <c r="FE273" s="22" t="s">
        <v>218</v>
      </c>
      <c r="FF273" s="22" t="s">
        <v>218</v>
      </c>
      <c r="FG273" s="22">
        <v>1</v>
      </c>
      <c r="FH273" s="22">
        <v>0.4</v>
      </c>
      <c r="FI273" s="22">
        <v>0.15</v>
      </c>
      <c r="FJ273" s="22" t="s">
        <v>218</v>
      </c>
      <c r="FK273" s="22">
        <v>1.1000000000000001</v>
      </c>
      <c r="FL273" s="22">
        <v>1.3</v>
      </c>
      <c r="FM273" s="22" t="s">
        <v>218</v>
      </c>
      <c r="FN273" s="22">
        <v>2.2999999999999998</v>
      </c>
      <c r="FO273" s="22">
        <v>1.9</v>
      </c>
      <c r="FP273" s="22" t="s">
        <v>218</v>
      </c>
      <c r="FQ273" s="22" t="s">
        <v>218</v>
      </c>
      <c r="FR273" s="22" t="s">
        <v>218</v>
      </c>
      <c r="FS273" s="22" t="s">
        <v>218</v>
      </c>
      <c r="FT273" s="22" t="s">
        <v>218</v>
      </c>
      <c r="FU273" s="22" t="s">
        <v>218</v>
      </c>
      <c r="FV273" s="22" t="s">
        <v>218</v>
      </c>
      <c r="FW273" s="22" t="s">
        <v>218</v>
      </c>
      <c r="FX273" s="22" t="s">
        <v>218</v>
      </c>
      <c r="FY273" s="22" t="s">
        <v>218</v>
      </c>
      <c r="FZ273" s="22" t="s">
        <v>218</v>
      </c>
      <c r="GA273" s="22">
        <v>7.0000000000000007E-2</v>
      </c>
      <c r="GB273" s="22">
        <v>0.3</v>
      </c>
      <c r="GC273" s="22" t="s">
        <v>218</v>
      </c>
      <c r="GD273" s="22" t="s">
        <v>218</v>
      </c>
      <c r="GE273" s="22" t="s">
        <v>218</v>
      </c>
      <c r="GF273" s="22" t="s">
        <v>218</v>
      </c>
      <c r="GG273" s="22" t="s">
        <v>218</v>
      </c>
      <c r="GH273" s="22" t="s">
        <v>218</v>
      </c>
      <c r="GI273" s="22" t="s">
        <v>218</v>
      </c>
      <c r="GJ273" s="22" t="s">
        <v>218</v>
      </c>
      <c r="GK273" s="22" t="s">
        <v>218</v>
      </c>
      <c r="GL273" s="22" t="s">
        <v>218</v>
      </c>
      <c r="GM273" s="22" t="s">
        <v>218</v>
      </c>
      <c r="GN273" s="22" t="s">
        <v>218</v>
      </c>
      <c r="GO273" s="22">
        <v>2016</v>
      </c>
      <c r="GP273" s="22">
        <v>2016</v>
      </c>
      <c r="GQ273" s="22">
        <v>2016</v>
      </c>
      <c r="GR273" s="22" t="s">
        <v>218</v>
      </c>
      <c r="GS273" s="22">
        <v>2016</v>
      </c>
      <c r="GT273" s="22">
        <v>2016</v>
      </c>
      <c r="GU273" s="22" t="s">
        <v>218</v>
      </c>
      <c r="GV273" s="22">
        <v>2016</v>
      </c>
      <c r="GW273" s="22">
        <v>2016</v>
      </c>
      <c r="GX273" s="22" t="s">
        <v>218</v>
      </c>
      <c r="GY273" s="22" t="s">
        <v>218</v>
      </c>
      <c r="GZ273" s="22" t="s">
        <v>218</v>
      </c>
      <c r="HA273" s="22" t="s">
        <v>218</v>
      </c>
      <c r="HB273" s="22" t="s">
        <v>218</v>
      </c>
      <c r="HC273" s="22" t="s">
        <v>218</v>
      </c>
      <c r="HD273" s="22" t="s">
        <v>218</v>
      </c>
      <c r="HE273" s="22" t="s">
        <v>218</v>
      </c>
      <c r="HF273" s="22" t="s">
        <v>218</v>
      </c>
      <c r="HG273" s="22" t="s">
        <v>218</v>
      </c>
      <c r="HH273" s="22" t="s">
        <v>218</v>
      </c>
      <c r="HI273" s="22">
        <v>2016</v>
      </c>
      <c r="HJ273" s="22">
        <v>2016</v>
      </c>
      <c r="HK273" s="22" t="s">
        <v>218</v>
      </c>
      <c r="HL273" s="22" t="s">
        <v>218</v>
      </c>
      <c r="HM273" s="622">
        <f>'background data'!$G$10</f>
        <v>0.47300000000000003</v>
      </c>
      <c r="HN273" s="622">
        <f>'background data'!$H$10</f>
        <v>0.13</v>
      </c>
      <c r="HO273" s="622">
        <f>'background data'!$J$10</f>
        <v>0.39100000000000001</v>
      </c>
      <c r="HP273" s="622">
        <f>'background data'!$L$10</f>
        <v>5.5E-2</v>
      </c>
      <c r="HQ273" s="622">
        <f>'background data'!$M$10</f>
        <v>3.97</v>
      </c>
      <c r="HR273" s="622">
        <f>'background data'!$N$10</f>
        <v>4.5999999999999999E-3</v>
      </c>
      <c r="HS273" s="622">
        <f>'background data'!$O$10</f>
        <v>2.73</v>
      </c>
      <c r="HT273" s="145" t="s">
        <v>1797</v>
      </c>
      <c r="HU273" s="145" t="s">
        <v>1809</v>
      </c>
      <c r="HV273" s="22" t="s">
        <v>818</v>
      </c>
      <c r="HW273" s="22" t="s">
        <v>724</v>
      </c>
      <c r="HX273" s="22" t="s">
        <v>725</v>
      </c>
      <c r="HY273" s="22" t="s">
        <v>726</v>
      </c>
      <c r="HZ273" s="19"/>
      <c r="IA273" s="19"/>
      <c r="IB273" s="622">
        <f>'background data'!$G$10</f>
        <v>0.47300000000000003</v>
      </c>
      <c r="IC273" s="622">
        <f>'background data'!$H$10</f>
        <v>0.13</v>
      </c>
      <c r="ID273" s="622">
        <f>'background data'!$J$10</f>
        <v>0.39100000000000001</v>
      </c>
      <c r="IE273" s="622">
        <f>'background data'!$L$10</f>
        <v>5.5E-2</v>
      </c>
      <c r="IF273" s="622">
        <f>'background data'!$M$10</f>
        <v>3.97</v>
      </c>
      <c r="IG273" s="622">
        <f>'background data'!$N$10</f>
        <v>4.5999999999999999E-3</v>
      </c>
      <c r="IH273" s="622">
        <f>'background data'!$O$10</f>
        <v>2.73</v>
      </c>
      <c r="II273" s="145" t="s">
        <v>1797</v>
      </c>
      <c r="IJ273" s="145" t="s">
        <v>818</v>
      </c>
      <c r="IK273" s="145"/>
      <c r="IL273" s="145"/>
      <c r="IM273" s="145"/>
      <c r="IN273" s="145"/>
      <c r="IO273" s="145"/>
      <c r="IP273" s="145"/>
      <c r="IQ273" s="145"/>
      <c r="IR273" s="145"/>
      <c r="IS273" s="145"/>
      <c r="IT273" s="145"/>
      <c r="IU273" s="145"/>
      <c r="IV273" s="145"/>
      <c r="IW273" s="145"/>
      <c r="IX273" s="145"/>
      <c r="IY273" s="145"/>
      <c r="IZ273" s="145"/>
      <c r="JA273" s="145"/>
      <c r="JB273" s="145"/>
      <c r="JC273" s="145"/>
      <c r="JD273" s="145"/>
      <c r="JE273" s="145"/>
      <c r="JF273" s="145"/>
      <c r="JG273" s="145"/>
      <c r="JH273" s="145"/>
      <c r="JI273" s="145"/>
      <c r="JJ273" s="145"/>
      <c r="JK273" s="145"/>
      <c r="JL273" s="145"/>
      <c r="JM273" s="145"/>
      <c r="JN273" s="145"/>
      <c r="JO273" s="145"/>
      <c r="JP273" s="145"/>
      <c r="JQ273" s="145"/>
      <c r="JR273" s="145"/>
      <c r="JS273" s="145"/>
      <c r="JT273" s="145"/>
      <c r="JU273" s="145"/>
      <c r="JV273" s="145"/>
      <c r="JW273" s="145"/>
      <c r="JX273" s="145"/>
      <c r="JY273" s="145"/>
      <c r="JZ273" s="145"/>
      <c r="KA273" s="145"/>
      <c r="KB273" s="145"/>
      <c r="KC273" s="145"/>
      <c r="KD273" s="145"/>
      <c r="KE273" s="145"/>
      <c r="KF273" s="145"/>
      <c r="KG273" s="145"/>
      <c r="KH273" s="145"/>
      <c r="KI273" s="145"/>
      <c r="KJ273" s="145"/>
      <c r="KK273" s="145"/>
      <c r="KL273" s="145"/>
      <c r="KM273" s="145"/>
      <c r="KN273" s="145"/>
      <c r="KO273" s="145"/>
      <c r="KP273" s="145"/>
      <c r="KQ273" s="145"/>
      <c r="KR273" s="145"/>
      <c r="KS273" s="145"/>
      <c r="KT273" s="145"/>
      <c r="KU273" s="145"/>
      <c r="KV273" s="145"/>
      <c r="KW273" s="145"/>
      <c r="KX273" s="145"/>
      <c r="KY273" s="145"/>
      <c r="KZ273" s="145"/>
      <c r="LA273" s="145"/>
      <c r="LB273" s="145"/>
      <c r="LC273" s="145"/>
      <c r="LD273" s="145"/>
      <c r="LE273" s="145"/>
      <c r="LF273" s="145"/>
      <c r="LG273" s="145"/>
      <c r="LH273" s="145"/>
      <c r="LI273" s="145"/>
      <c r="LJ273" s="145"/>
      <c r="LK273" s="145"/>
      <c r="LL273" s="145"/>
      <c r="LM273" s="145"/>
      <c r="LN273" s="145"/>
      <c r="LO273" s="145"/>
      <c r="LP273" s="145"/>
      <c r="LQ273" s="145"/>
      <c r="LR273" s="145"/>
      <c r="LS273" s="145"/>
      <c r="LT273" s="145"/>
      <c r="LU273" s="145"/>
      <c r="LV273" s="145"/>
      <c r="LW273" s="145"/>
      <c r="LX273" s="145"/>
      <c r="LY273" s="145"/>
      <c r="LZ273" s="145"/>
      <c r="MA273" s="145"/>
      <c r="MB273" s="145"/>
      <c r="MC273" s="145"/>
      <c r="MD273" s="145"/>
      <c r="ME273" s="145"/>
      <c r="MF273" s="145"/>
      <c r="MG273" s="145"/>
      <c r="MH273" s="145"/>
      <c r="MI273" s="145"/>
      <c r="MJ273" s="145"/>
      <c r="MK273" s="145"/>
      <c r="ML273" s="145"/>
      <c r="MM273" s="145"/>
      <c r="MN273" s="145"/>
      <c r="MO273" s="145"/>
      <c r="MP273" s="145"/>
      <c r="MQ273" s="145"/>
      <c r="MR273" s="145"/>
      <c r="MS273" s="145"/>
      <c r="MT273" s="145"/>
      <c r="MU273" s="145"/>
      <c r="MV273" s="145"/>
      <c r="MW273" s="145"/>
      <c r="MX273" s="145"/>
      <c r="MY273" s="145"/>
      <c r="MZ273" s="145"/>
      <c r="NA273" s="145"/>
      <c r="NB273" s="145"/>
      <c r="NC273" s="145"/>
      <c r="ND273" s="145"/>
      <c r="NE273" s="145"/>
      <c r="NF273" s="145"/>
      <c r="NG273" s="145"/>
      <c r="NH273" s="145"/>
      <c r="NI273" s="145"/>
      <c r="NJ273" s="145"/>
      <c r="NK273" s="145"/>
      <c r="NL273" s="145"/>
      <c r="NM273" s="145"/>
      <c r="NN273" s="145"/>
      <c r="NO273" s="145"/>
      <c r="NP273" s="145"/>
      <c r="NQ273" s="145"/>
      <c r="NR273" s="145"/>
      <c r="NS273" s="145"/>
    </row>
    <row r="274" spans="1:383" s="16" customFormat="1" ht="15" customHeight="1" x14ac:dyDescent="0.2">
      <c r="A274" s="15">
        <v>56110</v>
      </c>
      <c r="B274" s="25">
        <v>561</v>
      </c>
      <c r="C274" s="26">
        <v>10</v>
      </c>
      <c r="D274" s="20" t="s">
        <v>733</v>
      </c>
      <c r="E274" s="14">
        <v>42678</v>
      </c>
      <c r="F274" s="18">
        <v>1.12403800813008</v>
      </c>
      <c r="G274" s="18">
        <v>1.1074305038961101</v>
      </c>
      <c r="H274" s="21">
        <v>89.7</v>
      </c>
      <c r="I274" s="21">
        <v>85.800023400000001</v>
      </c>
      <c r="J274" s="21">
        <v>93</v>
      </c>
      <c r="K274" s="18">
        <v>1</v>
      </c>
      <c r="L274" s="18">
        <v>85</v>
      </c>
      <c r="M274" s="18">
        <v>10.199999999999999</v>
      </c>
      <c r="N274" s="18">
        <v>1.9</v>
      </c>
      <c r="O274" s="18">
        <v>1.7</v>
      </c>
      <c r="P274" s="18">
        <v>2.6</v>
      </c>
      <c r="Q274" s="19"/>
      <c r="R274" s="18">
        <v>84.029241176470606</v>
      </c>
      <c r="S274" s="18">
        <v>28</v>
      </c>
      <c r="T274" s="18">
        <v>42</v>
      </c>
      <c r="U274" s="18">
        <v>48</v>
      </c>
      <c r="V274" s="18">
        <v>53</v>
      </c>
      <c r="W274" s="18">
        <v>56</v>
      </c>
      <c r="X274" s="18"/>
      <c r="Y274" s="18">
        <v>0.58823529411764708</v>
      </c>
      <c r="Z274" s="18">
        <v>3.5294117647058822</v>
      </c>
      <c r="AA274" s="18">
        <v>0.1</v>
      </c>
      <c r="AB274" s="18">
        <v>0</v>
      </c>
      <c r="AC274" s="18">
        <v>0</v>
      </c>
      <c r="AD274" s="18">
        <v>0</v>
      </c>
      <c r="AE274" s="18">
        <v>0</v>
      </c>
      <c r="AF274" s="18">
        <v>0</v>
      </c>
      <c r="AG274" s="18">
        <v>0</v>
      </c>
      <c r="AH274" s="18">
        <v>0</v>
      </c>
      <c r="AI274" s="18">
        <v>0</v>
      </c>
      <c r="AJ274" s="18">
        <v>0</v>
      </c>
      <c r="AK274" s="18">
        <v>0</v>
      </c>
      <c r="AL274" s="18"/>
      <c r="AM274" s="18">
        <v>3.24</v>
      </c>
      <c r="AN274" s="18">
        <v>1.69</v>
      </c>
      <c r="AO274" s="18">
        <v>2.2200000000000002</v>
      </c>
      <c r="AP274" s="18">
        <v>3.15</v>
      </c>
      <c r="AQ274" s="18">
        <v>1.22</v>
      </c>
      <c r="AR274" s="18">
        <v>3.36</v>
      </c>
      <c r="AS274" s="18">
        <v>6.42</v>
      </c>
      <c r="AT274" s="18">
        <v>2.2200000000000002</v>
      </c>
      <c r="AU274" s="18">
        <v>4.3600000000000003</v>
      </c>
      <c r="AV274" s="18">
        <v>2.8</v>
      </c>
      <c r="AW274" s="18">
        <v>4.5199999999999996</v>
      </c>
      <c r="AX274" s="18"/>
      <c r="AY274" s="18">
        <v>0.98</v>
      </c>
      <c r="AZ274" s="18">
        <v>1.05</v>
      </c>
      <c r="BA274" s="18">
        <v>1.03</v>
      </c>
      <c r="BB274" s="18">
        <v>0.95</v>
      </c>
      <c r="BC274" s="18">
        <v>0.92</v>
      </c>
      <c r="BD274" s="18">
        <v>1.01</v>
      </c>
      <c r="BE274" s="18">
        <v>1.01</v>
      </c>
      <c r="BF274" s="18">
        <v>1.03</v>
      </c>
      <c r="BG274" s="18">
        <v>1.06</v>
      </c>
      <c r="BH274" s="18">
        <v>1</v>
      </c>
      <c r="BI274" s="18">
        <v>0.98</v>
      </c>
      <c r="BJ274" s="19"/>
      <c r="BK274" s="18">
        <v>11.999999999999998</v>
      </c>
      <c r="BL274" s="18">
        <v>2.2352941176470589</v>
      </c>
      <c r="BM274" s="18">
        <v>2</v>
      </c>
      <c r="BN274" s="18">
        <v>3.0588235294117645</v>
      </c>
      <c r="BO274" s="18"/>
      <c r="BP274" s="18">
        <v>105</v>
      </c>
      <c r="BQ274" s="18">
        <v>23.470588235294116</v>
      </c>
      <c r="BR274" s="18">
        <v>1.3223976566236235</v>
      </c>
      <c r="BS274" s="18">
        <v>1.3028594163483649</v>
      </c>
      <c r="BT274" s="19"/>
      <c r="BU274" s="18">
        <v>980</v>
      </c>
      <c r="BV274" s="18">
        <v>693.57764705882357</v>
      </c>
      <c r="BW274" s="18">
        <v>54.599672400000237</v>
      </c>
      <c r="BX274" s="18">
        <v>641</v>
      </c>
      <c r="BY274" s="18">
        <v>33</v>
      </c>
      <c r="BZ274" s="18">
        <v>29.293882352941175</v>
      </c>
      <c r="CA274" s="18">
        <v>117.17552941176505</v>
      </c>
      <c r="CB274" s="19"/>
      <c r="CC274" s="19">
        <v>0.5</v>
      </c>
      <c r="CD274" s="19">
        <v>3</v>
      </c>
      <c r="CE274" s="19">
        <v>8.5000000000000006E-2</v>
      </c>
      <c r="CF274" s="19">
        <v>0</v>
      </c>
      <c r="CG274" s="19">
        <v>0</v>
      </c>
      <c r="CH274" s="19">
        <v>0</v>
      </c>
      <c r="CI274" s="19">
        <v>0</v>
      </c>
      <c r="CJ274" s="19"/>
      <c r="CK274" s="19">
        <v>0</v>
      </c>
      <c r="CL274" s="19">
        <v>0</v>
      </c>
      <c r="CM274" s="19">
        <v>0</v>
      </c>
      <c r="CN274" s="19">
        <v>0</v>
      </c>
      <c r="CO274" s="19">
        <v>0</v>
      </c>
      <c r="CP274" s="19">
        <v>0</v>
      </c>
      <c r="CQ274" s="19">
        <v>85.709826000000206</v>
      </c>
      <c r="CR274" s="19">
        <v>76.251715137804652</v>
      </c>
      <c r="CS274" s="19">
        <v>2.4211444590555673</v>
      </c>
      <c r="CT274" s="19">
        <v>1.35308668512034</v>
      </c>
      <c r="CU274" s="19">
        <v>1.7435717183410369</v>
      </c>
      <c r="CV274" s="19">
        <v>3.0966584034613773</v>
      </c>
      <c r="CW274" s="19">
        <v>2.2818325754987985</v>
      </c>
      <c r="CX274" s="19">
        <v>0.85584925070671725</v>
      </c>
      <c r="CY274" s="19">
        <v>2.5876782049165321</v>
      </c>
      <c r="CZ274" s="19">
        <v>4.944313712965517</v>
      </c>
      <c r="DA274" s="19">
        <v>1.7435717183410369</v>
      </c>
      <c r="DB274" s="19">
        <v>3.5240492668087797</v>
      </c>
      <c r="DC274" s="19">
        <v>2.1350480238585252</v>
      </c>
      <c r="DD274" s="19">
        <v>5.6590972906672965</v>
      </c>
      <c r="DE274" s="19">
        <v>3.3776459737441864</v>
      </c>
      <c r="DF274" s="23">
        <v>0</v>
      </c>
      <c r="DG274" s="23">
        <v>0</v>
      </c>
      <c r="DH274" s="23">
        <v>0</v>
      </c>
      <c r="DI274" s="19">
        <v>0</v>
      </c>
      <c r="DJ274" s="19">
        <v>0</v>
      </c>
      <c r="DK274" s="19">
        <v>0</v>
      </c>
      <c r="DL274" s="19">
        <v>0</v>
      </c>
      <c r="DM274" s="19">
        <v>0</v>
      </c>
      <c r="DN274" s="19">
        <v>0</v>
      </c>
      <c r="DO274" s="19">
        <v>0</v>
      </c>
      <c r="DP274" s="19">
        <v>0</v>
      </c>
      <c r="DQ274" s="19">
        <v>0</v>
      </c>
      <c r="DR274" s="19">
        <v>0</v>
      </c>
      <c r="DS274" s="19">
        <v>0</v>
      </c>
      <c r="DT274" s="19">
        <v>0</v>
      </c>
      <c r="DU274" s="19">
        <v>0</v>
      </c>
      <c r="DV274" s="19">
        <v>0</v>
      </c>
      <c r="DW274" s="17" t="s">
        <v>723</v>
      </c>
      <c r="DX274" s="22" t="s">
        <v>218</v>
      </c>
      <c r="DY274" s="22">
        <v>8</v>
      </c>
      <c r="DZ274" s="22">
        <v>4</v>
      </c>
      <c r="EA274" s="22">
        <v>4</v>
      </c>
      <c r="EB274" s="22" t="s">
        <v>218</v>
      </c>
      <c r="EC274" s="22">
        <v>4</v>
      </c>
      <c r="ED274" s="22">
        <v>4</v>
      </c>
      <c r="EE274" s="22" t="s">
        <v>218</v>
      </c>
      <c r="EF274" s="22">
        <v>4</v>
      </c>
      <c r="EG274" s="22">
        <v>4</v>
      </c>
      <c r="EH274" s="22" t="s">
        <v>218</v>
      </c>
      <c r="EI274" s="22" t="s">
        <v>218</v>
      </c>
      <c r="EJ274" s="22" t="s">
        <v>218</v>
      </c>
      <c r="EK274" s="22" t="s">
        <v>218</v>
      </c>
      <c r="EL274" s="22" t="s">
        <v>218</v>
      </c>
      <c r="EM274" s="22" t="s">
        <v>218</v>
      </c>
      <c r="EN274" s="22" t="s">
        <v>218</v>
      </c>
      <c r="EO274" s="22" t="s">
        <v>218</v>
      </c>
      <c r="EP274" s="22" t="s">
        <v>218</v>
      </c>
      <c r="EQ274" s="22" t="s">
        <v>218</v>
      </c>
      <c r="ER274" s="22" t="s">
        <v>218</v>
      </c>
      <c r="ES274" s="22">
        <v>4</v>
      </c>
      <c r="ET274" s="22">
        <v>8</v>
      </c>
      <c r="EU274" s="22" t="s">
        <v>218</v>
      </c>
      <c r="EV274" s="22" t="s">
        <v>218</v>
      </c>
      <c r="EW274" s="22" t="s">
        <v>218</v>
      </c>
      <c r="EX274" s="22" t="s">
        <v>218</v>
      </c>
      <c r="EY274" s="22" t="s">
        <v>218</v>
      </c>
      <c r="EZ274" s="22" t="s">
        <v>218</v>
      </c>
      <c r="FA274" s="22" t="s">
        <v>218</v>
      </c>
      <c r="FB274" s="22" t="s">
        <v>218</v>
      </c>
      <c r="FC274" s="22" t="s">
        <v>218</v>
      </c>
      <c r="FD274" s="22" t="s">
        <v>218</v>
      </c>
      <c r="FE274" s="22" t="s">
        <v>218</v>
      </c>
      <c r="FF274" s="22" t="s">
        <v>218</v>
      </c>
      <c r="FG274" s="22">
        <v>1</v>
      </c>
      <c r="FH274" s="22">
        <v>0.4</v>
      </c>
      <c r="FI274" s="22">
        <v>0.15</v>
      </c>
      <c r="FJ274" s="22" t="s">
        <v>218</v>
      </c>
      <c r="FK274" s="22">
        <v>1.1000000000000001</v>
      </c>
      <c r="FL274" s="22">
        <v>1.3</v>
      </c>
      <c r="FM274" s="22" t="s">
        <v>218</v>
      </c>
      <c r="FN274" s="22">
        <v>2.2999999999999998</v>
      </c>
      <c r="FO274" s="22">
        <v>1.9</v>
      </c>
      <c r="FP274" s="22" t="s">
        <v>218</v>
      </c>
      <c r="FQ274" s="22" t="s">
        <v>218</v>
      </c>
      <c r="FR274" s="22" t="s">
        <v>218</v>
      </c>
      <c r="FS274" s="22" t="s">
        <v>218</v>
      </c>
      <c r="FT274" s="22" t="s">
        <v>218</v>
      </c>
      <c r="FU274" s="22" t="s">
        <v>218</v>
      </c>
      <c r="FV274" s="22" t="s">
        <v>218</v>
      </c>
      <c r="FW274" s="22" t="s">
        <v>218</v>
      </c>
      <c r="FX274" s="22" t="s">
        <v>218</v>
      </c>
      <c r="FY274" s="22" t="s">
        <v>218</v>
      </c>
      <c r="FZ274" s="22" t="s">
        <v>218</v>
      </c>
      <c r="GA274" s="22">
        <v>7.0000000000000007E-2</v>
      </c>
      <c r="GB274" s="22">
        <v>0.3</v>
      </c>
      <c r="GC274" s="22" t="s">
        <v>218</v>
      </c>
      <c r="GD274" s="22" t="s">
        <v>218</v>
      </c>
      <c r="GE274" s="22" t="s">
        <v>218</v>
      </c>
      <c r="GF274" s="22" t="s">
        <v>218</v>
      </c>
      <c r="GG274" s="22" t="s">
        <v>218</v>
      </c>
      <c r="GH274" s="22" t="s">
        <v>218</v>
      </c>
      <c r="GI274" s="22" t="s">
        <v>218</v>
      </c>
      <c r="GJ274" s="22" t="s">
        <v>218</v>
      </c>
      <c r="GK274" s="22" t="s">
        <v>218</v>
      </c>
      <c r="GL274" s="22" t="s">
        <v>218</v>
      </c>
      <c r="GM274" s="22" t="s">
        <v>218</v>
      </c>
      <c r="GN274" s="22" t="s">
        <v>218</v>
      </c>
      <c r="GO274" s="22">
        <v>2016</v>
      </c>
      <c r="GP274" s="22">
        <v>2016</v>
      </c>
      <c r="GQ274" s="22">
        <v>2016</v>
      </c>
      <c r="GR274" s="22" t="s">
        <v>218</v>
      </c>
      <c r="GS274" s="22">
        <v>2016</v>
      </c>
      <c r="GT274" s="22">
        <v>2016</v>
      </c>
      <c r="GU274" s="22" t="s">
        <v>218</v>
      </c>
      <c r="GV274" s="22">
        <v>2016</v>
      </c>
      <c r="GW274" s="22">
        <v>2016</v>
      </c>
      <c r="GX274" s="22" t="s">
        <v>218</v>
      </c>
      <c r="GY274" s="22" t="s">
        <v>218</v>
      </c>
      <c r="GZ274" s="22" t="s">
        <v>218</v>
      </c>
      <c r="HA274" s="22" t="s">
        <v>218</v>
      </c>
      <c r="HB274" s="22" t="s">
        <v>218</v>
      </c>
      <c r="HC274" s="22" t="s">
        <v>218</v>
      </c>
      <c r="HD274" s="22" t="s">
        <v>218</v>
      </c>
      <c r="HE274" s="22" t="s">
        <v>218</v>
      </c>
      <c r="HF274" s="22" t="s">
        <v>218</v>
      </c>
      <c r="HG274" s="22" t="s">
        <v>218</v>
      </c>
      <c r="HH274" s="22" t="s">
        <v>218</v>
      </c>
      <c r="HI274" s="22">
        <v>2016</v>
      </c>
      <c r="HJ274" s="22">
        <v>2016</v>
      </c>
      <c r="HK274" s="22" t="s">
        <v>218</v>
      </c>
      <c r="HL274" s="22" t="s">
        <v>218</v>
      </c>
      <c r="HM274" s="622">
        <f>'background data'!$G$10</f>
        <v>0.47300000000000003</v>
      </c>
      <c r="HN274" s="622">
        <f>'background data'!$H$10</f>
        <v>0.13</v>
      </c>
      <c r="HO274" s="622">
        <f>'background data'!$J$10</f>
        <v>0.39100000000000001</v>
      </c>
      <c r="HP274" s="622">
        <f>'background data'!$L$10</f>
        <v>5.5E-2</v>
      </c>
      <c r="HQ274" s="622">
        <f>'background data'!$M$10</f>
        <v>3.97</v>
      </c>
      <c r="HR274" s="622">
        <f>'background data'!$N$10</f>
        <v>4.5999999999999999E-3</v>
      </c>
      <c r="HS274" s="622">
        <f>'background data'!$O$10</f>
        <v>2.73</v>
      </c>
      <c r="HT274" s="145" t="s">
        <v>1797</v>
      </c>
      <c r="HU274" s="145" t="s">
        <v>1809</v>
      </c>
      <c r="HV274" s="22" t="s">
        <v>818</v>
      </c>
      <c r="HW274" s="22" t="s">
        <v>724</v>
      </c>
      <c r="HX274" s="22" t="s">
        <v>725</v>
      </c>
      <c r="HY274" s="22" t="s">
        <v>726</v>
      </c>
      <c r="HZ274" s="19"/>
      <c r="IA274" s="19"/>
      <c r="IB274" s="622">
        <f>'background data'!$G$10</f>
        <v>0.47300000000000003</v>
      </c>
      <c r="IC274" s="622">
        <f>'background data'!$H$10</f>
        <v>0.13</v>
      </c>
      <c r="ID274" s="622">
        <f>'background data'!$J$10</f>
        <v>0.39100000000000001</v>
      </c>
      <c r="IE274" s="622">
        <f>'background data'!$L$10</f>
        <v>5.5E-2</v>
      </c>
      <c r="IF274" s="622">
        <f>'background data'!$M$10</f>
        <v>3.97</v>
      </c>
      <c r="IG274" s="622">
        <f>'background data'!$N$10</f>
        <v>4.5999999999999999E-3</v>
      </c>
      <c r="IH274" s="622">
        <f>'background data'!$O$10</f>
        <v>2.73</v>
      </c>
      <c r="II274" s="145" t="s">
        <v>1797</v>
      </c>
      <c r="IJ274" s="145" t="s">
        <v>818</v>
      </c>
      <c r="IK274" s="145"/>
      <c r="IL274" s="145"/>
      <c r="IM274" s="145"/>
      <c r="IN274" s="145"/>
      <c r="IO274" s="145"/>
      <c r="IP274" s="145"/>
      <c r="IQ274" s="145"/>
      <c r="IR274" s="145"/>
      <c r="IS274" s="145"/>
      <c r="IT274" s="145"/>
      <c r="IU274" s="145"/>
      <c r="IV274" s="145"/>
      <c r="IW274" s="145"/>
      <c r="IX274" s="145"/>
      <c r="IY274" s="145"/>
      <c r="IZ274" s="145"/>
      <c r="JA274" s="145"/>
      <c r="JB274" s="145"/>
      <c r="JC274" s="145"/>
      <c r="JD274" s="145"/>
      <c r="JE274" s="145"/>
      <c r="JF274" s="145"/>
      <c r="JG274" s="145"/>
      <c r="JH274" s="145"/>
      <c r="JI274" s="145"/>
      <c r="JJ274" s="145"/>
      <c r="JK274" s="145"/>
      <c r="JL274" s="145"/>
      <c r="JM274" s="145"/>
      <c r="JN274" s="145"/>
      <c r="JO274" s="145"/>
      <c r="JP274" s="145"/>
      <c r="JQ274" s="145"/>
      <c r="JR274" s="145"/>
      <c r="JS274" s="145"/>
      <c r="JT274" s="145"/>
      <c r="JU274" s="145"/>
      <c r="JV274" s="145"/>
      <c r="JW274" s="145"/>
      <c r="JX274" s="145"/>
      <c r="JY274" s="145"/>
      <c r="JZ274" s="145"/>
      <c r="KA274" s="145"/>
      <c r="KB274" s="145"/>
      <c r="KC274" s="145"/>
      <c r="KD274" s="145"/>
      <c r="KE274" s="145"/>
      <c r="KF274" s="145"/>
      <c r="KG274" s="145"/>
      <c r="KH274" s="145"/>
      <c r="KI274" s="145"/>
      <c r="KJ274" s="145"/>
      <c r="KK274" s="145"/>
      <c r="KL274" s="145"/>
      <c r="KM274" s="145"/>
      <c r="KN274" s="145"/>
      <c r="KO274" s="145"/>
      <c r="KP274" s="145"/>
      <c r="KQ274" s="145"/>
      <c r="KR274" s="145"/>
      <c r="KS274" s="145"/>
      <c r="KT274" s="145"/>
      <c r="KU274" s="145"/>
      <c r="KV274" s="145"/>
      <c r="KW274" s="145"/>
      <c r="KX274" s="145"/>
      <c r="KY274" s="145"/>
      <c r="KZ274" s="145"/>
      <c r="LA274" s="145"/>
      <c r="LB274" s="145"/>
      <c r="LC274" s="145"/>
      <c r="LD274" s="145"/>
      <c r="LE274" s="145"/>
      <c r="LF274" s="145"/>
      <c r="LG274" s="145"/>
      <c r="LH274" s="145"/>
      <c r="LI274" s="145"/>
      <c r="LJ274" s="145"/>
      <c r="LK274" s="145"/>
      <c r="LL274" s="145"/>
      <c r="LM274" s="145"/>
      <c r="LN274" s="145"/>
      <c r="LO274" s="145"/>
      <c r="LP274" s="145"/>
      <c r="LQ274" s="145"/>
      <c r="LR274" s="145"/>
      <c r="LS274" s="145"/>
      <c r="LT274" s="145"/>
      <c r="LU274" s="145"/>
      <c r="LV274" s="145"/>
      <c r="LW274" s="145"/>
      <c r="LX274" s="145"/>
      <c r="LY274" s="145"/>
      <c r="LZ274" s="145"/>
      <c r="MA274" s="145"/>
      <c r="MB274" s="145"/>
      <c r="MC274" s="145"/>
      <c r="MD274" s="145"/>
      <c r="ME274" s="145"/>
      <c r="MF274" s="145"/>
      <c r="MG274" s="145"/>
      <c r="MH274" s="145"/>
      <c r="MI274" s="145"/>
      <c r="MJ274" s="145"/>
      <c r="MK274" s="145"/>
      <c r="ML274" s="145"/>
      <c r="MM274" s="145"/>
      <c r="MN274" s="145"/>
      <c r="MO274" s="145"/>
      <c r="MP274" s="145"/>
      <c r="MQ274" s="145"/>
      <c r="MR274" s="145"/>
      <c r="MS274" s="145"/>
      <c r="MT274" s="145"/>
      <c r="MU274" s="145"/>
      <c r="MV274" s="145"/>
      <c r="MW274" s="145"/>
      <c r="MX274" s="145"/>
      <c r="MY274" s="145"/>
      <c r="MZ274" s="145"/>
      <c r="NA274" s="145"/>
      <c r="NB274" s="145"/>
      <c r="NC274" s="145"/>
      <c r="ND274" s="145"/>
      <c r="NE274" s="145"/>
      <c r="NF274" s="145"/>
      <c r="NG274" s="145"/>
      <c r="NH274" s="145"/>
      <c r="NI274" s="145"/>
      <c r="NJ274" s="145"/>
      <c r="NK274" s="145"/>
      <c r="NL274" s="145"/>
      <c r="NM274" s="145"/>
      <c r="NN274" s="145"/>
      <c r="NO274" s="145"/>
      <c r="NP274" s="145"/>
      <c r="NQ274" s="145"/>
      <c r="NR274" s="145"/>
      <c r="NS274" s="145"/>
    </row>
    <row r="275" spans="1:383" s="16" customFormat="1" ht="15" customHeight="1" x14ac:dyDescent="0.2">
      <c r="A275" s="15">
        <v>56111</v>
      </c>
      <c r="B275" s="25">
        <v>561</v>
      </c>
      <c r="C275" s="26">
        <v>11</v>
      </c>
      <c r="D275" s="20" t="s">
        <v>734</v>
      </c>
      <c r="E275" s="14">
        <v>42678</v>
      </c>
      <c r="F275" s="18">
        <v>1.13371280487805</v>
      </c>
      <c r="G275" s="18">
        <v>1.11423050389611</v>
      </c>
      <c r="H275" s="21">
        <v>89.7</v>
      </c>
      <c r="I275" s="21">
        <v>86.599968000000004</v>
      </c>
      <c r="J275" s="21">
        <v>93</v>
      </c>
      <c r="K275" s="18">
        <v>1</v>
      </c>
      <c r="L275" s="18">
        <v>85</v>
      </c>
      <c r="M275" s="18">
        <v>10.199999999999999</v>
      </c>
      <c r="N275" s="18">
        <v>1.9</v>
      </c>
      <c r="O275" s="18">
        <v>1.7</v>
      </c>
      <c r="P275" s="18">
        <v>2.6</v>
      </c>
      <c r="Q275" s="19"/>
      <c r="R275" s="18">
        <v>84.645241176470606</v>
      </c>
      <c r="S275" s="18">
        <v>28</v>
      </c>
      <c r="T275" s="18">
        <v>42</v>
      </c>
      <c r="U275" s="18">
        <v>48</v>
      </c>
      <c r="V275" s="18">
        <v>53</v>
      </c>
      <c r="W275" s="18">
        <v>56</v>
      </c>
      <c r="X275" s="18"/>
      <c r="Y275" s="18">
        <v>0.58823529411764708</v>
      </c>
      <c r="Z275" s="18">
        <v>3.5294117647058822</v>
      </c>
      <c r="AA275" s="18">
        <v>0.1</v>
      </c>
      <c r="AB275" s="18">
        <v>0</v>
      </c>
      <c r="AC275" s="18">
        <v>0</v>
      </c>
      <c r="AD275" s="18">
        <v>0</v>
      </c>
      <c r="AE275" s="18">
        <v>0</v>
      </c>
      <c r="AF275" s="18">
        <v>0</v>
      </c>
      <c r="AG275" s="18">
        <v>0</v>
      </c>
      <c r="AH275" s="18">
        <v>0</v>
      </c>
      <c r="AI275" s="18">
        <v>0</v>
      </c>
      <c r="AJ275" s="18">
        <v>0</v>
      </c>
      <c r="AK275" s="18">
        <v>0</v>
      </c>
      <c r="AL275" s="18"/>
      <c r="AM275" s="18">
        <v>3.24</v>
      </c>
      <c r="AN275" s="18">
        <v>1.69</v>
      </c>
      <c r="AO275" s="18">
        <v>2.2200000000000002</v>
      </c>
      <c r="AP275" s="18">
        <v>3.15</v>
      </c>
      <c r="AQ275" s="18">
        <v>1.22</v>
      </c>
      <c r="AR275" s="18">
        <v>3.36</v>
      </c>
      <c r="AS275" s="18">
        <v>6.42</v>
      </c>
      <c r="AT275" s="18">
        <v>2.2200000000000002</v>
      </c>
      <c r="AU275" s="18">
        <v>4.3600000000000003</v>
      </c>
      <c r="AV275" s="18">
        <v>2.8</v>
      </c>
      <c r="AW275" s="18">
        <v>4.5199999999999996</v>
      </c>
      <c r="AX275" s="18"/>
      <c r="AY275" s="18">
        <v>0.98</v>
      </c>
      <c r="AZ275" s="18">
        <v>1.05</v>
      </c>
      <c r="BA275" s="18">
        <v>1.03</v>
      </c>
      <c r="BB275" s="18">
        <v>0.95</v>
      </c>
      <c r="BC275" s="18">
        <v>0.92</v>
      </c>
      <c r="BD275" s="18">
        <v>1.01</v>
      </c>
      <c r="BE275" s="18">
        <v>1.01</v>
      </c>
      <c r="BF275" s="18">
        <v>1.03</v>
      </c>
      <c r="BG275" s="18">
        <v>1.06</v>
      </c>
      <c r="BH275" s="18">
        <v>1</v>
      </c>
      <c r="BI275" s="18">
        <v>0.98</v>
      </c>
      <c r="BJ275" s="19"/>
      <c r="BK275" s="18">
        <v>11.999999999999998</v>
      </c>
      <c r="BL275" s="18">
        <v>2.2352941176470589</v>
      </c>
      <c r="BM275" s="18">
        <v>2</v>
      </c>
      <c r="BN275" s="18">
        <v>3.0588235294117645</v>
      </c>
      <c r="BO275" s="18"/>
      <c r="BP275" s="18">
        <v>105</v>
      </c>
      <c r="BQ275" s="18">
        <v>23.470588235294116</v>
      </c>
      <c r="BR275" s="18">
        <v>1.3337797704447649</v>
      </c>
      <c r="BS275" s="18">
        <v>1.3108594163483649</v>
      </c>
      <c r="BT275" s="19"/>
      <c r="BU275" s="18">
        <v>980</v>
      </c>
      <c r="BV275" s="18">
        <v>704.77764705882362</v>
      </c>
      <c r="BW275" s="18">
        <v>43.400448000000004</v>
      </c>
      <c r="BX275" s="18">
        <v>641</v>
      </c>
      <c r="BY275" s="18">
        <v>33</v>
      </c>
      <c r="BZ275" s="18">
        <v>27.053882352941176</v>
      </c>
      <c r="CA275" s="18">
        <v>108.21552941176505</v>
      </c>
      <c r="CB275" s="19"/>
      <c r="CC275" s="19">
        <v>0.5</v>
      </c>
      <c r="CD275" s="19">
        <v>3</v>
      </c>
      <c r="CE275" s="19">
        <v>8.5000000000000006E-2</v>
      </c>
      <c r="CF275" s="19">
        <v>0</v>
      </c>
      <c r="CG275" s="19">
        <v>0</v>
      </c>
      <c r="CH275" s="19">
        <v>0</v>
      </c>
      <c r="CI275" s="19">
        <v>0</v>
      </c>
      <c r="CJ275" s="19"/>
      <c r="CK275" s="19">
        <v>0</v>
      </c>
      <c r="CL275" s="19">
        <v>0</v>
      </c>
      <c r="CM275" s="19">
        <v>0</v>
      </c>
      <c r="CN275" s="19">
        <v>0</v>
      </c>
      <c r="CO275" s="19">
        <v>0</v>
      </c>
      <c r="CP275" s="19">
        <v>0</v>
      </c>
      <c r="CQ275" s="19">
        <v>86.338146000000293</v>
      </c>
      <c r="CR275" s="19">
        <v>76.155218172107894</v>
      </c>
      <c r="CS275" s="19">
        <v>2.4180804874007618</v>
      </c>
      <c r="CT275" s="19">
        <v>1.35137434646405</v>
      </c>
      <c r="CU275" s="19">
        <v>1.7413652187234132</v>
      </c>
      <c r="CV275" s="19">
        <v>3.0927395651874634</v>
      </c>
      <c r="CW275" s="19">
        <v>2.2789449038003209</v>
      </c>
      <c r="CX275" s="19">
        <v>0.85476616876373612</v>
      </c>
      <c r="CY275" s="19">
        <v>2.5844034838886363</v>
      </c>
      <c r="CZ275" s="19">
        <v>4.938056656715804</v>
      </c>
      <c r="DA275" s="19">
        <v>1.7413652187234132</v>
      </c>
      <c r="DB275" s="19">
        <v>3.5195895630421354</v>
      </c>
      <c r="DC275" s="19">
        <v>2.1323461088190139</v>
      </c>
      <c r="DD275" s="19">
        <v>5.6519356718611409</v>
      </c>
      <c r="DE275" s="19">
        <v>3.3733715441516803</v>
      </c>
      <c r="DF275" s="23">
        <v>0</v>
      </c>
      <c r="DG275" s="23">
        <v>0</v>
      </c>
      <c r="DH275" s="23">
        <v>0</v>
      </c>
      <c r="DI275" s="19">
        <v>0</v>
      </c>
      <c r="DJ275" s="19">
        <v>0</v>
      </c>
      <c r="DK275" s="19">
        <v>0</v>
      </c>
      <c r="DL275" s="19">
        <v>0</v>
      </c>
      <c r="DM275" s="19">
        <v>0</v>
      </c>
      <c r="DN275" s="19">
        <v>0</v>
      </c>
      <c r="DO275" s="19">
        <v>0</v>
      </c>
      <c r="DP275" s="19">
        <v>0</v>
      </c>
      <c r="DQ275" s="19">
        <v>0</v>
      </c>
      <c r="DR275" s="19">
        <v>0</v>
      </c>
      <c r="DS275" s="19">
        <v>0</v>
      </c>
      <c r="DT275" s="19">
        <v>0</v>
      </c>
      <c r="DU275" s="19">
        <v>0</v>
      </c>
      <c r="DV275" s="19">
        <v>0</v>
      </c>
      <c r="DW275" s="17" t="s">
        <v>723</v>
      </c>
      <c r="DX275" s="22" t="s">
        <v>218</v>
      </c>
      <c r="DY275" s="22">
        <v>8</v>
      </c>
      <c r="DZ275" s="22">
        <v>4</v>
      </c>
      <c r="EA275" s="22">
        <v>4</v>
      </c>
      <c r="EB275" s="22" t="s">
        <v>218</v>
      </c>
      <c r="EC275" s="22">
        <v>4</v>
      </c>
      <c r="ED275" s="22">
        <v>4</v>
      </c>
      <c r="EE275" s="22" t="s">
        <v>218</v>
      </c>
      <c r="EF275" s="22">
        <v>4</v>
      </c>
      <c r="EG275" s="22">
        <v>4</v>
      </c>
      <c r="EH275" s="22" t="s">
        <v>218</v>
      </c>
      <c r="EI275" s="22" t="s">
        <v>218</v>
      </c>
      <c r="EJ275" s="22" t="s">
        <v>218</v>
      </c>
      <c r="EK275" s="22" t="s">
        <v>218</v>
      </c>
      <c r="EL275" s="22" t="s">
        <v>218</v>
      </c>
      <c r="EM275" s="22" t="s">
        <v>218</v>
      </c>
      <c r="EN275" s="22" t="s">
        <v>218</v>
      </c>
      <c r="EO275" s="22" t="s">
        <v>218</v>
      </c>
      <c r="EP275" s="22" t="s">
        <v>218</v>
      </c>
      <c r="EQ275" s="22" t="s">
        <v>218</v>
      </c>
      <c r="ER275" s="22" t="s">
        <v>218</v>
      </c>
      <c r="ES275" s="22">
        <v>4</v>
      </c>
      <c r="ET275" s="22">
        <v>8</v>
      </c>
      <c r="EU275" s="22" t="s">
        <v>218</v>
      </c>
      <c r="EV275" s="22" t="s">
        <v>218</v>
      </c>
      <c r="EW275" s="22" t="s">
        <v>218</v>
      </c>
      <c r="EX275" s="22" t="s">
        <v>218</v>
      </c>
      <c r="EY275" s="22" t="s">
        <v>218</v>
      </c>
      <c r="EZ275" s="22" t="s">
        <v>218</v>
      </c>
      <c r="FA275" s="22" t="s">
        <v>218</v>
      </c>
      <c r="FB275" s="22" t="s">
        <v>218</v>
      </c>
      <c r="FC275" s="22" t="s">
        <v>218</v>
      </c>
      <c r="FD275" s="22" t="s">
        <v>218</v>
      </c>
      <c r="FE275" s="22" t="s">
        <v>218</v>
      </c>
      <c r="FF275" s="22" t="s">
        <v>218</v>
      </c>
      <c r="FG275" s="22">
        <v>1</v>
      </c>
      <c r="FH275" s="22">
        <v>0.4</v>
      </c>
      <c r="FI275" s="22">
        <v>0.15</v>
      </c>
      <c r="FJ275" s="22" t="s">
        <v>218</v>
      </c>
      <c r="FK275" s="22">
        <v>1.1000000000000001</v>
      </c>
      <c r="FL275" s="22">
        <v>1.3</v>
      </c>
      <c r="FM275" s="22" t="s">
        <v>218</v>
      </c>
      <c r="FN275" s="22">
        <v>2.2999999999999998</v>
      </c>
      <c r="FO275" s="22">
        <v>1.9</v>
      </c>
      <c r="FP275" s="22" t="s">
        <v>218</v>
      </c>
      <c r="FQ275" s="22" t="s">
        <v>218</v>
      </c>
      <c r="FR275" s="22" t="s">
        <v>218</v>
      </c>
      <c r="FS275" s="22" t="s">
        <v>218</v>
      </c>
      <c r="FT275" s="22" t="s">
        <v>218</v>
      </c>
      <c r="FU275" s="22" t="s">
        <v>218</v>
      </c>
      <c r="FV275" s="22" t="s">
        <v>218</v>
      </c>
      <c r="FW275" s="22" t="s">
        <v>218</v>
      </c>
      <c r="FX275" s="22" t="s">
        <v>218</v>
      </c>
      <c r="FY275" s="22" t="s">
        <v>218</v>
      </c>
      <c r="FZ275" s="22" t="s">
        <v>218</v>
      </c>
      <c r="GA275" s="22">
        <v>7.0000000000000007E-2</v>
      </c>
      <c r="GB275" s="22">
        <v>0.3</v>
      </c>
      <c r="GC275" s="22" t="s">
        <v>218</v>
      </c>
      <c r="GD275" s="22" t="s">
        <v>218</v>
      </c>
      <c r="GE275" s="22" t="s">
        <v>218</v>
      </c>
      <c r="GF275" s="22" t="s">
        <v>218</v>
      </c>
      <c r="GG275" s="22" t="s">
        <v>218</v>
      </c>
      <c r="GH275" s="22" t="s">
        <v>218</v>
      </c>
      <c r="GI275" s="22" t="s">
        <v>218</v>
      </c>
      <c r="GJ275" s="22" t="s">
        <v>218</v>
      </c>
      <c r="GK275" s="22" t="s">
        <v>218</v>
      </c>
      <c r="GL275" s="22" t="s">
        <v>218</v>
      </c>
      <c r="GM275" s="22" t="s">
        <v>218</v>
      </c>
      <c r="GN275" s="22" t="s">
        <v>218</v>
      </c>
      <c r="GO275" s="22">
        <v>2016</v>
      </c>
      <c r="GP275" s="22">
        <v>2016</v>
      </c>
      <c r="GQ275" s="22">
        <v>2016</v>
      </c>
      <c r="GR275" s="22" t="s">
        <v>218</v>
      </c>
      <c r="GS275" s="22">
        <v>2016</v>
      </c>
      <c r="GT275" s="22">
        <v>2016</v>
      </c>
      <c r="GU275" s="22" t="s">
        <v>218</v>
      </c>
      <c r="GV275" s="22">
        <v>2016</v>
      </c>
      <c r="GW275" s="22">
        <v>2016</v>
      </c>
      <c r="GX275" s="22" t="s">
        <v>218</v>
      </c>
      <c r="GY275" s="22" t="s">
        <v>218</v>
      </c>
      <c r="GZ275" s="22" t="s">
        <v>218</v>
      </c>
      <c r="HA275" s="22" t="s">
        <v>218</v>
      </c>
      <c r="HB275" s="22" t="s">
        <v>218</v>
      </c>
      <c r="HC275" s="22" t="s">
        <v>218</v>
      </c>
      <c r="HD275" s="22" t="s">
        <v>218</v>
      </c>
      <c r="HE275" s="22" t="s">
        <v>218</v>
      </c>
      <c r="HF275" s="22" t="s">
        <v>218</v>
      </c>
      <c r="HG275" s="22" t="s">
        <v>218</v>
      </c>
      <c r="HH275" s="22" t="s">
        <v>218</v>
      </c>
      <c r="HI275" s="22">
        <v>2016</v>
      </c>
      <c r="HJ275" s="22">
        <v>2016</v>
      </c>
      <c r="HK275" s="22" t="s">
        <v>218</v>
      </c>
      <c r="HL275" s="22" t="s">
        <v>218</v>
      </c>
      <c r="HM275" s="622">
        <f>'background data'!$G$10</f>
        <v>0.47300000000000003</v>
      </c>
      <c r="HN275" s="622">
        <f>'background data'!$H$10</f>
        <v>0.13</v>
      </c>
      <c r="HO275" s="622">
        <f>'background data'!$J$10</f>
        <v>0.39100000000000001</v>
      </c>
      <c r="HP275" s="622">
        <f>'background data'!$L$10</f>
        <v>5.5E-2</v>
      </c>
      <c r="HQ275" s="622">
        <f>'background data'!$M$10</f>
        <v>3.97</v>
      </c>
      <c r="HR275" s="622">
        <f>'background data'!$N$10</f>
        <v>4.5999999999999999E-3</v>
      </c>
      <c r="HS275" s="622">
        <f>'background data'!$O$10</f>
        <v>2.73</v>
      </c>
      <c r="HT275" s="145" t="s">
        <v>1797</v>
      </c>
      <c r="HU275" s="145" t="s">
        <v>1809</v>
      </c>
      <c r="HV275" s="22" t="s">
        <v>818</v>
      </c>
      <c r="HW275" s="22" t="s">
        <v>724</v>
      </c>
      <c r="HX275" s="22" t="s">
        <v>725</v>
      </c>
      <c r="HY275" s="22" t="s">
        <v>726</v>
      </c>
      <c r="HZ275" s="19"/>
      <c r="IA275" s="19"/>
      <c r="IB275" s="622">
        <f>'background data'!$G$10</f>
        <v>0.47300000000000003</v>
      </c>
      <c r="IC275" s="622">
        <f>'background data'!$H$10</f>
        <v>0.13</v>
      </c>
      <c r="ID275" s="622">
        <f>'background data'!$J$10</f>
        <v>0.39100000000000001</v>
      </c>
      <c r="IE275" s="622">
        <f>'background data'!$L$10</f>
        <v>5.5E-2</v>
      </c>
      <c r="IF275" s="622">
        <f>'background data'!$M$10</f>
        <v>3.97</v>
      </c>
      <c r="IG275" s="622">
        <f>'background data'!$N$10</f>
        <v>4.5999999999999999E-3</v>
      </c>
      <c r="IH275" s="622">
        <f>'background data'!$O$10</f>
        <v>2.73</v>
      </c>
      <c r="II275" s="145" t="s">
        <v>1797</v>
      </c>
      <c r="IJ275" s="145" t="s">
        <v>818</v>
      </c>
      <c r="IK275" s="145"/>
      <c r="IL275" s="145"/>
      <c r="IM275" s="145"/>
      <c r="IN275" s="145"/>
      <c r="IO275" s="145"/>
      <c r="IP275" s="145"/>
      <c r="IQ275" s="145"/>
      <c r="IR275" s="145"/>
      <c r="IS275" s="145"/>
      <c r="IT275" s="145"/>
      <c r="IU275" s="145"/>
      <c r="IV275" s="145"/>
      <c r="IW275" s="145"/>
      <c r="IX275" s="145"/>
      <c r="IY275" s="145"/>
      <c r="IZ275" s="145"/>
      <c r="JA275" s="145"/>
      <c r="JB275" s="145"/>
      <c r="JC275" s="145"/>
      <c r="JD275" s="145"/>
      <c r="JE275" s="145"/>
      <c r="JF275" s="145"/>
      <c r="JG275" s="145"/>
      <c r="JH275" s="145"/>
      <c r="JI275" s="145"/>
      <c r="JJ275" s="145"/>
      <c r="JK275" s="145"/>
      <c r="JL275" s="145"/>
      <c r="JM275" s="145"/>
      <c r="JN275" s="145"/>
      <c r="JO275" s="145"/>
      <c r="JP275" s="145"/>
      <c r="JQ275" s="145"/>
      <c r="JR275" s="145"/>
      <c r="JS275" s="145"/>
      <c r="JT275" s="145"/>
      <c r="JU275" s="145"/>
      <c r="JV275" s="145"/>
      <c r="JW275" s="145"/>
      <c r="JX275" s="145"/>
      <c r="JY275" s="145"/>
      <c r="JZ275" s="145"/>
      <c r="KA275" s="145"/>
      <c r="KB275" s="145"/>
      <c r="KC275" s="145"/>
      <c r="KD275" s="145"/>
      <c r="KE275" s="145"/>
      <c r="KF275" s="145"/>
      <c r="KG275" s="145"/>
      <c r="KH275" s="145"/>
      <c r="KI275" s="145"/>
      <c r="KJ275" s="145"/>
      <c r="KK275" s="145"/>
      <c r="KL275" s="145"/>
      <c r="KM275" s="145"/>
      <c r="KN275" s="145"/>
      <c r="KO275" s="145"/>
      <c r="KP275" s="145"/>
      <c r="KQ275" s="145"/>
      <c r="KR275" s="145"/>
      <c r="KS275" s="145"/>
      <c r="KT275" s="145"/>
      <c r="KU275" s="145"/>
      <c r="KV275" s="145"/>
      <c r="KW275" s="145"/>
      <c r="KX275" s="145"/>
      <c r="KY275" s="145"/>
      <c r="KZ275" s="145"/>
      <c r="LA275" s="145"/>
      <c r="LB275" s="145"/>
      <c r="LC275" s="145"/>
      <c r="LD275" s="145"/>
      <c r="LE275" s="145"/>
      <c r="LF275" s="145"/>
      <c r="LG275" s="145"/>
      <c r="LH275" s="145"/>
      <c r="LI275" s="145"/>
      <c r="LJ275" s="145"/>
      <c r="LK275" s="145"/>
      <c r="LL275" s="145"/>
      <c r="LM275" s="145"/>
      <c r="LN275" s="145"/>
      <c r="LO275" s="145"/>
      <c r="LP275" s="145"/>
      <c r="LQ275" s="145"/>
      <c r="LR275" s="145"/>
      <c r="LS275" s="145"/>
      <c r="LT275" s="145"/>
      <c r="LU275" s="145"/>
      <c r="LV275" s="145"/>
      <c r="LW275" s="145"/>
      <c r="LX275" s="145"/>
      <c r="LY275" s="145"/>
      <c r="LZ275" s="145"/>
      <c r="MA275" s="145"/>
      <c r="MB275" s="145"/>
      <c r="MC275" s="145"/>
      <c r="MD275" s="145"/>
      <c r="ME275" s="145"/>
      <c r="MF275" s="145"/>
      <c r="MG275" s="145"/>
      <c r="MH275" s="145"/>
      <c r="MI275" s="145"/>
      <c r="MJ275" s="145"/>
      <c r="MK275" s="145"/>
      <c r="ML275" s="145"/>
      <c r="MM275" s="145"/>
      <c r="MN275" s="145"/>
      <c r="MO275" s="145"/>
      <c r="MP275" s="145"/>
      <c r="MQ275" s="145"/>
      <c r="MR275" s="145"/>
      <c r="MS275" s="145"/>
      <c r="MT275" s="145"/>
      <c r="MU275" s="145"/>
      <c r="MV275" s="145"/>
      <c r="MW275" s="145"/>
      <c r="MX275" s="145"/>
      <c r="MY275" s="145"/>
      <c r="MZ275" s="145"/>
      <c r="NA275" s="145"/>
      <c r="NB275" s="145"/>
      <c r="NC275" s="145"/>
      <c r="ND275" s="145"/>
      <c r="NE275" s="145"/>
      <c r="NF275" s="145"/>
      <c r="NG275" s="145"/>
      <c r="NH275" s="145"/>
      <c r="NI275" s="145"/>
      <c r="NJ275" s="145"/>
      <c r="NK275" s="145"/>
      <c r="NL275" s="145"/>
      <c r="NM275" s="145"/>
      <c r="NN275" s="145"/>
      <c r="NO275" s="145"/>
      <c r="NP275" s="145"/>
      <c r="NQ275" s="145"/>
      <c r="NR275" s="145"/>
      <c r="NS275" s="145"/>
    </row>
    <row r="276" spans="1:383" s="16" customFormat="1" ht="15" customHeight="1" x14ac:dyDescent="0.2">
      <c r="A276" s="15">
        <v>56311</v>
      </c>
      <c r="B276" s="25">
        <v>563</v>
      </c>
      <c r="C276" s="26">
        <v>11</v>
      </c>
      <c r="D276" s="20" t="s">
        <v>735</v>
      </c>
      <c r="E276" s="14">
        <v>42517</v>
      </c>
      <c r="F276" s="18">
        <v>1.12505406504065</v>
      </c>
      <c r="G276" s="18">
        <v>1.10995937142857</v>
      </c>
      <c r="H276" s="21">
        <v>90.4</v>
      </c>
      <c r="I276" s="21">
        <v>85.600031200000004</v>
      </c>
      <c r="J276" s="21">
        <v>93</v>
      </c>
      <c r="K276" s="18">
        <v>1</v>
      </c>
      <c r="L276" s="18">
        <v>85</v>
      </c>
      <c r="M276" s="18">
        <v>9.9999999999999591</v>
      </c>
      <c r="N276" s="18">
        <v>1.9</v>
      </c>
      <c r="O276" s="18">
        <v>1.7</v>
      </c>
      <c r="P276" s="18">
        <v>2.6</v>
      </c>
      <c r="Q276" s="19"/>
      <c r="R276" s="18">
        <v>83.527811999999997</v>
      </c>
      <c r="S276" s="18">
        <v>28</v>
      </c>
      <c r="T276" s="18">
        <v>42</v>
      </c>
      <c r="U276" s="18">
        <v>48</v>
      </c>
      <c r="V276" s="18">
        <v>53</v>
      </c>
      <c r="W276" s="18">
        <v>56</v>
      </c>
      <c r="X276" s="18"/>
      <c r="Y276" s="18">
        <v>0.47058823529411764</v>
      </c>
      <c r="Z276" s="18">
        <v>3.5294117647058822</v>
      </c>
      <c r="AA276" s="18">
        <v>0.1</v>
      </c>
      <c r="AB276" s="18">
        <v>0</v>
      </c>
      <c r="AC276" s="18">
        <v>6.2</v>
      </c>
      <c r="AD276" s="18">
        <v>1.2</v>
      </c>
      <c r="AE276" s="18">
        <v>1.2</v>
      </c>
      <c r="AF276" s="18">
        <v>23.999999999999996</v>
      </c>
      <c r="AG276" s="18">
        <v>4</v>
      </c>
      <c r="AH276" s="18">
        <v>28</v>
      </c>
      <c r="AI276" s="18">
        <v>37</v>
      </c>
      <c r="AJ276" s="18">
        <v>0</v>
      </c>
      <c r="AK276" s="18">
        <v>0</v>
      </c>
      <c r="AL276" s="18"/>
      <c r="AM276" s="18">
        <v>3.24</v>
      </c>
      <c r="AN276" s="18">
        <v>1.69</v>
      </c>
      <c r="AO276" s="18">
        <v>2.2200000000000002</v>
      </c>
      <c r="AP276" s="18">
        <v>3.15</v>
      </c>
      <c r="AQ276" s="18">
        <v>1.22</v>
      </c>
      <c r="AR276" s="18">
        <v>3.36</v>
      </c>
      <c r="AS276" s="18">
        <v>6.42</v>
      </c>
      <c r="AT276" s="18">
        <v>2.2200000000000002</v>
      </c>
      <c r="AU276" s="18">
        <v>4.3600000000000003</v>
      </c>
      <c r="AV276" s="18">
        <v>2.8</v>
      </c>
      <c r="AW276" s="18">
        <v>4.5199999999999996</v>
      </c>
      <c r="AX276" s="18"/>
      <c r="AY276" s="18">
        <v>0.98</v>
      </c>
      <c r="AZ276" s="18">
        <v>1.05</v>
      </c>
      <c r="BA276" s="18">
        <v>1.03</v>
      </c>
      <c r="BB276" s="18">
        <v>0.95</v>
      </c>
      <c r="BC276" s="18">
        <v>0.92</v>
      </c>
      <c r="BD276" s="18">
        <v>1.01</v>
      </c>
      <c r="BE276" s="18">
        <v>1.01</v>
      </c>
      <c r="BF276" s="18">
        <v>1.03</v>
      </c>
      <c r="BG276" s="18">
        <v>1.06</v>
      </c>
      <c r="BH276" s="18">
        <v>1</v>
      </c>
      <c r="BI276" s="18">
        <v>0.98</v>
      </c>
      <c r="BJ276" s="19"/>
      <c r="BK276" s="18">
        <v>11.764705882352892</v>
      </c>
      <c r="BL276" s="18">
        <v>2.2352941176470589</v>
      </c>
      <c r="BM276" s="18">
        <v>2</v>
      </c>
      <c r="BN276" s="18">
        <v>3.0588235294117645</v>
      </c>
      <c r="BO276" s="18"/>
      <c r="BP276" s="18">
        <v>105</v>
      </c>
      <c r="BQ276" s="18">
        <v>23.470588235294116</v>
      </c>
      <c r="BR276" s="18">
        <v>1.3235930176948822</v>
      </c>
      <c r="BS276" s="18">
        <v>1.3058345546218471</v>
      </c>
      <c r="BT276" s="19"/>
      <c r="BU276" s="18">
        <v>980</v>
      </c>
      <c r="BV276" s="18">
        <v>689.97882352941178</v>
      </c>
      <c r="BW276" s="18">
        <v>67.199563200000242</v>
      </c>
      <c r="BX276" s="18">
        <v>641</v>
      </c>
      <c r="BY276" s="18">
        <v>33</v>
      </c>
      <c r="BZ276" s="18">
        <v>30.474823529411765</v>
      </c>
      <c r="CA276" s="18">
        <v>121.89929411764706</v>
      </c>
      <c r="CB276" s="19"/>
      <c r="CC276" s="19">
        <v>0.39999999999999997</v>
      </c>
      <c r="CD276" s="19">
        <v>3</v>
      </c>
      <c r="CE276" s="19">
        <v>8.5000000000000006E-2</v>
      </c>
      <c r="CF276" s="19">
        <v>0</v>
      </c>
      <c r="CG276" s="19">
        <v>5.27</v>
      </c>
      <c r="CH276" s="19">
        <v>1.02</v>
      </c>
      <c r="CI276" s="19">
        <v>1.02</v>
      </c>
      <c r="CJ276" s="19"/>
      <c r="CK276" s="19">
        <v>20.399999999999995</v>
      </c>
      <c r="CL276" s="19">
        <v>3.4</v>
      </c>
      <c r="CM276" s="19">
        <v>23.8</v>
      </c>
      <c r="CN276" s="19">
        <v>31.45</v>
      </c>
      <c r="CO276" s="19">
        <v>0</v>
      </c>
      <c r="CP276" s="19">
        <v>0</v>
      </c>
      <c r="CQ276" s="19">
        <v>83.527811999999699</v>
      </c>
      <c r="CR276" s="19">
        <v>74.243376025650562</v>
      </c>
      <c r="CS276" s="19">
        <v>2.3573756755664563</v>
      </c>
      <c r="CT276" s="19">
        <v>1.3174487075751651</v>
      </c>
      <c r="CU276" s="19">
        <v>1.6976490362025229</v>
      </c>
      <c r="CV276" s="19">
        <v>3.0150977437776971</v>
      </c>
      <c r="CW276" s="19">
        <v>2.2217330275675922</v>
      </c>
      <c r="CX276" s="19">
        <v>0.8333076525119022</v>
      </c>
      <c r="CY276" s="19">
        <v>2.5195232088064774</v>
      </c>
      <c r="CZ276" s="19">
        <v>4.8140889882552331</v>
      </c>
      <c r="DA276" s="19">
        <v>1.6976490362025229</v>
      </c>
      <c r="DB276" s="19">
        <v>3.4312318664014696</v>
      </c>
      <c r="DC276" s="19">
        <v>2.078814528718214</v>
      </c>
      <c r="DD276" s="19">
        <v>5.5100463951196845</v>
      </c>
      <c r="DE276" s="19">
        <v>3.2886845844322199</v>
      </c>
      <c r="DF276" s="23">
        <v>0</v>
      </c>
      <c r="DG276" s="23">
        <v>0</v>
      </c>
      <c r="DH276" s="23">
        <v>0</v>
      </c>
      <c r="DI276" s="19">
        <v>0</v>
      </c>
      <c r="DJ276" s="19">
        <v>0</v>
      </c>
      <c r="DK276" s="19">
        <v>0</v>
      </c>
      <c r="DL276" s="19">
        <v>0</v>
      </c>
      <c r="DM276" s="19">
        <v>0</v>
      </c>
      <c r="DN276" s="19">
        <v>0</v>
      </c>
      <c r="DO276" s="19">
        <v>0</v>
      </c>
      <c r="DP276" s="19">
        <v>0</v>
      </c>
      <c r="DQ276" s="19">
        <v>0</v>
      </c>
      <c r="DR276" s="19">
        <v>0</v>
      </c>
      <c r="DS276" s="19">
        <v>0</v>
      </c>
      <c r="DT276" s="19">
        <v>0</v>
      </c>
      <c r="DU276" s="19">
        <v>0</v>
      </c>
      <c r="DV276" s="19">
        <v>0</v>
      </c>
      <c r="DW276" s="17" t="s">
        <v>723</v>
      </c>
      <c r="DX276" s="22" t="s">
        <v>218</v>
      </c>
      <c r="DY276" s="22" t="s">
        <v>218</v>
      </c>
      <c r="DZ276" s="22" t="s">
        <v>218</v>
      </c>
      <c r="EA276" s="22" t="s">
        <v>218</v>
      </c>
      <c r="EB276" s="22" t="s">
        <v>218</v>
      </c>
      <c r="EC276" s="22" t="s">
        <v>218</v>
      </c>
      <c r="ED276" s="22" t="s">
        <v>218</v>
      </c>
      <c r="EE276" s="22" t="s">
        <v>218</v>
      </c>
      <c r="EF276" s="22" t="s">
        <v>218</v>
      </c>
      <c r="EG276" s="22" t="s">
        <v>218</v>
      </c>
      <c r="EH276" s="22" t="s">
        <v>218</v>
      </c>
      <c r="EI276" s="22" t="s">
        <v>218</v>
      </c>
      <c r="EJ276" s="22" t="s">
        <v>218</v>
      </c>
      <c r="EK276" s="22" t="s">
        <v>218</v>
      </c>
      <c r="EL276" s="22" t="s">
        <v>218</v>
      </c>
      <c r="EM276" s="22" t="s">
        <v>218</v>
      </c>
      <c r="EN276" s="22" t="s">
        <v>218</v>
      </c>
      <c r="EO276" s="22" t="s">
        <v>218</v>
      </c>
      <c r="EP276" s="22" t="s">
        <v>218</v>
      </c>
      <c r="EQ276" s="22" t="s">
        <v>218</v>
      </c>
      <c r="ER276" s="22" t="s">
        <v>218</v>
      </c>
      <c r="ES276" s="22" t="s">
        <v>218</v>
      </c>
      <c r="ET276" s="22" t="s">
        <v>218</v>
      </c>
      <c r="EU276" s="22" t="s">
        <v>218</v>
      </c>
      <c r="EV276" s="22" t="s">
        <v>218</v>
      </c>
      <c r="EW276" s="22" t="s">
        <v>218</v>
      </c>
      <c r="EX276" s="22" t="s">
        <v>218</v>
      </c>
      <c r="EY276" s="22" t="s">
        <v>218</v>
      </c>
      <c r="EZ276" s="22" t="s">
        <v>218</v>
      </c>
      <c r="FA276" s="22" t="s">
        <v>218</v>
      </c>
      <c r="FB276" s="22" t="s">
        <v>218</v>
      </c>
      <c r="FC276" s="22" t="s">
        <v>218</v>
      </c>
      <c r="FD276" s="22" t="s">
        <v>218</v>
      </c>
      <c r="FE276" s="22" t="s">
        <v>218</v>
      </c>
      <c r="FF276" s="22" t="s">
        <v>218</v>
      </c>
      <c r="FG276" s="22" t="s">
        <v>218</v>
      </c>
      <c r="FH276" s="22" t="s">
        <v>218</v>
      </c>
      <c r="FI276" s="22" t="s">
        <v>218</v>
      </c>
      <c r="FJ276" s="22" t="s">
        <v>218</v>
      </c>
      <c r="FK276" s="22" t="s">
        <v>218</v>
      </c>
      <c r="FL276" s="22" t="s">
        <v>218</v>
      </c>
      <c r="FM276" s="22" t="s">
        <v>218</v>
      </c>
      <c r="FN276" s="22" t="s">
        <v>218</v>
      </c>
      <c r="FO276" s="22" t="s">
        <v>218</v>
      </c>
      <c r="FP276" s="22" t="s">
        <v>218</v>
      </c>
      <c r="FQ276" s="22" t="s">
        <v>218</v>
      </c>
      <c r="FR276" s="22" t="s">
        <v>218</v>
      </c>
      <c r="FS276" s="22" t="s">
        <v>218</v>
      </c>
      <c r="FT276" s="22" t="s">
        <v>218</v>
      </c>
      <c r="FU276" s="22" t="s">
        <v>218</v>
      </c>
      <c r="FV276" s="22" t="s">
        <v>218</v>
      </c>
      <c r="FW276" s="22" t="s">
        <v>218</v>
      </c>
      <c r="FX276" s="22" t="s">
        <v>218</v>
      </c>
      <c r="FY276" s="22" t="s">
        <v>218</v>
      </c>
      <c r="FZ276" s="22" t="s">
        <v>218</v>
      </c>
      <c r="GA276" s="22" t="s">
        <v>218</v>
      </c>
      <c r="GB276" s="22" t="s">
        <v>218</v>
      </c>
      <c r="GC276" s="22" t="s">
        <v>218</v>
      </c>
      <c r="GD276" s="22" t="s">
        <v>218</v>
      </c>
      <c r="GE276" s="22" t="s">
        <v>218</v>
      </c>
      <c r="GF276" s="22" t="s">
        <v>218</v>
      </c>
      <c r="GG276" s="22" t="s">
        <v>218</v>
      </c>
      <c r="GH276" s="22" t="s">
        <v>218</v>
      </c>
      <c r="GI276" s="22" t="s">
        <v>218</v>
      </c>
      <c r="GJ276" s="22" t="s">
        <v>218</v>
      </c>
      <c r="GK276" s="22" t="s">
        <v>218</v>
      </c>
      <c r="GL276" s="22" t="s">
        <v>218</v>
      </c>
      <c r="GM276" s="22" t="s">
        <v>218</v>
      </c>
      <c r="GN276" s="22" t="s">
        <v>218</v>
      </c>
      <c r="GO276" s="22" t="s">
        <v>218</v>
      </c>
      <c r="GP276" s="22" t="s">
        <v>218</v>
      </c>
      <c r="GQ276" s="22" t="s">
        <v>218</v>
      </c>
      <c r="GR276" s="22" t="s">
        <v>218</v>
      </c>
      <c r="GS276" s="22" t="s">
        <v>218</v>
      </c>
      <c r="GT276" s="22" t="s">
        <v>218</v>
      </c>
      <c r="GU276" s="22" t="s">
        <v>218</v>
      </c>
      <c r="GV276" s="22" t="s">
        <v>218</v>
      </c>
      <c r="GW276" s="22" t="s">
        <v>218</v>
      </c>
      <c r="GX276" s="22" t="s">
        <v>218</v>
      </c>
      <c r="GY276" s="22" t="s">
        <v>218</v>
      </c>
      <c r="GZ276" s="22" t="s">
        <v>218</v>
      </c>
      <c r="HA276" s="22" t="s">
        <v>218</v>
      </c>
      <c r="HB276" s="22" t="s">
        <v>218</v>
      </c>
      <c r="HC276" s="22" t="s">
        <v>218</v>
      </c>
      <c r="HD276" s="22" t="s">
        <v>218</v>
      </c>
      <c r="HE276" s="22" t="s">
        <v>218</v>
      </c>
      <c r="HF276" s="22" t="s">
        <v>218</v>
      </c>
      <c r="HG276" s="22" t="s">
        <v>218</v>
      </c>
      <c r="HH276" s="22" t="s">
        <v>218</v>
      </c>
      <c r="HI276" s="22" t="s">
        <v>218</v>
      </c>
      <c r="HJ276" s="22" t="s">
        <v>218</v>
      </c>
      <c r="HK276" s="22" t="s">
        <v>218</v>
      </c>
      <c r="HL276" s="22" t="s">
        <v>218</v>
      </c>
      <c r="HM276" s="622">
        <f>'background data'!$G$10</f>
        <v>0.47300000000000003</v>
      </c>
      <c r="HN276" s="622">
        <f>'background data'!$H$10</f>
        <v>0.13</v>
      </c>
      <c r="HO276" s="622">
        <f>'background data'!$J$10</f>
        <v>0.39100000000000001</v>
      </c>
      <c r="HP276" s="622">
        <f>'background data'!$L$10</f>
        <v>5.5E-2</v>
      </c>
      <c r="HQ276" s="622">
        <f>'background data'!$M$10</f>
        <v>3.97</v>
      </c>
      <c r="HR276" s="622">
        <f>'background data'!$N$10</f>
        <v>4.5999999999999999E-3</v>
      </c>
      <c r="HS276" s="622">
        <f>'background data'!$O$10</f>
        <v>2.73</v>
      </c>
      <c r="HT276" s="145" t="s">
        <v>1797</v>
      </c>
      <c r="HU276" s="145" t="s">
        <v>1809</v>
      </c>
      <c r="HV276" s="22" t="s">
        <v>818</v>
      </c>
      <c r="HW276" s="22" t="s">
        <v>736</v>
      </c>
      <c r="HX276" s="22" t="s">
        <v>725</v>
      </c>
      <c r="HY276" s="22" t="s">
        <v>726</v>
      </c>
      <c r="HZ276" s="19"/>
      <c r="IA276" s="19"/>
      <c r="IB276" s="622">
        <f>'background data'!$G$10</f>
        <v>0.47300000000000003</v>
      </c>
      <c r="IC276" s="622">
        <f>'background data'!$H$10</f>
        <v>0.13</v>
      </c>
      <c r="ID276" s="622">
        <f>'background data'!$J$10</f>
        <v>0.39100000000000001</v>
      </c>
      <c r="IE276" s="622">
        <f>'background data'!$L$10</f>
        <v>5.5E-2</v>
      </c>
      <c r="IF276" s="622">
        <f>'background data'!$M$10</f>
        <v>3.97</v>
      </c>
      <c r="IG276" s="622">
        <f>'background data'!$N$10</f>
        <v>4.5999999999999999E-3</v>
      </c>
      <c r="IH276" s="622">
        <f>'background data'!$O$10</f>
        <v>2.73</v>
      </c>
      <c r="II276" s="145" t="s">
        <v>1797</v>
      </c>
      <c r="IJ276" s="145" t="s">
        <v>818</v>
      </c>
      <c r="IK276" s="145"/>
      <c r="IL276" s="145"/>
      <c r="IM276" s="145"/>
      <c r="IN276" s="145"/>
      <c r="IO276" s="145"/>
      <c r="IP276" s="145"/>
      <c r="IQ276" s="145"/>
      <c r="IR276" s="145"/>
      <c r="IS276" s="145"/>
      <c r="IT276" s="145"/>
      <c r="IU276" s="145"/>
      <c r="IV276" s="145"/>
      <c r="IW276" s="145"/>
      <c r="IX276" s="145"/>
      <c r="IY276" s="145"/>
      <c r="IZ276" s="145"/>
      <c r="JA276" s="145"/>
      <c r="JB276" s="145"/>
      <c r="JC276" s="145"/>
      <c r="JD276" s="145"/>
      <c r="JE276" s="145"/>
      <c r="JF276" s="145"/>
      <c r="JG276" s="145"/>
      <c r="JH276" s="145"/>
      <c r="JI276" s="145"/>
      <c r="JJ276" s="145"/>
      <c r="JK276" s="145"/>
      <c r="JL276" s="145"/>
      <c r="JM276" s="145"/>
      <c r="JN276" s="145"/>
      <c r="JO276" s="145"/>
      <c r="JP276" s="145"/>
      <c r="JQ276" s="145"/>
      <c r="JR276" s="145"/>
      <c r="JS276" s="145"/>
      <c r="JT276" s="145"/>
      <c r="JU276" s="145"/>
      <c r="JV276" s="145"/>
      <c r="JW276" s="145"/>
      <c r="JX276" s="145"/>
      <c r="JY276" s="145"/>
      <c r="JZ276" s="145"/>
      <c r="KA276" s="145"/>
      <c r="KB276" s="145"/>
      <c r="KC276" s="145"/>
      <c r="KD276" s="145"/>
      <c r="KE276" s="145"/>
      <c r="KF276" s="145"/>
      <c r="KG276" s="145"/>
      <c r="KH276" s="145"/>
      <c r="KI276" s="145"/>
      <c r="KJ276" s="145"/>
      <c r="KK276" s="145"/>
      <c r="KL276" s="145"/>
      <c r="KM276" s="145"/>
      <c r="KN276" s="145"/>
      <c r="KO276" s="145"/>
      <c r="KP276" s="145"/>
      <c r="KQ276" s="145"/>
      <c r="KR276" s="145"/>
      <c r="KS276" s="145"/>
      <c r="KT276" s="145"/>
      <c r="KU276" s="145"/>
      <c r="KV276" s="145"/>
      <c r="KW276" s="145"/>
      <c r="KX276" s="145"/>
      <c r="KY276" s="145"/>
      <c r="KZ276" s="145"/>
      <c r="LA276" s="145"/>
      <c r="LB276" s="145"/>
      <c r="LC276" s="145"/>
      <c r="LD276" s="145"/>
      <c r="LE276" s="145"/>
      <c r="LF276" s="145"/>
      <c r="LG276" s="145"/>
      <c r="LH276" s="145"/>
      <c r="LI276" s="145"/>
      <c r="LJ276" s="145"/>
      <c r="LK276" s="145"/>
      <c r="LL276" s="145"/>
      <c r="LM276" s="145"/>
      <c r="LN276" s="145"/>
      <c r="LO276" s="145"/>
      <c r="LP276" s="145"/>
      <c r="LQ276" s="145"/>
      <c r="LR276" s="145"/>
      <c r="LS276" s="145"/>
      <c r="LT276" s="145"/>
      <c r="LU276" s="145"/>
      <c r="LV276" s="145"/>
      <c r="LW276" s="145"/>
      <c r="LX276" s="145"/>
      <c r="LY276" s="145"/>
      <c r="LZ276" s="145"/>
      <c r="MA276" s="145"/>
      <c r="MB276" s="145"/>
      <c r="MC276" s="145"/>
      <c r="MD276" s="145"/>
      <c r="ME276" s="145"/>
      <c r="MF276" s="145"/>
      <c r="MG276" s="145"/>
      <c r="MH276" s="145"/>
      <c r="MI276" s="145"/>
      <c r="MJ276" s="145"/>
      <c r="MK276" s="145"/>
      <c r="ML276" s="145"/>
      <c r="MM276" s="145"/>
      <c r="MN276" s="145"/>
      <c r="MO276" s="145"/>
      <c r="MP276" s="145"/>
      <c r="MQ276" s="145"/>
      <c r="MR276" s="145"/>
      <c r="MS276" s="145"/>
      <c r="MT276" s="145"/>
      <c r="MU276" s="145"/>
      <c r="MV276" s="145"/>
      <c r="MW276" s="145"/>
      <c r="MX276" s="145"/>
      <c r="MY276" s="145"/>
      <c r="MZ276" s="145"/>
      <c r="NA276" s="145"/>
      <c r="NB276" s="145"/>
      <c r="NC276" s="145"/>
      <c r="ND276" s="145"/>
      <c r="NE276" s="145"/>
      <c r="NF276" s="145"/>
      <c r="NG276" s="145"/>
      <c r="NH276" s="145"/>
      <c r="NI276" s="145"/>
      <c r="NJ276" s="145"/>
      <c r="NK276" s="145"/>
      <c r="NL276" s="145"/>
      <c r="NM276" s="145"/>
      <c r="NN276" s="145"/>
      <c r="NO276" s="145"/>
      <c r="NP276" s="145"/>
      <c r="NQ276" s="145"/>
      <c r="NR276" s="145"/>
      <c r="NS276" s="145"/>
    </row>
    <row r="277" spans="1:383" s="16" customFormat="1" ht="15" customHeight="1" x14ac:dyDescent="0.2">
      <c r="A277" s="15">
        <v>56361</v>
      </c>
      <c r="B277" s="25">
        <v>563</v>
      </c>
      <c r="C277" s="26">
        <v>61</v>
      </c>
      <c r="D277" s="20" t="s">
        <v>737</v>
      </c>
      <c r="E277" s="14">
        <v>42517</v>
      </c>
      <c r="F277" s="18">
        <v>1.12172682926829</v>
      </c>
      <c r="G277" s="18">
        <v>1.1067704103896101</v>
      </c>
      <c r="H277" s="21">
        <v>90.4</v>
      </c>
      <c r="I277" s="21">
        <v>85.600031200000004</v>
      </c>
      <c r="J277" s="21">
        <v>93</v>
      </c>
      <c r="K277" s="18">
        <v>1</v>
      </c>
      <c r="L277" s="18">
        <v>85</v>
      </c>
      <c r="M277" s="18">
        <v>11.5</v>
      </c>
      <c r="N277" s="18">
        <v>1.9</v>
      </c>
      <c r="O277" s="18">
        <v>1.7</v>
      </c>
      <c r="P277" s="18">
        <v>2.6</v>
      </c>
      <c r="Q277" s="19"/>
      <c r="R277" s="18">
        <v>84.763314782608703</v>
      </c>
      <c r="S277" s="18">
        <v>28</v>
      </c>
      <c r="T277" s="18">
        <v>42</v>
      </c>
      <c r="U277" s="18">
        <v>48</v>
      </c>
      <c r="V277" s="18">
        <v>53</v>
      </c>
      <c r="W277" s="18">
        <v>56</v>
      </c>
      <c r="X277" s="18"/>
      <c r="Y277" s="18">
        <v>0.47058823529411764</v>
      </c>
      <c r="Z277" s="18">
        <v>3.5294117647058822</v>
      </c>
      <c r="AA277" s="18">
        <v>0.1</v>
      </c>
      <c r="AB277" s="18">
        <v>0</v>
      </c>
      <c r="AC277" s="18">
        <v>6.2</v>
      </c>
      <c r="AD277" s="18">
        <v>1.2</v>
      </c>
      <c r="AE277" s="18">
        <v>1.2</v>
      </c>
      <c r="AF277" s="18">
        <v>23.999999999999996</v>
      </c>
      <c r="AG277" s="18">
        <v>4</v>
      </c>
      <c r="AH277" s="18">
        <v>28</v>
      </c>
      <c r="AI277" s="18">
        <v>37</v>
      </c>
      <c r="AJ277" s="18">
        <v>0</v>
      </c>
      <c r="AK277" s="18">
        <v>0</v>
      </c>
      <c r="AL277" s="18"/>
      <c r="AM277" s="18">
        <v>3.24</v>
      </c>
      <c r="AN277" s="18">
        <v>1.69</v>
      </c>
      <c r="AO277" s="18">
        <v>2.2200000000000002</v>
      </c>
      <c r="AP277" s="18">
        <v>3.15</v>
      </c>
      <c r="AQ277" s="18">
        <v>1.22</v>
      </c>
      <c r="AR277" s="18">
        <v>3.36</v>
      </c>
      <c r="AS277" s="18">
        <v>6.42</v>
      </c>
      <c r="AT277" s="18">
        <v>2.2200000000000002</v>
      </c>
      <c r="AU277" s="18">
        <v>4.3600000000000003</v>
      </c>
      <c r="AV277" s="18">
        <v>2.8</v>
      </c>
      <c r="AW277" s="18">
        <v>4.5199999999999996</v>
      </c>
      <c r="AX277" s="18"/>
      <c r="AY277" s="18">
        <v>0.98</v>
      </c>
      <c r="AZ277" s="18">
        <v>1.05</v>
      </c>
      <c r="BA277" s="18">
        <v>1.03</v>
      </c>
      <c r="BB277" s="18">
        <v>0.95</v>
      </c>
      <c r="BC277" s="18">
        <v>0.92</v>
      </c>
      <c r="BD277" s="18">
        <v>1.01</v>
      </c>
      <c r="BE277" s="18">
        <v>1.01</v>
      </c>
      <c r="BF277" s="18">
        <v>1.03</v>
      </c>
      <c r="BG277" s="18">
        <v>1.06</v>
      </c>
      <c r="BH277" s="18">
        <v>1</v>
      </c>
      <c r="BI277" s="18">
        <v>0.98</v>
      </c>
      <c r="BJ277" s="19"/>
      <c r="BK277" s="18">
        <v>13.529411764705882</v>
      </c>
      <c r="BL277" s="18">
        <v>2.2352941176470589</v>
      </c>
      <c r="BM277" s="18">
        <v>2</v>
      </c>
      <c r="BN277" s="18">
        <v>3.0588235294117645</v>
      </c>
      <c r="BO277" s="18"/>
      <c r="BP277" s="18">
        <v>105</v>
      </c>
      <c r="BQ277" s="18">
        <v>23.470588235294116</v>
      </c>
      <c r="BR277" s="18">
        <v>1.3196786226685764</v>
      </c>
      <c r="BS277" s="18">
        <v>1.3020828357524825</v>
      </c>
      <c r="BT277" s="19"/>
      <c r="BU277" s="18">
        <v>980</v>
      </c>
      <c r="BV277" s="18">
        <v>673.92</v>
      </c>
      <c r="BW277" s="18">
        <v>67.199563200000242</v>
      </c>
      <c r="BX277" s="18">
        <v>641</v>
      </c>
      <c r="BY277" s="18">
        <v>33</v>
      </c>
      <c r="BZ277" s="18">
        <v>30.227764705882354</v>
      </c>
      <c r="CA277" s="18">
        <v>120.91105882352942</v>
      </c>
      <c r="CB277" s="19"/>
      <c r="CC277" s="19">
        <v>0.39999999999999997</v>
      </c>
      <c r="CD277" s="19">
        <v>3</v>
      </c>
      <c r="CE277" s="19">
        <v>8.5000000000000006E-2</v>
      </c>
      <c r="CF277" s="19">
        <v>0</v>
      </c>
      <c r="CG277" s="19">
        <v>5.27</v>
      </c>
      <c r="CH277" s="19">
        <v>1.02</v>
      </c>
      <c r="CI277" s="19">
        <v>1.02</v>
      </c>
      <c r="CJ277" s="19"/>
      <c r="CK277" s="19">
        <v>20.399999999999995</v>
      </c>
      <c r="CL277" s="19">
        <v>3.4</v>
      </c>
      <c r="CM277" s="19">
        <v>23.8</v>
      </c>
      <c r="CN277" s="19">
        <v>31.45</v>
      </c>
      <c r="CO277" s="19">
        <v>0</v>
      </c>
      <c r="CP277" s="19">
        <v>0</v>
      </c>
      <c r="CQ277" s="19">
        <v>97.477812000000498</v>
      </c>
      <c r="CR277" s="19">
        <v>86.899777607696095</v>
      </c>
      <c r="CS277" s="19">
        <v>2.7592417385995525</v>
      </c>
      <c r="CT277" s="19">
        <v>1.5420365536485594</v>
      </c>
      <c r="CU277" s="19">
        <v>1.9870503147775687</v>
      </c>
      <c r="CV277" s="19">
        <v>3.5290868684261283</v>
      </c>
      <c r="CW277" s="19">
        <v>2.6004758449103016</v>
      </c>
      <c r="CX277" s="19">
        <v>0.975363103868776</v>
      </c>
      <c r="CY277" s="19">
        <v>2.9490308528947686</v>
      </c>
      <c r="CZ277" s="19">
        <v>5.6347553796382011</v>
      </c>
      <c r="DA277" s="19">
        <v>1.9870503147775687</v>
      </c>
      <c r="DB277" s="19">
        <v>4.016160121917272</v>
      </c>
      <c r="DC277" s="19">
        <v>2.4331937730154785</v>
      </c>
      <c r="DD277" s="19">
        <v>6.4493538949327505</v>
      </c>
      <c r="DE277" s="19">
        <v>3.849312548910496</v>
      </c>
      <c r="DF277" s="23">
        <v>0</v>
      </c>
      <c r="DG277" s="23">
        <v>0</v>
      </c>
      <c r="DH277" s="23">
        <v>0</v>
      </c>
      <c r="DI277" s="19">
        <v>0</v>
      </c>
      <c r="DJ277" s="19">
        <v>0</v>
      </c>
      <c r="DK277" s="19">
        <v>0</v>
      </c>
      <c r="DL277" s="19">
        <v>0</v>
      </c>
      <c r="DM277" s="19">
        <v>0</v>
      </c>
      <c r="DN277" s="19">
        <v>0</v>
      </c>
      <c r="DO277" s="19">
        <v>0</v>
      </c>
      <c r="DP277" s="19">
        <v>0</v>
      </c>
      <c r="DQ277" s="19">
        <v>0</v>
      </c>
      <c r="DR277" s="19">
        <v>0</v>
      </c>
      <c r="DS277" s="19">
        <v>0</v>
      </c>
      <c r="DT277" s="19">
        <v>0</v>
      </c>
      <c r="DU277" s="19">
        <v>0</v>
      </c>
      <c r="DV277" s="19">
        <v>0</v>
      </c>
      <c r="DW277" s="17" t="s">
        <v>723</v>
      </c>
      <c r="DX277" s="22" t="s">
        <v>218</v>
      </c>
      <c r="DY277" s="22" t="s">
        <v>218</v>
      </c>
      <c r="DZ277" s="22" t="s">
        <v>218</v>
      </c>
      <c r="EA277" s="22" t="s">
        <v>218</v>
      </c>
      <c r="EB277" s="22" t="s">
        <v>218</v>
      </c>
      <c r="EC277" s="22" t="s">
        <v>218</v>
      </c>
      <c r="ED277" s="22" t="s">
        <v>218</v>
      </c>
      <c r="EE277" s="22" t="s">
        <v>218</v>
      </c>
      <c r="EF277" s="22" t="s">
        <v>218</v>
      </c>
      <c r="EG277" s="22" t="s">
        <v>218</v>
      </c>
      <c r="EH277" s="22" t="s">
        <v>218</v>
      </c>
      <c r="EI277" s="22" t="s">
        <v>218</v>
      </c>
      <c r="EJ277" s="22" t="s">
        <v>218</v>
      </c>
      <c r="EK277" s="22" t="s">
        <v>218</v>
      </c>
      <c r="EL277" s="22" t="s">
        <v>218</v>
      </c>
      <c r="EM277" s="22" t="s">
        <v>218</v>
      </c>
      <c r="EN277" s="22" t="s">
        <v>218</v>
      </c>
      <c r="EO277" s="22" t="s">
        <v>218</v>
      </c>
      <c r="EP277" s="22" t="s">
        <v>218</v>
      </c>
      <c r="EQ277" s="22" t="s">
        <v>218</v>
      </c>
      <c r="ER277" s="22" t="s">
        <v>218</v>
      </c>
      <c r="ES277" s="22" t="s">
        <v>218</v>
      </c>
      <c r="ET277" s="22" t="s">
        <v>218</v>
      </c>
      <c r="EU277" s="22" t="s">
        <v>218</v>
      </c>
      <c r="EV277" s="22" t="s">
        <v>218</v>
      </c>
      <c r="EW277" s="22" t="s">
        <v>218</v>
      </c>
      <c r="EX277" s="22" t="s">
        <v>218</v>
      </c>
      <c r="EY277" s="22" t="s">
        <v>218</v>
      </c>
      <c r="EZ277" s="22" t="s">
        <v>218</v>
      </c>
      <c r="FA277" s="22" t="s">
        <v>218</v>
      </c>
      <c r="FB277" s="22" t="s">
        <v>218</v>
      </c>
      <c r="FC277" s="22" t="s">
        <v>218</v>
      </c>
      <c r="FD277" s="22" t="s">
        <v>218</v>
      </c>
      <c r="FE277" s="22" t="s">
        <v>218</v>
      </c>
      <c r="FF277" s="22" t="s">
        <v>218</v>
      </c>
      <c r="FG277" s="22" t="s">
        <v>218</v>
      </c>
      <c r="FH277" s="22" t="s">
        <v>218</v>
      </c>
      <c r="FI277" s="22" t="s">
        <v>218</v>
      </c>
      <c r="FJ277" s="22" t="s">
        <v>218</v>
      </c>
      <c r="FK277" s="22" t="s">
        <v>218</v>
      </c>
      <c r="FL277" s="22" t="s">
        <v>218</v>
      </c>
      <c r="FM277" s="22" t="s">
        <v>218</v>
      </c>
      <c r="FN277" s="22" t="s">
        <v>218</v>
      </c>
      <c r="FO277" s="22" t="s">
        <v>218</v>
      </c>
      <c r="FP277" s="22" t="s">
        <v>218</v>
      </c>
      <c r="FQ277" s="22" t="s">
        <v>218</v>
      </c>
      <c r="FR277" s="22" t="s">
        <v>218</v>
      </c>
      <c r="FS277" s="22" t="s">
        <v>218</v>
      </c>
      <c r="FT277" s="22" t="s">
        <v>218</v>
      </c>
      <c r="FU277" s="22" t="s">
        <v>218</v>
      </c>
      <c r="FV277" s="22" t="s">
        <v>218</v>
      </c>
      <c r="FW277" s="22" t="s">
        <v>218</v>
      </c>
      <c r="FX277" s="22" t="s">
        <v>218</v>
      </c>
      <c r="FY277" s="22" t="s">
        <v>218</v>
      </c>
      <c r="FZ277" s="22" t="s">
        <v>218</v>
      </c>
      <c r="GA277" s="22" t="s">
        <v>218</v>
      </c>
      <c r="GB277" s="22" t="s">
        <v>218</v>
      </c>
      <c r="GC277" s="22" t="s">
        <v>218</v>
      </c>
      <c r="GD277" s="22" t="s">
        <v>218</v>
      </c>
      <c r="GE277" s="22" t="s">
        <v>218</v>
      </c>
      <c r="GF277" s="22" t="s">
        <v>218</v>
      </c>
      <c r="GG277" s="22" t="s">
        <v>218</v>
      </c>
      <c r="GH277" s="22" t="s">
        <v>218</v>
      </c>
      <c r="GI277" s="22" t="s">
        <v>218</v>
      </c>
      <c r="GJ277" s="22" t="s">
        <v>218</v>
      </c>
      <c r="GK277" s="22" t="s">
        <v>218</v>
      </c>
      <c r="GL277" s="22" t="s">
        <v>218</v>
      </c>
      <c r="GM277" s="22" t="s">
        <v>218</v>
      </c>
      <c r="GN277" s="22" t="s">
        <v>218</v>
      </c>
      <c r="GO277" s="22" t="s">
        <v>218</v>
      </c>
      <c r="GP277" s="22" t="s">
        <v>218</v>
      </c>
      <c r="GQ277" s="22" t="s">
        <v>218</v>
      </c>
      <c r="GR277" s="22" t="s">
        <v>218</v>
      </c>
      <c r="GS277" s="22" t="s">
        <v>218</v>
      </c>
      <c r="GT277" s="22" t="s">
        <v>218</v>
      </c>
      <c r="GU277" s="22" t="s">
        <v>218</v>
      </c>
      <c r="GV277" s="22" t="s">
        <v>218</v>
      </c>
      <c r="GW277" s="22" t="s">
        <v>218</v>
      </c>
      <c r="GX277" s="22" t="s">
        <v>218</v>
      </c>
      <c r="GY277" s="22" t="s">
        <v>218</v>
      </c>
      <c r="GZ277" s="22" t="s">
        <v>218</v>
      </c>
      <c r="HA277" s="22" t="s">
        <v>218</v>
      </c>
      <c r="HB277" s="22" t="s">
        <v>218</v>
      </c>
      <c r="HC277" s="22" t="s">
        <v>218</v>
      </c>
      <c r="HD277" s="22" t="s">
        <v>218</v>
      </c>
      <c r="HE277" s="22" t="s">
        <v>218</v>
      </c>
      <c r="HF277" s="22" t="s">
        <v>218</v>
      </c>
      <c r="HG277" s="22" t="s">
        <v>218</v>
      </c>
      <c r="HH277" s="22" t="s">
        <v>218</v>
      </c>
      <c r="HI277" s="22" t="s">
        <v>218</v>
      </c>
      <c r="HJ277" s="22" t="s">
        <v>218</v>
      </c>
      <c r="HK277" s="22" t="s">
        <v>218</v>
      </c>
      <c r="HL277" s="22" t="s">
        <v>218</v>
      </c>
      <c r="HM277" s="622">
        <f>'background data'!$G$10</f>
        <v>0.47300000000000003</v>
      </c>
      <c r="HN277" s="622">
        <f>'background data'!$H$10</f>
        <v>0.13</v>
      </c>
      <c r="HO277" s="622">
        <f>'background data'!$J$10</f>
        <v>0.39100000000000001</v>
      </c>
      <c r="HP277" s="622">
        <f>'background data'!$L$10</f>
        <v>5.5E-2</v>
      </c>
      <c r="HQ277" s="622">
        <f>'background data'!$M$10</f>
        <v>3.97</v>
      </c>
      <c r="HR277" s="622">
        <f>'background data'!$N$10</f>
        <v>4.5999999999999999E-3</v>
      </c>
      <c r="HS277" s="622">
        <f>'background data'!$O$10</f>
        <v>2.73</v>
      </c>
      <c r="HT277" s="145" t="s">
        <v>1797</v>
      </c>
      <c r="HU277" s="145" t="s">
        <v>1809</v>
      </c>
      <c r="HV277" s="22" t="s">
        <v>818</v>
      </c>
      <c r="HW277" s="22" t="s">
        <v>736</v>
      </c>
      <c r="HX277" s="22" t="s">
        <v>725</v>
      </c>
      <c r="HY277" s="22" t="s">
        <v>726</v>
      </c>
      <c r="HZ277" s="19"/>
      <c r="IA277" s="19"/>
      <c r="IB277" s="622">
        <f>'background data'!$G$10</f>
        <v>0.47300000000000003</v>
      </c>
      <c r="IC277" s="622">
        <f>'background data'!$H$10</f>
        <v>0.13</v>
      </c>
      <c r="ID277" s="622">
        <f>'background data'!$J$10</f>
        <v>0.39100000000000001</v>
      </c>
      <c r="IE277" s="622">
        <f>'background data'!$L$10</f>
        <v>5.5E-2</v>
      </c>
      <c r="IF277" s="622">
        <f>'background data'!$M$10</f>
        <v>3.97</v>
      </c>
      <c r="IG277" s="622">
        <f>'background data'!$N$10</f>
        <v>4.5999999999999999E-3</v>
      </c>
      <c r="IH277" s="622">
        <f>'background data'!$O$10</f>
        <v>2.73</v>
      </c>
      <c r="II277" s="145" t="s">
        <v>1797</v>
      </c>
      <c r="IJ277" s="145" t="s">
        <v>818</v>
      </c>
      <c r="IK277" s="145"/>
      <c r="IL277" s="145"/>
      <c r="IM277" s="145"/>
      <c r="IN277" s="145"/>
      <c r="IO277" s="145"/>
      <c r="IP277" s="145"/>
      <c r="IQ277" s="145"/>
      <c r="IR277" s="145"/>
      <c r="IS277" s="145"/>
      <c r="IT277" s="145"/>
      <c r="IU277" s="145"/>
      <c r="IV277" s="145"/>
      <c r="IW277" s="145"/>
      <c r="IX277" s="145"/>
      <c r="IY277" s="145"/>
      <c r="IZ277" s="145"/>
      <c r="JA277" s="145"/>
      <c r="JB277" s="145"/>
      <c r="JC277" s="145"/>
      <c r="JD277" s="145"/>
      <c r="JE277" s="145"/>
      <c r="JF277" s="145"/>
      <c r="JG277" s="145"/>
      <c r="JH277" s="145"/>
      <c r="JI277" s="145"/>
      <c r="JJ277" s="145"/>
      <c r="JK277" s="145"/>
      <c r="JL277" s="145"/>
      <c r="JM277" s="145"/>
      <c r="JN277" s="145"/>
      <c r="JO277" s="145"/>
      <c r="JP277" s="145"/>
      <c r="JQ277" s="145"/>
      <c r="JR277" s="145"/>
      <c r="JS277" s="145"/>
      <c r="JT277" s="145"/>
      <c r="JU277" s="145"/>
      <c r="JV277" s="145"/>
      <c r="JW277" s="145"/>
      <c r="JX277" s="145"/>
      <c r="JY277" s="145"/>
      <c r="JZ277" s="145"/>
      <c r="KA277" s="145"/>
      <c r="KB277" s="145"/>
      <c r="KC277" s="145"/>
      <c r="KD277" s="145"/>
      <c r="KE277" s="145"/>
      <c r="KF277" s="145"/>
      <c r="KG277" s="145"/>
      <c r="KH277" s="145"/>
      <c r="KI277" s="145"/>
      <c r="KJ277" s="145"/>
      <c r="KK277" s="145"/>
      <c r="KL277" s="145"/>
      <c r="KM277" s="145"/>
      <c r="KN277" s="145"/>
      <c r="KO277" s="145"/>
      <c r="KP277" s="145"/>
      <c r="KQ277" s="145"/>
      <c r="KR277" s="145"/>
      <c r="KS277" s="145"/>
      <c r="KT277" s="145"/>
      <c r="KU277" s="145"/>
      <c r="KV277" s="145"/>
      <c r="KW277" s="145"/>
      <c r="KX277" s="145"/>
      <c r="KY277" s="145"/>
      <c r="KZ277" s="145"/>
      <c r="LA277" s="145"/>
      <c r="LB277" s="145"/>
      <c r="LC277" s="145"/>
      <c r="LD277" s="145"/>
      <c r="LE277" s="145"/>
      <c r="LF277" s="145"/>
      <c r="LG277" s="145"/>
      <c r="LH277" s="145"/>
      <c r="LI277" s="145"/>
      <c r="LJ277" s="145"/>
      <c r="LK277" s="145"/>
      <c r="LL277" s="145"/>
      <c r="LM277" s="145"/>
      <c r="LN277" s="145"/>
      <c r="LO277" s="145"/>
      <c r="LP277" s="145"/>
      <c r="LQ277" s="145"/>
      <c r="LR277" s="145"/>
      <c r="LS277" s="145"/>
      <c r="LT277" s="145"/>
      <c r="LU277" s="145"/>
      <c r="LV277" s="145"/>
      <c r="LW277" s="145"/>
      <c r="LX277" s="145"/>
      <c r="LY277" s="145"/>
      <c r="LZ277" s="145"/>
      <c r="MA277" s="145"/>
      <c r="MB277" s="145"/>
      <c r="MC277" s="145"/>
      <c r="MD277" s="145"/>
      <c r="ME277" s="145"/>
      <c r="MF277" s="145"/>
      <c r="MG277" s="145"/>
      <c r="MH277" s="145"/>
      <c r="MI277" s="145"/>
      <c r="MJ277" s="145"/>
      <c r="MK277" s="145"/>
      <c r="ML277" s="145"/>
      <c r="MM277" s="145"/>
      <c r="MN277" s="145"/>
      <c r="MO277" s="145"/>
      <c r="MP277" s="145"/>
      <c r="MQ277" s="145"/>
      <c r="MR277" s="145"/>
      <c r="MS277" s="145"/>
      <c r="MT277" s="145"/>
      <c r="MU277" s="145"/>
      <c r="MV277" s="145"/>
      <c r="MW277" s="145"/>
      <c r="MX277" s="145"/>
      <c r="MY277" s="145"/>
      <c r="MZ277" s="145"/>
      <c r="NA277" s="145"/>
      <c r="NB277" s="145"/>
      <c r="NC277" s="145"/>
      <c r="ND277" s="145"/>
      <c r="NE277" s="145"/>
      <c r="NF277" s="145"/>
      <c r="NG277" s="145"/>
      <c r="NH277" s="145"/>
      <c r="NI277" s="145"/>
      <c r="NJ277" s="145"/>
      <c r="NK277" s="145"/>
      <c r="NL277" s="145"/>
      <c r="NM277" s="145"/>
      <c r="NN277" s="145"/>
      <c r="NO277" s="145"/>
      <c r="NP277" s="145"/>
      <c r="NQ277" s="145"/>
      <c r="NR277" s="145"/>
      <c r="NS277" s="145"/>
    </row>
    <row r="278" spans="1:383" s="16" customFormat="1" ht="15" customHeight="1" x14ac:dyDescent="0.2">
      <c r="A278" s="15">
        <v>39105</v>
      </c>
      <c r="B278" s="25">
        <v>391</v>
      </c>
      <c r="C278" s="26">
        <v>5</v>
      </c>
      <c r="D278" s="20" t="s">
        <v>738</v>
      </c>
      <c r="E278" s="14">
        <v>41814</v>
      </c>
      <c r="F278" s="18">
        <v>1.0709841394053801</v>
      </c>
      <c r="G278" s="18">
        <v>1.06723036189149</v>
      </c>
      <c r="H278" s="21">
        <v>84.818443321859206</v>
      </c>
      <c r="I278" s="21">
        <v>81.198174706649297</v>
      </c>
      <c r="J278" s="21">
        <v>96.706399046610997</v>
      </c>
      <c r="K278" s="18">
        <v>1</v>
      </c>
      <c r="L278" s="18">
        <v>92.04</v>
      </c>
      <c r="M278" s="18">
        <v>42.7007998176</v>
      </c>
      <c r="N278" s="18">
        <v>2.5799997551999998</v>
      </c>
      <c r="O278" s="18">
        <v>2.2200002040000002</v>
      </c>
      <c r="P278" s="18">
        <v>3.8399997575999998</v>
      </c>
      <c r="Q278" s="19"/>
      <c r="R278" s="18">
        <v>94.335133803589798</v>
      </c>
      <c r="S278" s="18">
        <v>20</v>
      </c>
      <c r="T278" s="18">
        <v>27</v>
      </c>
      <c r="U278" s="18">
        <v>30</v>
      </c>
      <c r="V278" s="18">
        <v>32</v>
      </c>
      <c r="W278" s="18">
        <v>33</v>
      </c>
      <c r="X278" s="18"/>
      <c r="Y278" s="18">
        <v>0.58670241199478479</v>
      </c>
      <c r="Z278" s="18">
        <v>4.2372876010430245</v>
      </c>
      <c r="AA278" s="18">
        <v>6.5191056062581479E-2</v>
      </c>
      <c r="AB278" s="18">
        <v>0</v>
      </c>
      <c r="AC278" s="18">
        <v>4.7587989569752276</v>
      </c>
      <c r="AD278" s="18">
        <v>1.4243807040417209</v>
      </c>
      <c r="AE278" s="18">
        <v>0</v>
      </c>
      <c r="AF278" s="18">
        <v>57.544980443285525</v>
      </c>
      <c r="AG278" s="18">
        <v>6.8370273794002596</v>
      </c>
      <c r="AH278" s="18">
        <v>41.591916558018248</v>
      </c>
      <c r="AI278" s="18">
        <v>45.010430247718375</v>
      </c>
      <c r="AJ278" s="18">
        <v>0</v>
      </c>
      <c r="AK278" s="18">
        <v>3.9882659713168185E-2</v>
      </c>
      <c r="AL278" s="18"/>
      <c r="AM278" s="18">
        <v>0.83295861999240695</v>
      </c>
      <c r="AN278" s="18">
        <v>0.34172661333021698</v>
      </c>
      <c r="AO278" s="18">
        <v>0.42715826666277401</v>
      </c>
      <c r="AP278" s="18">
        <v>0.70481113999357303</v>
      </c>
      <c r="AQ278" s="18">
        <v>92.076461718224607</v>
      </c>
      <c r="AR278" s="18">
        <v>0.70481113999357303</v>
      </c>
      <c r="AS278" s="18">
        <v>1.32632641798791</v>
      </c>
      <c r="AT278" s="18">
        <v>0.55530574666160304</v>
      </c>
      <c r="AU278" s="18">
        <v>0.83509441132572004</v>
      </c>
      <c r="AV278" s="18">
        <v>0.59802157332787997</v>
      </c>
      <c r="AW278" s="18">
        <v>1.02731563132397</v>
      </c>
      <c r="AX278" s="18"/>
      <c r="AY278" s="18">
        <v>0.78667683772555697</v>
      </c>
      <c r="AZ278" s="18">
        <v>0.848987874377086</v>
      </c>
      <c r="BA278" s="18">
        <v>0.81783235605132099</v>
      </c>
      <c r="BB278" s="18">
        <v>0.73215468065546896</v>
      </c>
      <c r="BC278" s="18">
        <v>1.0594875068724501</v>
      </c>
      <c r="BD278" s="18">
        <v>0.81783235605132099</v>
      </c>
      <c r="BE278" s="18">
        <v>0.80225459688843903</v>
      </c>
      <c r="BF278" s="18">
        <v>0.848987874377086</v>
      </c>
      <c r="BG278" s="18">
        <v>0.85677675395852704</v>
      </c>
      <c r="BH278" s="18">
        <v>0.81004347646987995</v>
      </c>
      <c r="BI278" s="18">
        <v>0.80225459688843903</v>
      </c>
      <c r="BJ278" s="19"/>
      <c r="BK278" s="18">
        <v>46.393741653194262</v>
      </c>
      <c r="BL278" s="18">
        <v>2.8031288083441979</v>
      </c>
      <c r="BM278" s="18">
        <v>2.4119950065189051</v>
      </c>
      <c r="BN278" s="18">
        <v>4.1720988239895691</v>
      </c>
      <c r="BO278" s="18"/>
      <c r="BP278" s="18">
        <v>0</v>
      </c>
      <c r="BQ278" s="18">
        <v>0</v>
      </c>
      <c r="BR278" s="18">
        <v>1.163607278797675</v>
      </c>
      <c r="BS278" s="18">
        <v>1.1595288590737614</v>
      </c>
      <c r="BT278" s="19"/>
      <c r="BU278" s="18">
        <v>975.88004993481093</v>
      </c>
      <c r="BV278" s="18">
        <v>327.88218402987502</v>
      </c>
      <c r="BW278" s="18">
        <v>50.470684528406771</v>
      </c>
      <c r="BX278" s="18" t="s">
        <v>217</v>
      </c>
      <c r="BY278" s="18" t="s">
        <v>217</v>
      </c>
      <c r="BZ278" s="18">
        <v>40.452411994784875</v>
      </c>
      <c r="CA278" s="18">
        <v>74.067796610169481</v>
      </c>
      <c r="CB278" s="19"/>
      <c r="CC278" s="19">
        <v>0.54000090000000001</v>
      </c>
      <c r="CD278" s="19">
        <v>3.8999995080000001</v>
      </c>
      <c r="CE278" s="19">
        <v>6.0001848000000003E-2</v>
      </c>
      <c r="CF278" s="19">
        <v>0</v>
      </c>
      <c r="CG278" s="19">
        <v>4.3799985599999998</v>
      </c>
      <c r="CH278" s="19">
        <v>1.3110000000000002</v>
      </c>
      <c r="CI278" s="19">
        <v>0</v>
      </c>
      <c r="CJ278" s="19"/>
      <c r="CK278" s="19">
        <v>52.964400000000005</v>
      </c>
      <c r="CL278" s="19">
        <v>6.2927999999999997</v>
      </c>
      <c r="CM278" s="19">
        <v>38.281199999999998</v>
      </c>
      <c r="CN278" s="19">
        <v>41.427599999999998</v>
      </c>
      <c r="CO278" s="19">
        <v>0</v>
      </c>
      <c r="CP278" s="19">
        <v>3.6708000000000005E-2</v>
      </c>
      <c r="CQ278" s="19">
        <v>402.81856643136001</v>
      </c>
      <c r="CR278" s="19">
        <v>376.12001112827727</v>
      </c>
      <c r="CS278" s="19">
        <v>2.4645987877997704</v>
      </c>
      <c r="CT278" s="19">
        <v>1.0912059624074104</v>
      </c>
      <c r="CU278" s="19">
        <v>1.313952133632784</v>
      </c>
      <c r="CV278" s="19">
        <v>2.4051580960401946</v>
      </c>
      <c r="CW278" s="19">
        <v>1.9408950088232726</v>
      </c>
      <c r="CX278" s="19">
        <v>366.91959235082203</v>
      </c>
      <c r="CY278" s="19">
        <v>2.1680210204940837</v>
      </c>
      <c r="CZ278" s="19">
        <v>4.0021104915977794</v>
      </c>
      <c r="DA278" s="19">
        <v>1.7732096889120375</v>
      </c>
      <c r="DB278" s="19">
        <v>2.6910991079783697</v>
      </c>
      <c r="DC278" s="19">
        <v>1.8220136253041204</v>
      </c>
      <c r="DD278" s="19">
        <v>4.5131127332824805</v>
      </c>
      <c r="DE278" s="19">
        <v>3.0998633598366085</v>
      </c>
      <c r="DF278" s="23">
        <v>0</v>
      </c>
      <c r="DG278" s="23">
        <v>0</v>
      </c>
      <c r="DH278" s="23">
        <v>0</v>
      </c>
      <c r="DI278" s="19">
        <v>0</v>
      </c>
      <c r="DJ278" s="19">
        <v>0</v>
      </c>
      <c r="DK278" s="19">
        <v>0</v>
      </c>
      <c r="DL278" s="19">
        <v>0</v>
      </c>
      <c r="DM278" s="19">
        <v>0</v>
      </c>
      <c r="DN278" s="19">
        <v>0</v>
      </c>
      <c r="DO278" s="19">
        <v>0</v>
      </c>
      <c r="DP278" s="19">
        <v>0</v>
      </c>
      <c r="DQ278" s="19">
        <v>0</v>
      </c>
      <c r="DR278" s="19">
        <v>0</v>
      </c>
      <c r="DS278" s="19">
        <v>0</v>
      </c>
      <c r="DT278" s="19">
        <v>0</v>
      </c>
      <c r="DU278" s="19">
        <v>0</v>
      </c>
      <c r="DV278" s="19">
        <v>0</v>
      </c>
      <c r="DW278" s="17" t="s">
        <v>218</v>
      </c>
      <c r="DX278" s="22" t="s">
        <v>218</v>
      </c>
      <c r="DY278" s="22" t="s">
        <v>218</v>
      </c>
      <c r="DZ278" s="22" t="s">
        <v>218</v>
      </c>
      <c r="EA278" s="22" t="s">
        <v>218</v>
      </c>
      <c r="EB278" s="22" t="s">
        <v>218</v>
      </c>
      <c r="EC278" s="22" t="s">
        <v>218</v>
      </c>
      <c r="ED278" s="22" t="s">
        <v>218</v>
      </c>
      <c r="EE278" s="22" t="s">
        <v>218</v>
      </c>
      <c r="EF278" s="22" t="s">
        <v>218</v>
      </c>
      <c r="EG278" s="22" t="s">
        <v>218</v>
      </c>
      <c r="EH278" s="22" t="s">
        <v>218</v>
      </c>
      <c r="EI278" s="22" t="s">
        <v>218</v>
      </c>
      <c r="EJ278" s="22" t="s">
        <v>218</v>
      </c>
      <c r="EK278" s="22" t="s">
        <v>218</v>
      </c>
      <c r="EL278" s="22" t="s">
        <v>218</v>
      </c>
      <c r="EM278" s="22" t="s">
        <v>218</v>
      </c>
      <c r="EN278" s="22" t="s">
        <v>218</v>
      </c>
      <c r="EO278" s="22" t="s">
        <v>218</v>
      </c>
      <c r="EP278" s="22" t="s">
        <v>218</v>
      </c>
      <c r="EQ278" s="22" t="s">
        <v>218</v>
      </c>
      <c r="ER278" s="22" t="s">
        <v>218</v>
      </c>
      <c r="ES278" s="22" t="s">
        <v>218</v>
      </c>
      <c r="ET278" s="22" t="s">
        <v>218</v>
      </c>
      <c r="EU278" s="22" t="s">
        <v>218</v>
      </c>
      <c r="EV278" s="22" t="s">
        <v>218</v>
      </c>
      <c r="EW278" s="22" t="s">
        <v>218</v>
      </c>
      <c r="EX278" s="22" t="s">
        <v>218</v>
      </c>
      <c r="EY278" s="22" t="s">
        <v>218</v>
      </c>
      <c r="EZ278" s="22" t="s">
        <v>218</v>
      </c>
      <c r="FA278" s="22" t="s">
        <v>218</v>
      </c>
      <c r="FB278" s="22" t="s">
        <v>218</v>
      </c>
      <c r="FC278" s="22" t="s">
        <v>218</v>
      </c>
      <c r="FD278" s="22" t="s">
        <v>218</v>
      </c>
      <c r="FE278" s="22" t="s">
        <v>218</v>
      </c>
      <c r="FF278" s="22" t="s">
        <v>218</v>
      </c>
      <c r="FG278" s="22" t="s">
        <v>218</v>
      </c>
      <c r="FH278" s="22" t="s">
        <v>218</v>
      </c>
      <c r="FI278" s="22" t="s">
        <v>218</v>
      </c>
      <c r="FJ278" s="22" t="s">
        <v>218</v>
      </c>
      <c r="FK278" s="22" t="s">
        <v>218</v>
      </c>
      <c r="FL278" s="22" t="s">
        <v>218</v>
      </c>
      <c r="FM278" s="22" t="s">
        <v>218</v>
      </c>
      <c r="FN278" s="22" t="s">
        <v>218</v>
      </c>
      <c r="FO278" s="22" t="s">
        <v>218</v>
      </c>
      <c r="FP278" s="22" t="s">
        <v>218</v>
      </c>
      <c r="FQ278" s="22" t="s">
        <v>218</v>
      </c>
      <c r="FR278" s="22" t="s">
        <v>218</v>
      </c>
      <c r="FS278" s="22" t="s">
        <v>218</v>
      </c>
      <c r="FT278" s="22" t="s">
        <v>218</v>
      </c>
      <c r="FU278" s="22" t="s">
        <v>218</v>
      </c>
      <c r="FV278" s="22" t="s">
        <v>218</v>
      </c>
      <c r="FW278" s="22" t="s">
        <v>218</v>
      </c>
      <c r="FX278" s="22" t="s">
        <v>218</v>
      </c>
      <c r="FY278" s="22" t="s">
        <v>218</v>
      </c>
      <c r="FZ278" s="22" t="s">
        <v>218</v>
      </c>
      <c r="GA278" s="22" t="s">
        <v>218</v>
      </c>
      <c r="GB278" s="22" t="s">
        <v>218</v>
      </c>
      <c r="GC278" s="22" t="s">
        <v>218</v>
      </c>
      <c r="GD278" s="22" t="s">
        <v>218</v>
      </c>
      <c r="GE278" s="22" t="s">
        <v>218</v>
      </c>
      <c r="GF278" s="22" t="s">
        <v>218</v>
      </c>
      <c r="GG278" s="22" t="s">
        <v>218</v>
      </c>
      <c r="GH278" s="22" t="s">
        <v>218</v>
      </c>
      <c r="GI278" s="22" t="s">
        <v>218</v>
      </c>
      <c r="GJ278" s="22" t="s">
        <v>218</v>
      </c>
      <c r="GK278" s="22" t="s">
        <v>218</v>
      </c>
      <c r="GL278" s="22" t="s">
        <v>218</v>
      </c>
      <c r="GM278" s="22" t="s">
        <v>218</v>
      </c>
      <c r="GN278" s="22" t="s">
        <v>218</v>
      </c>
      <c r="GO278" s="22" t="s">
        <v>218</v>
      </c>
      <c r="GP278" s="22" t="s">
        <v>218</v>
      </c>
      <c r="GQ278" s="22" t="s">
        <v>218</v>
      </c>
      <c r="GR278" s="22" t="s">
        <v>218</v>
      </c>
      <c r="GS278" s="22" t="s">
        <v>218</v>
      </c>
      <c r="GT278" s="22" t="s">
        <v>218</v>
      </c>
      <c r="GU278" s="22" t="s">
        <v>218</v>
      </c>
      <c r="GV278" s="22" t="s">
        <v>218</v>
      </c>
      <c r="GW278" s="22" t="s">
        <v>218</v>
      </c>
      <c r="GX278" s="22" t="s">
        <v>218</v>
      </c>
      <c r="GY278" s="22" t="s">
        <v>218</v>
      </c>
      <c r="GZ278" s="22" t="s">
        <v>218</v>
      </c>
      <c r="HA278" s="22" t="s">
        <v>218</v>
      </c>
      <c r="HB278" s="22" t="s">
        <v>218</v>
      </c>
      <c r="HC278" s="22" t="s">
        <v>218</v>
      </c>
      <c r="HD278" s="22" t="s">
        <v>218</v>
      </c>
      <c r="HE278" s="22" t="s">
        <v>218</v>
      </c>
      <c r="HF278" s="22" t="s">
        <v>218</v>
      </c>
      <c r="HG278" s="22" t="s">
        <v>218</v>
      </c>
      <c r="HH278" s="22" t="s">
        <v>218</v>
      </c>
      <c r="HI278" s="22" t="s">
        <v>218</v>
      </c>
      <c r="HJ278" s="22" t="s">
        <v>218</v>
      </c>
      <c r="HK278" s="22" t="s">
        <v>218</v>
      </c>
      <c r="HL278" s="22" t="s">
        <v>218</v>
      </c>
      <c r="HM278" s="860"/>
      <c r="HN278" s="860"/>
      <c r="HO278" s="860"/>
      <c r="HP278" s="860"/>
      <c r="HQ278" s="860"/>
      <c r="HR278" s="860"/>
      <c r="HS278" s="860"/>
      <c r="HT278" s="145"/>
      <c r="HU278" s="145" t="s">
        <v>1809</v>
      </c>
      <c r="HV278" s="22" t="s">
        <v>1926</v>
      </c>
      <c r="HW278" s="22">
        <v>0</v>
      </c>
      <c r="HX278" s="22">
        <v>0</v>
      </c>
      <c r="HY278" s="22">
        <v>0</v>
      </c>
      <c r="HZ278" s="19"/>
      <c r="IA278" s="19"/>
      <c r="IB278" s="621">
        <f>'background data'!$G$10</f>
        <v>0.47300000000000003</v>
      </c>
      <c r="IC278" s="621">
        <f>'background data'!$H$10</f>
        <v>0.13</v>
      </c>
      <c r="ID278" s="621">
        <f>'background data'!$J$10</f>
        <v>0.39100000000000001</v>
      </c>
      <c r="IE278" s="621">
        <f>'background data'!$L$10</f>
        <v>5.5E-2</v>
      </c>
      <c r="IF278" s="621">
        <f>'background data'!$M$10</f>
        <v>3.97</v>
      </c>
      <c r="IG278" s="621">
        <f>'background data'!$N$10</f>
        <v>4.5999999999999999E-3</v>
      </c>
      <c r="IH278" s="621">
        <f>'background data'!$O$10</f>
        <v>2.73</v>
      </c>
      <c r="II278" s="145"/>
      <c r="IJ278" s="145"/>
      <c r="IK278" s="145"/>
      <c r="IL278" s="145"/>
      <c r="IM278" s="145"/>
      <c r="IN278" s="145"/>
      <c r="IO278" s="145"/>
      <c r="IP278" s="145"/>
      <c r="IQ278" s="145"/>
      <c r="IR278" s="145"/>
      <c r="IS278" s="145"/>
      <c r="IT278" s="145"/>
      <c r="IU278" s="145"/>
      <c r="IV278" s="145"/>
      <c r="IW278" s="145"/>
      <c r="IX278" s="145"/>
      <c r="IY278" s="145"/>
      <c r="IZ278" s="145"/>
      <c r="JA278" s="145"/>
      <c r="JB278" s="145"/>
      <c r="JC278" s="145"/>
      <c r="JD278" s="145"/>
      <c r="JE278" s="145"/>
      <c r="JF278" s="145"/>
      <c r="JG278" s="145"/>
      <c r="JH278" s="145"/>
      <c r="JI278" s="145"/>
      <c r="JJ278" s="145"/>
      <c r="JK278" s="145"/>
      <c r="JL278" s="145"/>
      <c r="JM278" s="145"/>
      <c r="JN278" s="145"/>
      <c r="JO278" s="145"/>
      <c r="JP278" s="145"/>
      <c r="JQ278" s="145"/>
      <c r="JR278" s="145"/>
      <c r="JS278" s="145"/>
      <c r="JT278" s="145"/>
      <c r="JU278" s="145"/>
      <c r="JV278" s="145"/>
      <c r="JW278" s="145"/>
      <c r="JX278" s="145"/>
      <c r="JY278" s="145"/>
      <c r="JZ278" s="145"/>
      <c r="KA278" s="145"/>
      <c r="KB278" s="145"/>
      <c r="KC278" s="145"/>
      <c r="KD278" s="145"/>
      <c r="KE278" s="145"/>
      <c r="KF278" s="145"/>
      <c r="KG278" s="145"/>
      <c r="KH278" s="145"/>
      <c r="KI278" s="145"/>
      <c r="KJ278" s="145"/>
      <c r="KK278" s="145"/>
      <c r="KL278" s="145"/>
      <c r="KM278" s="145"/>
      <c r="KN278" s="145"/>
      <c r="KO278" s="145"/>
      <c r="KP278" s="145"/>
      <c r="KQ278" s="145"/>
      <c r="KR278" s="145"/>
      <c r="KS278" s="145"/>
      <c r="KT278" s="145"/>
      <c r="KU278" s="145"/>
      <c r="KV278" s="145"/>
      <c r="KW278" s="145"/>
      <c r="KX278" s="145"/>
      <c r="KY278" s="145"/>
      <c r="KZ278" s="145"/>
      <c r="LA278" s="145"/>
      <c r="LB278" s="145"/>
      <c r="LC278" s="145"/>
      <c r="LD278" s="145"/>
      <c r="LE278" s="145"/>
      <c r="LF278" s="145"/>
      <c r="LG278" s="145"/>
      <c r="LH278" s="145"/>
      <c r="LI278" s="145"/>
      <c r="LJ278" s="145"/>
      <c r="LK278" s="145"/>
      <c r="LL278" s="145"/>
      <c r="LM278" s="145"/>
      <c r="LN278" s="145"/>
      <c r="LO278" s="145"/>
      <c r="LP278" s="145"/>
      <c r="LQ278" s="145"/>
      <c r="LR278" s="145"/>
      <c r="LS278" s="145"/>
      <c r="LT278" s="145"/>
      <c r="LU278" s="145"/>
      <c r="LV278" s="145"/>
      <c r="LW278" s="145"/>
      <c r="LX278" s="145"/>
      <c r="LY278" s="145"/>
      <c r="LZ278" s="145"/>
      <c r="MA278" s="145"/>
      <c r="MB278" s="145"/>
      <c r="MC278" s="145"/>
      <c r="MD278" s="145"/>
      <c r="ME278" s="145"/>
      <c r="MF278" s="145"/>
      <c r="MG278" s="145"/>
      <c r="MH278" s="145"/>
      <c r="MI278" s="145"/>
      <c r="MJ278" s="145"/>
      <c r="MK278" s="145"/>
      <c r="ML278" s="145"/>
      <c r="MM278" s="145"/>
      <c r="MN278" s="145"/>
      <c r="MO278" s="145"/>
      <c r="MP278" s="145"/>
      <c r="MQ278" s="145"/>
      <c r="MR278" s="145"/>
      <c r="MS278" s="145"/>
      <c r="MT278" s="145"/>
      <c r="MU278" s="145"/>
      <c r="MV278" s="145"/>
      <c r="MW278" s="145"/>
      <c r="MX278" s="145"/>
      <c r="MY278" s="145"/>
      <c r="MZ278" s="145"/>
      <c r="NA278" s="145"/>
      <c r="NB278" s="145"/>
      <c r="NC278" s="145"/>
      <c r="ND278" s="145"/>
      <c r="NE278" s="145"/>
      <c r="NF278" s="145"/>
      <c r="NG278" s="145"/>
      <c r="NH278" s="145"/>
      <c r="NI278" s="145"/>
      <c r="NJ278" s="145"/>
      <c r="NK278" s="145"/>
      <c r="NL278" s="145"/>
      <c r="NM278" s="145"/>
      <c r="NN278" s="145"/>
      <c r="NO278" s="145"/>
      <c r="NP278" s="145"/>
      <c r="NQ278" s="145"/>
      <c r="NR278" s="145"/>
      <c r="NS278" s="145"/>
    </row>
    <row r="279" spans="1:383" s="16" customFormat="1" ht="15" customHeight="1" x14ac:dyDescent="0.2">
      <c r="A279" s="15">
        <v>99701</v>
      </c>
      <c r="B279" s="25">
        <v>997</v>
      </c>
      <c r="C279" s="26">
        <v>1</v>
      </c>
      <c r="D279" s="20" t="s">
        <v>739</v>
      </c>
      <c r="E279" s="14">
        <v>40310</v>
      </c>
      <c r="F279" s="18">
        <v>1.3832934634146401</v>
      </c>
      <c r="G279" s="18">
        <v>1.32580594285714</v>
      </c>
      <c r="H279" s="21">
        <v>100</v>
      </c>
      <c r="I279" s="21">
        <v>100</v>
      </c>
      <c r="J279" s="21">
        <v>100</v>
      </c>
      <c r="K279" s="18">
        <v>1</v>
      </c>
      <c r="L279" s="18">
        <v>99</v>
      </c>
      <c r="M279" s="18">
        <v>83.951999999999998</v>
      </c>
      <c r="N279" s="18">
        <v>0</v>
      </c>
      <c r="O279" s="18">
        <v>0</v>
      </c>
      <c r="P279" s="18">
        <v>0</v>
      </c>
      <c r="Q279" s="19"/>
      <c r="R279" s="18">
        <v>75</v>
      </c>
      <c r="S279" s="18">
        <v>0</v>
      </c>
      <c r="T279" s="18">
        <v>0</v>
      </c>
      <c r="U279" s="18">
        <v>0</v>
      </c>
      <c r="V279" s="18">
        <v>0</v>
      </c>
      <c r="W279" s="18">
        <v>0</v>
      </c>
      <c r="X279" s="18"/>
      <c r="Y279" s="18">
        <v>0</v>
      </c>
      <c r="Z279" s="18">
        <v>0</v>
      </c>
      <c r="AA279" s="18">
        <v>0</v>
      </c>
      <c r="AB279" s="18">
        <v>0</v>
      </c>
      <c r="AC279" s="18">
        <v>0</v>
      </c>
      <c r="AD279" s="18">
        <v>0</v>
      </c>
      <c r="AE279" s="18">
        <v>0</v>
      </c>
      <c r="AF279" s="18">
        <v>0</v>
      </c>
      <c r="AG279" s="18">
        <v>0</v>
      </c>
      <c r="AH279" s="18">
        <v>0</v>
      </c>
      <c r="AI279" s="18">
        <v>0</v>
      </c>
      <c r="AJ279" s="18">
        <v>0</v>
      </c>
      <c r="AK279" s="18">
        <v>0</v>
      </c>
      <c r="AL279" s="18"/>
      <c r="AM279" s="18">
        <v>0</v>
      </c>
      <c r="AN279" s="18">
        <v>0</v>
      </c>
      <c r="AO279" s="18">
        <v>0</v>
      </c>
      <c r="AP279" s="18">
        <v>0</v>
      </c>
      <c r="AQ279" s="18">
        <v>116.7</v>
      </c>
      <c r="AR279" s="18">
        <v>0</v>
      </c>
      <c r="AS279" s="18">
        <v>0</v>
      </c>
      <c r="AT279" s="18">
        <v>0</v>
      </c>
      <c r="AU279" s="18">
        <v>0</v>
      </c>
      <c r="AV279" s="18">
        <v>0</v>
      </c>
      <c r="AW279" s="18">
        <v>0</v>
      </c>
      <c r="AX279" s="18"/>
      <c r="AY279" s="18">
        <v>1</v>
      </c>
      <c r="AZ279" s="18">
        <v>1</v>
      </c>
      <c r="BA279" s="18">
        <v>1</v>
      </c>
      <c r="BB279" s="18">
        <v>1</v>
      </c>
      <c r="BC279" s="18">
        <v>1</v>
      </c>
      <c r="BD279" s="18">
        <v>1</v>
      </c>
      <c r="BE279" s="18">
        <v>1</v>
      </c>
      <c r="BF279" s="18">
        <v>1</v>
      </c>
      <c r="BG279" s="18">
        <v>1</v>
      </c>
      <c r="BH279" s="18">
        <v>1</v>
      </c>
      <c r="BI279" s="18">
        <v>1</v>
      </c>
      <c r="BJ279" s="19"/>
      <c r="BK279" s="18">
        <v>84.8</v>
      </c>
      <c r="BL279" s="18">
        <v>0</v>
      </c>
      <c r="BM279" s="18">
        <v>0</v>
      </c>
      <c r="BN279" s="18">
        <v>0</v>
      </c>
      <c r="BO279" s="18"/>
      <c r="BP279" s="18">
        <v>0</v>
      </c>
      <c r="BQ279" s="18">
        <v>0</v>
      </c>
      <c r="BR279" s="18">
        <v>1.3972661246612526</v>
      </c>
      <c r="BS279" s="18">
        <v>1.3391979220779193</v>
      </c>
      <c r="BT279" s="19"/>
      <c r="BU279" s="18">
        <v>1000</v>
      </c>
      <c r="BV279" s="18">
        <v>228.32</v>
      </c>
      <c r="BW279" s="18">
        <v>0</v>
      </c>
      <c r="BX279" s="18">
        <v>0</v>
      </c>
      <c r="BY279" s="18">
        <v>0</v>
      </c>
      <c r="BZ279" s="18" t="s">
        <v>217</v>
      </c>
      <c r="CA279" s="18" t="s">
        <v>217</v>
      </c>
      <c r="CB279" s="19"/>
      <c r="CC279" s="19">
        <v>0</v>
      </c>
      <c r="CD279" s="19">
        <v>0</v>
      </c>
      <c r="CE279" s="19">
        <v>0</v>
      </c>
      <c r="CF279" s="19">
        <v>0</v>
      </c>
      <c r="CG279" s="19">
        <v>0</v>
      </c>
      <c r="CH279" s="19">
        <v>0</v>
      </c>
      <c r="CI279" s="19">
        <v>0</v>
      </c>
      <c r="CJ279" s="19"/>
      <c r="CK279" s="19">
        <v>0</v>
      </c>
      <c r="CL279" s="19">
        <v>0</v>
      </c>
      <c r="CM279" s="19">
        <v>0</v>
      </c>
      <c r="CN279" s="19">
        <v>0</v>
      </c>
      <c r="CO279" s="19">
        <v>0</v>
      </c>
      <c r="CP279" s="19">
        <v>0</v>
      </c>
      <c r="CQ279" s="19">
        <v>629.64</v>
      </c>
      <c r="CR279" s="19">
        <v>455.1745646550969</v>
      </c>
      <c r="CS279" s="19">
        <v>0</v>
      </c>
      <c r="CT279" s="19">
        <v>0</v>
      </c>
      <c r="CU279" s="19">
        <v>0</v>
      </c>
      <c r="CV279" s="19">
        <v>0</v>
      </c>
      <c r="CW279" s="19">
        <v>0</v>
      </c>
      <c r="CX279" s="19">
        <v>531.18871695249811</v>
      </c>
      <c r="CY279" s="19">
        <v>0</v>
      </c>
      <c r="CZ279" s="19">
        <v>0</v>
      </c>
      <c r="DA279" s="19">
        <v>0</v>
      </c>
      <c r="DB279" s="19">
        <v>0</v>
      </c>
      <c r="DC279" s="19">
        <v>0</v>
      </c>
      <c r="DD279" s="19">
        <v>0</v>
      </c>
      <c r="DE279" s="19">
        <v>0</v>
      </c>
      <c r="DF279" s="23">
        <v>0</v>
      </c>
      <c r="DG279" s="23">
        <v>0</v>
      </c>
      <c r="DH279" s="23">
        <v>0</v>
      </c>
      <c r="DI279" s="19">
        <v>0</v>
      </c>
      <c r="DJ279" s="19">
        <v>0</v>
      </c>
      <c r="DK279" s="19">
        <v>0</v>
      </c>
      <c r="DL279" s="19">
        <v>0</v>
      </c>
      <c r="DM279" s="19">
        <v>0</v>
      </c>
      <c r="DN279" s="19">
        <v>0</v>
      </c>
      <c r="DO279" s="19">
        <v>0</v>
      </c>
      <c r="DP279" s="19">
        <v>0</v>
      </c>
      <c r="DQ279" s="19">
        <v>0</v>
      </c>
      <c r="DR279" s="19">
        <v>0</v>
      </c>
      <c r="DS279" s="19">
        <v>0</v>
      </c>
      <c r="DT279" s="19">
        <v>0</v>
      </c>
      <c r="DU279" s="19">
        <v>0</v>
      </c>
      <c r="DV279" s="19">
        <v>0</v>
      </c>
      <c r="DW279" s="17" t="s">
        <v>218</v>
      </c>
      <c r="DX279" s="22" t="s">
        <v>218</v>
      </c>
      <c r="DY279" s="22" t="s">
        <v>218</v>
      </c>
      <c r="DZ279" s="22" t="s">
        <v>218</v>
      </c>
      <c r="EA279" s="22" t="s">
        <v>218</v>
      </c>
      <c r="EB279" s="22" t="s">
        <v>218</v>
      </c>
      <c r="EC279" s="22" t="s">
        <v>218</v>
      </c>
      <c r="ED279" s="22" t="s">
        <v>218</v>
      </c>
      <c r="EE279" s="22" t="s">
        <v>218</v>
      </c>
      <c r="EF279" s="22" t="s">
        <v>218</v>
      </c>
      <c r="EG279" s="22" t="s">
        <v>218</v>
      </c>
      <c r="EH279" s="22" t="s">
        <v>218</v>
      </c>
      <c r="EI279" s="22" t="s">
        <v>218</v>
      </c>
      <c r="EJ279" s="22" t="s">
        <v>218</v>
      </c>
      <c r="EK279" s="22" t="s">
        <v>218</v>
      </c>
      <c r="EL279" s="22" t="s">
        <v>218</v>
      </c>
      <c r="EM279" s="22" t="s">
        <v>218</v>
      </c>
      <c r="EN279" s="22" t="s">
        <v>218</v>
      </c>
      <c r="EO279" s="22" t="s">
        <v>218</v>
      </c>
      <c r="EP279" s="22" t="s">
        <v>218</v>
      </c>
      <c r="EQ279" s="22" t="s">
        <v>218</v>
      </c>
      <c r="ER279" s="22" t="s">
        <v>218</v>
      </c>
      <c r="ES279" s="22" t="s">
        <v>218</v>
      </c>
      <c r="ET279" s="22" t="s">
        <v>218</v>
      </c>
      <c r="EU279" s="22" t="s">
        <v>218</v>
      </c>
      <c r="EV279" s="22" t="s">
        <v>218</v>
      </c>
      <c r="EW279" s="22" t="s">
        <v>218</v>
      </c>
      <c r="EX279" s="22" t="s">
        <v>218</v>
      </c>
      <c r="EY279" s="22" t="s">
        <v>218</v>
      </c>
      <c r="EZ279" s="22" t="s">
        <v>218</v>
      </c>
      <c r="FA279" s="22" t="s">
        <v>218</v>
      </c>
      <c r="FB279" s="22" t="s">
        <v>218</v>
      </c>
      <c r="FC279" s="22" t="s">
        <v>218</v>
      </c>
      <c r="FD279" s="22" t="s">
        <v>218</v>
      </c>
      <c r="FE279" s="22" t="s">
        <v>218</v>
      </c>
      <c r="FF279" s="22" t="s">
        <v>218</v>
      </c>
      <c r="FG279" s="22" t="s">
        <v>218</v>
      </c>
      <c r="FH279" s="22" t="s">
        <v>218</v>
      </c>
      <c r="FI279" s="22" t="s">
        <v>218</v>
      </c>
      <c r="FJ279" s="22" t="s">
        <v>218</v>
      </c>
      <c r="FK279" s="22" t="s">
        <v>218</v>
      </c>
      <c r="FL279" s="22" t="s">
        <v>218</v>
      </c>
      <c r="FM279" s="22" t="s">
        <v>218</v>
      </c>
      <c r="FN279" s="22" t="s">
        <v>218</v>
      </c>
      <c r="FO279" s="22" t="s">
        <v>218</v>
      </c>
      <c r="FP279" s="22" t="s">
        <v>218</v>
      </c>
      <c r="FQ279" s="22" t="s">
        <v>218</v>
      </c>
      <c r="FR279" s="22" t="s">
        <v>218</v>
      </c>
      <c r="FS279" s="22" t="s">
        <v>218</v>
      </c>
      <c r="FT279" s="22" t="s">
        <v>218</v>
      </c>
      <c r="FU279" s="22" t="s">
        <v>218</v>
      </c>
      <c r="FV279" s="22" t="s">
        <v>218</v>
      </c>
      <c r="FW279" s="22" t="s">
        <v>218</v>
      </c>
      <c r="FX279" s="22" t="s">
        <v>218</v>
      </c>
      <c r="FY279" s="22" t="s">
        <v>218</v>
      </c>
      <c r="FZ279" s="22" t="s">
        <v>218</v>
      </c>
      <c r="GA279" s="22" t="s">
        <v>218</v>
      </c>
      <c r="GB279" s="22" t="s">
        <v>218</v>
      </c>
      <c r="GC279" s="22" t="s">
        <v>218</v>
      </c>
      <c r="GD279" s="22" t="s">
        <v>218</v>
      </c>
      <c r="GE279" s="22" t="s">
        <v>218</v>
      </c>
      <c r="GF279" s="22" t="s">
        <v>218</v>
      </c>
      <c r="GG279" s="22" t="s">
        <v>218</v>
      </c>
      <c r="GH279" s="22" t="s">
        <v>218</v>
      </c>
      <c r="GI279" s="22" t="s">
        <v>218</v>
      </c>
      <c r="GJ279" s="22" t="s">
        <v>218</v>
      </c>
      <c r="GK279" s="22" t="s">
        <v>218</v>
      </c>
      <c r="GL279" s="22" t="s">
        <v>218</v>
      </c>
      <c r="GM279" s="22" t="s">
        <v>218</v>
      </c>
      <c r="GN279" s="22" t="s">
        <v>218</v>
      </c>
      <c r="GO279" s="22" t="s">
        <v>218</v>
      </c>
      <c r="GP279" s="22" t="s">
        <v>218</v>
      </c>
      <c r="GQ279" s="22" t="s">
        <v>218</v>
      </c>
      <c r="GR279" s="22" t="s">
        <v>218</v>
      </c>
      <c r="GS279" s="22" t="s">
        <v>218</v>
      </c>
      <c r="GT279" s="22" t="s">
        <v>218</v>
      </c>
      <c r="GU279" s="22" t="s">
        <v>218</v>
      </c>
      <c r="GV279" s="22" t="s">
        <v>218</v>
      </c>
      <c r="GW279" s="22" t="s">
        <v>218</v>
      </c>
      <c r="GX279" s="22" t="s">
        <v>218</v>
      </c>
      <c r="GY279" s="22" t="s">
        <v>218</v>
      </c>
      <c r="GZ279" s="22" t="s">
        <v>218</v>
      </c>
      <c r="HA279" s="22" t="s">
        <v>218</v>
      </c>
      <c r="HB279" s="22" t="s">
        <v>218</v>
      </c>
      <c r="HC279" s="22" t="s">
        <v>218</v>
      </c>
      <c r="HD279" s="22" t="s">
        <v>218</v>
      </c>
      <c r="HE279" s="22" t="s">
        <v>218</v>
      </c>
      <c r="HF279" s="22" t="s">
        <v>218</v>
      </c>
      <c r="HG279" s="22" t="s">
        <v>218</v>
      </c>
      <c r="HH279" s="22" t="s">
        <v>218</v>
      </c>
      <c r="HI279" s="22" t="s">
        <v>218</v>
      </c>
      <c r="HJ279" s="22" t="s">
        <v>218</v>
      </c>
      <c r="HK279" s="22" t="s">
        <v>218</v>
      </c>
      <c r="HL279" s="22" t="s">
        <v>218</v>
      </c>
      <c r="HM279" s="860"/>
      <c r="HN279" s="860"/>
      <c r="HO279" s="860"/>
      <c r="HP279" s="860"/>
      <c r="HQ279" s="860"/>
      <c r="HR279" s="860"/>
      <c r="HS279" s="860"/>
      <c r="HT279" s="145"/>
      <c r="HU279" s="145" t="s">
        <v>1809</v>
      </c>
      <c r="HV279" s="22" t="s">
        <v>1926</v>
      </c>
      <c r="HW279" s="22" t="s">
        <v>218</v>
      </c>
      <c r="HX279" s="22" t="s">
        <v>218</v>
      </c>
      <c r="HY279" s="22" t="s">
        <v>218</v>
      </c>
      <c r="HZ279" s="19"/>
      <c r="IA279" s="19"/>
      <c r="IB279" s="621">
        <f>'background data'!$G$10</f>
        <v>0.47300000000000003</v>
      </c>
      <c r="IC279" s="621">
        <f>'background data'!$H$10</f>
        <v>0.13</v>
      </c>
      <c r="ID279" s="621">
        <f>'background data'!$J$10</f>
        <v>0.39100000000000001</v>
      </c>
      <c r="IE279" s="621">
        <f>'background data'!$L$10</f>
        <v>5.5E-2</v>
      </c>
      <c r="IF279" s="621">
        <f>'background data'!$M$10</f>
        <v>3.97</v>
      </c>
      <c r="IG279" s="621">
        <f>'background data'!$N$10</f>
        <v>4.5999999999999999E-3</v>
      </c>
      <c r="IH279" s="621">
        <f>'background data'!$O$10</f>
        <v>2.73</v>
      </c>
      <c r="II279" s="145"/>
      <c r="IJ279" s="145"/>
      <c r="IK279" s="145"/>
      <c r="IL279" s="145"/>
      <c r="IM279" s="145"/>
      <c r="IN279" s="145"/>
      <c r="IO279" s="145"/>
      <c r="IP279" s="145"/>
      <c r="IQ279" s="145"/>
      <c r="IR279" s="145"/>
      <c r="IS279" s="145"/>
      <c r="IT279" s="145"/>
      <c r="IU279" s="145"/>
      <c r="IV279" s="145"/>
      <c r="IW279" s="145"/>
      <c r="IX279" s="145"/>
      <c r="IY279" s="145"/>
      <c r="IZ279" s="145"/>
      <c r="JA279" s="145"/>
      <c r="JB279" s="145"/>
      <c r="JC279" s="145"/>
      <c r="JD279" s="145"/>
      <c r="JE279" s="145"/>
      <c r="JF279" s="145"/>
      <c r="JG279" s="145"/>
      <c r="JH279" s="145"/>
      <c r="JI279" s="145"/>
      <c r="JJ279" s="145"/>
      <c r="JK279" s="145"/>
      <c r="JL279" s="145"/>
      <c r="JM279" s="145"/>
      <c r="JN279" s="145"/>
      <c r="JO279" s="145"/>
      <c r="JP279" s="145"/>
      <c r="JQ279" s="145"/>
      <c r="JR279" s="145"/>
      <c r="JS279" s="145"/>
      <c r="JT279" s="145"/>
      <c r="JU279" s="145"/>
      <c r="JV279" s="145"/>
      <c r="JW279" s="145"/>
      <c r="JX279" s="145"/>
      <c r="JY279" s="145"/>
      <c r="JZ279" s="145"/>
      <c r="KA279" s="145"/>
      <c r="KB279" s="145"/>
      <c r="KC279" s="145"/>
      <c r="KD279" s="145"/>
      <c r="KE279" s="145"/>
      <c r="KF279" s="145"/>
      <c r="KG279" s="145"/>
      <c r="KH279" s="145"/>
      <c r="KI279" s="145"/>
      <c r="KJ279" s="145"/>
      <c r="KK279" s="145"/>
      <c r="KL279" s="145"/>
      <c r="KM279" s="145"/>
      <c r="KN279" s="145"/>
      <c r="KO279" s="145"/>
      <c r="KP279" s="145"/>
      <c r="KQ279" s="145"/>
      <c r="KR279" s="145"/>
      <c r="KS279" s="145"/>
      <c r="KT279" s="145"/>
      <c r="KU279" s="145"/>
      <c r="KV279" s="145"/>
      <c r="KW279" s="145"/>
      <c r="KX279" s="145"/>
      <c r="KY279" s="145"/>
      <c r="KZ279" s="145"/>
      <c r="LA279" s="145"/>
      <c r="LB279" s="145"/>
      <c r="LC279" s="145"/>
      <c r="LD279" s="145"/>
      <c r="LE279" s="145"/>
      <c r="LF279" s="145"/>
      <c r="LG279" s="145"/>
      <c r="LH279" s="145"/>
      <c r="LI279" s="145"/>
      <c r="LJ279" s="145"/>
      <c r="LK279" s="145"/>
      <c r="LL279" s="145"/>
      <c r="LM279" s="145"/>
      <c r="LN279" s="145"/>
      <c r="LO279" s="145"/>
      <c r="LP279" s="145"/>
      <c r="LQ279" s="145"/>
      <c r="LR279" s="145"/>
      <c r="LS279" s="145"/>
      <c r="LT279" s="145"/>
      <c r="LU279" s="145"/>
      <c r="LV279" s="145"/>
      <c r="LW279" s="145"/>
      <c r="LX279" s="145"/>
      <c r="LY279" s="145"/>
      <c r="LZ279" s="145"/>
      <c r="MA279" s="145"/>
      <c r="MB279" s="145"/>
      <c r="MC279" s="145"/>
      <c r="MD279" s="145"/>
      <c r="ME279" s="145"/>
      <c r="MF279" s="145"/>
      <c r="MG279" s="145"/>
      <c r="MH279" s="145"/>
      <c r="MI279" s="145"/>
      <c r="MJ279" s="145"/>
      <c r="MK279" s="145"/>
      <c r="ML279" s="145"/>
      <c r="MM279" s="145"/>
      <c r="MN279" s="145"/>
      <c r="MO279" s="145"/>
      <c r="MP279" s="145"/>
      <c r="MQ279" s="145"/>
      <c r="MR279" s="145"/>
      <c r="MS279" s="145"/>
      <c r="MT279" s="145"/>
      <c r="MU279" s="145"/>
      <c r="MV279" s="145"/>
      <c r="MW279" s="145"/>
      <c r="MX279" s="145"/>
      <c r="MY279" s="145"/>
      <c r="MZ279" s="145"/>
      <c r="NA279" s="145"/>
      <c r="NB279" s="145"/>
      <c r="NC279" s="145"/>
      <c r="ND279" s="145"/>
      <c r="NE279" s="145"/>
      <c r="NF279" s="145"/>
      <c r="NG279" s="145"/>
      <c r="NH279" s="145"/>
      <c r="NI279" s="145"/>
      <c r="NJ279" s="145"/>
      <c r="NK279" s="145"/>
      <c r="NL279" s="145"/>
      <c r="NM279" s="145"/>
      <c r="NN279" s="145"/>
      <c r="NO279" s="145"/>
      <c r="NP279" s="145"/>
      <c r="NQ279" s="145"/>
      <c r="NR279" s="145"/>
      <c r="NS279" s="145"/>
    </row>
    <row r="280" spans="1:383" s="16" customFormat="1" ht="15" customHeight="1" x14ac:dyDescent="0.2">
      <c r="A280" s="15">
        <v>99700</v>
      </c>
      <c r="B280" s="25">
        <v>997</v>
      </c>
      <c r="C280" s="26">
        <v>0</v>
      </c>
      <c r="D280" s="20" t="s">
        <v>740</v>
      </c>
      <c r="E280" s="14">
        <v>40310</v>
      </c>
      <c r="F280" s="18">
        <v>1.3832934634146401</v>
      </c>
      <c r="G280" s="18">
        <v>1.32580594285714</v>
      </c>
      <c r="H280" s="21">
        <v>100</v>
      </c>
      <c r="I280" s="21">
        <v>100</v>
      </c>
      <c r="J280" s="21">
        <v>100</v>
      </c>
      <c r="K280" s="18">
        <v>1</v>
      </c>
      <c r="L280" s="18">
        <v>99</v>
      </c>
      <c r="M280" s="18">
        <v>83.951999999999998</v>
      </c>
      <c r="N280" s="18">
        <v>0</v>
      </c>
      <c r="O280" s="18">
        <v>0</v>
      </c>
      <c r="P280" s="18">
        <v>0</v>
      </c>
      <c r="Q280" s="19"/>
      <c r="R280" s="18">
        <v>100</v>
      </c>
      <c r="S280" s="18">
        <v>0</v>
      </c>
      <c r="T280" s="18">
        <v>0</v>
      </c>
      <c r="U280" s="18">
        <v>0</v>
      </c>
      <c r="V280" s="18">
        <v>0</v>
      </c>
      <c r="W280" s="18">
        <v>0</v>
      </c>
      <c r="X280" s="18"/>
      <c r="Y280" s="18">
        <v>0</v>
      </c>
      <c r="Z280" s="18">
        <v>0</v>
      </c>
      <c r="AA280" s="18">
        <v>0</v>
      </c>
      <c r="AB280" s="18">
        <v>0</v>
      </c>
      <c r="AC280" s="18">
        <v>0</v>
      </c>
      <c r="AD280" s="18">
        <v>0</v>
      </c>
      <c r="AE280" s="18">
        <v>0</v>
      </c>
      <c r="AF280" s="18">
        <v>0</v>
      </c>
      <c r="AG280" s="18">
        <v>0</v>
      </c>
      <c r="AH280" s="18">
        <v>0</v>
      </c>
      <c r="AI280" s="18">
        <v>0</v>
      </c>
      <c r="AJ280" s="18">
        <v>0</v>
      </c>
      <c r="AK280" s="18">
        <v>0</v>
      </c>
      <c r="AL280" s="18"/>
      <c r="AM280" s="18">
        <v>0</v>
      </c>
      <c r="AN280" s="18">
        <v>0</v>
      </c>
      <c r="AO280" s="18">
        <v>0</v>
      </c>
      <c r="AP280" s="18">
        <v>0</v>
      </c>
      <c r="AQ280" s="18">
        <v>116.7</v>
      </c>
      <c r="AR280" s="18">
        <v>0</v>
      </c>
      <c r="AS280" s="18">
        <v>0</v>
      </c>
      <c r="AT280" s="18">
        <v>0</v>
      </c>
      <c r="AU280" s="18">
        <v>0</v>
      </c>
      <c r="AV280" s="18">
        <v>0</v>
      </c>
      <c r="AW280" s="18">
        <v>0</v>
      </c>
      <c r="AX280" s="18"/>
      <c r="AY280" s="18">
        <v>1</v>
      </c>
      <c r="AZ280" s="18">
        <v>1</v>
      </c>
      <c r="BA280" s="18">
        <v>1</v>
      </c>
      <c r="BB280" s="18">
        <v>1</v>
      </c>
      <c r="BC280" s="18">
        <v>1</v>
      </c>
      <c r="BD280" s="18">
        <v>1</v>
      </c>
      <c r="BE280" s="18">
        <v>1</v>
      </c>
      <c r="BF280" s="18">
        <v>1</v>
      </c>
      <c r="BG280" s="18">
        <v>1</v>
      </c>
      <c r="BH280" s="18">
        <v>1</v>
      </c>
      <c r="BI280" s="18">
        <v>1</v>
      </c>
      <c r="BJ280" s="19"/>
      <c r="BK280" s="18">
        <v>84.8</v>
      </c>
      <c r="BL280" s="18">
        <v>0</v>
      </c>
      <c r="BM280" s="18">
        <v>0</v>
      </c>
      <c r="BN280" s="18">
        <v>0</v>
      </c>
      <c r="BO280" s="18"/>
      <c r="BP280" s="18">
        <v>0</v>
      </c>
      <c r="BQ280" s="18">
        <v>0</v>
      </c>
      <c r="BR280" s="18">
        <v>1.3972661246612526</v>
      </c>
      <c r="BS280" s="18">
        <v>1.3391979220779193</v>
      </c>
      <c r="BT280" s="19"/>
      <c r="BU280" s="18">
        <v>1000</v>
      </c>
      <c r="BV280" s="18">
        <v>228.32</v>
      </c>
      <c r="BW280" s="18">
        <v>0</v>
      </c>
      <c r="BX280" s="18">
        <v>0</v>
      </c>
      <c r="BY280" s="18">
        <v>0</v>
      </c>
      <c r="BZ280" s="18" t="s">
        <v>217</v>
      </c>
      <c r="CA280" s="18" t="s">
        <v>217</v>
      </c>
      <c r="CB280" s="19"/>
      <c r="CC280" s="19">
        <v>0</v>
      </c>
      <c r="CD280" s="19">
        <v>0</v>
      </c>
      <c r="CE280" s="19">
        <v>0</v>
      </c>
      <c r="CF280" s="19">
        <v>0</v>
      </c>
      <c r="CG280" s="19">
        <v>0</v>
      </c>
      <c r="CH280" s="19">
        <v>0</v>
      </c>
      <c r="CI280" s="19">
        <v>0</v>
      </c>
      <c r="CJ280" s="19"/>
      <c r="CK280" s="19">
        <v>0</v>
      </c>
      <c r="CL280" s="19">
        <v>0</v>
      </c>
      <c r="CM280" s="19">
        <v>0</v>
      </c>
      <c r="CN280" s="19">
        <v>0</v>
      </c>
      <c r="CO280" s="19">
        <v>0</v>
      </c>
      <c r="CP280" s="19">
        <v>0</v>
      </c>
      <c r="CQ280" s="19">
        <v>839.52</v>
      </c>
      <c r="CR280" s="19">
        <v>606.8994195401292</v>
      </c>
      <c r="CS280" s="19">
        <v>0</v>
      </c>
      <c r="CT280" s="19">
        <v>0</v>
      </c>
      <c r="CU280" s="19">
        <v>0</v>
      </c>
      <c r="CV280" s="19">
        <v>0</v>
      </c>
      <c r="CW280" s="19">
        <v>0</v>
      </c>
      <c r="CX280" s="19">
        <v>708.2516226033307</v>
      </c>
      <c r="CY280" s="19">
        <v>0</v>
      </c>
      <c r="CZ280" s="19">
        <v>0</v>
      </c>
      <c r="DA280" s="19">
        <v>0</v>
      </c>
      <c r="DB280" s="19">
        <v>0</v>
      </c>
      <c r="DC280" s="19">
        <v>0</v>
      </c>
      <c r="DD280" s="19">
        <v>0</v>
      </c>
      <c r="DE280" s="19">
        <v>0</v>
      </c>
      <c r="DF280" s="23">
        <v>0</v>
      </c>
      <c r="DG280" s="23">
        <v>0</v>
      </c>
      <c r="DH280" s="23">
        <v>0</v>
      </c>
      <c r="DI280" s="19">
        <v>0</v>
      </c>
      <c r="DJ280" s="19">
        <v>0</v>
      </c>
      <c r="DK280" s="19">
        <v>0</v>
      </c>
      <c r="DL280" s="19">
        <v>0</v>
      </c>
      <c r="DM280" s="19">
        <v>0</v>
      </c>
      <c r="DN280" s="19">
        <v>0</v>
      </c>
      <c r="DO280" s="19">
        <v>0</v>
      </c>
      <c r="DP280" s="19">
        <v>0</v>
      </c>
      <c r="DQ280" s="19">
        <v>0</v>
      </c>
      <c r="DR280" s="19">
        <v>0</v>
      </c>
      <c r="DS280" s="19">
        <v>0</v>
      </c>
      <c r="DT280" s="19">
        <v>0</v>
      </c>
      <c r="DU280" s="19">
        <v>0</v>
      </c>
      <c r="DV280" s="19">
        <v>0</v>
      </c>
      <c r="DW280" s="17" t="s">
        <v>218</v>
      </c>
      <c r="DX280" s="22" t="s">
        <v>218</v>
      </c>
      <c r="DY280" s="22" t="s">
        <v>218</v>
      </c>
      <c r="DZ280" s="22" t="s">
        <v>218</v>
      </c>
      <c r="EA280" s="22" t="s">
        <v>218</v>
      </c>
      <c r="EB280" s="22" t="s">
        <v>218</v>
      </c>
      <c r="EC280" s="22" t="s">
        <v>218</v>
      </c>
      <c r="ED280" s="22" t="s">
        <v>218</v>
      </c>
      <c r="EE280" s="22" t="s">
        <v>218</v>
      </c>
      <c r="EF280" s="22" t="s">
        <v>218</v>
      </c>
      <c r="EG280" s="22" t="s">
        <v>218</v>
      </c>
      <c r="EH280" s="22" t="s">
        <v>218</v>
      </c>
      <c r="EI280" s="22" t="s">
        <v>218</v>
      </c>
      <c r="EJ280" s="22" t="s">
        <v>218</v>
      </c>
      <c r="EK280" s="22" t="s">
        <v>218</v>
      </c>
      <c r="EL280" s="22" t="s">
        <v>218</v>
      </c>
      <c r="EM280" s="22" t="s">
        <v>218</v>
      </c>
      <c r="EN280" s="22" t="s">
        <v>218</v>
      </c>
      <c r="EO280" s="22" t="s">
        <v>218</v>
      </c>
      <c r="EP280" s="22" t="s">
        <v>218</v>
      </c>
      <c r="EQ280" s="22" t="s">
        <v>218</v>
      </c>
      <c r="ER280" s="22" t="s">
        <v>218</v>
      </c>
      <c r="ES280" s="22" t="s">
        <v>218</v>
      </c>
      <c r="ET280" s="22" t="s">
        <v>218</v>
      </c>
      <c r="EU280" s="22" t="s">
        <v>218</v>
      </c>
      <c r="EV280" s="22" t="s">
        <v>218</v>
      </c>
      <c r="EW280" s="22" t="s">
        <v>218</v>
      </c>
      <c r="EX280" s="22" t="s">
        <v>218</v>
      </c>
      <c r="EY280" s="22" t="s">
        <v>218</v>
      </c>
      <c r="EZ280" s="22" t="s">
        <v>218</v>
      </c>
      <c r="FA280" s="22" t="s">
        <v>218</v>
      </c>
      <c r="FB280" s="22" t="s">
        <v>218</v>
      </c>
      <c r="FC280" s="22" t="s">
        <v>218</v>
      </c>
      <c r="FD280" s="22" t="s">
        <v>218</v>
      </c>
      <c r="FE280" s="22" t="s">
        <v>218</v>
      </c>
      <c r="FF280" s="22" t="s">
        <v>218</v>
      </c>
      <c r="FG280" s="22" t="s">
        <v>218</v>
      </c>
      <c r="FH280" s="22" t="s">
        <v>218</v>
      </c>
      <c r="FI280" s="22" t="s">
        <v>218</v>
      </c>
      <c r="FJ280" s="22" t="s">
        <v>218</v>
      </c>
      <c r="FK280" s="22" t="s">
        <v>218</v>
      </c>
      <c r="FL280" s="22" t="s">
        <v>218</v>
      </c>
      <c r="FM280" s="22" t="s">
        <v>218</v>
      </c>
      <c r="FN280" s="22" t="s">
        <v>218</v>
      </c>
      <c r="FO280" s="22" t="s">
        <v>218</v>
      </c>
      <c r="FP280" s="22" t="s">
        <v>218</v>
      </c>
      <c r="FQ280" s="22" t="s">
        <v>218</v>
      </c>
      <c r="FR280" s="22" t="s">
        <v>218</v>
      </c>
      <c r="FS280" s="22" t="s">
        <v>218</v>
      </c>
      <c r="FT280" s="22" t="s">
        <v>218</v>
      </c>
      <c r="FU280" s="22" t="s">
        <v>218</v>
      </c>
      <c r="FV280" s="22" t="s">
        <v>218</v>
      </c>
      <c r="FW280" s="22" t="s">
        <v>218</v>
      </c>
      <c r="FX280" s="22" t="s">
        <v>218</v>
      </c>
      <c r="FY280" s="22" t="s">
        <v>218</v>
      </c>
      <c r="FZ280" s="22" t="s">
        <v>218</v>
      </c>
      <c r="GA280" s="22" t="s">
        <v>218</v>
      </c>
      <c r="GB280" s="22" t="s">
        <v>218</v>
      </c>
      <c r="GC280" s="22" t="s">
        <v>218</v>
      </c>
      <c r="GD280" s="22" t="s">
        <v>218</v>
      </c>
      <c r="GE280" s="22" t="s">
        <v>218</v>
      </c>
      <c r="GF280" s="22" t="s">
        <v>218</v>
      </c>
      <c r="GG280" s="22" t="s">
        <v>218</v>
      </c>
      <c r="GH280" s="22" t="s">
        <v>218</v>
      </c>
      <c r="GI280" s="22" t="s">
        <v>218</v>
      </c>
      <c r="GJ280" s="22" t="s">
        <v>218</v>
      </c>
      <c r="GK280" s="22" t="s">
        <v>218</v>
      </c>
      <c r="GL280" s="22" t="s">
        <v>218</v>
      </c>
      <c r="GM280" s="22" t="s">
        <v>218</v>
      </c>
      <c r="GN280" s="22" t="s">
        <v>218</v>
      </c>
      <c r="GO280" s="22" t="s">
        <v>218</v>
      </c>
      <c r="GP280" s="22" t="s">
        <v>218</v>
      </c>
      <c r="GQ280" s="22" t="s">
        <v>218</v>
      </c>
      <c r="GR280" s="22" t="s">
        <v>218</v>
      </c>
      <c r="GS280" s="22" t="s">
        <v>218</v>
      </c>
      <c r="GT280" s="22" t="s">
        <v>218</v>
      </c>
      <c r="GU280" s="22" t="s">
        <v>218</v>
      </c>
      <c r="GV280" s="22" t="s">
        <v>218</v>
      </c>
      <c r="GW280" s="22" t="s">
        <v>218</v>
      </c>
      <c r="GX280" s="22" t="s">
        <v>218</v>
      </c>
      <c r="GY280" s="22" t="s">
        <v>218</v>
      </c>
      <c r="GZ280" s="22" t="s">
        <v>218</v>
      </c>
      <c r="HA280" s="22" t="s">
        <v>218</v>
      </c>
      <c r="HB280" s="22" t="s">
        <v>218</v>
      </c>
      <c r="HC280" s="22" t="s">
        <v>218</v>
      </c>
      <c r="HD280" s="22" t="s">
        <v>218</v>
      </c>
      <c r="HE280" s="22" t="s">
        <v>218</v>
      </c>
      <c r="HF280" s="22" t="s">
        <v>218</v>
      </c>
      <c r="HG280" s="22" t="s">
        <v>218</v>
      </c>
      <c r="HH280" s="22" t="s">
        <v>218</v>
      </c>
      <c r="HI280" s="22" t="s">
        <v>218</v>
      </c>
      <c r="HJ280" s="22" t="s">
        <v>218</v>
      </c>
      <c r="HK280" s="22" t="s">
        <v>218</v>
      </c>
      <c r="HL280" s="22" t="s">
        <v>218</v>
      </c>
      <c r="HM280" s="860"/>
      <c r="HN280" s="860"/>
      <c r="HO280" s="860"/>
      <c r="HP280" s="860"/>
      <c r="HQ280" s="860"/>
      <c r="HR280" s="860"/>
      <c r="HS280" s="860"/>
      <c r="HT280" s="145"/>
      <c r="HU280" s="145" t="s">
        <v>1809</v>
      </c>
      <c r="HV280" s="22" t="s">
        <v>1926</v>
      </c>
      <c r="HW280" s="22" t="s">
        <v>218</v>
      </c>
      <c r="HX280" s="22" t="s">
        <v>218</v>
      </c>
      <c r="HY280" s="22" t="s">
        <v>218</v>
      </c>
      <c r="HZ280" s="19"/>
      <c r="IA280" s="19"/>
      <c r="IB280" s="621">
        <f>'background data'!$G$10</f>
        <v>0.47300000000000003</v>
      </c>
      <c r="IC280" s="621">
        <f>'background data'!$H$10</f>
        <v>0.13</v>
      </c>
      <c r="ID280" s="621">
        <f>'background data'!$J$10</f>
        <v>0.39100000000000001</v>
      </c>
      <c r="IE280" s="621">
        <f>'background data'!$L$10</f>
        <v>5.5E-2</v>
      </c>
      <c r="IF280" s="621">
        <f>'background data'!$M$10</f>
        <v>3.97</v>
      </c>
      <c r="IG280" s="621">
        <f>'background data'!$N$10</f>
        <v>4.5999999999999999E-3</v>
      </c>
      <c r="IH280" s="621">
        <f>'background data'!$O$10</f>
        <v>2.73</v>
      </c>
      <c r="II280" s="145"/>
      <c r="IJ280" s="145"/>
      <c r="IK280" s="145"/>
      <c r="IL280" s="145"/>
      <c r="IM280" s="145"/>
      <c r="IN280" s="145"/>
      <c r="IO280" s="145"/>
      <c r="IP280" s="145"/>
      <c r="IQ280" s="145"/>
      <c r="IR280" s="145"/>
      <c r="IS280" s="145"/>
      <c r="IT280" s="145"/>
      <c r="IU280" s="145"/>
      <c r="IV280" s="145"/>
      <c r="IW280" s="145"/>
      <c r="IX280" s="145"/>
      <c r="IY280" s="145"/>
      <c r="IZ280" s="145"/>
      <c r="JA280" s="145"/>
      <c r="JB280" s="145"/>
      <c r="JC280" s="145"/>
      <c r="JD280" s="145"/>
      <c r="JE280" s="145"/>
      <c r="JF280" s="145"/>
      <c r="JG280" s="145"/>
      <c r="JH280" s="145"/>
      <c r="JI280" s="145"/>
      <c r="JJ280" s="145"/>
      <c r="JK280" s="145"/>
      <c r="JL280" s="145"/>
      <c r="JM280" s="145"/>
      <c r="JN280" s="145"/>
      <c r="JO280" s="145"/>
      <c r="JP280" s="145"/>
      <c r="JQ280" s="145"/>
      <c r="JR280" s="145"/>
      <c r="JS280" s="145"/>
      <c r="JT280" s="145"/>
      <c r="JU280" s="145"/>
      <c r="JV280" s="145"/>
      <c r="JW280" s="145"/>
      <c r="JX280" s="145"/>
      <c r="JY280" s="145"/>
      <c r="JZ280" s="145"/>
      <c r="KA280" s="145"/>
      <c r="KB280" s="145"/>
      <c r="KC280" s="145"/>
      <c r="KD280" s="145"/>
      <c r="KE280" s="145"/>
      <c r="KF280" s="145"/>
      <c r="KG280" s="145"/>
      <c r="KH280" s="145"/>
      <c r="KI280" s="145"/>
      <c r="KJ280" s="145"/>
      <c r="KK280" s="145"/>
      <c r="KL280" s="145"/>
      <c r="KM280" s="145"/>
      <c r="KN280" s="145"/>
      <c r="KO280" s="145"/>
      <c r="KP280" s="145"/>
      <c r="KQ280" s="145"/>
      <c r="KR280" s="145"/>
      <c r="KS280" s="145"/>
      <c r="KT280" s="145"/>
      <c r="KU280" s="145"/>
      <c r="KV280" s="145"/>
      <c r="KW280" s="145"/>
      <c r="KX280" s="145"/>
      <c r="KY280" s="145"/>
      <c r="KZ280" s="145"/>
      <c r="LA280" s="145"/>
      <c r="LB280" s="145"/>
      <c r="LC280" s="145"/>
      <c r="LD280" s="145"/>
      <c r="LE280" s="145"/>
      <c r="LF280" s="145"/>
      <c r="LG280" s="145"/>
      <c r="LH280" s="145"/>
      <c r="LI280" s="145"/>
      <c r="LJ280" s="145"/>
      <c r="LK280" s="145"/>
      <c r="LL280" s="145"/>
      <c r="LM280" s="145"/>
      <c r="LN280" s="145"/>
      <c r="LO280" s="145"/>
      <c r="LP280" s="145"/>
      <c r="LQ280" s="145"/>
      <c r="LR280" s="145"/>
      <c r="LS280" s="145"/>
      <c r="LT280" s="145"/>
      <c r="LU280" s="145"/>
      <c r="LV280" s="145"/>
      <c r="LW280" s="145"/>
      <c r="LX280" s="145"/>
      <c r="LY280" s="145"/>
      <c r="LZ280" s="145"/>
      <c r="MA280" s="145"/>
      <c r="MB280" s="145"/>
      <c r="MC280" s="145"/>
      <c r="MD280" s="145"/>
      <c r="ME280" s="145"/>
      <c r="MF280" s="145"/>
      <c r="MG280" s="145"/>
      <c r="MH280" s="145"/>
      <c r="MI280" s="145"/>
      <c r="MJ280" s="145"/>
      <c r="MK280" s="145"/>
      <c r="ML280" s="145"/>
      <c r="MM280" s="145"/>
      <c r="MN280" s="145"/>
      <c r="MO280" s="145"/>
      <c r="MP280" s="145"/>
      <c r="MQ280" s="145"/>
      <c r="MR280" s="145"/>
      <c r="MS280" s="145"/>
      <c r="MT280" s="145"/>
      <c r="MU280" s="145"/>
      <c r="MV280" s="145"/>
      <c r="MW280" s="145"/>
      <c r="MX280" s="145"/>
      <c r="MY280" s="145"/>
      <c r="MZ280" s="145"/>
      <c r="NA280" s="145"/>
      <c r="NB280" s="145"/>
      <c r="NC280" s="145"/>
      <c r="ND280" s="145"/>
      <c r="NE280" s="145"/>
      <c r="NF280" s="145"/>
      <c r="NG280" s="145"/>
      <c r="NH280" s="145"/>
      <c r="NI280" s="145"/>
      <c r="NJ280" s="145"/>
      <c r="NK280" s="145"/>
      <c r="NL280" s="145"/>
      <c r="NM280" s="145"/>
      <c r="NN280" s="145"/>
      <c r="NO280" s="145"/>
      <c r="NP280" s="145"/>
      <c r="NQ280" s="145"/>
      <c r="NR280" s="145"/>
      <c r="NS280" s="145"/>
    </row>
    <row r="281" spans="1:383" s="16" customFormat="1" ht="15" customHeight="1" x14ac:dyDescent="0.2">
      <c r="A281" s="15">
        <v>99950</v>
      </c>
      <c r="B281" s="25">
        <v>999</v>
      </c>
      <c r="C281" s="26">
        <v>50</v>
      </c>
      <c r="D281" s="20" t="s">
        <v>741</v>
      </c>
      <c r="E281" s="14">
        <v>40310</v>
      </c>
      <c r="F281" s="18">
        <v>1.2085399792561</v>
      </c>
      <c r="G281" s="18">
        <v>1.1583149411571401</v>
      </c>
      <c r="H281" s="21">
        <v>100</v>
      </c>
      <c r="I281" s="21">
        <v>100</v>
      </c>
      <c r="J281" s="21">
        <v>100</v>
      </c>
      <c r="K281" s="18">
        <v>1</v>
      </c>
      <c r="L281" s="18">
        <v>99</v>
      </c>
      <c r="M281" s="18">
        <v>47.82987</v>
      </c>
      <c r="N281" s="18">
        <v>0</v>
      </c>
      <c r="O281" s="18">
        <v>14.99999985</v>
      </c>
      <c r="P281" s="18">
        <v>0</v>
      </c>
      <c r="Q281" s="19"/>
      <c r="R281" s="18">
        <v>100</v>
      </c>
      <c r="S281" s="18">
        <v>0</v>
      </c>
      <c r="T281" s="18">
        <v>0</v>
      </c>
      <c r="U281" s="18">
        <v>0</v>
      </c>
      <c r="V281" s="18">
        <v>0</v>
      </c>
      <c r="W281" s="18">
        <v>0</v>
      </c>
      <c r="X281" s="18"/>
      <c r="Y281" s="18">
        <v>0</v>
      </c>
      <c r="Z281" s="18">
        <v>0</v>
      </c>
      <c r="AA281" s="18">
        <v>0</v>
      </c>
      <c r="AB281" s="18">
        <v>0</v>
      </c>
      <c r="AC281" s="18">
        <v>0</v>
      </c>
      <c r="AD281" s="18">
        <v>0</v>
      </c>
      <c r="AE281" s="18">
        <v>0</v>
      </c>
      <c r="AF281" s="18">
        <v>0</v>
      </c>
      <c r="AG281" s="18">
        <v>0</v>
      </c>
      <c r="AH281" s="18">
        <v>0</v>
      </c>
      <c r="AI281" s="18">
        <v>0</v>
      </c>
      <c r="AJ281" s="18">
        <v>0</v>
      </c>
      <c r="AK281" s="18">
        <v>0</v>
      </c>
      <c r="AL281" s="18"/>
      <c r="AM281" s="18">
        <v>0</v>
      </c>
      <c r="AN281" s="18">
        <v>0</v>
      </c>
      <c r="AO281" s="18">
        <v>0</v>
      </c>
      <c r="AP281" s="18">
        <v>0</v>
      </c>
      <c r="AQ281" s="18">
        <v>0</v>
      </c>
      <c r="AR281" s="18">
        <v>0</v>
      </c>
      <c r="AS281" s="18">
        <v>0</v>
      </c>
      <c r="AT281" s="18">
        <v>0</v>
      </c>
      <c r="AU281" s="18">
        <v>0</v>
      </c>
      <c r="AV281" s="18">
        <v>206.98362800000001</v>
      </c>
      <c r="AW281" s="18">
        <v>0</v>
      </c>
      <c r="AX281" s="18"/>
      <c r="AY281" s="18">
        <v>1</v>
      </c>
      <c r="AZ281" s="18">
        <v>1</v>
      </c>
      <c r="BA281" s="18">
        <v>1</v>
      </c>
      <c r="BB281" s="18">
        <v>1</v>
      </c>
      <c r="BC281" s="18">
        <v>1</v>
      </c>
      <c r="BD281" s="18">
        <v>1</v>
      </c>
      <c r="BE281" s="18">
        <v>1</v>
      </c>
      <c r="BF281" s="18">
        <v>1</v>
      </c>
      <c r="BG281" s="18">
        <v>1</v>
      </c>
      <c r="BH281" s="18">
        <v>1</v>
      </c>
      <c r="BI281" s="18">
        <v>1</v>
      </c>
      <c r="BJ281" s="19"/>
      <c r="BK281" s="18">
        <v>48.313000000000002</v>
      </c>
      <c r="BL281" s="18">
        <v>0</v>
      </c>
      <c r="BM281" s="18">
        <v>15.151515</v>
      </c>
      <c r="BN281" s="18">
        <v>0</v>
      </c>
      <c r="BO281" s="18"/>
      <c r="BP281" s="18">
        <v>0</v>
      </c>
      <c r="BQ281" s="18">
        <v>0</v>
      </c>
      <c r="BR281" s="18">
        <v>1.2207474537940404</v>
      </c>
      <c r="BS281" s="18">
        <v>1.1700150920779193</v>
      </c>
      <c r="BT281" s="19"/>
      <c r="BU281" s="18">
        <v>848.48485000000005</v>
      </c>
      <c r="BV281" s="18">
        <v>408.83654999999999</v>
      </c>
      <c r="BW281" s="18">
        <v>0</v>
      </c>
      <c r="BX281" s="18">
        <v>0</v>
      </c>
      <c r="BY281" s="18">
        <v>0</v>
      </c>
      <c r="BZ281" s="18" t="s">
        <v>217</v>
      </c>
      <c r="CA281" s="18" t="s">
        <v>217</v>
      </c>
      <c r="CB281" s="19"/>
      <c r="CC281" s="19">
        <v>0</v>
      </c>
      <c r="CD281" s="19">
        <v>0</v>
      </c>
      <c r="CE281" s="19">
        <v>0</v>
      </c>
      <c r="CF281" s="19">
        <v>0</v>
      </c>
      <c r="CG281" s="19">
        <v>0</v>
      </c>
      <c r="CH281" s="19">
        <v>0</v>
      </c>
      <c r="CI281" s="19">
        <v>0</v>
      </c>
      <c r="CJ281" s="19"/>
      <c r="CK281" s="19">
        <v>0</v>
      </c>
      <c r="CL281" s="19">
        <v>0</v>
      </c>
      <c r="CM281" s="19">
        <v>0</v>
      </c>
      <c r="CN281" s="19">
        <v>0</v>
      </c>
      <c r="CO281" s="19">
        <v>0</v>
      </c>
      <c r="CP281" s="19">
        <v>0</v>
      </c>
      <c r="CQ281" s="19">
        <v>478.2987</v>
      </c>
      <c r="CR281" s="19">
        <v>395.76572410489069</v>
      </c>
      <c r="CS281" s="19">
        <v>0</v>
      </c>
      <c r="CT281" s="19">
        <v>0</v>
      </c>
      <c r="CU281" s="19">
        <v>0</v>
      </c>
      <c r="CV281" s="19">
        <v>0</v>
      </c>
      <c r="CW281" s="19">
        <v>0</v>
      </c>
      <c r="CX281" s="19">
        <v>0</v>
      </c>
      <c r="CY281" s="19">
        <v>0</v>
      </c>
      <c r="CZ281" s="19">
        <v>0</v>
      </c>
      <c r="DA281" s="19">
        <v>0</v>
      </c>
      <c r="DB281" s="19">
        <v>0</v>
      </c>
      <c r="DC281" s="19">
        <v>819.17025413277327</v>
      </c>
      <c r="DD281" s="19">
        <v>819.17025413277327</v>
      </c>
      <c r="DE281" s="19">
        <v>0</v>
      </c>
      <c r="DF281" s="23">
        <v>0</v>
      </c>
      <c r="DG281" s="23">
        <v>0</v>
      </c>
      <c r="DH281" s="23">
        <v>0</v>
      </c>
      <c r="DI281" s="19">
        <v>0</v>
      </c>
      <c r="DJ281" s="19">
        <v>0</v>
      </c>
      <c r="DK281" s="19">
        <v>0</v>
      </c>
      <c r="DL281" s="19">
        <v>0</v>
      </c>
      <c r="DM281" s="19">
        <v>0</v>
      </c>
      <c r="DN281" s="19">
        <v>0</v>
      </c>
      <c r="DO281" s="19">
        <v>0</v>
      </c>
      <c r="DP281" s="19">
        <v>0</v>
      </c>
      <c r="DQ281" s="19">
        <v>0</v>
      </c>
      <c r="DR281" s="19">
        <v>0</v>
      </c>
      <c r="DS281" s="19">
        <v>0</v>
      </c>
      <c r="DT281" s="19">
        <v>0</v>
      </c>
      <c r="DU281" s="19">
        <v>0</v>
      </c>
      <c r="DV281" s="19">
        <v>0</v>
      </c>
      <c r="DW281" s="17" t="s">
        <v>218</v>
      </c>
      <c r="DX281" s="22" t="s">
        <v>218</v>
      </c>
      <c r="DY281" s="22" t="s">
        <v>218</v>
      </c>
      <c r="DZ281" s="22" t="s">
        <v>218</v>
      </c>
      <c r="EA281" s="22" t="s">
        <v>218</v>
      </c>
      <c r="EB281" s="22" t="s">
        <v>218</v>
      </c>
      <c r="EC281" s="22" t="s">
        <v>218</v>
      </c>
      <c r="ED281" s="22" t="s">
        <v>218</v>
      </c>
      <c r="EE281" s="22" t="s">
        <v>218</v>
      </c>
      <c r="EF281" s="22" t="s">
        <v>218</v>
      </c>
      <c r="EG281" s="22" t="s">
        <v>218</v>
      </c>
      <c r="EH281" s="22" t="s">
        <v>218</v>
      </c>
      <c r="EI281" s="22" t="s">
        <v>218</v>
      </c>
      <c r="EJ281" s="22" t="s">
        <v>218</v>
      </c>
      <c r="EK281" s="22" t="s">
        <v>218</v>
      </c>
      <c r="EL281" s="22" t="s">
        <v>218</v>
      </c>
      <c r="EM281" s="22" t="s">
        <v>218</v>
      </c>
      <c r="EN281" s="22" t="s">
        <v>218</v>
      </c>
      <c r="EO281" s="22" t="s">
        <v>218</v>
      </c>
      <c r="EP281" s="22" t="s">
        <v>218</v>
      </c>
      <c r="EQ281" s="22" t="s">
        <v>218</v>
      </c>
      <c r="ER281" s="22" t="s">
        <v>218</v>
      </c>
      <c r="ES281" s="22" t="s">
        <v>218</v>
      </c>
      <c r="ET281" s="22" t="s">
        <v>218</v>
      </c>
      <c r="EU281" s="22" t="s">
        <v>218</v>
      </c>
      <c r="EV281" s="22" t="s">
        <v>218</v>
      </c>
      <c r="EW281" s="22" t="s">
        <v>218</v>
      </c>
      <c r="EX281" s="22" t="s">
        <v>218</v>
      </c>
      <c r="EY281" s="22" t="s">
        <v>218</v>
      </c>
      <c r="EZ281" s="22" t="s">
        <v>218</v>
      </c>
      <c r="FA281" s="22" t="s">
        <v>218</v>
      </c>
      <c r="FB281" s="22" t="s">
        <v>218</v>
      </c>
      <c r="FC281" s="22" t="s">
        <v>218</v>
      </c>
      <c r="FD281" s="22" t="s">
        <v>218</v>
      </c>
      <c r="FE281" s="22" t="s">
        <v>218</v>
      </c>
      <c r="FF281" s="22" t="s">
        <v>218</v>
      </c>
      <c r="FG281" s="22" t="s">
        <v>218</v>
      </c>
      <c r="FH281" s="22" t="s">
        <v>218</v>
      </c>
      <c r="FI281" s="22" t="s">
        <v>218</v>
      </c>
      <c r="FJ281" s="22" t="s">
        <v>218</v>
      </c>
      <c r="FK281" s="22" t="s">
        <v>218</v>
      </c>
      <c r="FL281" s="22" t="s">
        <v>218</v>
      </c>
      <c r="FM281" s="22" t="s">
        <v>218</v>
      </c>
      <c r="FN281" s="22" t="s">
        <v>218</v>
      </c>
      <c r="FO281" s="22" t="s">
        <v>218</v>
      </c>
      <c r="FP281" s="22" t="s">
        <v>218</v>
      </c>
      <c r="FQ281" s="22" t="s">
        <v>218</v>
      </c>
      <c r="FR281" s="22" t="s">
        <v>218</v>
      </c>
      <c r="FS281" s="22" t="s">
        <v>218</v>
      </c>
      <c r="FT281" s="22" t="s">
        <v>218</v>
      </c>
      <c r="FU281" s="22" t="s">
        <v>218</v>
      </c>
      <c r="FV281" s="22" t="s">
        <v>218</v>
      </c>
      <c r="FW281" s="22" t="s">
        <v>218</v>
      </c>
      <c r="FX281" s="22" t="s">
        <v>218</v>
      </c>
      <c r="FY281" s="22" t="s">
        <v>218</v>
      </c>
      <c r="FZ281" s="22" t="s">
        <v>218</v>
      </c>
      <c r="GA281" s="22" t="s">
        <v>218</v>
      </c>
      <c r="GB281" s="22" t="s">
        <v>218</v>
      </c>
      <c r="GC281" s="22" t="s">
        <v>218</v>
      </c>
      <c r="GD281" s="22" t="s">
        <v>218</v>
      </c>
      <c r="GE281" s="22" t="s">
        <v>218</v>
      </c>
      <c r="GF281" s="22" t="s">
        <v>218</v>
      </c>
      <c r="GG281" s="22" t="s">
        <v>218</v>
      </c>
      <c r="GH281" s="22" t="s">
        <v>218</v>
      </c>
      <c r="GI281" s="22" t="s">
        <v>218</v>
      </c>
      <c r="GJ281" s="22" t="s">
        <v>218</v>
      </c>
      <c r="GK281" s="22" t="s">
        <v>218</v>
      </c>
      <c r="GL281" s="22" t="s">
        <v>218</v>
      </c>
      <c r="GM281" s="22" t="s">
        <v>218</v>
      </c>
      <c r="GN281" s="22" t="s">
        <v>218</v>
      </c>
      <c r="GO281" s="22" t="s">
        <v>218</v>
      </c>
      <c r="GP281" s="22" t="s">
        <v>218</v>
      </c>
      <c r="GQ281" s="22" t="s">
        <v>218</v>
      </c>
      <c r="GR281" s="22" t="s">
        <v>218</v>
      </c>
      <c r="GS281" s="22" t="s">
        <v>218</v>
      </c>
      <c r="GT281" s="22" t="s">
        <v>218</v>
      </c>
      <c r="GU281" s="22" t="s">
        <v>218</v>
      </c>
      <c r="GV281" s="22" t="s">
        <v>218</v>
      </c>
      <c r="GW281" s="22" t="s">
        <v>218</v>
      </c>
      <c r="GX281" s="22" t="s">
        <v>218</v>
      </c>
      <c r="GY281" s="22" t="s">
        <v>218</v>
      </c>
      <c r="GZ281" s="22" t="s">
        <v>218</v>
      </c>
      <c r="HA281" s="22" t="s">
        <v>218</v>
      </c>
      <c r="HB281" s="22" t="s">
        <v>218</v>
      </c>
      <c r="HC281" s="22" t="s">
        <v>218</v>
      </c>
      <c r="HD281" s="22" t="s">
        <v>218</v>
      </c>
      <c r="HE281" s="22" t="s">
        <v>218</v>
      </c>
      <c r="HF281" s="22" t="s">
        <v>218</v>
      </c>
      <c r="HG281" s="22" t="s">
        <v>218</v>
      </c>
      <c r="HH281" s="22" t="s">
        <v>218</v>
      </c>
      <c r="HI281" s="22" t="s">
        <v>218</v>
      </c>
      <c r="HJ281" s="22" t="s">
        <v>218</v>
      </c>
      <c r="HK281" s="22" t="s">
        <v>218</v>
      </c>
      <c r="HL281" s="22" t="s">
        <v>218</v>
      </c>
      <c r="HM281" s="860"/>
      <c r="HN281" s="860"/>
      <c r="HO281" s="860"/>
      <c r="HP281" s="860"/>
      <c r="HQ281" s="860"/>
      <c r="HR281" s="860"/>
      <c r="HS281" s="860"/>
      <c r="HT281" s="145"/>
      <c r="HU281" s="145" t="s">
        <v>1809</v>
      </c>
      <c r="HV281" s="22" t="s">
        <v>1926</v>
      </c>
      <c r="HW281" s="22" t="s">
        <v>218</v>
      </c>
      <c r="HX281" s="22" t="s">
        <v>218</v>
      </c>
      <c r="HY281" s="22" t="s">
        <v>218</v>
      </c>
      <c r="HZ281" s="19"/>
      <c r="IA281" s="19"/>
      <c r="IB281" s="621">
        <f>'background data'!$G$10</f>
        <v>0.47300000000000003</v>
      </c>
      <c r="IC281" s="621">
        <f>'background data'!$H$10</f>
        <v>0.13</v>
      </c>
      <c r="ID281" s="621">
        <f>'background data'!$J$10</f>
        <v>0.39100000000000001</v>
      </c>
      <c r="IE281" s="621">
        <f>'background data'!$L$10</f>
        <v>5.5E-2</v>
      </c>
      <c r="IF281" s="621">
        <f>'background data'!$M$10</f>
        <v>3.97</v>
      </c>
      <c r="IG281" s="621">
        <f>'background data'!$N$10</f>
        <v>4.5999999999999999E-3</v>
      </c>
      <c r="IH281" s="621">
        <f>'background data'!$O$10</f>
        <v>2.73</v>
      </c>
      <c r="II281" s="145"/>
      <c r="IJ281" s="145"/>
      <c r="IK281" s="145"/>
      <c r="IL281" s="145"/>
      <c r="IM281" s="145"/>
      <c r="IN281" s="145"/>
      <c r="IO281" s="145"/>
      <c r="IP281" s="145"/>
      <c r="IQ281" s="145"/>
      <c r="IR281" s="145"/>
      <c r="IS281" s="145"/>
      <c r="IT281" s="145"/>
      <c r="IU281" s="145"/>
      <c r="IV281" s="145"/>
      <c r="IW281" s="145"/>
      <c r="IX281" s="145"/>
      <c r="IY281" s="145"/>
      <c r="IZ281" s="145"/>
      <c r="JA281" s="145"/>
      <c r="JB281" s="145"/>
      <c r="JC281" s="145"/>
      <c r="JD281" s="145"/>
      <c r="JE281" s="145"/>
      <c r="JF281" s="145"/>
      <c r="JG281" s="145"/>
      <c r="JH281" s="145"/>
      <c r="JI281" s="145"/>
      <c r="JJ281" s="145"/>
      <c r="JK281" s="145"/>
      <c r="JL281" s="145"/>
      <c r="JM281" s="145"/>
      <c r="JN281" s="145"/>
      <c r="JO281" s="145"/>
      <c r="JP281" s="145"/>
      <c r="JQ281" s="145"/>
      <c r="JR281" s="145"/>
      <c r="JS281" s="145"/>
      <c r="JT281" s="145"/>
      <c r="JU281" s="145"/>
      <c r="JV281" s="145"/>
      <c r="JW281" s="145"/>
      <c r="JX281" s="145"/>
      <c r="JY281" s="145"/>
      <c r="JZ281" s="145"/>
      <c r="KA281" s="145"/>
      <c r="KB281" s="145"/>
      <c r="KC281" s="145"/>
      <c r="KD281" s="145"/>
      <c r="KE281" s="145"/>
      <c r="KF281" s="145"/>
      <c r="KG281" s="145"/>
      <c r="KH281" s="145"/>
      <c r="KI281" s="145"/>
      <c r="KJ281" s="145"/>
      <c r="KK281" s="145"/>
      <c r="KL281" s="145"/>
      <c r="KM281" s="145"/>
      <c r="KN281" s="145"/>
      <c r="KO281" s="145"/>
      <c r="KP281" s="145"/>
      <c r="KQ281" s="145"/>
      <c r="KR281" s="145"/>
      <c r="KS281" s="145"/>
      <c r="KT281" s="145"/>
      <c r="KU281" s="145"/>
      <c r="KV281" s="145"/>
      <c r="KW281" s="145"/>
      <c r="KX281" s="145"/>
      <c r="KY281" s="145"/>
      <c r="KZ281" s="145"/>
      <c r="LA281" s="145"/>
      <c r="LB281" s="145"/>
      <c r="LC281" s="145"/>
      <c r="LD281" s="145"/>
      <c r="LE281" s="145"/>
      <c r="LF281" s="145"/>
      <c r="LG281" s="145"/>
      <c r="LH281" s="145"/>
      <c r="LI281" s="145"/>
      <c r="LJ281" s="145"/>
      <c r="LK281" s="145"/>
      <c r="LL281" s="145"/>
      <c r="LM281" s="145"/>
      <c r="LN281" s="145"/>
      <c r="LO281" s="145"/>
      <c r="LP281" s="145"/>
      <c r="LQ281" s="145"/>
      <c r="LR281" s="145"/>
      <c r="LS281" s="145"/>
      <c r="LT281" s="145"/>
      <c r="LU281" s="145"/>
      <c r="LV281" s="145"/>
      <c r="LW281" s="145"/>
      <c r="LX281" s="145"/>
      <c r="LY281" s="145"/>
      <c r="LZ281" s="145"/>
      <c r="MA281" s="145"/>
      <c r="MB281" s="145"/>
      <c r="MC281" s="145"/>
      <c r="MD281" s="145"/>
      <c r="ME281" s="145"/>
      <c r="MF281" s="145"/>
      <c r="MG281" s="145"/>
      <c r="MH281" s="145"/>
      <c r="MI281" s="145"/>
      <c r="MJ281" s="145"/>
      <c r="MK281" s="145"/>
      <c r="ML281" s="145"/>
      <c r="MM281" s="145"/>
      <c r="MN281" s="145"/>
      <c r="MO281" s="145"/>
      <c r="MP281" s="145"/>
      <c r="MQ281" s="145"/>
      <c r="MR281" s="145"/>
      <c r="MS281" s="145"/>
      <c r="MT281" s="145"/>
      <c r="MU281" s="145"/>
      <c r="MV281" s="145"/>
      <c r="MW281" s="145"/>
      <c r="MX281" s="145"/>
      <c r="MY281" s="145"/>
      <c r="MZ281" s="145"/>
      <c r="NA281" s="145"/>
      <c r="NB281" s="145"/>
      <c r="NC281" s="145"/>
      <c r="ND281" s="145"/>
      <c r="NE281" s="145"/>
      <c r="NF281" s="145"/>
      <c r="NG281" s="145"/>
      <c r="NH281" s="145"/>
      <c r="NI281" s="145"/>
      <c r="NJ281" s="145"/>
      <c r="NK281" s="145"/>
      <c r="NL281" s="145"/>
      <c r="NM281" s="145"/>
      <c r="NN281" s="145"/>
      <c r="NO281" s="145"/>
      <c r="NP281" s="145"/>
      <c r="NQ281" s="145"/>
      <c r="NR281" s="145"/>
      <c r="NS281" s="145"/>
    </row>
    <row r="282" spans="1:383" s="16" customFormat="1" ht="15" customHeight="1" x14ac:dyDescent="0.2">
      <c r="A282" s="15">
        <v>93000</v>
      </c>
      <c r="B282" s="25">
        <v>930</v>
      </c>
      <c r="C282" s="26">
        <v>0</v>
      </c>
      <c r="D282" s="20" t="s">
        <v>742</v>
      </c>
      <c r="E282" s="14">
        <v>40310</v>
      </c>
      <c r="F282" s="18">
        <v>1.0540971979384399</v>
      </c>
      <c r="G282" s="18">
        <v>1.0711745939821899</v>
      </c>
      <c r="H282" s="21">
        <v>92.3</v>
      </c>
      <c r="I282" s="21">
        <v>77.400000000000006</v>
      </c>
      <c r="J282" s="21">
        <v>94.1</v>
      </c>
      <c r="K282" s="18">
        <v>1</v>
      </c>
      <c r="L282" s="18">
        <v>93.9</v>
      </c>
      <c r="M282" s="18">
        <v>45.353700000000003</v>
      </c>
      <c r="N282" s="18">
        <v>5.5400999999999998</v>
      </c>
      <c r="O282" s="18">
        <v>8.7326999999999995</v>
      </c>
      <c r="P282" s="18">
        <v>1.8779999999999999</v>
      </c>
      <c r="Q282" s="19"/>
      <c r="R282" s="18">
        <v>85</v>
      </c>
      <c r="S282" s="18">
        <v>50</v>
      </c>
      <c r="T282" s="18">
        <v>50</v>
      </c>
      <c r="U282" s="18">
        <v>50</v>
      </c>
      <c r="V282" s="18">
        <v>50</v>
      </c>
      <c r="W282" s="18">
        <v>50</v>
      </c>
      <c r="X282" s="18"/>
      <c r="Y282" s="18">
        <v>1.4</v>
      </c>
      <c r="Z282" s="18">
        <v>13</v>
      </c>
      <c r="AA282" s="18">
        <v>9.1999999999999993</v>
      </c>
      <c r="AB282" s="18">
        <v>0</v>
      </c>
      <c r="AC282" s="18">
        <v>15.999999999999998</v>
      </c>
      <c r="AD282" s="18">
        <v>2.8</v>
      </c>
      <c r="AE282" s="18">
        <v>3.6</v>
      </c>
      <c r="AF282" s="18">
        <v>106</v>
      </c>
      <c r="AG282" s="18">
        <v>18</v>
      </c>
      <c r="AH282" s="18">
        <v>23</v>
      </c>
      <c r="AI282" s="18">
        <v>94.000000000000099</v>
      </c>
      <c r="AJ282" s="18">
        <v>0</v>
      </c>
      <c r="AK282" s="18">
        <v>0.48</v>
      </c>
      <c r="AL282" s="18"/>
      <c r="AM282" s="18">
        <v>5.9999999999999902</v>
      </c>
      <c r="AN282" s="18">
        <v>1.7</v>
      </c>
      <c r="AO282" s="18">
        <v>1.2</v>
      </c>
      <c r="AP282" s="18">
        <v>4.3</v>
      </c>
      <c r="AQ282" s="18">
        <v>1.31</v>
      </c>
      <c r="AR282" s="18">
        <v>4.4599999999999902</v>
      </c>
      <c r="AS282" s="18">
        <v>6.81</v>
      </c>
      <c r="AT282" s="18">
        <v>2.19</v>
      </c>
      <c r="AU282" s="18">
        <v>3.8899999999999899</v>
      </c>
      <c r="AV282" s="18">
        <v>3.2099999999999902</v>
      </c>
      <c r="AW282" s="18">
        <v>4.84</v>
      </c>
      <c r="AX282" s="18"/>
      <c r="AY282" s="18">
        <v>1</v>
      </c>
      <c r="AZ282" s="18">
        <v>1</v>
      </c>
      <c r="BA282" s="18">
        <v>1</v>
      </c>
      <c r="BB282" s="18">
        <v>1</v>
      </c>
      <c r="BC282" s="18">
        <v>1</v>
      </c>
      <c r="BD282" s="18">
        <v>1</v>
      </c>
      <c r="BE282" s="18">
        <v>1</v>
      </c>
      <c r="BF282" s="18">
        <v>1</v>
      </c>
      <c r="BG282" s="18">
        <v>1</v>
      </c>
      <c r="BH282" s="18">
        <v>1</v>
      </c>
      <c r="BI282" s="18">
        <v>1</v>
      </c>
      <c r="BJ282" s="19"/>
      <c r="BK282" s="18">
        <v>48.300000000000004</v>
      </c>
      <c r="BL282" s="18">
        <v>5.8999999999999995</v>
      </c>
      <c r="BM282" s="18">
        <v>9.2999999999999989</v>
      </c>
      <c r="BN282" s="18">
        <v>1.9999999999999998</v>
      </c>
      <c r="BO282" s="18"/>
      <c r="BP282" s="18">
        <v>0</v>
      </c>
      <c r="BQ282" s="18">
        <v>0</v>
      </c>
      <c r="BR282" s="18">
        <v>1.1225742257065388</v>
      </c>
      <c r="BS282" s="18">
        <v>1.1407610159554737</v>
      </c>
      <c r="BT282" s="19"/>
      <c r="BU282" s="18">
        <v>907</v>
      </c>
      <c r="BV282" s="18">
        <v>147.33957142857082</v>
      </c>
      <c r="BW282" s="18">
        <v>193.06142857142808</v>
      </c>
      <c r="BX282" s="18">
        <v>62</v>
      </c>
      <c r="BY282" s="18">
        <v>22</v>
      </c>
      <c r="BZ282" s="18" t="s">
        <v>217</v>
      </c>
      <c r="CA282" s="18" t="s">
        <v>217</v>
      </c>
      <c r="CB282" s="19"/>
      <c r="CC282" s="19">
        <v>1.3146</v>
      </c>
      <c r="CD282" s="19">
        <v>12.207000000000001</v>
      </c>
      <c r="CE282" s="19">
        <v>8.6387999999999998</v>
      </c>
      <c r="CF282" s="19">
        <v>0</v>
      </c>
      <c r="CG282" s="19">
        <v>15.023999999999999</v>
      </c>
      <c r="CH282" s="19">
        <v>2.6292</v>
      </c>
      <c r="CI282" s="19">
        <v>3.3804000000000003</v>
      </c>
      <c r="CJ282" s="19"/>
      <c r="CK282" s="19">
        <v>99.534000000000006</v>
      </c>
      <c r="CL282" s="19">
        <v>16.902000000000001</v>
      </c>
      <c r="CM282" s="19">
        <v>21.597000000000001</v>
      </c>
      <c r="CN282" s="19">
        <v>88.266000000000105</v>
      </c>
      <c r="CO282" s="19">
        <v>0</v>
      </c>
      <c r="CP282" s="19">
        <v>0.45072000000000001</v>
      </c>
      <c r="CQ282" s="19">
        <v>385.50644999999997</v>
      </c>
      <c r="CR282" s="19">
        <v>365.72191895961555</v>
      </c>
      <c r="CS282" s="19">
        <v>21.943315137576935</v>
      </c>
      <c r="CT282" s="19">
        <v>6.2172726223134651</v>
      </c>
      <c r="CU282" s="19">
        <v>4.3886630275153866</v>
      </c>
      <c r="CV282" s="19">
        <v>10.605935649828853</v>
      </c>
      <c r="CW282" s="19">
        <v>15.726042515263471</v>
      </c>
      <c r="CX282" s="19">
        <v>4.7909571383709642</v>
      </c>
      <c r="CY282" s="19">
        <v>16.311197585598855</v>
      </c>
      <c r="CZ282" s="19">
        <v>24.905662681149821</v>
      </c>
      <c r="DA282" s="19">
        <v>8.0093100252155818</v>
      </c>
      <c r="DB282" s="19">
        <v>14.226582647529046</v>
      </c>
      <c r="DC282" s="19">
        <v>11.739673598603661</v>
      </c>
      <c r="DD282" s="19">
        <v>25.966256246132613</v>
      </c>
      <c r="DE282" s="19">
        <v>17.700940877645394</v>
      </c>
      <c r="DF282" s="23">
        <v>0</v>
      </c>
      <c r="DG282" s="23">
        <v>0</v>
      </c>
      <c r="DH282" s="23">
        <v>0</v>
      </c>
      <c r="DI282" s="19">
        <v>0</v>
      </c>
      <c r="DJ282" s="19">
        <v>0</v>
      </c>
      <c r="DK282" s="19">
        <v>0</v>
      </c>
      <c r="DL282" s="19">
        <v>0</v>
      </c>
      <c r="DM282" s="19">
        <v>0</v>
      </c>
      <c r="DN282" s="19">
        <v>0</v>
      </c>
      <c r="DO282" s="19">
        <v>0</v>
      </c>
      <c r="DP282" s="19">
        <v>0</v>
      </c>
      <c r="DQ282" s="19">
        <v>0</v>
      </c>
      <c r="DR282" s="19">
        <v>0</v>
      </c>
      <c r="DS282" s="19">
        <v>0</v>
      </c>
      <c r="DT282" s="19">
        <v>0</v>
      </c>
      <c r="DU282" s="19">
        <v>0</v>
      </c>
      <c r="DV282" s="19">
        <v>0</v>
      </c>
      <c r="DW282" s="17" t="s">
        <v>333</v>
      </c>
      <c r="DX282" s="22" t="s">
        <v>218</v>
      </c>
      <c r="DY282" s="22" t="s">
        <v>218</v>
      </c>
      <c r="DZ282" s="22">
        <v>1</v>
      </c>
      <c r="EA282" s="22">
        <v>1</v>
      </c>
      <c r="EB282" s="22" t="s">
        <v>218</v>
      </c>
      <c r="EC282" s="22">
        <v>1</v>
      </c>
      <c r="ED282" s="22">
        <v>1</v>
      </c>
      <c r="EE282" s="22" t="s">
        <v>218</v>
      </c>
      <c r="EF282" s="22" t="s">
        <v>218</v>
      </c>
      <c r="EG282" s="22" t="s">
        <v>218</v>
      </c>
      <c r="EH282" s="22" t="s">
        <v>218</v>
      </c>
      <c r="EI282" s="22" t="s">
        <v>218</v>
      </c>
      <c r="EJ282" s="22" t="s">
        <v>218</v>
      </c>
      <c r="EK282" s="22" t="s">
        <v>218</v>
      </c>
      <c r="EL282" s="22" t="s">
        <v>218</v>
      </c>
      <c r="EM282" s="22" t="s">
        <v>218</v>
      </c>
      <c r="EN282" s="22" t="s">
        <v>218</v>
      </c>
      <c r="EO282" s="22" t="s">
        <v>218</v>
      </c>
      <c r="EP282" s="22" t="s">
        <v>218</v>
      </c>
      <c r="EQ282" s="22" t="s">
        <v>218</v>
      </c>
      <c r="ER282" s="22" t="s">
        <v>218</v>
      </c>
      <c r="ES282" s="22" t="s">
        <v>218</v>
      </c>
      <c r="ET282" s="22" t="s">
        <v>218</v>
      </c>
      <c r="EU282" s="22" t="s">
        <v>218</v>
      </c>
      <c r="EV282" s="22" t="s">
        <v>218</v>
      </c>
      <c r="EW282" s="22" t="s">
        <v>218</v>
      </c>
      <c r="EX282" s="22" t="s">
        <v>218</v>
      </c>
      <c r="EY282" s="22" t="s">
        <v>218</v>
      </c>
      <c r="EZ282" s="22" t="s">
        <v>218</v>
      </c>
      <c r="FA282" s="22" t="s">
        <v>218</v>
      </c>
      <c r="FB282" s="22" t="s">
        <v>218</v>
      </c>
      <c r="FC282" s="22" t="s">
        <v>218</v>
      </c>
      <c r="FD282" s="22" t="s">
        <v>218</v>
      </c>
      <c r="FE282" s="22" t="s">
        <v>218</v>
      </c>
      <c r="FF282" s="22" t="s">
        <v>218</v>
      </c>
      <c r="FG282" s="22" t="s">
        <v>218</v>
      </c>
      <c r="FH282" s="22" t="s">
        <v>218</v>
      </c>
      <c r="FI282" s="22" t="s">
        <v>218</v>
      </c>
      <c r="FJ282" s="22" t="s">
        <v>218</v>
      </c>
      <c r="FK282" s="22" t="s">
        <v>218</v>
      </c>
      <c r="FL282" s="22" t="s">
        <v>218</v>
      </c>
      <c r="FM282" s="22" t="s">
        <v>218</v>
      </c>
      <c r="FN282" s="22" t="s">
        <v>218</v>
      </c>
      <c r="FO282" s="22" t="s">
        <v>218</v>
      </c>
      <c r="FP282" s="22" t="s">
        <v>218</v>
      </c>
      <c r="FQ282" s="22" t="s">
        <v>218</v>
      </c>
      <c r="FR282" s="22" t="s">
        <v>218</v>
      </c>
      <c r="FS282" s="22" t="s">
        <v>218</v>
      </c>
      <c r="FT282" s="22" t="s">
        <v>218</v>
      </c>
      <c r="FU282" s="22" t="s">
        <v>218</v>
      </c>
      <c r="FV282" s="22" t="s">
        <v>218</v>
      </c>
      <c r="FW282" s="22" t="s">
        <v>218</v>
      </c>
      <c r="FX282" s="22" t="s">
        <v>218</v>
      </c>
      <c r="FY282" s="22" t="s">
        <v>218</v>
      </c>
      <c r="FZ282" s="22" t="s">
        <v>218</v>
      </c>
      <c r="GA282" s="22" t="s">
        <v>218</v>
      </c>
      <c r="GB282" s="22" t="s">
        <v>218</v>
      </c>
      <c r="GC282" s="22" t="s">
        <v>218</v>
      </c>
      <c r="GD282" s="22" t="s">
        <v>218</v>
      </c>
      <c r="GE282" s="22" t="s">
        <v>218</v>
      </c>
      <c r="GF282" s="22" t="s">
        <v>218</v>
      </c>
      <c r="GG282" s="22" t="s">
        <v>218</v>
      </c>
      <c r="GH282" s="22" t="s">
        <v>218</v>
      </c>
      <c r="GI282" s="22" t="s">
        <v>218</v>
      </c>
      <c r="GJ282" s="22" t="s">
        <v>218</v>
      </c>
      <c r="GK282" s="22" t="s">
        <v>218</v>
      </c>
      <c r="GL282" s="22" t="s">
        <v>218</v>
      </c>
      <c r="GM282" s="22" t="s">
        <v>218</v>
      </c>
      <c r="GN282" s="22" t="s">
        <v>218</v>
      </c>
      <c r="GO282" s="22" t="s">
        <v>218</v>
      </c>
      <c r="GP282" s="22">
        <v>2005</v>
      </c>
      <c r="GQ282" s="22">
        <v>2005</v>
      </c>
      <c r="GR282" s="22" t="s">
        <v>218</v>
      </c>
      <c r="GS282" s="22">
        <v>2005</v>
      </c>
      <c r="GT282" s="22">
        <v>2005</v>
      </c>
      <c r="GU282" s="22" t="s">
        <v>218</v>
      </c>
      <c r="GV282" s="22" t="s">
        <v>218</v>
      </c>
      <c r="GW282" s="22" t="s">
        <v>218</v>
      </c>
      <c r="GX282" s="22" t="s">
        <v>218</v>
      </c>
      <c r="GY282" s="22" t="s">
        <v>218</v>
      </c>
      <c r="GZ282" s="22" t="s">
        <v>218</v>
      </c>
      <c r="HA282" s="22" t="s">
        <v>218</v>
      </c>
      <c r="HB282" s="22" t="s">
        <v>218</v>
      </c>
      <c r="HC282" s="22" t="s">
        <v>218</v>
      </c>
      <c r="HD282" s="22" t="s">
        <v>218</v>
      </c>
      <c r="HE282" s="22" t="s">
        <v>218</v>
      </c>
      <c r="HF282" s="22" t="s">
        <v>218</v>
      </c>
      <c r="HG282" s="22" t="s">
        <v>218</v>
      </c>
      <c r="HH282" s="22" t="s">
        <v>218</v>
      </c>
      <c r="HI282" s="22" t="s">
        <v>218</v>
      </c>
      <c r="HJ282" s="22" t="s">
        <v>218</v>
      </c>
      <c r="HK282" s="22" t="s">
        <v>218</v>
      </c>
      <c r="HL282" s="22" t="s">
        <v>218</v>
      </c>
      <c r="HM282" s="860"/>
      <c r="HN282" s="860"/>
      <c r="HO282" s="860"/>
      <c r="HP282" s="860"/>
      <c r="HQ282" s="860"/>
      <c r="HR282" s="860"/>
      <c r="HS282" s="860"/>
      <c r="HT282" s="145"/>
      <c r="HU282" s="145" t="s">
        <v>1809</v>
      </c>
      <c r="HV282" s="22" t="s">
        <v>1988</v>
      </c>
      <c r="HW282" s="22" t="s">
        <v>743</v>
      </c>
      <c r="HX282" s="22" t="s">
        <v>744</v>
      </c>
      <c r="HY282" s="22" t="s">
        <v>745</v>
      </c>
      <c r="HZ282" s="19"/>
      <c r="IA282" s="19"/>
      <c r="IB282" s="621">
        <f>'background data'!$G$10</f>
        <v>0.47300000000000003</v>
      </c>
      <c r="IC282" s="621">
        <f>'background data'!$H$10</f>
        <v>0.13</v>
      </c>
      <c r="ID282" s="621">
        <f>'background data'!$J$10</f>
        <v>0.39100000000000001</v>
      </c>
      <c r="IE282" s="621">
        <f>'background data'!$L$10</f>
        <v>5.5E-2</v>
      </c>
      <c r="IF282" s="621">
        <f>'background data'!$M$10</f>
        <v>3.97</v>
      </c>
      <c r="IG282" s="621">
        <f>'background data'!$N$10</f>
        <v>4.5999999999999999E-3</v>
      </c>
      <c r="IH282" s="621">
        <f>'background data'!$O$10</f>
        <v>2.73</v>
      </c>
      <c r="II282" s="145"/>
      <c r="IJ282" s="145"/>
      <c r="IK282" s="145"/>
      <c r="IL282" s="145"/>
      <c r="IM282" s="145"/>
      <c r="IN282" s="145"/>
      <c r="IO282" s="145"/>
      <c r="IP282" s="145"/>
      <c r="IQ282" s="145"/>
      <c r="IR282" s="145"/>
      <c r="IS282" s="145"/>
      <c r="IT282" s="145"/>
      <c r="IU282" s="145"/>
      <c r="IV282" s="145"/>
      <c r="IW282" s="145"/>
      <c r="IX282" s="145"/>
      <c r="IY282" s="145"/>
      <c r="IZ282" s="145"/>
      <c r="JA282" s="145"/>
      <c r="JB282" s="145"/>
      <c r="JC282" s="145"/>
      <c r="JD282" s="145"/>
      <c r="JE282" s="145"/>
      <c r="JF282" s="145"/>
      <c r="JG282" s="145"/>
      <c r="JH282" s="145"/>
      <c r="JI282" s="145"/>
      <c r="JJ282" s="145"/>
      <c r="JK282" s="145"/>
      <c r="JL282" s="145"/>
      <c r="JM282" s="145"/>
      <c r="JN282" s="145"/>
      <c r="JO282" s="145"/>
      <c r="JP282" s="145"/>
      <c r="JQ282" s="145"/>
      <c r="JR282" s="145"/>
      <c r="JS282" s="145"/>
      <c r="JT282" s="145"/>
      <c r="JU282" s="145"/>
      <c r="JV282" s="145"/>
      <c r="JW282" s="145"/>
      <c r="JX282" s="145"/>
      <c r="JY282" s="145"/>
      <c r="JZ282" s="145"/>
      <c r="KA282" s="145"/>
      <c r="KB282" s="145"/>
      <c r="KC282" s="145"/>
      <c r="KD282" s="145"/>
      <c r="KE282" s="145"/>
      <c r="KF282" s="145"/>
      <c r="KG282" s="145"/>
      <c r="KH282" s="145"/>
      <c r="KI282" s="145"/>
      <c r="KJ282" s="145"/>
      <c r="KK282" s="145"/>
      <c r="KL282" s="145"/>
      <c r="KM282" s="145"/>
      <c r="KN282" s="145"/>
      <c r="KO282" s="145"/>
      <c r="KP282" s="145"/>
      <c r="KQ282" s="145"/>
      <c r="KR282" s="145"/>
      <c r="KS282" s="145"/>
      <c r="KT282" s="145"/>
      <c r="KU282" s="145"/>
      <c r="KV282" s="145"/>
      <c r="KW282" s="145"/>
      <c r="KX282" s="145"/>
      <c r="KY282" s="145"/>
      <c r="KZ282" s="145"/>
      <c r="LA282" s="145"/>
      <c r="LB282" s="145"/>
      <c r="LC282" s="145"/>
      <c r="LD282" s="145"/>
      <c r="LE282" s="145"/>
      <c r="LF282" s="145"/>
      <c r="LG282" s="145"/>
      <c r="LH282" s="145"/>
      <c r="LI282" s="145"/>
      <c r="LJ282" s="145"/>
      <c r="LK282" s="145"/>
      <c r="LL282" s="145"/>
      <c r="LM282" s="145"/>
      <c r="LN282" s="145"/>
      <c r="LO282" s="145"/>
      <c r="LP282" s="145"/>
      <c r="LQ282" s="145"/>
      <c r="LR282" s="145"/>
      <c r="LS282" s="145"/>
      <c r="LT282" s="145"/>
      <c r="LU282" s="145"/>
      <c r="LV282" s="145"/>
      <c r="LW282" s="145"/>
      <c r="LX282" s="145"/>
      <c r="LY282" s="145"/>
      <c r="LZ282" s="145"/>
      <c r="MA282" s="145"/>
      <c r="MB282" s="145"/>
      <c r="MC282" s="145"/>
      <c r="MD282" s="145"/>
      <c r="ME282" s="145"/>
      <c r="MF282" s="145"/>
      <c r="MG282" s="145"/>
      <c r="MH282" s="145"/>
      <c r="MI282" s="145"/>
      <c r="MJ282" s="145"/>
      <c r="MK282" s="145"/>
      <c r="ML282" s="145"/>
      <c r="MM282" s="145"/>
      <c r="MN282" s="145"/>
      <c r="MO282" s="145"/>
      <c r="MP282" s="145"/>
      <c r="MQ282" s="145"/>
      <c r="MR282" s="145"/>
      <c r="MS282" s="145"/>
      <c r="MT282" s="145"/>
      <c r="MU282" s="145"/>
      <c r="MV282" s="145"/>
      <c r="MW282" s="145"/>
      <c r="MX282" s="145"/>
      <c r="MY282" s="145"/>
      <c r="MZ282" s="145"/>
      <c r="NA282" s="145"/>
      <c r="NB282" s="145"/>
      <c r="NC282" s="145"/>
      <c r="ND282" s="145"/>
      <c r="NE282" s="145"/>
      <c r="NF282" s="145"/>
      <c r="NG282" s="145"/>
      <c r="NH282" s="145"/>
      <c r="NI282" s="145"/>
      <c r="NJ282" s="145"/>
      <c r="NK282" s="145"/>
      <c r="NL282" s="145"/>
      <c r="NM282" s="145"/>
      <c r="NN282" s="145"/>
      <c r="NO282" s="145"/>
      <c r="NP282" s="145"/>
      <c r="NQ282" s="145"/>
      <c r="NR282" s="145"/>
      <c r="NS282" s="145"/>
    </row>
    <row r="283" spans="1:383" s="16" customFormat="1" ht="15" customHeight="1" x14ac:dyDescent="0.2">
      <c r="A283" s="15">
        <v>99930</v>
      </c>
      <c r="B283" s="25">
        <v>999</v>
      </c>
      <c r="C283" s="26">
        <v>30</v>
      </c>
      <c r="D283" s="20" t="s">
        <v>746</v>
      </c>
      <c r="E283" s="14">
        <v>40310</v>
      </c>
      <c r="F283" s="18">
        <v>1.39316029810298</v>
      </c>
      <c r="G283" s="18">
        <v>1.33526272727273</v>
      </c>
      <c r="H283" s="21">
        <v>100</v>
      </c>
      <c r="I283" s="21">
        <v>100</v>
      </c>
      <c r="J283" s="21">
        <v>100</v>
      </c>
      <c r="K283" s="18">
        <v>1</v>
      </c>
      <c r="L283" s="18">
        <v>98.5</v>
      </c>
      <c r="M283" s="18">
        <v>72.099999999999994</v>
      </c>
      <c r="N283" s="18">
        <v>0</v>
      </c>
      <c r="O283" s="18">
        <v>0.5</v>
      </c>
      <c r="P283" s="18">
        <v>0</v>
      </c>
      <c r="Q283" s="19"/>
      <c r="R283" s="18">
        <v>100</v>
      </c>
      <c r="S283" s="18">
        <v>0</v>
      </c>
      <c r="T283" s="18">
        <v>0</v>
      </c>
      <c r="U283" s="18">
        <v>0</v>
      </c>
      <c r="V283" s="18">
        <v>0</v>
      </c>
      <c r="W283" s="18">
        <v>0</v>
      </c>
      <c r="X283" s="18"/>
      <c r="Y283" s="18">
        <v>0</v>
      </c>
      <c r="Z283" s="18">
        <v>0</v>
      </c>
      <c r="AA283" s="18">
        <v>0</v>
      </c>
      <c r="AB283" s="18">
        <v>0</v>
      </c>
      <c r="AC283" s="18">
        <v>0</v>
      </c>
      <c r="AD283" s="18">
        <v>0</v>
      </c>
      <c r="AE283" s="18">
        <v>0</v>
      </c>
      <c r="AF283" s="18">
        <v>0</v>
      </c>
      <c r="AG283" s="18">
        <v>0</v>
      </c>
      <c r="AH283" s="18">
        <v>0</v>
      </c>
      <c r="AI283" s="18">
        <v>0</v>
      </c>
      <c r="AJ283" s="18">
        <v>0</v>
      </c>
      <c r="AK283" s="18">
        <v>0</v>
      </c>
      <c r="AL283" s="18"/>
      <c r="AM283" s="18">
        <v>0</v>
      </c>
      <c r="AN283" s="18">
        <v>0</v>
      </c>
      <c r="AO283" s="18">
        <v>0</v>
      </c>
      <c r="AP283" s="18">
        <v>0</v>
      </c>
      <c r="AQ283" s="18">
        <v>0</v>
      </c>
      <c r="AR283" s="18">
        <v>0</v>
      </c>
      <c r="AS283" s="18">
        <v>0</v>
      </c>
      <c r="AT283" s="18">
        <v>0</v>
      </c>
      <c r="AU283" s="18">
        <v>0</v>
      </c>
      <c r="AV283" s="18">
        <v>0</v>
      </c>
      <c r="AW283" s="18">
        <v>133.77926400000001</v>
      </c>
      <c r="AX283" s="18"/>
      <c r="AY283" s="18">
        <v>1</v>
      </c>
      <c r="AZ283" s="18">
        <v>1</v>
      </c>
      <c r="BA283" s="18">
        <v>1</v>
      </c>
      <c r="BB283" s="18">
        <v>1</v>
      </c>
      <c r="BC283" s="18">
        <v>1</v>
      </c>
      <c r="BD283" s="18">
        <v>1</v>
      </c>
      <c r="BE283" s="18">
        <v>1</v>
      </c>
      <c r="BF283" s="18">
        <v>1</v>
      </c>
      <c r="BG283" s="18">
        <v>1</v>
      </c>
      <c r="BH283" s="18">
        <v>1</v>
      </c>
      <c r="BI283" s="18">
        <v>1</v>
      </c>
      <c r="BJ283" s="19"/>
      <c r="BK283" s="18">
        <v>73.197969543147195</v>
      </c>
      <c r="BL283" s="18">
        <v>0</v>
      </c>
      <c r="BM283" s="18">
        <v>0.50761421319796951</v>
      </c>
      <c r="BN283" s="18">
        <v>0</v>
      </c>
      <c r="BO283" s="18"/>
      <c r="BP283" s="18">
        <v>0</v>
      </c>
      <c r="BQ283" s="18">
        <v>0</v>
      </c>
      <c r="BR283" s="18">
        <v>1.4143759371603859</v>
      </c>
      <c r="BS283" s="18">
        <v>1.3555966774342436</v>
      </c>
      <c r="BT283" s="19"/>
      <c r="BU283" s="18">
        <v>994.92385786802026</v>
      </c>
      <c r="BV283" s="18">
        <v>328.82233502538071</v>
      </c>
      <c r="BW283" s="18">
        <v>0</v>
      </c>
      <c r="BX283" s="18">
        <v>0</v>
      </c>
      <c r="BY283" s="18">
        <v>0</v>
      </c>
      <c r="BZ283" s="18" t="s">
        <v>217</v>
      </c>
      <c r="CA283" s="18" t="s">
        <v>217</v>
      </c>
      <c r="CB283" s="19"/>
      <c r="CC283" s="19">
        <v>0</v>
      </c>
      <c r="CD283" s="19">
        <v>0</v>
      </c>
      <c r="CE283" s="19">
        <v>0</v>
      </c>
      <c r="CF283" s="19">
        <v>0</v>
      </c>
      <c r="CG283" s="19">
        <v>0</v>
      </c>
      <c r="CH283" s="19">
        <v>0</v>
      </c>
      <c r="CI283" s="19">
        <v>0</v>
      </c>
      <c r="CJ283" s="19"/>
      <c r="CK283" s="19">
        <v>0</v>
      </c>
      <c r="CL283" s="19">
        <v>0</v>
      </c>
      <c r="CM283" s="19">
        <v>0</v>
      </c>
      <c r="CN283" s="19">
        <v>0</v>
      </c>
      <c r="CO283" s="19">
        <v>0</v>
      </c>
      <c r="CP283" s="19">
        <v>0</v>
      </c>
      <c r="CQ283" s="19">
        <v>721</v>
      </c>
      <c r="CR283" s="19">
        <v>517.52838562925001</v>
      </c>
      <c r="CS283" s="19">
        <v>0</v>
      </c>
      <c r="CT283" s="19">
        <v>0</v>
      </c>
      <c r="CU283" s="19">
        <v>0</v>
      </c>
      <c r="CV283" s="19">
        <v>0</v>
      </c>
      <c r="CW283" s="19">
        <v>0</v>
      </c>
      <c r="CX283" s="19">
        <v>0</v>
      </c>
      <c r="CY283" s="19">
        <v>0</v>
      </c>
      <c r="CZ283" s="19">
        <v>0</v>
      </c>
      <c r="DA283" s="19">
        <v>0</v>
      </c>
      <c r="DB283" s="19">
        <v>0</v>
      </c>
      <c r="DC283" s="19">
        <v>0</v>
      </c>
      <c r="DD283" s="19">
        <v>0</v>
      </c>
      <c r="DE283" s="19">
        <v>692.34566528589244</v>
      </c>
      <c r="DF283" s="23">
        <v>0</v>
      </c>
      <c r="DG283" s="23">
        <v>0</v>
      </c>
      <c r="DH283" s="23">
        <v>0</v>
      </c>
      <c r="DI283" s="19">
        <v>0</v>
      </c>
      <c r="DJ283" s="19">
        <v>0</v>
      </c>
      <c r="DK283" s="19">
        <v>0</v>
      </c>
      <c r="DL283" s="19">
        <v>0</v>
      </c>
      <c r="DM283" s="19">
        <v>0</v>
      </c>
      <c r="DN283" s="19">
        <v>0</v>
      </c>
      <c r="DO283" s="19">
        <v>0</v>
      </c>
      <c r="DP283" s="19">
        <v>0</v>
      </c>
      <c r="DQ283" s="19">
        <v>0</v>
      </c>
      <c r="DR283" s="19">
        <v>0</v>
      </c>
      <c r="DS283" s="19">
        <v>0</v>
      </c>
      <c r="DT283" s="19">
        <v>0</v>
      </c>
      <c r="DU283" s="19">
        <v>0</v>
      </c>
      <c r="DV283" s="19">
        <v>0</v>
      </c>
      <c r="DW283" s="17" t="s">
        <v>218</v>
      </c>
      <c r="DX283" s="22" t="s">
        <v>218</v>
      </c>
      <c r="DY283" s="22" t="s">
        <v>218</v>
      </c>
      <c r="DZ283" s="22" t="s">
        <v>218</v>
      </c>
      <c r="EA283" s="22" t="s">
        <v>218</v>
      </c>
      <c r="EB283" s="22" t="s">
        <v>218</v>
      </c>
      <c r="EC283" s="22" t="s">
        <v>218</v>
      </c>
      <c r="ED283" s="22" t="s">
        <v>218</v>
      </c>
      <c r="EE283" s="22" t="s">
        <v>218</v>
      </c>
      <c r="EF283" s="22" t="s">
        <v>218</v>
      </c>
      <c r="EG283" s="22" t="s">
        <v>218</v>
      </c>
      <c r="EH283" s="22" t="s">
        <v>218</v>
      </c>
      <c r="EI283" s="22" t="s">
        <v>218</v>
      </c>
      <c r="EJ283" s="22" t="s">
        <v>218</v>
      </c>
      <c r="EK283" s="22" t="s">
        <v>218</v>
      </c>
      <c r="EL283" s="22" t="s">
        <v>218</v>
      </c>
      <c r="EM283" s="22" t="s">
        <v>218</v>
      </c>
      <c r="EN283" s="22" t="s">
        <v>218</v>
      </c>
      <c r="EO283" s="22" t="s">
        <v>218</v>
      </c>
      <c r="EP283" s="22" t="s">
        <v>218</v>
      </c>
      <c r="EQ283" s="22" t="s">
        <v>218</v>
      </c>
      <c r="ER283" s="22" t="s">
        <v>218</v>
      </c>
      <c r="ES283" s="22" t="s">
        <v>218</v>
      </c>
      <c r="ET283" s="22" t="s">
        <v>218</v>
      </c>
      <c r="EU283" s="22" t="s">
        <v>218</v>
      </c>
      <c r="EV283" s="22" t="s">
        <v>218</v>
      </c>
      <c r="EW283" s="22" t="s">
        <v>218</v>
      </c>
      <c r="EX283" s="22" t="s">
        <v>218</v>
      </c>
      <c r="EY283" s="22" t="s">
        <v>218</v>
      </c>
      <c r="EZ283" s="22" t="s">
        <v>218</v>
      </c>
      <c r="FA283" s="22" t="s">
        <v>218</v>
      </c>
      <c r="FB283" s="22" t="s">
        <v>218</v>
      </c>
      <c r="FC283" s="22" t="s">
        <v>218</v>
      </c>
      <c r="FD283" s="22" t="s">
        <v>218</v>
      </c>
      <c r="FE283" s="22" t="s">
        <v>218</v>
      </c>
      <c r="FF283" s="22" t="s">
        <v>218</v>
      </c>
      <c r="FG283" s="22" t="s">
        <v>218</v>
      </c>
      <c r="FH283" s="22" t="s">
        <v>218</v>
      </c>
      <c r="FI283" s="22" t="s">
        <v>218</v>
      </c>
      <c r="FJ283" s="22" t="s">
        <v>218</v>
      </c>
      <c r="FK283" s="22" t="s">
        <v>218</v>
      </c>
      <c r="FL283" s="22" t="s">
        <v>218</v>
      </c>
      <c r="FM283" s="22" t="s">
        <v>218</v>
      </c>
      <c r="FN283" s="22" t="s">
        <v>218</v>
      </c>
      <c r="FO283" s="22" t="s">
        <v>218</v>
      </c>
      <c r="FP283" s="22" t="s">
        <v>218</v>
      </c>
      <c r="FQ283" s="22" t="s">
        <v>218</v>
      </c>
      <c r="FR283" s="22" t="s">
        <v>218</v>
      </c>
      <c r="FS283" s="22" t="s">
        <v>218</v>
      </c>
      <c r="FT283" s="22" t="s">
        <v>218</v>
      </c>
      <c r="FU283" s="22" t="s">
        <v>218</v>
      </c>
      <c r="FV283" s="22" t="s">
        <v>218</v>
      </c>
      <c r="FW283" s="22" t="s">
        <v>218</v>
      </c>
      <c r="FX283" s="22" t="s">
        <v>218</v>
      </c>
      <c r="FY283" s="22" t="s">
        <v>218</v>
      </c>
      <c r="FZ283" s="22" t="s">
        <v>218</v>
      </c>
      <c r="GA283" s="22" t="s">
        <v>218</v>
      </c>
      <c r="GB283" s="22" t="s">
        <v>218</v>
      </c>
      <c r="GC283" s="22" t="s">
        <v>218</v>
      </c>
      <c r="GD283" s="22" t="s">
        <v>218</v>
      </c>
      <c r="GE283" s="22" t="s">
        <v>218</v>
      </c>
      <c r="GF283" s="22" t="s">
        <v>218</v>
      </c>
      <c r="GG283" s="22" t="s">
        <v>218</v>
      </c>
      <c r="GH283" s="22" t="s">
        <v>218</v>
      </c>
      <c r="GI283" s="22" t="s">
        <v>218</v>
      </c>
      <c r="GJ283" s="22" t="s">
        <v>218</v>
      </c>
      <c r="GK283" s="22" t="s">
        <v>218</v>
      </c>
      <c r="GL283" s="22" t="s">
        <v>218</v>
      </c>
      <c r="GM283" s="22" t="s">
        <v>218</v>
      </c>
      <c r="GN283" s="22" t="s">
        <v>218</v>
      </c>
      <c r="GO283" s="22" t="s">
        <v>218</v>
      </c>
      <c r="GP283" s="22" t="s">
        <v>218</v>
      </c>
      <c r="GQ283" s="22" t="s">
        <v>218</v>
      </c>
      <c r="GR283" s="22" t="s">
        <v>218</v>
      </c>
      <c r="GS283" s="22" t="s">
        <v>218</v>
      </c>
      <c r="GT283" s="22" t="s">
        <v>218</v>
      </c>
      <c r="GU283" s="22" t="s">
        <v>218</v>
      </c>
      <c r="GV283" s="22" t="s">
        <v>218</v>
      </c>
      <c r="GW283" s="22" t="s">
        <v>218</v>
      </c>
      <c r="GX283" s="22" t="s">
        <v>218</v>
      </c>
      <c r="GY283" s="22" t="s">
        <v>218</v>
      </c>
      <c r="GZ283" s="22" t="s">
        <v>218</v>
      </c>
      <c r="HA283" s="22" t="s">
        <v>218</v>
      </c>
      <c r="HB283" s="22" t="s">
        <v>218</v>
      </c>
      <c r="HC283" s="22" t="s">
        <v>218</v>
      </c>
      <c r="HD283" s="22" t="s">
        <v>218</v>
      </c>
      <c r="HE283" s="22" t="s">
        <v>218</v>
      </c>
      <c r="HF283" s="22" t="s">
        <v>218</v>
      </c>
      <c r="HG283" s="22" t="s">
        <v>218</v>
      </c>
      <c r="HH283" s="22" t="s">
        <v>218</v>
      </c>
      <c r="HI283" s="22" t="s">
        <v>218</v>
      </c>
      <c r="HJ283" s="22" t="s">
        <v>218</v>
      </c>
      <c r="HK283" s="22" t="s">
        <v>218</v>
      </c>
      <c r="HL283" s="22" t="s">
        <v>218</v>
      </c>
      <c r="HM283" s="860"/>
      <c r="HN283" s="860"/>
      <c r="HO283" s="860"/>
      <c r="HP283" s="860"/>
      <c r="HQ283" s="860"/>
      <c r="HR283" s="860"/>
      <c r="HS283" s="860"/>
      <c r="HT283" s="145"/>
      <c r="HU283" s="145" t="s">
        <v>1809</v>
      </c>
      <c r="HV283" s="22" t="s">
        <v>1926</v>
      </c>
      <c r="HW283" s="22" t="s">
        <v>218</v>
      </c>
      <c r="HX283" s="22" t="s">
        <v>218</v>
      </c>
      <c r="HY283" s="22" t="s">
        <v>218</v>
      </c>
      <c r="HZ283" s="19"/>
      <c r="IA283" s="19"/>
      <c r="IB283" s="621">
        <f>'background data'!$G$10</f>
        <v>0.47300000000000003</v>
      </c>
      <c r="IC283" s="621">
        <f>'background data'!$H$10</f>
        <v>0.13</v>
      </c>
      <c r="ID283" s="621">
        <f>'background data'!$J$10</f>
        <v>0.39100000000000001</v>
      </c>
      <c r="IE283" s="621">
        <f>'background data'!$L$10</f>
        <v>5.5E-2</v>
      </c>
      <c r="IF283" s="621">
        <f>'background data'!$M$10</f>
        <v>3.97</v>
      </c>
      <c r="IG283" s="621">
        <f>'background data'!$N$10</f>
        <v>4.5999999999999999E-3</v>
      </c>
      <c r="IH283" s="621">
        <f>'background data'!$O$10</f>
        <v>2.73</v>
      </c>
      <c r="II283" s="145"/>
      <c r="IJ283" s="145"/>
      <c r="IK283" s="145"/>
      <c r="IL283" s="145"/>
      <c r="IM283" s="145"/>
      <c r="IN283" s="145"/>
      <c r="IO283" s="145"/>
      <c r="IP283" s="145"/>
      <c r="IQ283" s="145"/>
      <c r="IR283" s="145"/>
      <c r="IS283" s="145"/>
      <c r="IT283" s="145"/>
      <c r="IU283" s="145"/>
      <c r="IV283" s="145"/>
      <c r="IW283" s="145"/>
      <c r="IX283" s="145"/>
      <c r="IY283" s="145"/>
      <c r="IZ283" s="145"/>
      <c r="JA283" s="145"/>
      <c r="JB283" s="145"/>
      <c r="JC283" s="145"/>
      <c r="JD283" s="145"/>
      <c r="JE283" s="145"/>
      <c r="JF283" s="145"/>
      <c r="JG283" s="145"/>
      <c r="JH283" s="145"/>
      <c r="JI283" s="145"/>
      <c r="JJ283" s="145"/>
      <c r="JK283" s="145"/>
      <c r="JL283" s="145"/>
      <c r="JM283" s="145"/>
      <c r="JN283" s="145"/>
      <c r="JO283" s="145"/>
      <c r="JP283" s="145"/>
      <c r="JQ283" s="145"/>
      <c r="JR283" s="145"/>
      <c r="JS283" s="145"/>
      <c r="JT283" s="145"/>
      <c r="JU283" s="145"/>
      <c r="JV283" s="145"/>
      <c r="JW283" s="145"/>
      <c r="JX283" s="145"/>
      <c r="JY283" s="145"/>
      <c r="JZ283" s="145"/>
      <c r="KA283" s="145"/>
      <c r="KB283" s="145"/>
      <c r="KC283" s="145"/>
      <c r="KD283" s="145"/>
      <c r="KE283" s="145"/>
      <c r="KF283" s="145"/>
      <c r="KG283" s="145"/>
      <c r="KH283" s="145"/>
      <c r="KI283" s="145"/>
      <c r="KJ283" s="145"/>
      <c r="KK283" s="145"/>
      <c r="KL283" s="145"/>
      <c r="KM283" s="145"/>
      <c r="KN283" s="145"/>
      <c r="KO283" s="145"/>
      <c r="KP283" s="145"/>
      <c r="KQ283" s="145"/>
      <c r="KR283" s="145"/>
      <c r="KS283" s="145"/>
      <c r="KT283" s="145"/>
      <c r="KU283" s="145"/>
      <c r="KV283" s="145"/>
      <c r="KW283" s="145"/>
      <c r="KX283" s="145"/>
      <c r="KY283" s="145"/>
      <c r="KZ283" s="145"/>
      <c r="LA283" s="145"/>
      <c r="LB283" s="145"/>
      <c r="LC283" s="145"/>
      <c r="LD283" s="145"/>
      <c r="LE283" s="145"/>
      <c r="LF283" s="145"/>
      <c r="LG283" s="145"/>
      <c r="LH283" s="145"/>
      <c r="LI283" s="145"/>
      <c r="LJ283" s="145"/>
      <c r="LK283" s="145"/>
      <c r="LL283" s="145"/>
      <c r="LM283" s="145"/>
      <c r="LN283" s="145"/>
      <c r="LO283" s="145"/>
      <c r="LP283" s="145"/>
      <c r="LQ283" s="145"/>
      <c r="LR283" s="145"/>
      <c r="LS283" s="145"/>
      <c r="LT283" s="145"/>
      <c r="LU283" s="145"/>
      <c r="LV283" s="145"/>
      <c r="LW283" s="145"/>
      <c r="LX283" s="145"/>
      <c r="LY283" s="145"/>
      <c r="LZ283" s="145"/>
      <c r="MA283" s="145"/>
      <c r="MB283" s="145"/>
      <c r="MC283" s="145"/>
      <c r="MD283" s="145"/>
      <c r="ME283" s="145"/>
      <c r="MF283" s="145"/>
      <c r="MG283" s="145"/>
      <c r="MH283" s="145"/>
      <c r="MI283" s="145"/>
      <c r="MJ283" s="145"/>
      <c r="MK283" s="145"/>
      <c r="ML283" s="145"/>
      <c r="MM283" s="145"/>
      <c r="MN283" s="145"/>
      <c r="MO283" s="145"/>
      <c r="MP283" s="145"/>
      <c r="MQ283" s="145"/>
      <c r="MR283" s="145"/>
      <c r="MS283" s="145"/>
      <c r="MT283" s="145"/>
      <c r="MU283" s="145"/>
      <c r="MV283" s="145"/>
      <c r="MW283" s="145"/>
      <c r="MX283" s="145"/>
      <c r="MY283" s="145"/>
      <c r="MZ283" s="145"/>
      <c r="NA283" s="145"/>
      <c r="NB283" s="145"/>
      <c r="NC283" s="145"/>
      <c r="ND283" s="145"/>
      <c r="NE283" s="145"/>
      <c r="NF283" s="145"/>
      <c r="NG283" s="145"/>
      <c r="NH283" s="145"/>
      <c r="NI283" s="145"/>
      <c r="NJ283" s="145"/>
      <c r="NK283" s="145"/>
      <c r="NL283" s="145"/>
      <c r="NM283" s="145"/>
      <c r="NN283" s="145"/>
      <c r="NO283" s="145"/>
      <c r="NP283" s="145"/>
      <c r="NQ283" s="145"/>
      <c r="NR283" s="145"/>
      <c r="NS283" s="145"/>
    </row>
    <row r="284" spans="1:383" s="16" customFormat="1" ht="15" customHeight="1" x14ac:dyDescent="0.2">
      <c r="A284" s="15">
        <v>77460</v>
      </c>
      <c r="B284" s="25">
        <v>774</v>
      </c>
      <c r="C284" s="26">
        <v>60</v>
      </c>
      <c r="D284" s="20" t="s">
        <v>747</v>
      </c>
      <c r="E284" s="14">
        <v>41498</v>
      </c>
      <c r="F284" s="18">
        <v>7.5821663707884498E-2</v>
      </c>
      <c r="G284" s="18">
        <v>7.2955508894792104E-2</v>
      </c>
      <c r="H284" s="21">
        <v>99</v>
      </c>
      <c r="I284" s="21">
        <v>98</v>
      </c>
      <c r="J284" s="21">
        <v>98</v>
      </c>
      <c r="K284" s="18">
        <v>0.86</v>
      </c>
      <c r="L284" s="18">
        <v>6.33</v>
      </c>
      <c r="M284" s="18">
        <v>0.99429237947122995</v>
      </c>
      <c r="N284" s="18">
        <v>0.118133748055987</v>
      </c>
      <c r="O284" s="18">
        <v>0.63300000000000001</v>
      </c>
      <c r="P284" s="18">
        <v>0</v>
      </c>
      <c r="Q284" s="19"/>
      <c r="R284" s="18">
        <v>76</v>
      </c>
      <c r="S284" s="18">
        <v>50</v>
      </c>
      <c r="T284" s="18">
        <v>50</v>
      </c>
      <c r="U284" s="18">
        <v>50</v>
      </c>
      <c r="V284" s="18">
        <v>50</v>
      </c>
      <c r="W284" s="18">
        <v>50</v>
      </c>
      <c r="X284" s="18"/>
      <c r="Y284" s="18">
        <v>6.3191153238546605</v>
      </c>
      <c r="Z284" s="18">
        <v>7.109004739336493</v>
      </c>
      <c r="AA284" s="18">
        <v>12.322274881516604</v>
      </c>
      <c r="AB284" s="18">
        <v>24.644549763033176</v>
      </c>
      <c r="AC284" s="18">
        <v>22.748815165876778</v>
      </c>
      <c r="AD284" s="18">
        <v>1.2638230647709305</v>
      </c>
      <c r="AE284" s="18">
        <v>0</v>
      </c>
      <c r="AF284" s="18">
        <v>11</v>
      </c>
      <c r="AG284" s="18">
        <v>1.9999999999999998</v>
      </c>
      <c r="AH284" s="18">
        <v>0</v>
      </c>
      <c r="AI284" s="18">
        <v>6</v>
      </c>
      <c r="AJ284" s="18">
        <v>0</v>
      </c>
      <c r="AK284" s="18">
        <v>0</v>
      </c>
      <c r="AL284" s="18"/>
      <c r="AM284" s="18">
        <v>3.7</v>
      </c>
      <c r="AN284" s="18">
        <v>0.7</v>
      </c>
      <c r="AO284" s="18">
        <v>1.3</v>
      </c>
      <c r="AP284" s="18">
        <v>1.9</v>
      </c>
      <c r="AQ284" s="18">
        <v>0.7</v>
      </c>
      <c r="AR284" s="18">
        <v>2</v>
      </c>
      <c r="AS284" s="18">
        <v>4.4000000000000004</v>
      </c>
      <c r="AT284" s="18">
        <v>1.1000000000000001</v>
      </c>
      <c r="AU284" s="18">
        <v>1.5</v>
      </c>
      <c r="AV284" s="18">
        <v>1.7</v>
      </c>
      <c r="AW284" s="18">
        <v>1.7</v>
      </c>
      <c r="AX284" s="18"/>
      <c r="AY284" s="18">
        <v>0.89</v>
      </c>
      <c r="AZ284" s="18">
        <v>1.06</v>
      </c>
      <c r="BA284" s="18">
        <v>1.04</v>
      </c>
      <c r="BB284" s="18">
        <v>1.01</v>
      </c>
      <c r="BC284" s="18">
        <v>1.08</v>
      </c>
      <c r="BD284" s="18">
        <v>1.05</v>
      </c>
      <c r="BE284" s="18">
        <v>1.0900000000000001</v>
      </c>
      <c r="BF284" s="18">
        <v>1.05</v>
      </c>
      <c r="BG284" s="18">
        <v>1.02</v>
      </c>
      <c r="BH284" s="18">
        <v>1.1200000000000001</v>
      </c>
      <c r="BI284" s="18">
        <v>1.05</v>
      </c>
      <c r="BJ284" s="19"/>
      <c r="BK284" s="18">
        <v>15.707620528771406</v>
      </c>
      <c r="BL284" s="18">
        <v>1.866251944012433</v>
      </c>
      <c r="BM284" s="18">
        <v>10</v>
      </c>
      <c r="BN284" s="18">
        <v>0</v>
      </c>
      <c r="BO284" s="18"/>
      <c r="BP284" s="18">
        <v>34</v>
      </c>
      <c r="BQ284" s="18">
        <v>6.3452566096423064</v>
      </c>
      <c r="BR284" s="18">
        <v>1.1978145925416193</v>
      </c>
      <c r="BS284" s="18">
        <v>1.1525356855417395</v>
      </c>
      <c r="BT284" s="19"/>
      <c r="BU284" s="18">
        <v>900</v>
      </c>
      <c r="BV284" s="18">
        <v>717.10086647411697</v>
      </c>
      <c r="BW284" s="18">
        <v>12.857142857142907</v>
      </c>
      <c r="BX284" s="18">
        <v>0</v>
      </c>
      <c r="BY284" s="18" t="s">
        <v>217</v>
      </c>
      <c r="BZ284" s="18">
        <v>0</v>
      </c>
      <c r="CA284" s="18">
        <v>0</v>
      </c>
      <c r="CB284" s="19"/>
      <c r="CC284" s="19">
        <v>0.39999999999999997</v>
      </c>
      <c r="CD284" s="19">
        <v>0.44999999999999996</v>
      </c>
      <c r="CE284" s="19">
        <v>0.78000000000000091</v>
      </c>
      <c r="CF284" s="19">
        <v>1.5599999999999998</v>
      </c>
      <c r="CG284" s="19">
        <v>1.44</v>
      </c>
      <c r="CH284" s="19">
        <v>7.9999999999999891E-2</v>
      </c>
      <c r="CI284" s="19">
        <v>0</v>
      </c>
      <c r="CJ284" s="19"/>
      <c r="CK284" s="19">
        <v>0.69629999999999992</v>
      </c>
      <c r="CL284" s="19">
        <v>0.12659999999999996</v>
      </c>
      <c r="CM284" s="19">
        <v>0</v>
      </c>
      <c r="CN284" s="19">
        <v>0.37979999999999997</v>
      </c>
      <c r="CO284" s="19">
        <v>0</v>
      </c>
      <c r="CP284" s="19">
        <v>0</v>
      </c>
      <c r="CQ284" s="19">
        <v>7.5566220839813001</v>
      </c>
      <c r="CR284" s="19">
        <v>99.663100418034048</v>
      </c>
      <c r="CS284" s="19">
        <v>3.2819058967658843</v>
      </c>
      <c r="CT284" s="19">
        <v>0.73950020510181724</v>
      </c>
      <c r="CU284" s="19">
        <v>1.3474451176518312</v>
      </c>
      <c r="CV284" s="19">
        <v>2.0869453227536408</v>
      </c>
      <c r="CW284" s="19">
        <v>1.9125348970220846</v>
      </c>
      <c r="CX284" s="19">
        <v>0.75345303916034223</v>
      </c>
      <c r="CY284" s="19">
        <v>2.092925108778724</v>
      </c>
      <c r="CZ284" s="19">
        <v>4.7798422960489368</v>
      </c>
      <c r="DA284" s="19">
        <v>1.1511088098282996</v>
      </c>
      <c r="DB284" s="19">
        <v>1.5248454363959354</v>
      </c>
      <c r="DC284" s="19">
        <v>1.8975854319593819</v>
      </c>
      <c r="DD284" s="19">
        <v>3.4224308683553044</v>
      </c>
      <c r="DE284" s="19">
        <v>1.7789863424619181</v>
      </c>
      <c r="DF284" s="23">
        <v>0</v>
      </c>
      <c r="DG284" s="23">
        <v>0</v>
      </c>
      <c r="DH284" s="23">
        <v>0</v>
      </c>
      <c r="DI284" s="19">
        <v>0</v>
      </c>
      <c r="DJ284" s="19">
        <v>0</v>
      </c>
      <c r="DK284" s="19">
        <v>0</v>
      </c>
      <c r="DL284" s="19">
        <v>0</v>
      </c>
      <c r="DM284" s="19">
        <v>0</v>
      </c>
      <c r="DN284" s="19">
        <v>0</v>
      </c>
      <c r="DO284" s="19">
        <v>0</v>
      </c>
      <c r="DP284" s="19">
        <v>0</v>
      </c>
      <c r="DQ284" s="19">
        <v>0</v>
      </c>
      <c r="DR284" s="19">
        <v>0</v>
      </c>
      <c r="DS284" s="19">
        <v>0</v>
      </c>
      <c r="DT284" s="19">
        <v>0</v>
      </c>
      <c r="DU284" s="19">
        <v>0</v>
      </c>
      <c r="DV284" s="19">
        <v>0</v>
      </c>
      <c r="DW284" s="17" t="s">
        <v>748</v>
      </c>
      <c r="DX284" s="22" t="s">
        <v>218</v>
      </c>
      <c r="DY284" s="22" t="s">
        <v>218</v>
      </c>
      <c r="DZ284" s="22" t="s">
        <v>218</v>
      </c>
      <c r="EA284" s="22" t="s">
        <v>218</v>
      </c>
      <c r="EB284" s="22" t="s">
        <v>218</v>
      </c>
      <c r="EC284" s="22" t="s">
        <v>218</v>
      </c>
      <c r="ED284" s="22" t="s">
        <v>218</v>
      </c>
      <c r="EE284" s="22" t="s">
        <v>218</v>
      </c>
      <c r="EF284" s="22" t="s">
        <v>218</v>
      </c>
      <c r="EG284" s="22" t="s">
        <v>218</v>
      </c>
      <c r="EH284" s="22" t="s">
        <v>218</v>
      </c>
      <c r="EI284" s="22" t="s">
        <v>218</v>
      </c>
      <c r="EJ284" s="22" t="s">
        <v>218</v>
      </c>
      <c r="EK284" s="22" t="s">
        <v>218</v>
      </c>
      <c r="EL284" s="22" t="s">
        <v>218</v>
      </c>
      <c r="EM284" s="22" t="s">
        <v>218</v>
      </c>
      <c r="EN284" s="22" t="s">
        <v>218</v>
      </c>
      <c r="EO284" s="22" t="s">
        <v>218</v>
      </c>
      <c r="EP284" s="22" t="s">
        <v>218</v>
      </c>
      <c r="EQ284" s="22" t="s">
        <v>218</v>
      </c>
      <c r="ER284" s="22" t="s">
        <v>218</v>
      </c>
      <c r="ES284" s="22" t="s">
        <v>218</v>
      </c>
      <c r="ET284" s="22" t="s">
        <v>218</v>
      </c>
      <c r="EU284" s="22" t="s">
        <v>218</v>
      </c>
      <c r="EV284" s="22" t="s">
        <v>218</v>
      </c>
      <c r="EW284" s="22" t="s">
        <v>218</v>
      </c>
      <c r="EX284" s="22" t="s">
        <v>218</v>
      </c>
      <c r="EY284" s="22" t="s">
        <v>218</v>
      </c>
      <c r="EZ284" s="22" t="s">
        <v>218</v>
      </c>
      <c r="FA284" s="22" t="s">
        <v>218</v>
      </c>
      <c r="FB284" s="22" t="s">
        <v>218</v>
      </c>
      <c r="FC284" s="22" t="s">
        <v>218</v>
      </c>
      <c r="FD284" s="22" t="s">
        <v>218</v>
      </c>
      <c r="FE284" s="22" t="s">
        <v>218</v>
      </c>
      <c r="FF284" s="22" t="s">
        <v>218</v>
      </c>
      <c r="FG284" s="22" t="s">
        <v>218</v>
      </c>
      <c r="FH284" s="22" t="s">
        <v>218</v>
      </c>
      <c r="FI284" s="22" t="s">
        <v>218</v>
      </c>
      <c r="FJ284" s="22" t="s">
        <v>218</v>
      </c>
      <c r="FK284" s="22" t="s">
        <v>218</v>
      </c>
      <c r="FL284" s="22" t="s">
        <v>218</v>
      </c>
      <c r="FM284" s="22" t="s">
        <v>218</v>
      </c>
      <c r="FN284" s="22" t="s">
        <v>218</v>
      </c>
      <c r="FO284" s="22" t="s">
        <v>218</v>
      </c>
      <c r="FP284" s="22" t="s">
        <v>218</v>
      </c>
      <c r="FQ284" s="22" t="s">
        <v>218</v>
      </c>
      <c r="FR284" s="22" t="s">
        <v>218</v>
      </c>
      <c r="FS284" s="22" t="s">
        <v>218</v>
      </c>
      <c r="FT284" s="22" t="s">
        <v>218</v>
      </c>
      <c r="FU284" s="22" t="s">
        <v>218</v>
      </c>
      <c r="FV284" s="22" t="s">
        <v>218</v>
      </c>
      <c r="FW284" s="22" t="s">
        <v>218</v>
      </c>
      <c r="FX284" s="22" t="s">
        <v>218</v>
      </c>
      <c r="FY284" s="22" t="s">
        <v>218</v>
      </c>
      <c r="FZ284" s="22" t="s">
        <v>218</v>
      </c>
      <c r="GA284" s="22" t="s">
        <v>218</v>
      </c>
      <c r="GB284" s="22" t="s">
        <v>218</v>
      </c>
      <c r="GC284" s="22" t="s">
        <v>218</v>
      </c>
      <c r="GD284" s="22" t="s">
        <v>218</v>
      </c>
      <c r="GE284" s="22" t="s">
        <v>218</v>
      </c>
      <c r="GF284" s="22" t="s">
        <v>218</v>
      </c>
      <c r="GG284" s="22" t="s">
        <v>218</v>
      </c>
      <c r="GH284" s="22" t="s">
        <v>218</v>
      </c>
      <c r="GI284" s="22" t="s">
        <v>218</v>
      </c>
      <c r="GJ284" s="22" t="s">
        <v>218</v>
      </c>
      <c r="GK284" s="22" t="s">
        <v>218</v>
      </c>
      <c r="GL284" s="22" t="s">
        <v>218</v>
      </c>
      <c r="GM284" s="22" t="s">
        <v>218</v>
      </c>
      <c r="GN284" s="22" t="s">
        <v>218</v>
      </c>
      <c r="GO284" s="22" t="s">
        <v>218</v>
      </c>
      <c r="GP284" s="22" t="s">
        <v>218</v>
      </c>
      <c r="GQ284" s="22" t="s">
        <v>218</v>
      </c>
      <c r="GR284" s="22" t="s">
        <v>218</v>
      </c>
      <c r="GS284" s="22" t="s">
        <v>218</v>
      </c>
      <c r="GT284" s="22" t="s">
        <v>218</v>
      </c>
      <c r="GU284" s="22" t="s">
        <v>218</v>
      </c>
      <c r="GV284" s="22" t="s">
        <v>218</v>
      </c>
      <c r="GW284" s="22" t="s">
        <v>218</v>
      </c>
      <c r="GX284" s="22" t="s">
        <v>218</v>
      </c>
      <c r="GY284" s="22" t="s">
        <v>218</v>
      </c>
      <c r="GZ284" s="22" t="s">
        <v>218</v>
      </c>
      <c r="HA284" s="22" t="s">
        <v>218</v>
      </c>
      <c r="HB284" s="22" t="s">
        <v>218</v>
      </c>
      <c r="HC284" s="22" t="s">
        <v>218</v>
      </c>
      <c r="HD284" s="22" t="s">
        <v>218</v>
      </c>
      <c r="HE284" s="22" t="s">
        <v>218</v>
      </c>
      <c r="HF284" s="22" t="s">
        <v>218</v>
      </c>
      <c r="HG284" s="22" t="s">
        <v>218</v>
      </c>
      <c r="HH284" s="22" t="s">
        <v>218</v>
      </c>
      <c r="HI284" s="22" t="s">
        <v>218</v>
      </c>
      <c r="HJ284" s="22" t="s">
        <v>218</v>
      </c>
      <c r="HK284" s="22" t="s">
        <v>218</v>
      </c>
      <c r="HL284" s="22" t="s">
        <v>218</v>
      </c>
      <c r="HM284" s="860"/>
      <c r="HN284" s="860"/>
      <c r="HO284" s="860"/>
      <c r="HP284" s="860"/>
      <c r="HQ284" s="860"/>
      <c r="HR284" s="860"/>
      <c r="HS284" s="860"/>
      <c r="HT284" s="145"/>
      <c r="HU284" s="145" t="s">
        <v>1809</v>
      </c>
      <c r="HV284" s="22" t="s">
        <v>1989</v>
      </c>
      <c r="HW284" s="22" t="s">
        <v>749</v>
      </c>
      <c r="HX284" s="22" t="s">
        <v>750</v>
      </c>
      <c r="HY284" s="22" t="s">
        <v>751</v>
      </c>
      <c r="HZ284" s="19"/>
      <c r="IA284" s="19"/>
      <c r="IB284" s="621">
        <f>'background data'!$G$10</f>
        <v>0.47300000000000003</v>
      </c>
      <c r="IC284" s="621">
        <f>'background data'!$H$10</f>
        <v>0.13</v>
      </c>
      <c r="ID284" s="621">
        <f>'background data'!$J$10</f>
        <v>0.39100000000000001</v>
      </c>
      <c r="IE284" s="621">
        <f>'background data'!$L$10</f>
        <v>5.5E-2</v>
      </c>
      <c r="IF284" s="621">
        <f>'background data'!$M$10</f>
        <v>3.97</v>
      </c>
      <c r="IG284" s="621">
        <f>'background data'!$N$10</f>
        <v>4.5999999999999999E-3</v>
      </c>
      <c r="IH284" s="621">
        <f>'background data'!$O$10</f>
        <v>2.73</v>
      </c>
      <c r="II284" s="145"/>
      <c r="IJ284" s="145"/>
      <c r="IK284" s="145"/>
      <c r="IL284" s="145"/>
      <c r="IM284" s="145"/>
      <c r="IN284" s="145"/>
      <c r="IO284" s="145"/>
      <c r="IP284" s="145"/>
      <c r="IQ284" s="145"/>
      <c r="IR284" s="145"/>
      <c r="IS284" s="145"/>
      <c r="IT284" s="145"/>
      <c r="IU284" s="145"/>
      <c r="IV284" s="145"/>
      <c r="IW284" s="145"/>
      <c r="IX284" s="145"/>
      <c r="IY284" s="145"/>
      <c r="IZ284" s="145"/>
      <c r="JA284" s="145"/>
      <c r="JB284" s="145"/>
      <c r="JC284" s="145"/>
      <c r="JD284" s="145"/>
      <c r="JE284" s="145"/>
      <c r="JF284" s="145"/>
      <c r="JG284" s="145"/>
      <c r="JH284" s="145"/>
      <c r="JI284" s="145"/>
      <c r="JJ284" s="145"/>
      <c r="JK284" s="145"/>
      <c r="JL284" s="145"/>
      <c r="JM284" s="145"/>
      <c r="JN284" s="145"/>
      <c r="JO284" s="145"/>
      <c r="JP284" s="145"/>
      <c r="JQ284" s="145"/>
      <c r="JR284" s="145"/>
      <c r="JS284" s="145"/>
      <c r="JT284" s="145"/>
      <c r="JU284" s="145"/>
      <c r="JV284" s="145"/>
      <c r="JW284" s="145"/>
      <c r="JX284" s="145"/>
      <c r="JY284" s="145"/>
      <c r="JZ284" s="145"/>
      <c r="KA284" s="145"/>
      <c r="KB284" s="145"/>
      <c r="KC284" s="145"/>
      <c r="KD284" s="145"/>
      <c r="KE284" s="145"/>
      <c r="KF284" s="145"/>
      <c r="KG284" s="145"/>
      <c r="KH284" s="145"/>
      <c r="KI284" s="145"/>
      <c r="KJ284" s="145"/>
      <c r="KK284" s="145"/>
      <c r="KL284" s="145"/>
      <c r="KM284" s="145"/>
      <c r="KN284" s="145"/>
      <c r="KO284" s="145"/>
      <c r="KP284" s="145"/>
      <c r="KQ284" s="145"/>
      <c r="KR284" s="145"/>
      <c r="KS284" s="145"/>
      <c r="KT284" s="145"/>
      <c r="KU284" s="145"/>
      <c r="KV284" s="145"/>
      <c r="KW284" s="145"/>
      <c r="KX284" s="145"/>
      <c r="KY284" s="145"/>
      <c r="KZ284" s="145"/>
      <c r="LA284" s="145"/>
      <c r="LB284" s="145"/>
      <c r="LC284" s="145"/>
      <c r="LD284" s="145"/>
      <c r="LE284" s="145"/>
      <c r="LF284" s="145"/>
      <c r="LG284" s="145"/>
      <c r="LH284" s="145"/>
      <c r="LI284" s="145"/>
      <c r="LJ284" s="145"/>
      <c r="LK284" s="145"/>
      <c r="LL284" s="145"/>
      <c r="LM284" s="145"/>
      <c r="LN284" s="145"/>
      <c r="LO284" s="145"/>
      <c r="LP284" s="145"/>
      <c r="LQ284" s="145"/>
      <c r="LR284" s="145"/>
      <c r="LS284" s="145"/>
      <c r="LT284" s="145"/>
      <c r="LU284" s="145"/>
      <c r="LV284" s="145"/>
      <c r="LW284" s="145"/>
      <c r="LX284" s="145"/>
      <c r="LY284" s="145"/>
      <c r="LZ284" s="145"/>
      <c r="MA284" s="145"/>
      <c r="MB284" s="145"/>
      <c r="MC284" s="145"/>
      <c r="MD284" s="145"/>
      <c r="ME284" s="145"/>
      <c r="MF284" s="145"/>
      <c r="MG284" s="145"/>
      <c r="MH284" s="145"/>
      <c r="MI284" s="145"/>
      <c r="MJ284" s="145"/>
      <c r="MK284" s="145"/>
      <c r="ML284" s="145"/>
      <c r="MM284" s="145"/>
      <c r="MN284" s="145"/>
      <c r="MO284" s="145"/>
      <c r="MP284" s="145"/>
      <c r="MQ284" s="145"/>
      <c r="MR284" s="145"/>
      <c r="MS284" s="145"/>
      <c r="MT284" s="145"/>
      <c r="MU284" s="145"/>
      <c r="MV284" s="145"/>
      <c r="MW284" s="145"/>
      <c r="MX284" s="145"/>
      <c r="MY284" s="145"/>
      <c r="MZ284" s="145"/>
      <c r="NA284" s="145"/>
      <c r="NB284" s="145"/>
      <c r="NC284" s="145"/>
      <c r="ND284" s="145"/>
      <c r="NE284" s="145"/>
      <c r="NF284" s="145"/>
      <c r="NG284" s="145"/>
      <c r="NH284" s="145"/>
      <c r="NI284" s="145"/>
      <c r="NJ284" s="145"/>
      <c r="NK284" s="145"/>
      <c r="NL284" s="145"/>
      <c r="NM284" s="145"/>
      <c r="NN284" s="145"/>
      <c r="NO284" s="145"/>
      <c r="NP284" s="145"/>
      <c r="NQ284" s="145"/>
      <c r="NR284" s="145"/>
      <c r="NS284" s="145"/>
    </row>
    <row r="285" spans="1:383" s="16" customFormat="1" ht="15" customHeight="1" x14ac:dyDescent="0.2">
      <c r="A285" s="15">
        <v>77000</v>
      </c>
      <c r="B285" s="25">
        <v>770</v>
      </c>
      <c r="C285" s="26">
        <v>0</v>
      </c>
      <c r="D285" s="20" t="s">
        <v>752</v>
      </c>
      <c r="E285" s="14">
        <v>42694</v>
      </c>
      <c r="F285" s="18">
        <v>6.4095266786681995E-2</v>
      </c>
      <c r="G285" s="18">
        <v>6.1669228550500998E-2</v>
      </c>
      <c r="H285" s="21">
        <v>99</v>
      </c>
      <c r="I285" s="21">
        <v>98</v>
      </c>
      <c r="J285" s="21">
        <v>98</v>
      </c>
      <c r="K285" s="18">
        <v>0.86</v>
      </c>
      <c r="L285" s="18">
        <v>5.2</v>
      </c>
      <c r="M285" s="18">
        <v>0.67600000000000005</v>
      </c>
      <c r="N285" s="18">
        <v>0.1222</v>
      </c>
      <c r="O285" s="18">
        <v>0.44719999999999999</v>
      </c>
      <c r="P285" s="18">
        <v>0</v>
      </c>
      <c r="Q285" s="19"/>
      <c r="R285" s="18">
        <v>85</v>
      </c>
      <c r="S285" s="18">
        <v>50</v>
      </c>
      <c r="T285" s="18">
        <v>50</v>
      </c>
      <c r="U285" s="18">
        <v>50</v>
      </c>
      <c r="V285" s="18">
        <v>50</v>
      </c>
      <c r="W285" s="18">
        <v>50</v>
      </c>
      <c r="X285" s="18"/>
      <c r="Y285" s="18">
        <v>10.259960744747191</v>
      </c>
      <c r="Z285" s="18">
        <v>8.5462136302810574</v>
      </c>
      <c r="AA285" s="18">
        <v>7.403229824862076</v>
      </c>
      <c r="AB285" s="18">
        <v>16.635551362792096</v>
      </c>
      <c r="AC285" s="18">
        <v>24.724462459915962</v>
      </c>
      <c r="AD285" s="18">
        <v>1.453217096983719</v>
      </c>
      <c r="AE285" s="18">
        <v>0</v>
      </c>
      <c r="AF285" s="18">
        <v>91.999999999999986</v>
      </c>
      <c r="AG285" s="18">
        <v>21.999999999999996</v>
      </c>
      <c r="AH285" s="18">
        <v>3</v>
      </c>
      <c r="AI285" s="18">
        <v>17</v>
      </c>
      <c r="AJ285" s="18">
        <v>0</v>
      </c>
      <c r="AK285" s="18">
        <v>0.05</v>
      </c>
      <c r="AL285" s="18"/>
      <c r="AM285" s="18">
        <v>6.3922845522859202</v>
      </c>
      <c r="AN285" s="18">
        <v>1.4350478772698001</v>
      </c>
      <c r="AO285" s="18">
        <v>1.51285907952347</v>
      </c>
      <c r="AP285" s="18">
        <v>5.3675239386348998</v>
      </c>
      <c r="AQ285" s="18">
        <v>1.19742818409531</v>
      </c>
      <c r="AR285" s="18">
        <v>5.7</v>
      </c>
      <c r="AS285" s="18">
        <v>8.1</v>
      </c>
      <c r="AT285" s="18">
        <v>1.2</v>
      </c>
      <c r="AU285" s="18">
        <v>2.6</v>
      </c>
      <c r="AV285" s="18">
        <v>2</v>
      </c>
      <c r="AW285" s="18">
        <v>5</v>
      </c>
      <c r="AX285" s="18"/>
      <c r="AY285" s="18">
        <v>0.89</v>
      </c>
      <c r="AZ285" s="18">
        <v>1.06</v>
      </c>
      <c r="BA285" s="18">
        <v>1.04</v>
      </c>
      <c r="BB285" s="18">
        <v>1.01</v>
      </c>
      <c r="BC285" s="18">
        <v>1.08</v>
      </c>
      <c r="BD285" s="18">
        <v>1.05</v>
      </c>
      <c r="BE285" s="18">
        <v>1.0900000000000001</v>
      </c>
      <c r="BF285" s="18">
        <v>1.05</v>
      </c>
      <c r="BG285" s="18">
        <v>1.02</v>
      </c>
      <c r="BH285" s="18">
        <v>1.1200000000000001</v>
      </c>
      <c r="BI285" s="18">
        <v>1.05</v>
      </c>
      <c r="BJ285" s="19"/>
      <c r="BK285" s="18">
        <v>13.000000000000002</v>
      </c>
      <c r="BL285" s="18">
        <v>2.35</v>
      </c>
      <c r="BM285" s="18">
        <v>8.6</v>
      </c>
      <c r="BN285" s="18">
        <v>0</v>
      </c>
      <c r="BO285" s="18"/>
      <c r="BP285" s="18">
        <v>34</v>
      </c>
      <c r="BQ285" s="18">
        <v>7.99</v>
      </c>
      <c r="BR285" s="18">
        <v>1.2326012843592691</v>
      </c>
      <c r="BS285" s="18">
        <v>1.1859467028942499</v>
      </c>
      <c r="BT285" s="19"/>
      <c r="BU285" s="18">
        <v>914</v>
      </c>
      <c r="BV285" s="18">
        <v>750.70785714285773</v>
      </c>
      <c r="BW285" s="18">
        <v>13.057142857142903</v>
      </c>
      <c r="BX285" s="18">
        <v>0</v>
      </c>
      <c r="BY285" s="18" t="s">
        <v>217</v>
      </c>
      <c r="BZ285" s="18">
        <v>0</v>
      </c>
      <c r="CA285" s="18">
        <v>0</v>
      </c>
      <c r="CB285" s="19"/>
      <c r="CC285" s="19">
        <v>0.53351795872685404</v>
      </c>
      <c r="CD285" s="19">
        <v>0.44440310877461503</v>
      </c>
      <c r="CE285" s="19">
        <v>0.38496795089282798</v>
      </c>
      <c r="CF285" s="19">
        <v>0.86504867086518911</v>
      </c>
      <c r="CG285" s="19">
        <v>1.2856720479156301</v>
      </c>
      <c r="CH285" s="19">
        <v>7.5567289043153393E-2</v>
      </c>
      <c r="CI285" s="19">
        <v>0</v>
      </c>
      <c r="CJ285" s="19"/>
      <c r="CK285" s="19">
        <v>4.7839999999999998</v>
      </c>
      <c r="CL285" s="19">
        <v>1.1439999999999999</v>
      </c>
      <c r="CM285" s="19">
        <v>0.15600000000000003</v>
      </c>
      <c r="CN285" s="19">
        <v>0.88400000000000012</v>
      </c>
      <c r="CO285" s="19">
        <v>0</v>
      </c>
      <c r="CP285" s="19">
        <v>2.6000000000000003E-3</v>
      </c>
      <c r="CQ285" s="19">
        <v>5.7460000000000004</v>
      </c>
      <c r="CR285" s="19">
        <v>89.647805338317596</v>
      </c>
      <c r="CS285" s="19">
        <v>5.1001831027731246</v>
      </c>
      <c r="CT285" s="19">
        <v>1.3636782631780788</v>
      </c>
      <c r="CU285" s="19">
        <v>1.4104947611604368</v>
      </c>
      <c r="CV285" s="19">
        <v>2.7741730243385221</v>
      </c>
      <c r="CW285" s="19">
        <v>4.8599860861149633</v>
      </c>
      <c r="CX285" s="19">
        <v>1.1593455345474226</v>
      </c>
      <c r="CY285" s="19">
        <v>5.3654211494983075</v>
      </c>
      <c r="CZ285" s="19">
        <v>7.9150047333200595</v>
      </c>
      <c r="DA285" s="19">
        <v>1.1295623472628016</v>
      </c>
      <c r="DB285" s="19">
        <v>2.3774597975721825</v>
      </c>
      <c r="DC285" s="19">
        <v>2.0081108395783138</v>
      </c>
      <c r="DD285" s="19">
        <v>4.3855706371504963</v>
      </c>
      <c r="DE285" s="19">
        <v>4.7065097802616735</v>
      </c>
      <c r="DF285" s="23">
        <v>0</v>
      </c>
      <c r="DG285" s="23">
        <v>0</v>
      </c>
      <c r="DH285" s="23">
        <v>0</v>
      </c>
      <c r="DI285" s="19">
        <v>0</v>
      </c>
      <c r="DJ285" s="19">
        <v>0</v>
      </c>
      <c r="DK285" s="19">
        <v>0</v>
      </c>
      <c r="DL285" s="19">
        <v>0</v>
      </c>
      <c r="DM285" s="19">
        <v>0</v>
      </c>
      <c r="DN285" s="19">
        <v>0</v>
      </c>
      <c r="DO285" s="19">
        <v>0</v>
      </c>
      <c r="DP285" s="19">
        <v>0</v>
      </c>
      <c r="DQ285" s="19">
        <v>0</v>
      </c>
      <c r="DR285" s="19">
        <v>0</v>
      </c>
      <c r="DS285" s="19">
        <v>0</v>
      </c>
      <c r="DT285" s="19">
        <v>0</v>
      </c>
      <c r="DU285" s="19">
        <v>0</v>
      </c>
      <c r="DV285" s="19">
        <v>0</v>
      </c>
      <c r="DW285" s="17" t="s">
        <v>748</v>
      </c>
      <c r="DX285" s="22">
        <v>90</v>
      </c>
      <c r="DY285" s="22">
        <v>90</v>
      </c>
      <c r="DZ285" s="22">
        <v>90</v>
      </c>
      <c r="EA285" s="22" t="s">
        <v>218</v>
      </c>
      <c r="EB285" s="22" t="s">
        <v>218</v>
      </c>
      <c r="EC285" s="22" t="s">
        <v>218</v>
      </c>
      <c r="ED285" s="22" t="s">
        <v>218</v>
      </c>
      <c r="EE285" s="22" t="s">
        <v>218</v>
      </c>
      <c r="EF285" s="22" t="s">
        <v>218</v>
      </c>
      <c r="EG285" s="22" t="s">
        <v>218</v>
      </c>
      <c r="EH285" s="22" t="s">
        <v>218</v>
      </c>
      <c r="EI285" s="22" t="s">
        <v>218</v>
      </c>
      <c r="EJ285" s="22" t="s">
        <v>218</v>
      </c>
      <c r="EK285" s="22" t="s">
        <v>218</v>
      </c>
      <c r="EL285" s="22" t="s">
        <v>218</v>
      </c>
      <c r="EM285" s="22" t="s">
        <v>218</v>
      </c>
      <c r="EN285" s="22" t="s">
        <v>218</v>
      </c>
      <c r="EO285" s="22" t="s">
        <v>218</v>
      </c>
      <c r="EP285" s="22" t="s">
        <v>218</v>
      </c>
      <c r="EQ285" s="22" t="s">
        <v>218</v>
      </c>
      <c r="ER285" s="22" t="s">
        <v>218</v>
      </c>
      <c r="ES285" s="22">
        <v>90</v>
      </c>
      <c r="ET285" s="22">
        <v>90</v>
      </c>
      <c r="EU285" s="22">
        <v>90</v>
      </c>
      <c r="EV285" s="22">
        <v>90</v>
      </c>
      <c r="EW285" s="22">
        <v>90</v>
      </c>
      <c r="EX285" s="22">
        <v>90</v>
      </c>
      <c r="EY285" s="22" t="s">
        <v>218</v>
      </c>
      <c r="EZ285" s="22" t="s">
        <v>218</v>
      </c>
      <c r="FA285" s="22" t="s">
        <v>218</v>
      </c>
      <c r="FB285" s="22" t="s">
        <v>218</v>
      </c>
      <c r="FC285" s="22" t="s">
        <v>218</v>
      </c>
      <c r="FD285" s="22" t="s">
        <v>218</v>
      </c>
      <c r="FE285" s="22" t="s">
        <v>218</v>
      </c>
      <c r="FF285" s="22">
        <v>1.1000000000000001</v>
      </c>
      <c r="FG285" s="22">
        <v>5.5</v>
      </c>
      <c r="FH285" s="22">
        <v>2</v>
      </c>
      <c r="FI285" s="22" t="s">
        <v>218</v>
      </c>
      <c r="FJ285" s="22" t="s">
        <v>218</v>
      </c>
      <c r="FK285" s="22" t="s">
        <v>218</v>
      </c>
      <c r="FL285" s="22" t="s">
        <v>218</v>
      </c>
      <c r="FM285" s="22" t="s">
        <v>218</v>
      </c>
      <c r="FN285" s="22" t="s">
        <v>218</v>
      </c>
      <c r="FO285" s="22" t="s">
        <v>218</v>
      </c>
      <c r="FP285" s="22" t="s">
        <v>218</v>
      </c>
      <c r="FQ285" s="22" t="s">
        <v>218</v>
      </c>
      <c r="FR285" s="22" t="s">
        <v>218</v>
      </c>
      <c r="FS285" s="22" t="s">
        <v>218</v>
      </c>
      <c r="FT285" s="22" t="s">
        <v>218</v>
      </c>
      <c r="FU285" s="22" t="s">
        <v>218</v>
      </c>
      <c r="FV285" s="22" t="s">
        <v>218</v>
      </c>
      <c r="FW285" s="22" t="s">
        <v>218</v>
      </c>
      <c r="FX285" s="22" t="s">
        <v>218</v>
      </c>
      <c r="FY285" s="22" t="s">
        <v>218</v>
      </c>
      <c r="FZ285" s="22" t="s">
        <v>218</v>
      </c>
      <c r="GA285" s="22">
        <v>5.7</v>
      </c>
      <c r="GB285" s="22">
        <v>2.1</v>
      </c>
      <c r="GC285" s="22">
        <v>2.1</v>
      </c>
      <c r="GD285" s="22">
        <v>6</v>
      </c>
      <c r="GE285" s="22">
        <v>3</v>
      </c>
      <c r="GF285" s="22">
        <v>0.3</v>
      </c>
      <c r="GG285" s="22" t="s">
        <v>218</v>
      </c>
      <c r="GH285" s="22" t="s">
        <v>218</v>
      </c>
      <c r="GI285" s="22" t="s">
        <v>218</v>
      </c>
      <c r="GJ285" s="22" t="s">
        <v>218</v>
      </c>
      <c r="GK285" s="22" t="s">
        <v>218</v>
      </c>
      <c r="GL285" s="22" t="s">
        <v>218</v>
      </c>
      <c r="GM285" s="22" t="s">
        <v>218</v>
      </c>
      <c r="GN285" s="22">
        <v>2016</v>
      </c>
      <c r="GO285" s="22">
        <v>2016</v>
      </c>
      <c r="GP285" s="22">
        <v>2016</v>
      </c>
      <c r="GQ285" s="22" t="s">
        <v>218</v>
      </c>
      <c r="GR285" s="22" t="s">
        <v>218</v>
      </c>
      <c r="GS285" s="22" t="s">
        <v>218</v>
      </c>
      <c r="GT285" s="22" t="s">
        <v>218</v>
      </c>
      <c r="GU285" s="22" t="s">
        <v>218</v>
      </c>
      <c r="GV285" s="22" t="s">
        <v>218</v>
      </c>
      <c r="GW285" s="22" t="s">
        <v>218</v>
      </c>
      <c r="GX285" s="22" t="s">
        <v>218</v>
      </c>
      <c r="GY285" s="22" t="s">
        <v>218</v>
      </c>
      <c r="GZ285" s="22" t="s">
        <v>218</v>
      </c>
      <c r="HA285" s="22" t="s">
        <v>218</v>
      </c>
      <c r="HB285" s="22" t="s">
        <v>218</v>
      </c>
      <c r="HC285" s="22" t="s">
        <v>218</v>
      </c>
      <c r="HD285" s="22" t="s">
        <v>218</v>
      </c>
      <c r="HE285" s="22" t="s">
        <v>218</v>
      </c>
      <c r="HF285" s="22" t="s">
        <v>218</v>
      </c>
      <c r="HG285" s="22" t="s">
        <v>218</v>
      </c>
      <c r="HH285" s="22" t="s">
        <v>218</v>
      </c>
      <c r="HI285" s="22">
        <v>2016</v>
      </c>
      <c r="HJ285" s="22">
        <v>2016</v>
      </c>
      <c r="HK285" s="22">
        <v>2016</v>
      </c>
      <c r="HL285" s="22">
        <v>2016</v>
      </c>
      <c r="HM285" s="860"/>
      <c r="HN285" s="860"/>
      <c r="HO285" s="860"/>
      <c r="HP285" s="860"/>
      <c r="HQ285" s="860"/>
      <c r="HR285" s="860"/>
      <c r="HS285" s="860"/>
      <c r="HT285" s="145"/>
      <c r="HU285" s="145" t="s">
        <v>1809</v>
      </c>
      <c r="HV285" s="22" t="s">
        <v>1989</v>
      </c>
      <c r="HW285" s="22" t="s">
        <v>753</v>
      </c>
      <c r="HX285" s="22" t="s">
        <v>750</v>
      </c>
      <c r="HY285" s="22" t="s">
        <v>751</v>
      </c>
      <c r="HZ285" s="19"/>
      <c r="IA285" s="19"/>
      <c r="IB285" s="621">
        <f>'background data'!$G$10</f>
        <v>0.47300000000000003</v>
      </c>
      <c r="IC285" s="621">
        <f>'background data'!$H$10</f>
        <v>0.13</v>
      </c>
      <c r="ID285" s="621">
        <f>'background data'!$J$10</f>
        <v>0.39100000000000001</v>
      </c>
      <c r="IE285" s="621">
        <f>'background data'!$L$10</f>
        <v>5.5E-2</v>
      </c>
      <c r="IF285" s="621">
        <f>'background data'!$M$10</f>
        <v>3.97</v>
      </c>
      <c r="IG285" s="621">
        <f>'background data'!$N$10</f>
        <v>4.5999999999999999E-3</v>
      </c>
      <c r="IH285" s="621">
        <f>'background data'!$O$10</f>
        <v>2.73</v>
      </c>
      <c r="II285" s="145"/>
      <c r="IJ285" s="145"/>
      <c r="IK285" s="145"/>
      <c r="IL285" s="145"/>
      <c r="IM285" s="145"/>
      <c r="IN285" s="145"/>
      <c r="IO285" s="145"/>
      <c r="IP285" s="145"/>
      <c r="IQ285" s="145"/>
      <c r="IR285" s="145"/>
      <c r="IS285" s="145"/>
      <c r="IT285" s="145"/>
      <c r="IU285" s="145"/>
      <c r="IV285" s="145"/>
      <c r="IW285" s="145"/>
      <c r="IX285" s="145"/>
      <c r="IY285" s="145"/>
      <c r="IZ285" s="145"/>
      <c r="JA285" s="145"/>
      <c r="JB285" s="145"/>
      <c r="JC285" s="145"/>
      <c r="JD285" s="145"/>
      <c r="JE285" s="145"/>
      <c r="JF285" s="145"/>
      <c r="JG285" s="145"/>
      <c r="JH285" s="145"/>
      <c r="JI285" s="145"/>
      <c r="JJ285" s="145"/>
      <c r="JK285" s="145"/>
      <c r="JL285" s="145"/>
      <c r="JM285" s="145"/>
      <c r="JN285" s="145"/>
      <c r="JO285" s="145"/>
      <c r="JP285" s="145"/>
      <c r="JQ285" s="145"/>
      <c r="JR285" s="145"/>
      <c r="JS285" s="145"/>
      <c r="JT285" s="145"/>
      <c r="JU285" s="145"/>
      <c r="JV285" s="145"/>
      <c r="JW285" s="145"/>
      <c r="JX285" s="145"/>
      <c r="JY285" s="145"/>
      <c r="JZ285" s="145"/>
      <c r="KA285" s="145"/>
      <c r="KB285" s="145"/>
      <c r="KC285" s="145"/>
      <c r="KD285" s="145"/>
      <c r="KE285" s="145"/>
      <c r="KF285" s="145"/>
      <c r="KG285" s="145"/>
      <c r="KH285" s="145"/>
      <c r="KI285" s="145"/>
      <c r="KJ285" s="145"/>
      <c r="KK285" s="145"/>
      <c r="KL285" s="145"/>
      <c r="KM285" s="145"/>
      <c r="KN285" s="145"/>
      <c r="KO285" s="145"/>
      <c r="KP285" s="145"/>
      <c r="KQ285" s="145"/>
      <c r="KR285" s="145"/>
      <c r="KS285" s="145"/>
      <c r="KT285" s="145"/>
      <c r="KU285" s="145"/>
      <c r="KV285" s="145"/>
      <c r="KW285" s="145"/>
      <c r="KX285" s="145"/>
      <c r="KY285" s="145"/>
      <c r="KZ285" s="145"/>
      <c r="LA285" s="145"/>
      <c r="LB285" s="145"/>
      <c r="LC285" s="145"/>
      <c r="LD285" s="145"/>
      <c r="LE285" s="145"/>
      <c r="LF285" s="145"/>
      <c r="LG285" s="145"/>
      <c r="LH285" s="145"/>
      <c r="LI285" s="145"/>
      <c r="LJ285" s="145"/>
      <c r="LK285" s="145"/>
      <c r="LL285" s="145"/>
      <c r="LM285" s="145"/>
      <c r="LN285" s="145"/>
      <c r="LO285" s="145"/>
      <c r="LP285" s="145"/>
      <c r="LQ285" s="145"/>
      <c r="LR285" s="145"/>
      <c r="LS285" s="145"/>
      <c r="LT285" s="145"/>
      <c r="LU285" s="145"/>
      <c r="LV285" s="145"/>
      <c r="LW285" s="145"/>
      <c r="LX285" s="145"/>
      <c r="LY285" s="145"/>
      <c r="LZ285" s="145"/>
      <c r="MA285" s="145"/>
      <c r="MB285" s="145"/>
      <c r="MC285" s="145"/>
      <c r="MD285" s="145"/>
      <c r="ME285" s="145"/>
      <c r="MF285" s="145"/>
      <c r="MG285" s="145"/>
      <c r="MH285" s="145"/>
      <c r="MI285" s="145"/>
      <c r="MJ285" s="145"/>
      <c r="MK285" s="145"/>
      <c r="ML285" s="145"/>
      <c r="MM285" s="145"/>
      <c r="MN285" s="145"/>
      <c r="MO285" s="145"/>
      <c r="MP285" s="145"/>
      <c r="MQ285" s="145"/>
      <c r="MR285" s="145"/>
      <c r="MS285" s="145"/>
      <c r="MT285" s="145"/>
      <c r="MU285" s="145"/>
      <c r="MV285" s="145"/>
      <c r="MW285" s="145"/>
      <c r="MX285" s="145"/>
      <c r="MY285" s="145"/>
      <c r="MZ285" s="145"/>
      <c r="NA285" s="145"/>
      <c r="NB285" s="145"/>
      <c r="NC285" s="145"/>
      <c r="ND285" s="145"/>
      <c r="NE285" s="145"/>
      <c r="NF285" s="145"/>
      <c r="NG285" s="145"/>
      <c r="NH285" s="145"/>
      <c r="NI285" s="145"/>
      <c r="NJ285" s="145"/>
      <c r="NK285" s="145"/>
      <c r="NL285" s="145"/>
      <c r="NM285" s="145"/>
      <c r="NN285" s="145"/>
      <c r="NO285" s="145"/>
      <c r="NP285" s="145"/>
      <c r="NQ285" s="145"/>
      <c r="NR285" s="145"/>
      <c r="NS285" s="145"/>
    </row>
    <row r="286" spans="1:383" s="16" customFormat="1" ht="15" customHeight="1" x14ac:dyDescent="0.2">
      <c r="A286" s="15">
        <v>77400</v>
      </c>
      <c r="B286" s="25">
        <v>774</v>
      </c>
      <c r="C286" s="26">
        <v>0</v>
      </c>
      <c r="D286" s="20" t="s">
        <v>754</v>
      </c>
      <c r="E286" s="14">
        <v>42694</v>
      </c>
      <c r="F286" s="18">
        <v>8.20119672410346E-2</v>
      </c>
      <c r="G286" s="18">
        <v>7.89048958947558E-2</v>
      </c>
      <c r="H286" s="21">
        <v>99</v>
      </c>
      <c r="I286" s="21">
        <v>98</v>
      </c>
      <c r="J286" s="21">
        <v>98</v>
      </c>
      <c r="K286" s="18">
        <v>0.86</v>
      </c>
      <c r="L286" s="18">
        <v>6.68</v>
      </c>
      <c r="M286" s="18">
        <v>0.55315029743390398</v>
      </c>
      <c r="N286" s="18">
        <v>0.16923671850699901</v>
      </c>
      <c r="O286" s="18">
        <v>0.65617241675000004</v>
      </c>
      <c r="P286" s="18">
        <v>0</v>
      </c>
      <c r="Q286" s="19"/>
      <c r="R286" s="18">
        <v>76.767354735176099</v>
      </c>
      <c r="S286" s="18">
        <v>50</v>
      </c>
      <c r="T286" s="18">
        <v>50</v>
      </c>
      <c r="U286" s="18">
        <v>50</v>
      </c>
      <c r="V286" s="18">
        <v>50</v>
      </c>
      <c r="W286" s="18">
        <v>50</v>
      </c>
      <c r="X286" s="18"/>
      <c r="Y286" s="18">
        <v>9.5158869760479039</v>
      </c>
      <c r="Z286" s="18">
        <v>7.5278443113772449</v>
      </c>
      <c r="AA286" s="18">
        <v>19.194461077844313</v>
      </c>
      <c r="AB286" s="18">
        <v>43.067964071856281</v>
      </c>
      <c r="AC286" s="18">
        <v>25.482877994011979</v>
      </c>
      <c r="AD286" s="18">
        <v>1.5109842814371257</v>
      </c>
      <c r="AE286" s="18">
        <v>0</v>
      </c>
      <c r="AF286" s="18">
        <v>21.397829341317365</v>
      </c>
      <c r="AG286" s="18">
        <v>4.567365269461078</v>
      </c>
      <c r="AH286" s="18">
        <v>0.38510479041916174</v>
      </c>
      <c r="AI286" s="18">
        <v>7.4120508982035922</v>
      </c>
      <c r="AJ286" s="18">
        <v>0</v>
      </c>
      <c r="AK286" s="18">
        <v>6.4184131736526942E-3</v>
      </c>
      <c r="AL286" s="18"/>
      <c r="AM286" s="18">
        <v>3.8356229497625201</v>
      </c>
      <c r="AN286" s="18">
        <v>0.76820930979343505</v>
      </c>
      <c r="AO286" s="18">
        <v>0.46261841103800899</v>
      </c>
      <c r="AP286" s="18">
        <v>2.5434406284352198</v>
      </c>
      <c r="AQ286" s="18">
        <v>0.73410465489671695</v>
      </c>
      <c r="AR286" s="18">
        <v>2.3154680577946398</v>
      </c>
      <c r="AS286" s="18">
        <v>4.7154680577946397</v>
      </c>
      <c r="AT286" s="18">
        <v>1.1085261637241799</v>
      </c>
      <c r="AU286" s="18">
        <v>1.5937878009659701</v>
      </c>
      <c r="AV286" s="18">
        <v>1.72557849117254</v>
      </c>
      <c r="AW286" s="18">
        <v>1.9813634028979199</v>
      </c>
      <c r="AX286" s="18"/>
      <c r="AY286" s="18">
        <v>0.89</v>
      </c>
      <c r="AZ286" s="18">
        <v>1.06</v>
      </c>
      <c r="BA286" s="18">
        <v>1.04</v>
      </c>
      <c r="BB286" s="18">
        <v>1.01</v>
      </c>
      <c r="BC286" s="18">
        <v>1.08</v>
      </c>
      <c r="BD286" s="18">
        <v>1.05</v>
      </c>
      <c r="BE286" s="18">
        <v>1.0900000000000001</v>
      </c>
      <c r="BF286" s="18">
        <v>1.05</v>
      </c>
      <c r="BG286" s="18">
        <v>1.02</v>
      </c>
      <c r="BH286" s="18">
        <v>1.1200000000000001</v>
      </c>
      <c r="BI286" s="18">
        <v>1.05</v>
      </c>
      <c r="BJ286" s="19"/>
      <c r="BK286" s="18">
        <v>8.2806930753578438</v>
      </c>
      <c r="BL286" s="18">
        <v>2.533483809985015</v>
      </c>
      <c r="BM286" s="18">
        <v>9.8229403705089826</v>
      </c>
      <c r="BN286" s="18">
        <v>0</v>
      </c>
      <c r="BO286" s="18"/>
      <c r="BP286" s="18">
        <v>34</v>
      </c>
      <c r="BQ286" s="18">
        <v>8.6138449539490285</v>
      </c>
      <c r="BR286" s="18">
        <v>1.2277240604945299</v>
      </c>
      <c r="BS286" s="18">
        <v>1.1812110163885599</v>
      </c>
      <c r="BT286" s="19"/>
      <c r="BU286" s="18">
        <v>901.77059629491032</v>
      </c>
      <c r="BV286" s="18">
        <v>779.94135329942367</v>
      </c>
      <c r="BW286" s="18">
        <v>12.882437089927308</v>
      </c>
      <c r="BX286" s="18">
        <v>0</v>
      </c>
      <c r="BY286" s="18" t="s">
        <v>217</v>
      </c>
      <c r="BZ286" s="18">
        <v>0</v>
      </c>
      <c r="CA286" s="18">
        <v>0</v>
      </c>
      <c r="CB286" s="19"/>
      <c r="CC286" s="19">
        <v>0.63566124999999996</v>
      </c>
      <c r="CD286" s="19">
        <v>0.50285999999999997</v>
      </c>
      <c r="CE286" s="19">
        <v>1.2821900000000002</v>
      </c>
      <c r="CF286" s="19">
        <v>2.8769399999999994</v>
      </c>
      <c r="CG286" s="19">
        <v>1.70225625</v>
      </c>
      <c r="CH286" s="19">
        <v>0.10093374999999999</v>
      </c>
      <c r="CI286" s="19">
        <v>0</v>
      </c>
      <c r="CJ286" s="19"/>
      <c r="CK286" s="19">
        <v>1.4293750000000001</v>
      </c>
      <c r="CL286" s="19">
        <v>0.30509999999999998</v>
      </c>
      <c r="CM286" s="19">
        <v>2.5725000000000005E-2</v>
      </c>
      <c r="CN286" s="19">
        <v>0.49512499999999993</v>
      </c>
      <c r="CO286" s="19">
        <v>0</v>
      </c>
      <c r="CP286" s="19">
        <v>4.2874999999999999E-4</v>
      </c>
      <c r="CQ286" s="19">
        <v>4.2463885104976704</v>
      </c>
      <c r="CR286" s="19">
        <v>51.777669203050095</v>
      </c>
      <c r="CS286" s="19">
        <v>1.7675365848958302</v>
      </c>
      <c r="CT286" s="19">
        <v>0.42162652772459197</v>
      </c>
      <c r="CU286" s="19">
        <v>0.2491143517612536</v>
      </c>
      <c r="CV286" s="19">
        <v>0.67074087948584438</v>
      </c>
      <c r="CW286" s="19">
        <v>1.3301036177168388</v>
      </c>
      <c r="CX286" s="19">
        <v>0.41051046220194276</v>
      </c>
      <c r="CY286" s="19">
        <v>1.2588401610405584</v>
      </c>
      <c r="CZ286" s="19">
        <v>2.6612998030510311</v>
      </c>
      <c r="DA286" s="19">
        <v>0.60266746058648479</v>
      </c>
      <c r="DB286" s="19">
        <v>0.84173069889038121</v>
      </c>
      <c r="DC286" s="19">
        <v>1.0006800417580948</v>
      </c>
      <c r="DD286" s="19">
        <v>1.8424107406484747</v>
      </c>
      <c r="DE286" s="19">
        <v>1.0771989778859172</v>
      </c>
      <c r="DF286" s="23">
        <v>0</v>
      </c>
      <c r="DG286" s="23">
        <v>0</v>
      </c>
      <c r="DH286" s="23">
        <v>0</v>
      </c>
      <c r="DI286" s="19">
        <v>0</v>
      </c>
      <c r="DJ286" s="19">
        <v>0</v>
      </c>
      <c r="DK286" s="19">
        <v>0</v>
      </c>
      <c r="DL286" s="19">
        <v>0</v>
      </c>
      <c r="DM286" s="19">
        <v>0</v>
      </c>
      <c r="DN286" s="19">
        <v>0</v>
      </c>
      <c r="DO286" s="19">
        <v>0</v>
      </c>
      <c r="DP286" s="19">
        <v>0</v>
      </c>
      <c r="DQ286" s="19">
        <v>0</v>
      </c>
      <c r="DR286" s="19">
        <v>0</v>
      </c>
      <c r="DS286" s="19">
        <v>0</v>
      </c>
      <c r="DT286" s="19">
        <v>0</v>
      </c>
      <c r="DU286" s="19">
        <v>0</v>
      </c>
      <c r="DV286" s="19">
        <v>0</v>
      </c>
      <c r="DW286" s="17" t="s">
        <v>748</v>
      </c>
      <c r="DX286" s="22">
        <v>78</v>
      </c>
      <c r="DY286" s="22">
        <v>78</v>
      </c>
      <c r="DZ286" s="22">
        <v>78</v>
      </c>
      <c r="EA286" s="22" t="s">
        <v>218</v>
      </c>
      <c r="EB286" s="22" t="s">
        <v>218</v>
      </c>
      <c r="EC286" s="22" t="s">
        <v>218</v>
      </c>
      <c r="ED286" s="22" t="s">
        <v>218</v>
      </c>
      <c r="EE286" s="22" t="s">
        <v>218</v>
      </c>
      <c r="EF286" s="22" t="s">
        <v>218</v>
      </c>
      <c r="EG286" s="22" t="s">
        <v>218</v>
      </c>
      <c r="EH286" s="22" t="s">
        <v>218</v>
      </c>
      <c r="EI286" s="22" t="s">
        <v>218</v>
      </c>
      <c r="EJ286" s="22" t="s">
        <v>218</v>
      </c>
      <c r="EK286" s="22" t="s">
        <v>218</v>
      </c>
      <c r="EL286" s="22" t="s">
        <v>218</v>
      </c>
      <c r="EM286" s="22" t="s">
        <v>218</v>
      </c>
      <c r="EN286" s="22" t="s">
        <v>218</v>
      </c>
      <c r="EO286" s="22" t="s">
        <v>218</v>
      </c>
      <c r="EP286" s="22" t="s">
        <v>218</v>
      </c>
      <c r="EQ286" s="22" t="s">
        <v>218</v>
      </c>
      <c r="ER286" s="22" t="s">
        <v>218</v>
      </c>
      <c r="ES286" s="22">
        <v>78</v>
      </c>
      <c r="ET286" s="22">
        <v>78</v>
      </c>
      <c r="EU286" s="22">
        <v>77</v>
      </c>
      <c r="EV286" s="22">
        <v>76</v>
      </c>
      <c r="EW286" s="22">
        <v>78</v>
      </c>
      <c r="EX286" s="22">
        <v>78</v>
      </c>
      <c r="EY286" s="22" t="s">
        <v>218</v>
      </c>
      <c r="EZ286" s="22" t="s">
        <v>218</v>
      </c>
      <c r="FA286" s="22" t="s">
        <v>218</v>
      </c>
      <c r="FB286" s="22" t="s">
        <v>218</v>
      </c>
      <c r="FC286" s="22" t="s">
        <v>218</v>
      </c>
      <c r="FD286" s="22" t="s">
        <v>218</v>
      </c>
      <c r="FE286" s="22" t="s">
        <v>218</v>
      </c>
      <c r="FF286" s="22">
        <v>3.8</v>
      </c>
      <c r="FG286" s="22">
        <v>5.9</v>
      </c>
      <c r="FH286" s="22">
        <v>5.7</v>
      </c>
      <c r="FI286" s="22" t="s">
        <v>218</v>
      </c>
      <c r="FJ286" s="22" t="s">
        <v>218</v>
      </c>
      <c r="FK286" s="22" t="s">
        <v>218</v>
      </c>
      <c r="FL286" s="22" t="s">
        <v>218</v>
      </c>
      <c r="FM286" s="22" t="s">
        <v>218</v>
      </c>
      <c r="FN286" s="22" t="s">
        <v>218</v>
      </c>
      <c r="FO286" s="22" t="s">
        <v>218</v>
      </c>
      <c r="FP286" s="22" t="s">
        <v>218</v>
      </c>
      <c r="FQ286" s="22" t="s">
        <v>218</v>
      </c>
      <c r="FR286" s="22" t="s">
        <v>218</v>
      </c>
      <c r="FS286" s="22" t="s">
        <v>218</v>
      </c>
      <c r="FT286" s="22" t="s">
        <v>218</v>
      </c>
      <c r="FU286" s="22" t="s">
        <v>218</v>
      </c>
      <c r="FV286" s="22" t="s">
        <v>218</v>
      </c>
      <c r="FW286" s="22" t="s">
        <v>218</v>
      </c>
      <c r="FX286" s="22" t="s">
        <v>218</v>
      </c>
      <c r="FY286" s="22" t="s">
        <v>218</v>
      </c>
      <c r="FZ286" s="22" t="s">
        <v>218</v>
      </c>
      <c r="GA286" s="22">
        <v>6.7</v>
      </c>
      <c r="GB286" s="22">
        <v>2.6</v>
      </c>
      <c r="GC286" s="22">
        <v>22.1</v>
      </c>
      <c r="GD286" s="22">
        <v>34.799999999999997</v>
      </c>
      <c r="GE286" s="22">
        <v>4.3</v>
      </c>
      <c r="GF286" s="22">
        <v>0.4</v>
      </c>
      <c r="GG286" s="22" t="s">
        <v>218</v>
      </c>
      <c r="GH286" s="22" t="s">
        <v>218</v>
      </c>
      <c r="GI286" s="22" t="s">
        <v>218</v>
      </c>
      <c r="GJ286" s="22" t="s">
        <v>218</v>
      </c>
      <c r="GK286" s="22" t="s">
        <v>218</v>
      </c>
      <c r="GL286" s="22" t="s">
        <v>218</v>
      </c>
      <c r="GM286" s="22" t="s">
        <v>218</v>
      </c>
      <c r="GN286" s="22">
        <v>2016</v>
      </c>
      <c r="GO286" s="22">
        <v>2016</v>
      </c>
      <c r="GP286" s="22">
        <v>2016</v>
      </c>
      <c r="GQ286" s="22" t="s">
        <v>218</v>
      </c>
      <c r="GR286" s="22" t="s">
        <v>218</v>
      </c>
      <c r="GS286" s="22" t="s">
        <v>218</v>
      </c>
      <c r="GT286" s="22" t="s">
        <v>218</v>
      </c>
      <c r="GU286" s="22" t="s">
        <v>218</v>
      </c>
      <c r="GV286" s="22" t="s">
        <v>218</v>
      </c>
      <c r="GW286" s="22" t="s">
        <v>218</v>
      </c>
      <c r="GX286" s="22" t="s">
        <v>218</v>
      </c>
      <c r="GY286" s="22" t="s">
        <v>218</v>
      </c>
      <c r="GZ286" s="22" t="s">
        <v>218</v>
      </c>
      <c r="HA286" s="22" t="s">
        <v>218</v>
      </c>
      <c r="HB286" s="22" t="s">
        <v>218</v>
      </c>
      <c r="HC286" s="22" t="s">
        <v>218</v>
      </c>
      <c r="HD286" s="22" t="s">
        <v>218</v>
      </c>
      <c r="HE286" s="22" t="s">
        <v>218</v>
      </c>
      <c r="HF286" s="22" t="s">
        <v>218</v>
      </c>
      <c r="HG286" s="22" t="s">
        <v>218</v>
      </c>
      <c r="HH286" s="22" t="s">
        <v>218</v>
      </c>
      <c r="HI286" s="22">
        <v>2016</v>
      </c>
      <c r="HJ286" s="22">
        <v>2016</v>
      </c>
      <c r="HK286" s="22">
        <v>2016</v>
      </c>
      <c r="HL286" s="22">
        <v>2016</v>
      </c>
      <c r="HM286" s="860"/>
      <c r="HN286" s="860"/>
      <c r="HO286" s="860"/>
      <c r="HP286" s="860"/>
      <c r="HQ286" s="860"/>
      <c r="HR286" s="860"/>
      <c r="HS286" s="860"/>
      <c r="HT286" s="145"/>
      <c r="HU286" s="145" t="s">
        <v>1809</v>
      </c>
      <c r="HV286" s="22" t="s">
        <v>1989</v>
      </c>
      <c r="HW286" s="22" t="s">
        <v>755</v>
      </c>
      <c r="HX286" s="22" t="s">
        <v>750</v>
      </c>
      <c r="HY286" s="22" t="s">
        <v>751</v>
      </c>
      <c r="HZ286" s="19"/>
      <c r="IA286" s="19"/>
      <c r="IB286" s="621">
        <f>'background data'!$G$10</f>
        <v>0.47300000000000003</v>
      </c>
      <c r="IC286" s="621">
        <f>'background data'!$H$10</f>
        <v>0.13</v>
      </c>
      <c r="ID286" s="621">
        <f>'background data'!$J$10</f>
        <v>0.39100000000000001</v>
      </c>
      <c r="IE286" s="621">
        <f>'background data'!$L$10</f>
        <v>5.5E-2</v>
      </c>
      <c r="IF286" s="621">
        <f>'background data'!$M$10</f>
        <v>3.97</v>
      </c>
      <c r="IG286" s="621">
        <f>'background data'!$N$10</f>
        <v>4.5999999999999999E-3</v>
      </c>
      <c r="IH286" s="621">
        <f>'background data'!$O$10</f>
        <v>2.73</v>
      </c>
      <c r="II286" s="145"/>
      <c r="IJ286" s="145"/>
      <c r="IK286" s="145"/>
      <c r="IL286" s="145"/>
      <c r="IM286" s="145"/>
      <c r="IN286" s="145"/>
      <c r="IO286" s="145"/>
      <c r="IP286" s="145"/>
      <c r="IQ286" s="145"/>
      <c r="IR286" s="145"/>
      <c r="IS286" s="145"/>
      <c r="IT286" s="145"/>
      <c r="IU286" s="145"/>
      <c r="IV286" s="145"/>
      <c r="IW286" s="145"/>
      <c r="IX286" s="145"/>
      <c r="IY286" s="145"/>
      <c r="IZ286" s="145"/>
      <c r="JA286" s="145"/>
      <c r="JB286" s="145"/>
      <c r="JC286" s="145"/>
      <c r="JD286" s="145"/>
      <c r="JE286" s="145"/>
      <c r="JF286" s="145"/>
      <c r="JG286" s="145"/>
      <c r="JH286" s="145"/>
      <c r="JI286" s="145"/>
      <c r="JJ286" s="145"/>
      <c r="JK286" s="145"/>
      <c r="JL286" s="145"/>
      <c r="JM286" s="145"/>
      <c r="JN286" s="145"/>
      <c r="JO286" s="145"/>
      <c r="JP286" s="145"/>
      <c r="JQ286" s="145"/>
      <c r="JR286" s="145"/>
      <c r="JS286" s="145"/>
      <c r="JT286" s="145"/>
      <c r="JU286" s="145"/>
      <c r="JV286" s="145"/>
      <c r="JW286" s="145"/>
      <c r="JX286" s="145"/>
      <c r="JY286" s="145"/>
      <c r="JZ286" s="145"/>
      <c r="KA286" s="145"/>
      <c r="KB286" s="145"/>
      <c r="KC286" s="145"/>
      <c r="KD286" s="145"/>
      <c r="KE286" s="145"/>
      <c r="KF286" s="145"/>
      <c r="KG286" s="145"/>
      <c r="KH286" s="145"/>
      <c r="KI286" s="145"/>
      <c r="KJ286" s="145"/>
      <c r="KK286" s="145"/>
      <c r="KL286" s="145"/>
      <c r="KM286" s="145"/>
      <c r="KN286" s="145"/>
      <c r="KO286" s="145"/>
      <c r="KP286" s="145"/>
      <c r="KQ286" s="145"/>
      <c r="KR286" s="145"/>
      <c r="KS286" s="145"/>
      <c r="KT286" s="145"/>
      <c r="KU286" s="145"/>
      <c r="KV286" s="145"/>
      <c r="KW286" s="145"/>
      <c r="KX286" s="145"/>
      <c r="KY286" s="145"/>
      <c r="KZ286" s="145"/>
      <c r="LA286" s="145"/>
      <c r="LB286" s="145"/>
      <c r="LC286" s="145"/>
      <c r="LD286" s="145"/>
      <c r="LE286" s="145"/>
      <c r="LF286" s="145"/>
      <c r="LG286" s="145"/>
      <c r="LH286" s="145"/>
      <c r="LI286" s="145"/>
      <c r="LJ286" s="145"/>
      <c r="LK286" s="145"/>
      <c r="LL286" s="145"/>
      <c r="LM286" s="145"/>
      <c r="LN286" s="145"/>
      <c r="LO286" s="145"/>
      <c r="LP286" s="145"/>
      <c r="LQ286" s="145"/>
      <c r="LR286" s="145"/>
      <c r="LS286" s="145"/>
      <c r="LT286" s="145"/>
      <c r="LU286" s="145"/>
      <c r="LV286" s="145"/>
      <c r="LW286" s="145"/>
      <c r="LX286" s="145"/>
      <c r="LY286" s="145"/>
      <c r="LZ286" s="145"/>
      <c r="MA286" s="145"/>
      <c r="MB286" s="145"/>
      <c r="MC286" s="145"/>
      <c r="MD286" s="145"/>
      <c r="ME286" s="145"/>
      <c r="MF286" s="145"/>
      <c r="MG286" s="145"/>
      <c r="MH286" s="145"/>
      <c r="MI286" s="145"/>
      <c r="MJ286" s="145"/>
      <c r="MK286" s="145"/>
      <c r="ML286" s="145"/>
      <c r="MM286" s="145"/>
      <c r="MN286" s="145"/>
      <c r="MO286" s="145"/>
      <c r="MP286" s="145"/>
      <c r="MQ286" s="145"/>
      <c r="MR286" s="145"/>
      <c r="MS286" s="145"/>
      <c r="MT286" s="145"/>
      <c r="MU286" s="145"/>
      <c r="MV286" s="145"/>
      <c r="MW286" s="145"/>
      <c r="MX286" s="145"/>
      <c r="MY286" s="145"/>
      <c r="MZ286" s="145"/>
      <c r="NA286" s="145"/>
      <c r="NB286" s="145"/>
      <c r="NC286" s="145"/>
      <c r="ND286" s="145"/>
      <c r="NE286" s="145"/>
      <c r="NF286" s="145"/>
      <c r="NG286" s="145"/>
      <c r="NH286" s="145"/>
      <c r="NI286" s="145"/>
      <c r="NJ286" s="145"/>
      <c r="NK286" s="145"/>
      <c r="NL286" s="145"/>
      <c r="NM286" s="145"/>
      <c r="NN286" s="145"/>
      <c r="NO286" s="145"/>
      <c r="NP286" s="145"/>
      <c r="NQ286" s="145"/>
      <c r="NR286" s="145"/>
      <c r="NS286" s="145"/>
    </row>
    <row r="287" spans="1:383" s="16" customFormat="1" ht="15" customHeight="1" x14ac:dyDescent="0.2">
      <c r="A287" s="15">
        <v>77009</v>
      </c>
      <c r="B287" s="25">
        <v>770</v>
      </c>
      <c r="C287" s="26">
        <v>9</v>
      </c>
      <c r="D287" s="20" t="s">
        <v>756</v>
      </c>
      <c r="E287" s="14">
        <v>42691</v>
      </c>
      <c r="F287" s="18">
        <v>7.0958841882875004E-2</v>
      </c>
      <c r="G287" s="18">
        <v>6.8273555785973494E-2</v>
      </c>
      <c r="H287" s="21">
        <v>99</v>
      </c>
      <c r="I287" s="21">
        <v>98</v>
      </c>
      <c r="J287" s="21">
        <v>98</v>
      </c>
      <c r="K287" s="18">
        <v>0.86</v>
      </c>
      <c r="L287" s="18">
        <v>5.77</v>
      </c>
      <c r="M287" s="18">
        <v>0.79625999999999997</v>
      </c>
      <c r="N287" s="18">
        <v>0.13270999999999999</v>
      </c>
      <c r="O287" s="18">
        <v>0.49741381299999998</v>
      </c>
      <c r="P287" s="18">
        <v>0</v>
      </c>
      <c r="Q287" s="19"/>
      <c r="R287" s="18">
        <v>85</v>
      </c>
      <c r="S287" s="18">
        <v>50</v>
      </c>
      <c r="T287" s="18">
        <v>50</v>
      </c>
      <c r="U287" s="18">
        <v>50</v>
      </c>
      <c r="V287" s="18">
        <v>50</v>
      </c>
      <c r="W287" s="18">
        <v>50</v>
      </c>
      <c r="X287" s="18"/>
      <c r="Y287" s="18">
        <v>7.2</v>
      </c>
      <c r="Z287" s="18">
        <v>7.3</v>
      </c>
      <c r="AA287" s="18">
        <v>6.8</v>
      </c>
      <c r="AB287" s="18">
        <v>17.200000000000003</v>
      </c>
      <c r="AC287" s="18">
        <v>25.5</v>
      </c>
      <c r="AD287" s="18">
        <v>1.3</v>
      </c>
      <c r="AE287" s="18">
        <v>0</v>
      </c>
      <c r="AF287" s="18">
        <v>92.000000000000014</v>
      </c>
      <c r="AG287" s="18">
        <v>22.000000000000004</v>
      </c>
      <c r="AH287" s="18">
        <v>3</v>
      </c>
      <c r="AI287" s="18">
        <v>17.000000000000004</v>
      </c>
      <c r="AJ287" s="18">
        <v>0</v>
      </c>
      <c r="AK287" s="18">
        <v>0.05</v>
      </c>
      <c r="AL287" s="18"/>
      <c r="AM287" s="18">
        <v>6.1</v>
      </c>
      <c r="AN287" s="18">
        <v>1.5</v>
      </c>
      <c r="AO287" s="18">
        <v>2</v>
      </c>
      <c r="AP287" s="18">
        <v>5.4</v>
      </c>
      <c r="AQ287" s="18">
        <v>1.1000000000000001</v>
      </c>
      <c r="AR287" s="18">
        <v>5.7</v>
      </c>
      <c r="AS287" s="18">
        <v>8.1</v>
      </c>
      <c r="AT287" s="18">
        <v>1.2</v>
      </c>
      <c r="AU287" s="18">
        <v>2.6</v>
      </c>
      <c r="AV287" s="18">
        <v>2</v>
      </c>
      <c r="AW287" s="18">
        <v>5</v>
      </c>
      <c r="AX287" s="18"/>
      <c r="AY287" s="18">
        <v>0.89</v>
      </c>
      <c r="AZ287" s="18">
        <v>1.06</v>
      </c>
      <c r="BA287" s="18">
        <v>1.04</v>
      </c>
      <c r="BB287" s="18">
        <v>1.01</v>
      </c>
      <c r="BC287" s="18">
        <v>1.08</v>
      </c>
      <c r="BD287" s="18">
        <v>1.05</v>
      </c>
      <c r="BE287" s="18">
        <v>1.0900000000000001</v>
      </c>
      <c r="BF287" s="18">
        <v>1.05</v>
      </c>
      <c r="BG287" s="18">
        <v>1.02</v>
      </c>
      <c r="BH287" s="18">
        <v>1.1200000000000001</v>
      </c>
      <c r="BI287" s="18">
        <v>1.05</v>
      </c>
      <c r="BJ287" s="19"/>
      <c r="BK287" s="18">
        <v>13.799999999999999</v>
      </c>
      <c r="BL287" s="18">
        <v>2.2999999999999998</v>
      </c>
      <c r="BM287" s="18">
        <v>8.6206900000000015</v>
      </c>
      <c r="BN287" s="18">
        <v>0</v>
      </c>
      <c r="BO287" s="18"/>
      <c r="BP287" s="18">
        <v>34</v>
      </c>
      <c r="BQ287" s="18">
        <v>7.8200000000000012</v>
      </c>
      <c r="BR287" s="18">
        <v>1.2297892873981804</v>
      </c>
      <c r="BS287" s="18">
        <v>1.1832505335524004</v>
      </c>
      <c r="BT287" s="19"/>
      <c r="BU287" s="18">
        <v>913.79310000000009</v>
      </c>
      <c r="BV287" s="18">
        <v>743.71098185714402</v>
      </c>
      <c r="BW287" s="18">
        <v>13.054187142857106</v>
      </c>
      <c r="BX287" s="18">
        <v>0</v>
      </c>
      <c r="BY287" s="18" t="s">
        <v>217</v>
      </c>
      <c r="BZ287" s="18">
        <v>0</v>
      </c>
      <c r="CA287" s="18">
        <v>0</v>
      </c>
      <c r="CB287" s="19"/>
      <c r="CC287" s="19">
        <v>0.41543999999999998</v>
      </c>
      <c r="CD287" s="19">
        <v>0.42120999999999997</v>
      </c>
      <c r="CE287" s="19">
        <v>0.39235999999999993</v>
      </c>
      <c r="CF287" s="19">
        <v>0.9924400000000001</v>
      </c>
      <c r="CG287" s="19">
        <v>1.4713499999999999</v>
      </c>
      <c r="CH287" s="19">
        <v>7.5009999999999993E-2</v>
      </c>
      <c r="CI287" s="19">
        <v>0</v>
      </c>
      <c r="CJ287" s="19"/>
      <c r="CK287" s="19">
        <v>5.3084000000000007</v>
      </c>
      <c r="CL287" s="19">
        <v>1.2694000000000001</v>
      </c>
      <c r="CM287" s="19">
        <v>0.17309999999999998</v>
      </c>
      <c r="CN287" s="19">
        <v>0.98090000000000011</v>
      </c>
      <c r="CO287" s="19">
        <v>0</v>
      </c>
      <c r="CP287" s="19">
        <v>2.885E-3</v>
      </c>
      <c r="CQ287" s="19">
        <v>6.7682099999999998</v>
      </c>
      <c r="CR287" s="19">
        <v>95.382193683087991</v>
      </c>
      <c r="CS287" s="19">
        <v>5.1782992950548472</v>
      </c>
      <c r="CT287" s="19">
        <v>1.516576879561099</v>
      </c>
      <c r="CU287" s="19">
        <v>1.9839496286082303</v>
      </c>
      <c r="CV287" s="19">
        <v>3.5005265081693295</v>
      </c>
      <c r="CW287" s="19">
        <v>5.2021448434756188</v>
      </c>
      <c r="CX287" s="19">
        <v>1.1331404609550855</v>
      </c>
      <c r="CY287" s="19">
        <v>5.7086242919328161</v>
      </c>
      <c r="CZ287" s="19">
        <v>8.4212938802798387</v>
      </c>
      <c r="DA287" s="19">
        <v>1.2018156404069087</v>
      </c>
      <c r="DB287" s="19">
        <v>2.5295357764754938</v>
      </c>
      <c r="DC287" s="19">
        <v>2.1365611385011709</v>
      </c>
      <c r="DD287" s="19">
        <v>4.6660969149766647</v>
      </c>
      <c r="DE287" s="19">
        <v>5.0075651683621203</v>
      </c>
      <c r="DF287" s="23">
        <v>0</v>
      </c>
      <c r="DG287" s="23">
        <v>0</v>
      </c>
      <c r="DH287" s="23">
        <v>0</v>
      </c>
      <c r="DI287" s="19">
        <v>0</v>
      </c>
      <c r="DJ287" s="19">
        <v>0</v>
      </c>
      <c r="DK287" s="19">
        <v>0</v>
      </c>
      <c r="DL287" s="19">
        <v>0</v>
      </c>
      <c r="DM287" s="19">
        <v>0</v>
      </c>
      <c r="DN287" s="19">
        <v>0</v>
      </c>
      <c r="DO287" s="19">
        <v>0</v>
      </c>
      <c r="DP287" s="19">
        <v>0</v>
      </c>
      <c r="DQ287" s="19">
        <v>0</v>
      </c>
      <c r="DR287" s="19">
        <v>0</v>
      </c>
      <c r="DS287" s="19">
        <v>0</v>
      </c>
      <c r="DT287" s="19">
        <v>0</v>
      </c>
      <c r="DU287" s="19">
        <v>0</v>
      </c>
      <c r="DV287" s="19">
        <v>0</v>
      </c>
      <c r="DW287" s="17" t="s">
        <v>748</v>
      </c>
      <c r="DX287" s="22">
        <v>12</v>
      </c>
      <c r="DY287" s="22">
        <v>12</v>
      </c>
      <c r="DZ287" s="22">
        <v>12</v>
      </c>
      <c r="EA287" s="22" t="s">
        <v>218</v>
      </c>
      <c r="EB287" s="22" t="s">
        <v>218</v>
      </c>
      <c r="EC287" s="22" t="s">
        <v>218</v>
      </c>
      <c r="ED287" s="22" t="s">
        <v>218</v>
      </c>
      <c r="EE287" s="22" t="s">
        <v>218</v>
      </c>
      <c r="EF287" s="22" t="s">
        <v>218</v>
      </c>
      <c r="EG287" s="22" t="s">
        <v>218</v>
      </c>
      <c r="EH287" s="22" t="s">
        <v>218</v>
      </c>
      <c r="EI287" s="22" t="s">
        <v>218</v>
      </c>
      <c r="EJ287" s="22" t="s">
        <v>218</v>
      </c>
      <c r="EK287" s="22" t="s">
        <v>218</v>
      </c>
      <c r="EL287" s="22" t="s">
        <v>218</v>
      </c>
      <c r="EM287" s="22" t="s">
        <v>218</v>
      </c>
      <c r="EN287" s="22" t="s">
        <v>218</v>
      </c>
      <c r="EO287" s="22" t="s">
        <v>218</v>
      </c>
      <c r="EP287" s="22" t="s">
        <v>218</v>
      </c>
      <c r="EQ287" s="22" t="s">
        <v>218</v>
      </c>
      <c r="ER287" s="22" t="s">
        <v>218</v>
      </c>
      <c r="ES287" s="22">
        <v>12</v>
      </c>
      <c r="ET287" s="22">
        <v>12</v>
      </c>
      <c r="EU287" s="22">
        <v>12</v>
      </c>
      <c r="EV287" s="22">
        <v>12</v>
      </c>
      <c r="EW287" s="22">
        <v>12</v>
      </c>
      <c r="EX287" s="22">
        <v>12</v>
      </c>
      <c r="EY287" s="22" t="s">
        <v>218</v>
      </c>
      <c r="EZ287" s="22" t="s">
        <v>218</v>
      </c>
      <c r="FA287" s="22" t="s">
        <v>218</v>
      </c>
      <c r="FB287" s="22" t="s">
        <v>218</v>
      </c>
      <c r="FC287" s="22" t="s">
        <v>218</v>
      </c>
      <c r="FD287" s="22" t="s">
        <v>218</v>
      </c>
      <c r="FE287" s="22" t="s">
        <v>218</v>
      </c>
      <c r="FF287" s="22">
        <v>0.7</v>
      </c>
      <c r="FG287" s="22">
        <v>1</v>
      </c>
      <c r="FH287" s="22">
        <v>1.9</v>
      </c>
      <c r="FI287" s="22" t="s">
        <v>218</v>
      </c>
      <c r="FJ287" s="22" t="s">
        <v>218</v>
      </c>
      <c r="FK287" s="22" t="s">
        <v>218</v>
      </c>
      <c r="FL287" s="22" t="s">
        <v>218</v>
      </c>
      <c r="FM287" s="22" t="s">
        <v>218</v>
      </c>
      <c r="FN287" s="22" t="s">
        <v>218</v>
      </c>
      <c r="FO287" s="22" t="s">
        <v>218</v>
      </c>
      <c r="FP287" s="22" t="s">
        <v>218</v>
      </c>
      <c r="FQ287" s="22" t="s">
        <v>218</v>
      </c>
      <c r="FR287" s="22" t="s">
        <v>218</v>
      </c>
      <c r="FS287" s="22" t="s">
        <v>218</v>
      </c>
      <c r="FT287" s="22" t="s">
        <v>218</v>
      </c>
      <c r="FU287" s="22" t="s">
        <v>218</v>
      </c>
      <c r="FV287" s="22" t="s">
        <v>218</v>
      </c>
      <c r="FW287" s="22" t="s">
        <v>218</v>
      </c>
      <c r="FX287" s="22" t="s">
        <v>218</v>
      </c>
      <c r="FY287" s="22" t="s">
        <v>218</v>
      </c>
      <c r="FZ287" s="22" t="s">
        <v>218</v>
      </c>
      <c r="GA287" s="22">
        <v>0.9</v>
      </c>
      <c r="GB287" s="22">
        <v>0.2</v>
      </c>
      <c r="GC287" s="22">
        <v>1.5</v>
      </c>
      <c r="GD287" s="22">
        <v>5.5</v>
      </c>
      <c r="GE287" s="22">
        <v>3.3</v>
      </c>
      <c r="GF287" s="22">
        <v>0.1</v>
      </c>
      <c r="GG287" s="22" t="s">
        <v>218</v>
      </c>
      <c r="GH287" s="22" t="s">
        <v>218</v>
      </c>
      <c r="GI287" s="22" t="s">
        <v>218</v>
      </c>
      <c r="GJ287" s="22" t="s">
        <v>218</v>
      </c>
      <c r="GK287" s="22" t="s">
        <v>218</v>
      </c>
      <c r="GL287" s="22" t="s">
        <v>218</v>
      </c>
      <c r="GM287" s="22" t="s">
        <v>218</v>
      </c>
      <c r="GN287" s="22">
        <v>2013</v>
      </c>
      <c r="GO287" s="22">
        <v>2013</v>
      </c>
      <c r="GP287" s="22">
        <v>2013</v>
      </c>
      <c r="GQ287" s="22" t="s">
        <v>218</v>
      </c>
      <c r="GR287" s="22" t="s">
        <v>218</v>
      </c>
      <c r="GS287" s="22" t="s">
        <v>218</v>
      </c>
      <c r="GT287" s="22" t="s">
        <v>218</v>
      </c>
      <c r="GU287" s="22" t="s">
        <v>218</v>
      </c>
      <c r="GV287" s="22" t="s">
        <v>218</v>
      </c>
      <c r="GW287" s="22" t="s">
        <v>218</v>
      </c>
      <c r="GX287" s="22" t="s">
        <v>218</v>
      </c>
      <c r="GY287" s="22" t="s">
        <v>218</v>
      </c>
      <c r="GZ287" s="22" t="s">
        <v>218</v>
      </c>
      <c r="HA287" s="22" t="s">
        <v>218</v>
      </c>
      <c r="HB287" s="22" t="s">
        <v>218</v>
      </c>
      <c r="HC287" s="22" t="s">
        <v>218</v>
      </c>
      <c r="HD287" s="22" t="s">
        <v>218</v>
      </c>
      <c r="HE287" s="22" t="s">
        <v>218</v>
      </c>
      <c r="HF287" s="22" t="s">
        <v>218</v>
      </c>
      <c r="HG287" s="22" t="s">
        <v>218</v>
      </c>
      <c r="HH287" s="22" t="s">
        <v>218</v>
      </c>
      <c r="HI287" s="22">
        <v>2013</v>
      </c>
      <c r="HJ287" s="22">
        <v>2013</v>
      </c>
      <c r="HK287" s="22">
        <v>2013</v>
      </c>
      <c r="HL287" s="22">
        <v>2013</v>
      </c>
      <c r="HM287" s="860"/>
      <c r="HN287" s="860"/>
      <c r="HO287" s="860"/>
      <c r="HP287" s="860"/>
      <c r="HQ287" s="860"/>
      <c r="HR287" s="860"/>
      <c r="HS287" s="860"/>
      <c r="HT287" s="145"/>
      <c r="HU287" s="145" t="s">
        <v>1809</v>
      </c>
      <c r="HV287" s="22" t="s">
        <v>1989</v>
      </c>
      <c r="HW287" s="22" t="s">
        <v>753</v>
      </c>
      <c r="HX287" s="22" t="s">
        <v>750</v>
      </c>
      <c r="HY287" s="22" t="s">
        <v>751</v>
      </c>
      <c r="HZ287" s="19"/>
      <c r="IA287" s="19"/>
      <c r="IB287" s="621">
        <f>'background data'!$G$10</f>
        <v>0.47300000000000003</v>
      </c>
      <c r="IC287" s="621">
        <f>'background data'!$H$10</f>
        <v>0.13</v>
      </c>
      <c r="ID287" s="621">
        <f>'background data'!$J$10</f>
        <v>0.39100000000000001</v>
      </c>
      <c r="IE287" s="621">
        <f>'background data'!$L$10</f>
        <v>5.5E-2</v>
      </c>
      <c r="IF287" s="621">
        <f>'background data'!$M$10</f>
        <v>3.97</v>
      </c>
      <c r="IG287" s="621">
        <f>'background data'!$N$10</f>
        <v>4.5999999999999999E-3</v>
      </c>
      <c r="IH287" s="621">
        <f>'background data'!$O$10</f>
        <v>2.73</v>
      </c>
      <c r="II287" s="145"/>
      <c r="IJ287" s="145"/>
      <c r="IK287" s="145"/>
      <c r="IL287" s="145"/>
      <c r="IM287" s="145"/>
      <c r="IN287" s="145"/>
      <c r="IO287" s="145"/>
      <c r="IP287" s="145"/>
      <c r="IQ287" s="145"/>
      <c r="IR287" s="145"/>
      <c r="IS287" s="145"/>
      <c r="IT287" s="145"/>
      <c r="IU287" s="145"/>
      <c r="IV287" s="145"/>
      <c r="IW287" s="145"/>
      <c r="IX287" s="145"/>
      <c r="IY287" s="145"/>
      <c r="IZ287" s="145"/>
      <c r="JA287" s="145"/>
      <c r="JB287" s="145"/>
      <c r="JC287" s="145"/>
      <c r="JD287" s="145"/>
      <c r="JE287" s="145"/>
      <c r="JF287" s="145"/>
      <c r="JG287" s="145"/>
      <c r="JH287" s="145"/>
      <c r="JI287" s="145"/>
      <c r="JJ287" s="145"/>
      <c r="JK287" s="145"/>
      <c r="JL287" s="145"/>
      <c r="JM287" s="145"/>
      <c r="JN287" s="145"/>
      <c r="JO287" s="145"/>
      <c r="JP287" s="145"/>
      <c r="JQ287" s="145"/>
      <c r="JR287" s="145"/>
      <c r="JS287" s="145"/>
      <c r="JT287" s="145"/>
      <c r="JU287" s="145"/>
      <c r="JV287" s="145"/>
      <c r="JW287" s="145"/>
      <c r="JX287" s="145"/>
      <c r="JY287" s="145"/>
      <c r="JZ287" s="145"/>
      <c r="KA287" s="145"/>
      <c r="KB287" s="145"/>
      <c r="KC287" s="145"/>
      <c r="KD287" s="145"/>
      <c r="KE287" s="145"/>
      <c r="KF287" s="145"/>
      <c r="KG287" s="145"/>
      <c r="KH287" s="145"/>
      <c r="KI287" s="145"/>
      <c r="KJ287" s="145"/>
      <c r="KK287" s="145"/>
      <c r="KL287" s="145"/>
      <c r="KM287" s="145"/>
      <c r="KN287" s="145"/>
      <c r="KO287" s="145"/>
      <c r="KP287" s="145"/>
      <c r="KQ287" s="145"/>
      <c r="KR287" s="145"/>
      <c r="KS287" s="145"/>
      <c r="KT287" s="145"/>
      <c r="KU287" s="145"/>
      <c r="KV287" s="145"/>
      <c r="KW287" s="145"/>
      <c r="KX287" s="145"/>
      <c r="KY287" s="145"/>
      <c r="KZ287" s="145"/>
      <c r="LA287" s="145"/>
      <c r="LB287" s="145"/>
      <c r="LC287" s="145"/>
      <c r="LD287" s="145"/>
      <c r="LE287" s="145"/>
      <c r="LF287" s="145"/>
      <c r="LG287" s="145"/>
      <c r="LH287" s="145"/>
      <c r="LI287" s="145"/>
      <c r="LJ287" s="145"/>
      <c r="LK287" s="145"/>
      <c r="LL287" s="145"/>
      <c r="LM287" s="145"/>
      <c r="LN287" s="145"/>
      <c r="LO287" s="145"/>
      <c r="LP287" s="145"/>
      <c r="LQ287" s="145"/>
      <c r="LR287" s="145"/>
      <c r="LS287" s="145"/>
      <c r="LT287" s="145"/>
      <c r="LU287" s="145"/>
      <c r="LV287" s="145"/>
      <c r="LW287" s="145"/>
      <c r="LX287" s="145"/>
      <c r="LY287" s="145"/>
      <c r="LZ287" s="145"/>
      <c r="MA287" s="145"/>
      <c r="MB287" s="145"/>
      <c r="MC287" s="145"/>
      <c r="MD287" s="145"/>
      <c r="ME287" s="145"/>
      <c r="MF287" s="145"/>
      <c r="MG287" s="145"/>
      <c r="MH287" s="145"/>
      <c r="MI287" s="145"/>
      <c r="MJ287" s="145"/>
      <c r="MK287" s="145"/>
      <c r="ML287" s="145"/>
      <c r="MM287" s="145"/>
      <c r="MN287" s="145"/>
      <c r="MO287" s="145"/>
      <c r="MP287" s="145"/>
      <c r="MQ287" s="145"/>
      <c r="MR287" s="145"/>
      <c r="MS287" s="145"/>
      <c r="MT287" s="145"/>
      <c r="MU287" s="145"/>
      <c r="MV287" s="145"/>
      <c r="MW287" s="145"/>
      <c r="MX287" s="145"/>
      <c r="MY287" s="145"/>
      <c r="MZ287" s="145"/>
      <c r="NA287" s="145"/>
      <c r="NB287" s="145"/>
      <c r="NC287" s="145"/>
      <c r="ND287" s="145"/>
      <c r="NE287" s="145"/>
      <c r="NF287" s="145"/>
      <c r="NG287" s="145"/>
      <c r="NH287" s="145"/>
      <c r="NI287" s="145"/>
      <c r="NJ287" s="145"/>
      <c r="NK287" s="145"/>
      <c r="NL287" s="145"/>
      <c r="NM287" s="145"/>
      <c r="NN287" s="145"/>
      <c r="NO287" s="145"/>
      <c r="NP287" s="145"/>
      <c r="NQ287" s="145"/>
      <c r="NR287" s="145"/>
      <c r="NS287" s="145"/>
    </row>
    <row r="288" spans="1:383" s="16" customFormat="1" ht="15" customHeight="1" x14ac:dyDescent="0.2">
      <c r="A288" s="15">
        <v>77001</v>
      </c>
      <c r="B288" s="25">
        <v>770</v>
      </c>
      <c r="C288" s="26">
        <v>1</v>
      </c>
      <c r="D288" s="20" t="s">
        <v>757</v>
      </c>
      <c r="E288" s="14">
        <v>42691</v>
      </c>
      <c r="F288" s="18">
        <v>4.3868820398313101E-2</v>
      </c>
      <c r="G288" s="18">
        <v>4.2208370246413301E-2</v>
      </c>
      <c r="H288" s="21">
        <v>99</v>
      </c>
      <c r="I288" s="21">
        <v>98</v>
      </c>
      <c r="J288" s="21">
        <v>98</v>
      </c>
      <c r="K288" s="18">
        <v>0.86</v>
      </c>
      <c r="L288" s="18">
        <v>3.56</v>
      </c>
      <c r="M288" s="18">
        <v>0.74048000000000003</v>
      </c>
      <c r="N288" s="18">
        <v>0.11036</v>
      </c>
      <c r="O288" s="18">
        <v>0.30689656399999998</v>
      </c>
      <c r="P288" s="18">
        <v>0</v>
      </c>
      <c r="Q288" s="19"/>
      <c r="R288" s="18">
        <v>85</v>
      </c>
      <c r="S288" s="18">
        <v>50</v>
      </c>
      <c r="T288" s="18">
        <v>50</v>
      </c>
      <c r="U288" s="18">
        <v>50</v>
      </c>
      <c r="V288" s="18">
        <v>50</v>
      </c>
      <c r="W288" s="18">
        <v>50</v>
      </c>
      <c r="X288" s="18"/>
      <c r="Y288" s="18">
        <v>11.5</v>
      </c>
      <c r="Z288" s="18">
        <v>9</v>
      </c>
      <c r="AA288" s="18">
        <v>7.7999999999999989</v>
      </c>
      <c r="AB288" s="18">
        <v>9.2999999999999989</v>
      </c>
      <c r="AC288" s="18">
        <v>26.700000000000003</v>
      </c>
      <c r="AD288" s="18">
        <v>1.7999999999999998</v>
      </c>
      <c r="AE288" s="18">
        <v>0</v>
      </c>
      <c r="AF288" s="18">
        <v>92</v>
      </c>
      <c r="AG288" s="18">
        <v>22</v>
      </c>
      <c r="AH288" s="18">
        <v>3</v>
      </c>
      <c r="AI288" s="18">
        <v>17</v>
      </c>
      <c r="AJ288" s="18">
        <v>0</v>
      </c>
      <c r="AK288" s="18">
        <v>4.9999999999999996E-2</v>
      </c>
      <c r="AL288" s="18"/>
      <c r="AM288" s="18">
        <v>6.1</v>
      </c>
      <c r="AN288" s="18">
        <v>1.5</v>
      </c>
      <c r="AO288" s="18">
        <v>2</v>
      </c>
      <c r="AP288" s="18">
        <v>5.4</v>
      </c>
      <c r="AQ288" s="18">
        <v>1.1000000000000001</v>
      </c>
      <c r="AR288" s="18">
        <v>5.7</v>
      </c>
      <c r="AS288" s="18">
        <v>8.1</v>
      </c>
      <c r="AT288" s="18">
        <v>1.2</v>
      </c>
      <c r="AU288" s="18">
        <v>2.6</v>
      </c>
      <c r="AV288" s="18">
        <v>2</v>
      </c>
      <c r="AW288" s="18">
        <v>5</v>
      </c>
      <c r="AX288" s="18"/>
      <c r="AY288" s="18">
        <v>0.89</v>
      </c>
      <c r="AZ288" s="18">
        <v>1.06</v>
      </c>
      <c r="BA288" s="18">
        <v>1.04</v>
      </c>
      <c r="BB288" s="18">
        <v>1.01</v>
      </c>
      <c r="BC288" s="18">
        <v>1.08</v>
      </c>
      <c r="BD288" s="18">
        <v>1.05</v>
      </c>
      <c r="BE288" s="18">
        <v>1.0900000000000001</v>
      </c>
      <c r="BF288" s="18">
        <v>1.05</v>
      </c>
      <c r="BG288" s="18">
        <v>1.02</v>
      </c>
      <c r="BH288" s="18">
        <v>1.1200000000000001</v>
      </c>
      <c r="BI288" s="18">
        <v>1.05</v>
      </c>
      <c r="BJ288" s="19"/>
      <c r="BK288" s="18">
        <v>20.8</v>
      </c>
      <c r="BL288" s="18">
        <v>3.0999999999999996</v>
      </c>
      <c r="BM288" s="18">
        <v>8.6206899999999997</v>
      </c>
      <c r="BN288" s="18">
        <v>0</v>
      </c>
      <c r="BO288" s="18"/>
      <c r="BP288" s="18">
        <v>34</v>
      </c>
      <c r="BQ288" s="18">
        <v>10.54</v>
      </c>
      <c r="BR288" s="18">
        <v>1.2322702359076712</v>
      </c>
      <c r="BS288" s="18">
        <v>1.1856283777082388</v>
      </c>
      <c r="BT288" s="19"/>
      <c r="BU288" s="18">
        <v>913.79309999999998</v>
      </c>
      <c r="BV288" s="18">
        <v>672.25098185714319</v>
      </c>
      <c r="BW288" s="18">
        <v>13.054187142857106</v>
      </c>
      <c r="BX288" s="18">
        <v>0</v>
      </c>
      <c r="BY288" s="18" t="s">
        <v>217</v>
      </c>
      <c r="BZ288" s="18">
        <v>0</v>
      </c>
      <c r="CA288" s="18">
        <v>0</v>
      </c>
      <c r="CB288" s="19"/>
      <c r="CC288" s="19">
        <v>0.40939999999999999</v>
      </c>
      <c r="CD288" s="19">
        <v>0.32040000000000002</v>
      </c>
      <c r="CE288" s="19">
        <v>0.27767999999999998</v>
      </c>
      <c r="CF288" s="19">
        <v>0.33107999999999999</v>
      </c>
      <c r="CG288" s="19">
        <v>0.95052000000000014</v>
      </c>
      <c r="CH288" s="19">
        <v>6.4079999999999998E-2</v>
      </c>
      <c r="CI288" s="19">
        <v>0</v>
      </c>
      <c r="CJ288" s="19"/>
      <c r="CK288" s="19">
        <v>3.2751999999999999</v>
      </c>
      <c r="CL288" s="19">
        <v>0.78320000000000001</v>
      </c>
      <c r="CM288" s="19">
        <v>0.10680000000000001</v>
      </c>
      <c r="CN288" s="19">
        <v>0.60519999999999996</v>
      </c>
      <c r="CO288" s="19">
        <v>0</v>
      </c>
      <c r="CP288" s="19">
        <v>1.7799999999999999E-3</v>
      </c>
      <c r="CQ288" s="19">
        <v>6.2940800000000001</v>
      </c>
      <c r="CR288" s="19">
        <v>143.47502264369132</v>
      </c>
      <c r="CS288" s="19">
        <v>7.7892589793260019</v>
      </c>
      <c r="CT288" s="19">
        <v>2.2812528600346922</v>
      </c>
      <c r="CU288" s="19">
        <v>2.9842804709887796</v>
      </c>
      <c r="CV288" s="19">
        <v>5.2655333310234713</v>
      </c>
      <c r="CW288" s="19">
        <v>7.8251277349869248</v>
      </c>
      <c r="CX288" s="19">
        <v>1.704483269007053</v>
      </c>
      <c r="CY288" s="19">
        <v>8.5869801052249262</v>
      </c>
      <c r="CZ288" s="19">
        <v>12.667409749211506</v>
      </c>
      <c r="DA288" s="19">
        <v>1.8077852853105105</v>
      </c>
      <c r="DB288" s="19">
        <v>3.804957600510694</v>
      </c>
      <c r="DC288" s="19">
        <v>3.2138405072186855</v>
      </c>
      <c r="DD288" s="19">
        <v>7.0187981077293795</v>
      </c>
      <c r="DE288" s="19">
        <v>7.5324386887937944</v>
      </c>
      <c r="DF288" s="23">
        <v>0</v>
      </c>
      <c r="DG288" s="23">
        <v>0</v>
      </c>
      <c r="DH288" s="23">
        <v>0</v>
      </c>
      <c r="DI288" s="19">
        <v>0</v>
      </c>
      <c r="DJ288" s="19">
        <v>0</v>
      </c>
      <c r="DK288" s="19">
        <v>0</v>
      </c>
      <c r="DL288" s="19">
        <v>0</v>
      </c>
      <c r="DM288" s="19">
        <v>0</v>
      </c>
      <c r="DN288" s="19">
        <v>0</v>
      </c>
      <c r="DO288" s="19">
        <v>0</v>
      </c>
      <c r="DP288" s="19">
        <v>0</v>
      </c>
      <c r="DQ288" s="19">
        <v>0</v>
      </c>
      <c r="DR288" s="19">
        <v>0</v>
      </c>
      <c r="DS288" s="19">
        <v>0</v>
      </c>
      <c r="DT288" s="19">
        <v>0</v>
      </c>
      <c r="DU288" s="19">
        <v>0</v>
      </c>
      <c r="DV288" s="19">
        <v>0</v>
      </c>
      <c r="DW288" s="17" t="s">
        <v>748</v>
      </c>
      <c r="DX288" s="22">
        <v>13</v>
      </c>
      <c r="DY288" s="22">
        <v>13</v>
      </c>
      <c r="DZ288" s="22">
        <v>13</v>
      </c>
      <c r="EA288" s="22" t="s">
        <v>218</v>
      </c>
      <c r="EB288" s="22" t="s">
        <v>218</v>
      </c>
      <c r="EC288" s="22" t="s">
        <v>218</v>
      </c>
      <c r="ED288" s="22" t="s">
        <v>218</v>
      </c>
      <c r="EE288" s="22" t="s">
        <v>218</v>
      </c>
      <c r="EF288" s="22" t="s">
        <v>218</v>
      </c>
      <c r="EG288" s="22" t="s">
        <v>218</v>
      </c>
      <c r="EH288" s="22" t="s">
        <v>218</v>
      </c>
      <c r="EI288" s="22" t="s">
        <v>218</v>
      </c>
      <c r="EJ288" s="22" t="s">
        <v>218</v>
      </c>
      <c r="EK288" s="22" t="s">
        <v>218</v>
      </c>
      <c r="EL288" s="22" t="s">
        <v>218</v>
      </c>
      <c r="EM288" s="22" t="s">
        <v>218</v>
      </c>
      <c r="EN288" s="22" t="s">
        <v>218</v>
      </c>
      <c r="EO288" s="22" t="s">
        <v>218</v>
      </c>
      <c r="EP288" s="22" t="s">
        <v>218</v>
      </c>
      <c r="EQ288" s="22" t="s">
        <v>218</v>
      </c>
      <c r="ER288" s="22" t="s">
        <v>218</v>
      </c>
      <c r="ES288" s="22">
        <v>13</v>
      </c>
      <c r="ET288" s="22">
        <v>13</v>
      </c>
      <c r="EU288" s="22">
        <v>13</v>
      </c>
      <c r="EV288" s="22">
        <v>13</v>
      </c>
      <c r="EW288" s="22">
        <v>13</v>
      </c>
      <c r="EX288" s="22">
        <v>13</v>
      </c>
      <c r="EY288" s="22" t="s">
        <v>218</v>
      </c>
      <c r="EZ288" s="22" t="s">
        <v>218</v>
      </c>
      <c r="FA288" s="22" t="s">
        <v>218</v>
      </c>
      <c r="FB288" s="22" t="s">
        <v>218</v>
      </c>
      <c r="FC288" s="22" t="s">
        <v>218</v>
      </c>
      <c r="FD288" s="22" t="s">
        <v>218</v>
      </c>
      <c r="FE288" s="22" t="s">
        <v>218</v>
      </c>
      <c r="FF288" s="22">
        <v>0.3</v>
      </c>
      <c r="FG288" s="22">
        <v>1.9</v>
      </c>
      <c r="FH288" s="22">
        <v>1</v>
      </c>
      <c r="FI288" s="22" t="s">
        <v>218</v>
      </c>
      <c r="FJ288" s="22" t="s">
        <v>218</v>
      </c>
      <c r="FK288" s="22" t="s">
        <v>218</v>
      </c>
      <c r="FL288" s="22" t="s">
        <v>218</v>
      </c>
      <c r="FM288" s="22" t="s">
        <v>218</v>
      </c>
      <c r="FN288" s="22" t="s">
        <v>218</v>
      </c>
      <c r="FO288" s="22" t="s">
        <v>218</v>
      </c>
      <c r="FP288" s="22" t="s">
        <v>218</v>
      </c>
      <c r="FQ288" s="22" t="s">
        <v>218</v>
      </c>
      <c r="FR288" s="22" t="s">
        <v>218</v>
      </c>
      <c r="FS288" s="22" t="s">
        <v>218</v>
      </c>
      <c r="FT288" s="22" t="s">
        <v>218</v>
      </c>
      <c r="FU288" s="22" t="s">
        <v>218</v>
      </c>
      <c r="FV288" s="22" t="s">
        <v>218</v>
      </c>
      <c r="FW288" s="22" t="s">
        <v>218</v>
      </c>
      <c r="FX288" s="22" t="s">
        <v>218</v>
      </c>
      <c r="FY288" s="22" t="s">
        <v>218</v>
      </c>
      <c r="FZ288" s="22" t="s">
        <v>218</v>
      </c>
      <c r="GA288" s="22">
        <v>1.5</v>
      </c>
      <c r="GB288" s="22">
        <v>0.9</v>
      </c>
      <c r="GC288" s="22">
        <v>1.8</v>
      </c>
      <c r="GD288" s="22">
        <v>9.1999999999999993</v>
      </c>
      <c r="GE288" s="22">
        <v>3</v>
      </c>
      <c r="GF288" s="22">
        <v>0.2</v>
      </c>
      <c r="GG288" s="22" t="s">
        <v>218</v>
      </c>
      <c r="GH288" s="22" t="s">
        <v>218</v>
      </c>
      <c r="GI288" s="22" t="s">
        <v>218</v>
      </c>
      <c r="GJ288" s="22" t="s">
        <v>218</v>
      </c>
      <c r="GK288" s="22" t="s">
        <v>218</v>
      </c>
      <c r="GL288" s="22" t="s">
        <v>218</v>
      </c>
      <c r="GM288" s="22" t="s">
        <v>218</v>
      </c>
      <c r="GN288" s="22">
        <v>2016</v>
      </c>
      <c r="GO288" s="22">
        <v>2016</v>
      </c>
      <c r="GP288" s="22">
        <v>2016</v>
      </c>
      <c r="GQ288" s="22" t="s">
        <v>218</v>
      </c>
      <c r="GR288" s="22" t="s">
        <v>218</v>
      </c>
      <c r="GS288" s="22" t="s">
        <v>218</v>
      </c>
      <c r="GT288" s="22" t="s">
        <v>218</v>
      </c>
      <c r="GU288" s="22" t="s">
        <v>218</v>
      </c>
      <c r="GV288" s="22" t="s">
        <v>218</v>
      </c>
      <c r="GW288" s="22" t="s">
        <v>218</v>
      </c>
      <c r="GX288" s="22" t="s">
        <v>218</v>
      </c>
      <c r="GY288" s="22" t="s">
        <v>218</v>
      </c>
      <c r="GZ288" s="22" t="s">
        <v>218</v>
      </c>
      <c r="HA288" s="22" t="s">
        <v>218</v>
      </c>
      <c r="HB288" s="22" t="s">
        <v>218</v>
      </c>
      <c r="HC288" s="22" t="s">
        <v>218</v>
      </c>
      <c r="HD288" s="22" t="s">
        <v>218</v>
      </c>
      <c r="HE288" s="22" t="s">
        <v>218</v>
      </c>
      <c r="HF288" s="22" t="s">
        <v>218</v>
      </c>
      <c r="HG288" s="22" t="s">
        <v>218</v>
      </c>
      <c r="HH288" s="22" t="s">
        <v>218</v>
      </c>
      <c r="HI288" s="22">
        <v>2016</v>
      </c>
      <c r="HJ288" s="22">
        <v>2016</v>
      </c>
      <c r="HK288" s="22">
        <v>2016</v>
      </c>
      <c r="HL288" s="22">
        <v>2016</v>
      </c>
      <c r="HM288" s="860"/>
      <c r="HN288" s="860"/>
      <c r="HO288" s="860"/>
      <c r="HP288" s="860"/>
      <c r="HQ288" s="860"/>
      <c r="HR288" s="860"/>
      <c r="HS288" s="860"/>
      <c r="HT288" s="145"/>
      <c r="HU288" s="145" t="s">
        <v>1809</v>
      </c>
      <c r="HV288" s="22" t="s">
        <v>1989</v>
      </c>
      <c r="HW288" s="22" t="s">
        <v>753</v>
      </c>
      <c r="HX288" s="22" t="s">
        <v>750</v>
      </c>
      <c r="HY288" s="22" t="s">
        <v>751</v>
      </c>
      <c r="HZ288" s="19"/>
      <c r="IA288" s="19"/>
      <c r="IB288" s="621">
        <f>'background data'!$G$10</f>
        <v>0.47300000000000003</v>
      </c>
      <c r="IC288" s="621">
        <f>'background data'!$H$10</f>
        <v>0.13</v>
      </c>
      <c r="ID288" s="621">
        <f>'background data'!$J$10</f>
        <v>0.39100000000000001</v>
      </c>
      <c r="IE288" s="621">
        <f>'background data'!$L$10</f>
        <v>5.5E-2</v>
      </c>
      <c r="IF288" s="621">
        <f>'background data'!$M$10</f>
        <v>3.97</v>
      </c>
      <c r="IG288" s="621">
        <f>'background data'!$N$10</f>
        <v>4.5999999999999999E-3</v>
      </c>
      <c r="IH288" s="621">
        <f>'background data'!$O$10</f>
        <v>2.73</v>
      </c>
      <c r="II288" s="145"/>
      <c r="IJ288" s="145"/>
      <c r="IK288" s="145"/>
      <c r="IL288" s="145"/>
      <c r="IM288" s="145"/>
      <c r="IN288" s="145"/>
      <c r="IO288" s="145"/>
      <c r="IP288" s="145"/>
      <c r="IQ288" s="145"/>
      <c r="IR288" s="145"/>
      <c r="IS288" s="145"/>
      <c r="IT288" s="145"/>
      <c r="IU288" s="145"/>
      <c r="IV288" s="145"/>
      <c r="IW288" s="145"/>
      <c r="IX288" s="145"/>
      <c r="IY288" s="145"/>
      <c r="IZ288" s="145"/>
      <c r="JA288" s="145"/>
      <c r="JB288" s="145"/>
      <c r="JC288" s="145"/>
      <c r="JD288" s="145"/>
      <c r="JE288" s="145"/>
      <c r="JF288" s="145"/>
      <c r="JG288" s="145"/>
      <c r="JH288" s="145"/>
      <c r="JI288" s="145"/>
      <c r="JJ288" s="145"/>
      <c r="JK288" s="145"/>
      <c r="JL288" s="145"/>
      <c r="JM288" s="145"/>
      <c r="JN288" s="145"/>
      <c r="JO288" s="145"/>
      <c r="JP288" s="145"/>
      <c r="JQ288" s="145"/>
      <c r="JR288" s="145"/>
      <c r="JS288" s="145"/>
      <c r="JT288" s="145"/>
      <c r="JU288" s="145"/>
      <c r="JV288" s="145"/>
      <c r="JW288" s="145"/>
      <c r="JX288" s="145"/>
      <c r="JY288" s="145"/>
      <c r="JZ288" s="145"/>
      <c r="KA288" s="145"/>
      <c r="KB288" s="145"/>
      <c r="KC288" s="145"/>
      <c r="KD288" s="145"/>
      <c r="KE288" s="145"/>
      <c r="KF288" s="145"/>
      <c r="KG288" s="145"/>
      <c r="KH288" s="145"/>
      <c r="KI288" s="145"/>
      <c r="KJ288" s="145"/>
      <c r="KK288" s="145"/>
      <c r="KL288" s="145"/>
      <c r="KM288" s="145"/>
      <c r="KN288" s="145"/>
      <c r="KO288" s="145"/>
      <c r="KP288" s="145"/>
      <c r="KQ288" s="145"/>
      <c r="KR288" s="145"/>
      <c r="KS288" s="145"/>
      <c r="KT288" s="145"/>
      <c r="KU288" s="145"/>
      <c r="KV288" s="145"/>
      <c r="KW288" s="145"/>
      <c r="KX288" s="145"/>
      <c r="KY288" s="145"/>
      <c r="KZ288" s="145"/>
      <c r="LA288" s="145"/>
      <c r="LB288" s="145"/>
      <c r="LC288" s="145"/>
      <c r="LD288" s="145"/>
      <c r="LE288" s="145"/>
      <c r="LF288" s="145"/>
      <c r="LG288" s="145"/>
      <c r="LH288" s="145"/>
      <c r="LI288" s="145"/>
      <c r="LJ288" s="145"/>
      <c r="LK288" s="145"/>
      <c r="LL288" s="145"/>
      <c r="LM288" s="145"/>
      <c r="LN288" s="145"/>
      <c r="LO288" s="145"/>
      <c r="LP288" s="145"/>
      <c r="LQ288" s="145"/>
      <c r="LR288" s="145"/>
      <c r="LS288" s="145"/>
      <c r="LT288" s="145"/>
      <c r="LU288" s="145"/>
      <c r="LV288" s="145"/>
      <c r="LW288" s="145"/>
      <c r="LX288" s="145"/>
      <c r="LY288" s="145"/>
      <c r="LZ288" s="145"/>
      <c r="MA288" s="145"/>
      <c r="MB288" s="145"/>
      <c r="MC288" s="145"/>
      <c r="MD288" s="145"/>
      <c r="ME288" s="145"/>
      <c r="MF288" s="145"/>
      <c r="MG288" s="145"/>
      <c r="MH288" s="145"/>
      <c r="MI288" s="145"/>
      <c r="MJ288" s="145"/>
      <c r="MK288" s="145"/>
      <c r="ML288" s="145"/>
      <c r="MM288" s="145"/>
      <c r="MN288" s="145"/>
      <c r="MO288" s="145"/>
      <c r="MP288" s="145"/>
      <c r="MQ288" s="145"/>
      <c r="MR288" s="145"/>
      <c r="MS288" s="145"/>
      <c r="MT288" s="145"/>
      <c r="MU288" s="145"/>
      <c r="MV288" s="145"/>
      <c r="MW288" s="145"/>
      <c r="MX288" s="145"/>
      <c r="MY288" s="145"/>
      <c r="MZ288" s="145"/>
      <c r="NA288" s="145"/>
      <c r="NB288" s="145"/>
      <c r="NC288" s="145"/>
      <c r="ND288" s="145"/>
      <c r="NE288" s="145"/>
      <c r="NF288" s="145"/>
      <c r="NG288" s="145"/>
      <c r="NH288" s="145"/>
      <c r="NI288" s="145"/>
      <c r="NJ288" s="145"/>
      <c r="NK288" s="145"/>
      <c r="NL288" s="145"/>
      <c r="NM288" s="145"/>
      <c r="NN288" s="145"/>
      <c r="NO288" s="145"/>
      <c r="NP288" s="145"/>
      <c r="NQ288" s="145"/>
      <c r="NR288" s="145"/>
      <c r="NS288" s="145"/>
    </row>
    <row r="289" spans="1:383" s="16" customFormat="1" ht="15" customHeight="1" x14ac:dyDescent="0.2">
      <c r="A289" s="15">
        <v>77450</v>
      </c>
      <c r="B289" s="25">
        <v>774</v>
      </c>
      <c r="C289" s="26">
        <v>50</v>
      </c>
      <c r="D289" s="20" t="s">
        <v>758</v>
      </c>
      <c r="E289" s="14">
        <v>42691</v>
      </c>
      <c r="F289" s="18">
        <v>0.17772054148257899</v>
      </c>
      <c r="G289" s="18">
        <v>0.17100756265658601</v>
      </c>
      <c r="H289" s="21">
        <v>99</v>
      </c>
      <c r="I289" s="21">
        <v>98</v>
      </c>
      <c r="J289" s="21">
        <v>98</v>
      </c>
      <c r="K289" s="18">
        <v>0.86</v>
      </c>
      <c r="L289" s="18">
        <v>14.95</v>
      </c>
      <c r="M289" s="18">
        <v>0.62790000000000001</v>
      </c>
      <c r="N289" s="18">
        <v>4.4850000000000001E-2</v>
      </c>
      <c r="O289" s="18">
        <v>1.4950000000000001</v>
      </c>
      <c r="P289" s="18">
        <v>0</v>
      </c>
      <c r="Q289" s="19"/>
      <c r="R289" s="18">
        <v>76</v>
      </c>
      <c r="S289" s="18">
        <v>50</v>
      </c>
      <c r="T289" s="18">
        <v>50</v>
      </c>
      <c r="U289" s="18">
        <v>50</v>
      </c>
      <c r="V289" s="18">
        <v>50</v>
      </c>
      <c r="W289" s="18">
        <v>50</v>
      </c>
      <c r="X289" s="18"/>
      <c r="Y289" s="18">
        <v>7.7</v>
      </c>
      <c r="Z289" s="18">
        <v>5.7</v>
      </c>
      <c r="AA289" s="18">
        <v>19</v>
      </c>
      <c r="AB289" s="18">
        <v>48.199999999999996</v>
      </c>
      <c r="AC289" s="18">
        <v>27.299999999999997</v>
      </c>
      <c r="AD289" s="18">
        <v>1.5000000000000002</v>
      </c>
      <c r="AE289" s="18">
        <v>0</v>
      </c>
      <c r="AF289" s="18">
        <v>11.000000000000002</v>
      </c>
      <c r="AG289" s="18">
        <v>2</v>
      </c>
      <c r="AH289" s="18">
        <v>0</v>
      </c>
      <c r="AI289" s="18">
        <v>6.0000000000000009</v>
      </c>
      <c r="AJ289" s="18">
        <v>0</v>
      </c>
      <c r="AK289" s="18">
        <v>0</v>
      </c>
      <c r="AL289" s="18"/>
      <c r="AM289" s="18">
        <v>3.6</v>
      </c>
      <c r="AN289" s="18">
        <v>0.7</v>
      </c>
      <c r="AO289" s="18">
        <v>0</v>
      </c>
      <c r="AP289" s="18">
        <v>2.4</v>
      </c>
      <c r="AQ289" s="18">
        <v>0.7</v>
      </c>
      <c r="AR289" s="18">
        <v>2</v>
      </c>
      <c r="AS289" s="18">
        <v>4.4000000000000004</v>
      </c>
      <c r="AT289" s="18">
        <v>1.1000000000000001</v>
      </c>
      <c r="AU289" s="18">
        <v>1.5</v>
      </c>
      <c r="AV289" s="18">
        <v>1.7</v>
      </c>
      <c r="AW289" s="18">
        <v>1.7</v>
      </c>
      <c r="AX289" s="18"/>
      <c r="AY289" s="18">
        <v>0.89</v>
      </c>
      <c r="AZ289" s="18">
        <v>1.06</v>
      </c>
      <c r="BA289" s="18">
        <v>1.04</v>
      </c>
      <c r="BB289" s="18">
        <v>1.01</v>
      </c>
      <c r="BC289" s="18">
        <v>1.08</v>
      </c>
      <c r="BD289" s="18">
        <v>1.05</v>
      </c>
      <c r="BE289" s="18">
        <v>1.0900000000000001</v>
      </c>
      <c r="BF289" s="18">
        <v>1.05</v>
      </c>
      <c r="BG289" s="18">
        <v>1.02</v>
      </c>
      <c r="BH289" s="18">
        <v>1.1200000000000001</v>
      </c>
      <c r="BI289" s="18">
        <v>1.05</v>
      </c>
      <c r="BJ289" s="19"/>
      <c r="BK289" s="18">
        <v>4.2</v>
      </c>
      <c r="BL289" s="18">
        <v>0.30000000000000004</v>
      </c>
      <c r="BM289" s="18">
        <v>10</v>
      </c>
      <c r="BN289" s="18">
        <v>0</v>
      </c>
      <c r="BO289" s="18"/>
      <c r="BP289" s="18">
        <v>34</v>
      </c>
      <c r="BQ289" s="18">
        <v>1.02</v>
      </c>
      <c r="BR289" s="18">
        <v>1.1887661637630702</v>
      </c>
      <c r="BS289" s="18">
        <v>1.1438632953617793</v>
      </c>
      <c r="BT289" s="19"/>
      <c r="BU289" s="18">
        <v>900.00000000000011</v>
      </c>
      <c r="BV289" s="18">
        <v>837.01285714285621</v>
      </c>
      <c r="BW289" s="18">
        <v>12.857142857142877</v>
      </c>
      <c r="BX289" s="18">
        <v>0</v>
      </c>
      <c r="BY289" s="18" t="s">
        <v>217</v>
      </c>
      <c r="BZ289" s="18">
        <v>0</v>
      </c>
      <c r="CA289" s="18">
        <v>0</v>
      </c>
      <c r="CB289" s="19"/>
      <c r="CC289" s="19">
        <v>1.1511499999999999</v>
      </c>
      <c r="CD289" s="19">
        <v>0.85214999999999996</v>
      </c>
      <c r="CE289" s="19">
        <v>2.8405</v>
      </c>
      <c r="CF289" s="19">
        <v>7.2058999999999989</v>
      </c>
      <c r="CG289" s="19">
        <v>4.0813499999999996</v>
      </c>
      <c r="CH289" s="19">
        <v>0.22425000000000003</v>
      </c>
      <c r="CI289" s="19">
        <v>0</v>
      </c>
      <c r="CJ289" s="19"/>
      <c r="CK289" s="19">
        <v>1.6445000000000003</v>
      </c>
      <c r="CL289" s="19">
        <v>0.29899999999999999</v>
      </c>
      <c r="CM289" s="19">
        <v>0</v>
      </c>
      <c r="CN289" s="19">
        <v>0.89700000000000013</v>
      </c>
      <c r="CO289" s="19">
        <v>0</v>
      </c>
      <c r="CP289" s="19">
        <v>0</v>
      </c>
      <c r="CQ289" s="19">
        <v>4.7720399999999996</v>
      </c>
      <c r="CR289" s="19">
        <v>26.851369910257546</v>
      </c>
      <c r="CS289" s="19">
        <v>0.86031789192465191</v>
      </c>
      <c r="CT289" s="19">
        <v>0.19923716473411102</v>
      </c>
      <c r="CU289" s="19">
        <v>0</v>
      </c>
      <c r="CV289" s="19">
        <v>0.19923716473411102</v>
      </c>
      <c r="CW289" s="19">
        <v>0.65087720662464299</v>
      </c>
      <c r="CX289" s="19">
        <v>0.20299635652154707</v>
      </c>
      <c r="CY289" s="19">
        <v>0.56387876811540849</v>
      </c>
      <c r="CZ289" s="19">
        <v>1.2877917008959521</v>
      </c>
      <c r="DA289" s="19">
        <v>0.31013332246347469</v>
      </c>
      <c r="DB289" s="19">
        <v>0.41082595962694052</v>
      </c>
      <c r="DC289" s="19">
        <v>0.51125008309130371</v>
      </c>
      <c r="DD289" s="19">
        <v>0.92207604271824428</v>
      </c>
      <c r="DE289" s="19">
        <v>0.47929695289809726</v>
      </c>
      <c r="DF289" s="23">
        <v>0</v>
      </c>
      <c r="DG289" s="23">
        <v>0</v>
      </c>
      <c r="DH289" s="23">
        <v>0</v>
      </c>
      <c r="DI289" s="19">
        <v>0</v>
      </c>
      <c r="DJ289" s="19">
        <v>0</v>
      </c>
      <c r="DK289" s="19">
        <v>0</v>
      </c>
      <c r="DL289" s="19">
        <v>0</v>
      </c>
      <c r="DM289" s="19">
        <v>0</v>
      </c>
      <c r="DN289" s="19">
        <v>0</v>
      </c>
      <c r="DO289" s="19">
        <v>0</v>
      </c>
      <c r="DP289" s="19">
        <v>0</v>
      </c>
      <c r="DQ289" s="19">
        <v>0</v>
      </c>
      <c r="DR289" s="19">
        <v>0</v>
      </c>
      <c r="DS289" s="19">
        <v>0</v>
      </c>
      <c r="DT289" s="19">
        <v>0</v>
      </c>
      <c r="DU289" s="19">
        <v>0</v>
      </c>
      <c r="DV289" s="19">
        <v>0</v>
      </c>
      <c r="DW289" s="17" t="s">
        <v>748</v>
      </c>
      <c r="DX289" s="22">
        <v>13</v>
      </c>
      <c r="DY289" s="22">
        <v>13</v>
      </c>
      <c r="DZ289" s="22">
        <v>13</v>
      </c>
      <c r="EA289" s="22" t="s">
        <v>218</v>
      </c>
      <c r="EB289" s="22" t="s">
        <v>218</v>
      </c>
      <c r="EC289" s="22" t="s">
        <v>218</v>
      </c>
      <c r="ED289" s="22" t="s">
        <v>218</v>
      </c>
      <c r="EE289" s="22" t="s">
        <v>218</v>
      </c>
      <c r="EF289" s="22" t="s">
        <v>218</v>
      </c>
      <c r="EG289" s="22" t="s">
        <v>218</v>
      </c>
      <c r="EH289" s="22" t="s">
        <v>218</v>
      </c>
      <c r="EI289" s="22" t="s">
        <v>218</v>
      </c>
      <c r="EJ289" s="22" t="s">
        <v>218</v>
      </c>
      <c r="EK289" s="22" t="s">
        <v>218</v>
      </c>
      <c r="EL289" s="22" t="s">
        <v>218</v>
      </c>
      <c r="EM289" s="22" t="s">
        <v>218</v>
      </c>
      <c r="EN289" s="22" t="s">
        <v>218</v>
      </c>
      <c r="EO289" s="22" t="s">
        <v>218</v>
      </c>
      <c r="EP289" s="22" t="s">
        <v>218</v>
      </c>
      <c r="EQ289" s="22" t="s">
        <v>218</v>
      </c>
      <c r="ER289" s="22" t="s">
        <v>218</v>
      </c>
      <c r="ES289" s="22">
        <v>13</v>
      </c>
      <c r="ET289" s="22">
        <v>13</v>
      </c>
      <c r="EU289" s="22">
        <v>13</v>
      </c>
      <c r="EV289" s="22">
        <v>13</v>
      </c>
      <c r="EW289" s="22">
        <v>13</v>
      </c>
      <c r="EX289" s="22">
        <v>13</v>
      </c>
      <c r="EY289" s="22" t="s">
        <v>218</v>
      </c>
      <c r="EZ289" s="22" t="s">
        <v>218</v>
      </c>
      <c r="FA289" s="22" t="s">
        <v>218</v>
      </c>
      <c r="FB289" s="22" t="s">
        <v>218</v>
      </c>
      <c r="FC289" s="22" t="s">
        <v>218</v>
      </c>
      <c r="FD289" s="22" t="s">
        <v>218</v>
      </c>
      <c r="FE289" s="22" t="s">
        <v>218</v>
      </c>
      <c r="FF289" s="22">
        <v>0.3</v>
      </c>
      <c r="FG289" s="22">
        <v>0.5</v>
      </c>
      <c r="FH289" s="22">
        <v>0.1</v>
      </c>
      <c r="FI289" s="22" t="s">
        <v>218</v>
      </c>
      <c r="FJ289" s="22" t="s">
        <v>218</v>
      </c>
      <c r="FK289" s="22" t="s">
        <v>218</v>
      </c>
      <c r="FL289" s="22" t="s">
        <v>218</v>
      </c>
      <c r="FM289" s="22" t="s">
        <v>218</v>
      </c>
      <c r="FN289" s="22" t="s">
        <v>218</v>
      </c>
      <c r="FO289" s="22" t="s">
        <v>218</v>
      </c>
      <c r="FP289" s="22" t="s">
        <v>218</v>
      </c>
      <c r="FQ289" s="22" t="s">
        <v>218</v>
      </c>
      <c r="FR289" s="22" t="s">
        <v>218</v>
      </c>
      <c r="FS289" s="22" t="s">
        <v>218</v>
      </c>
      <c r="FT289" s="22" t="s">
        <v>218</v>
      </c>
      <c r="FU289" s="22" t="s">
        <v>218</v>
      </c>
      <c r="FV289" s="22" t="s">
        <v>218</v>
      </c>
      <c r="FW289" s="22" t="s">
        <v>218</v>
      </c>
      <c r="FX289" s="22" t="s">
        <v>218</v>
      </c>
      <c r="FY289" s="22" t="s">
        <v>218</v>
      </c>
      <c r="FZ289" s="22" t="s">
        <v>218</v>
      </c>
      <c r="GA289" s="22">
        <v>7</v>
      </c>
      <c r="GB289" s="22">
        <v>3.6</v>
      </c>
      <c r="GC289" s="22">
        <v>6.2</v>
      </c>
      <c r="GD289" s="22">
        <v>13.6</v>
      </c>
      <c r="GE289" s="22">
        <v>2.6</v>
      </c>
      <c r="GF289" s="22">
        <v>0.2</v>
      </c>
      <c r="GG289" s="22" t="s">
        <v>218</v>
      </c>
      <c r="GH289" s="22" t="s">
        <v>218</v>
      </c>
      <c r="GI289" s="22" t="s">
        <v>218</v>
      </c>
      <c r="GJ289" s="22" t="s">
        <v>218</v>
      </c>
      <c r="GK289" s="22" t="s">
        <v>218</v>
      </c>
      <c r="GL289" s="22" t="s">
        <v>218</v>
      </c>
      <c r="GM289" s="22" t="s">
        <v>218</v>
      </c>
      <c r="GN289" s="22">
        <v>2016</v>
      </c>
      <c r="GO289" s="22">
        <v>2016</v>
      </c>
      <c r="GP289" s="22">
        <v>2016</v>
      </c>
      <c r="GQ289" s="22" t="s">
        <v>218</v>
      </c>
      <c r="GR289" s="22" t="s">
        <v>218</v>
      </c>
      <c r="GS289" s="22" t="s">
        <v>218</v>
      </c>
      <c r="GT289" s="22" t="s">
        <v>218</v>
      </c>
      <c r="GU289" s="22" t="s">
        <v>218</v>
      </c>
      <c r="GV289" s="22" t="s">
        <v>218</v>
      </c>
      <c r="GW289" s="22" t="s">
        <v>218</v>
      </c>
      <c r="GX289" s="22" t="s">
        <v>218</v>
      </c>
      <c r="GY289" s="22" t="s">
        <v>218</v>
      </c>
      <c r="GZ289" s="22" t="s">
        <v>218</v>
      </c>
      <c r="HA289" s="22" t="s">
        <v>218</v>
      </c>
      <c r="HB289" s="22" t="s">
        <v>218</v>
      </c>
      <c r="HC289" s="22" t="s">
        <v>218</v>
      </c>
      <c r="HD289" s="22" t="s">
        <v>218</v>
      </c>
      <c r="HE289" s="22" t="s">
        <v>218</v>
      </c>
      <c r="HF289" s="22" t="s">
        <v>218</v>
      </c>
      <c r="HG289" s="22" t="s">
        <v>218</v>
      </c>
      <c r="HH289" s="22" t="s">
        <v>218</v>
      </c>
      <c r="HI289" s="22">
        <v>2016</v>
      </c>
      <c r="HJ289" s="22">
        <v>2016</v>
      </c>
      <c r="HK289" s="22">
        <v>2016</v>
      </c>
      <c r="HL289" s="22">
        <v>2016</v>
      </c>
      <c r="HM289" s="860"/>
      <c r="HN289" s="860"/>
      <c r="HO289" s="860"/>
      <c r="HP289" s="860"/>
      <c r="HQ289" s="860"/>
      <c r="HR289" s="860"/>
      <c r="HS289" s="860"/>
      <c r="HT289" s="145"/>
      <c r="HU289" s="145" t="s">
        <v>1809</v>
      </c>
      <c r="HV289" s="22" t="s">
        <v>1989</v>
      </c>
      <c r="HW289" s="22" t="s">
        <v>759</v>
      </c>
      <c r="HX289" s="22" t="s">
        <v>750</v>
      </c>
      <c r="HY289" s="22" t="s">
        <v>751</v>
      </c>
      <c r="HZ289" s="19"/>
      <c r="IA289" s="19"/>
      <c r="IB289" s="621">
        <f>'background data'!$G$10</f>
        <v>0.47300000000000003</v>
      </c>
      <c r="IC289" s="621">
        <f>'background data'!$H$10</f>
        <v>0.13</v>
      </c>
      <c r="ID289" s="621">
        <f>'background data'!$J$10</f>
        <v>0.39100000000000001</v>
      </c>
      <c r="IE289" s="621">
        <f>'background data'!$L$10</f>
        <v>5.5E-2</v>
      </c>
      <c r="IF289" s="621">
        <f>'background data'!$M$10</f>
        <v>3.97</v>
      </c>
      <c r="IG289" s="621">
        <f>'background data'!$N$10</f>
        <v>4.5999999999999999E-3</v>
      </c>
      <c r="IH289" s="621">
        <f>'background data'!$O$10</f>
        <v>2.73</v>
      </c>
      <c r="II289" s="145"/>
      <c r="IJ289" s="145"/>
      <c r="IK289" s="145"/>
      <c r="IL289" s="145"/>
      <c r="IM289" s="145"/>
      <c r="IN289" s="145"/>
      <c r="IO289" s="145"/>
      <c r="IP289" s="145"/>
      <c r="IQ289" s="145"/>
      <c r="IR289" s="145"/>
      <c r="IS289" s="145"/>
      <c r="IT289" s="145"/>
      <c r="IU289" s="145"/>
      <c r="IV289" s="145"/>
      <c r="IW289" s="145"/>
      <c r="IX289" s="145"/>
      <c r="IY289" s="145"/>
      <c r="IZ289" s="145"/>
      <c r="JA289" s="145"/>
      <c r="JB289" s="145"/>
      <c r="JC289" s="145"/>
      <c r="JD289" s="145"/>
      <c r="JE289" s="145"/>
      <c r="JF289" s="145"/>
      <c r="JG289" s="145"/>
      <c r="JH289" s="145"/>
      <c r="JI289" s="145"/>
      <c r="JJ289" s="145"/>
      <c r="JK289" s="145"/>
      <c r="JL289" s="145"/>
      <c r="JM289" s="145"/>
      <c r="JN289" s="145"/>
      <c r="JO289" s="145"/>
      <c r="JP289" s="145"/>
      <c r="JQ289" s="145"/>
      <c r="JR289" s="145"/>
      <c r="JS289" s="145"/>
      <c r="JT289" s="145"/>
      <c r="JU289" s="145"/>
      <c r="JV289" s="145"/>
      <c r="JW289" s="145"/>
      <c r="JX289" s="145"/>
      <c r="JY289" s="145"/>
      <c r="JZ289" s="145"/>
      <c r="KA289" s="145"/>
      <c r="KB289" s="145"/>
      <c r="KC289" s="145"/>
      <c r="KD289" s="145"/>
      <c r="KE289" s="145"/>
      <c r="KF289" s="145"/>
      <c r="KG289" s="145"/>
      <c r="KH289" s="145"/>
      <c r="KI289" s="145"/>
      <c r="KJ289" s="145"/>
      <c r="KK289" s="145"/>
      <c r="KL289" s="145"/>
      <c r="KM289" s="145"/>
      <c r="KN289" s="145"/>
      <c r="KO289" s="145"/>
      <c r="KP289" s="145"/>
      <c r="KQ289" s="145"/>
      <c r="KR289" s="145"/>
      <c r="KS289" s="145"/>
      <c r="KT289" s="145"/>
      <c r="KU289" s="145"/>
      <c r="KV289" s="145"/>
      <c r="KW289" s="145"/>
      <c r="KX289" s="145"/>
      <c r="KY289" s="145"/>
      <c r="KZ289" s="145"/>
      <c r="LA289" s="145"/>
      <c r="LB289" s="145"/>
      <c r="LC289" s="145"/>
      <c r="LD289" s="145"/>
      <c r="LE289" s="145"/>
      <c r="LF289" s="145"/>
      <c r="LG289" s="145"/>
      <c r="LH289" s="145"/>
      <c r="LI289" s="145"/>
      <c r="LJ289" s="145"/>
      <c r="LK289" s="145"/>
      <c r="LL289" s="145"/>
      <c r="LM289" s="145"/>
      <c r="LN289" s="145"/>
      <c r="LO289" s="145"/>
      <c r="LP289" s="145"/>
      <c r="LQ289" s="145"/>
      <c r="LR289" s="145"/>
      <c r="LS289" s="145"/>
      <c r="LT289" s="145"/>
      <c r="LU289" s="145"/>
      <c r="LV289" s="145"/>
      <c r="LW289" s="145"/>
      <c r="LX289" s="145"/>
      <c r="LY289" s="145"/>
      <c r="LZ289" s="145"/>
      <c r="MA289" s="145"/>
      <c r="MB289" s="145"/>
      <c r="MC289" s="145"/>
      <c r="MD289" s="145"/>
      <c r="ME289" s="145"/>
      <c r="MF289" s="145"/>
      <c r="MG289" s="145"/>
      <c r="MH289" s="145"/>
      <c r="MI289" s="145"/>
      <c r="MJ289" s="145"/>
      <c r="MK289" s="145"/>
      <c r="ML289" s="145"/>
      <c r="MM289" s="145"/>
      <c r="MN289" s="145"/>
      <c r="MO289" s="145"/>
      <c r="MP289" s="145"/>
      <c r="MQ289" s="145"/>
      <c r="MR289" s="145"/>
      <c r="MS289" s="145"/>
      <c r="MT289" s="145"/>
      <c r="MU289" s="145"/>
      <c r="MV289" s="145"/>
      <c r="MW289" s="145"/>
      <c r="MX289" s="145"/>
      <c r="MY289" s="145"/>
      <c r="MZ289" s="145"/>
      <c r="NA289" s="145"/>
      <c r="NB289" s="145"/>
      <c r="NC289" s="145"/>
      <c r="ND289" s="145"/>
      <c r="NE289" s="145"/>
      <c r="NF289" s="145"/>
      <c r="NG289" s="145"/>
      <c r="NH289" s="145"/>
      <c r="NI289" s="145"/>
      <c r="NJ289" s="145"/>
      <c r="NK289" s="145"/>
      <c r="NL289" s="145"/>
      <c r="NM289" s="145"/>
      <c r="NN289" s="145"/>
      <c r="NO289" s="145"/>
      <c r="NP289" s="145"/>
      <c r="NQ289" s="145"/>
      <c r="NR289" s="145"/>
      <c r="NS289" s="145"/>
    </row>
    <row r="290" spans="1:383" s="16" customFormat="1" ht="15" customHeight="1" x14ac:dyDescent="0.2">
      <c r="A290" s="15">
        <v>77004</v>
      </c>
      <c r="B290" s="25">
        <v>770</v>
      </c>
      <c r="C290" s="26">
        <v>4</v>
      </c>
      <c r="D290" s="20" t="s">
        <v>760</v>
      </c>
      <c r="E290" s="14">
        <v>42691</v>
      </c>
      <c r="F290" s="18">
        <v>7.1763437888606701E-2</v>
      </c>
      <c r="G290" s="18">
        <v>6.9046084847338193E-2</v>
      </c>
      <c r="H290" s="21">
        <v>99</v>
      </c>
      <c r="I290" s="21">
        <v>98</v>
      </c>
      <c r="J290" s="21">
        <v>98</v>
      </c>
      <c r="K290" s="18">
        <v>0.86</v>
      </c>
      <c r="L290" s="18">
        <v>5.8</v>
      </c>
      <c r="M290" s="18">
        <v>0.63219999999999998</v>
      </c>
      <c r="N290" s="18">
        <v>0.13919999999999999</v>
      </c>
      <c r="O290" s="18">
        <v>0.50000001999999999</v>
      </c>
      <c r="P290" s="18">
        <v>0</v>
      </c>
      <c r="Q290" s="19"/>
      <c r="R290" s="18">
        <v>85</v>
      </c>
      <c r="S290" s="18">
        <v>50</v>
      </c>
      <c r="T290" s="18">
        <v>50</v>
      </c>
      <c r="U290" s="18">
        <v>50</v>
      </c>
      <c r="V290" s="18">
        <v>50</v>
      </c>
      <c r="W290" s="18">
        <v>50</v>
      </c>
      <c r="X290" s="18"/>
      <c r="Y290" s="18">
        <v>19.399999999999999</v>
      </c>
      <c r="Z290" s="18">
        <v>12</v>
      </c>
      <c r="AA290" s="18">
        <v>6</v>
      </c>
      <c r="AB290" s="18">
        <v>12.899999999999999</v>
      </c>
      <c r="AC290" s="18">
        <v>26.200000000000003</v>
      </c>
      <c r="AD290" s="18">
        <v>1.7</v>
      </c>
      <c r="AE290" s="18">
        <v>0</v>
      </c>
      <c r="AF290" s="18">
        <v>92</v>
      </c>
      <c r="AG290" s="18">
        <v>22.000000000000004</v>
      </c>
      <c r="AH290" s="18">
        <v>3</v>
      </c>
      <c r="AI290" s="18">
        <v>17</v>
      </c>
      <c r="AJ290" s="18">
        <v>0</v>
      </c>
      <c r="AK290" s="18">
        <v>4.9999999999999996E-2</v>
      </c>
      <c r="AL290" s="18"/>
      <c r="AM290" s="18">
        <v>7</v>
      </c>
      <c r="AN290" s="18">
        <v>1.3</v>
      </c>
      <c r="AO290" s="18">
        <v>0.5</v>
      </c>
      <c r="AP290" s="18">
        <v>5.3</v>
      </c>
      <c r="AQ290" s="18">
        <v>1.4</v>
      </c>
      <c r="AR290" s="18">
        <v>5.7</v>
      </c>
      <c r="AS290" s="18">
        <v>8.1</v>
      </c>
      <c r="AT290" s="18">
        <v>1.2</v>
      </c>
      <c r="AU290" s="18">
        <v>2.6</v>
      </c>
      <c r="AV290" s="18">
        <v>2</v>
      </c>
      <c r="AW290" s="18">
        <v>5</v>
      </c>
      <c r="AX290" s="18"/>
      <c r="AY290" s="18">
        <v>0.89</v>
      </c>
      <c r="AZ290" s="18">
        <v>1.06</v>
      </c>
      <c r="BA290" s="18">
        <v>1.04</v>
      </c>
      <c r="BB290" s="18">
        <v>1.01</v>
      </c>
      <c r="BC290" s="18">
        <v>1.08</v>
      </c>
      <c r="BD290" s="18">
        <v>1.05</v>
      </c>
      <c r="BE290" s="18">
        <v>1.0900000000000001</v>
      </c>
      <c r="BF290" s="18">
        <v>1.05</v>
      </c>
      <c r="BG290" s="18">
        <v>1.02</v>
      </c>
      <c r="BH290" s="18">
        <v>1.1200000000000001</v>
      </c>
      <c r="BI290" s="18">
        <v>1.05</v>
      </c>
      <c r="BJ290" s="19"/>
      <c r="BK290" s="18">
        <v>10.9</v>
      </c>
      <c r="BL290" s="18">
        <v>2.4</v>
      </c>
      <c r="BM290" s="18">
        <v>8.6206899999999997</v>
      </c>
      <c r="BN290" s="18">
        <v>0</v>
      </c>
      <c r="BO290" s="18"/>
      <c r="BP290" s="18">
        <v>34</v>
      </c>
      <c r="BQ290" s="18">
        <v>8.16</v>
      </c>
      <c r="BR290" s="18">
        <v>1.2373006532518398</v>
      </c>
      <c r="BS290" s="18">
        <v>1.1904497387472102</v>
      </c>
      <c r="BT290" s="19"/>
      <c r="BU290" s="18">
        <v>913.79309999999998</v>
      </c>
      <c r="BV290" s="18">
        <v>769.13098185714307</v>
      </c>
      <c r="BW290" s="18">
        <v>13.054187142857105</v>
      </c>
      <c r="BX290" s="18">
        <v>0</v>
      </c>
      <c r="BY290" s="18" t="s">
        <v>217</v>
      </c>
      <c r="BZ290" s="18">
        <v>0</v>
      </c>
      <c r="CA290" s="18">
        <v>0</v>
      </c>
      <c r="CB290" s="19"/>
      <c r="CC290" s="19">
        <v>1.1251999999999998</v>
      </c>
      <c r="CD290" s="19">
        <v>0.69599999999999995</v>
      </c>
      <c r="CE290" s="19">
        <v>0.34799999999999998</v>
      </c>
      <c r="CF290" s="19">
        <v>0.74819999999999987</v>
      </c>
      <c r="CG290" s="19">
        <v>1.5196000000000001</v>
      </c>
      <c r="CH290" s="19">
        <v>9.8599999999999993E-2</v>
      </c>
      <c r="CI290" s="19">
        <v>0</v>
      </c>
      <c r="CJ290" s="19"/>
      <c r="CK290" s="19">
        <v>5.3359999999999994</v>
      </c>
      <c r="CL290" s="19">
        <v>1.276</v>
      </c>
      <c r="CM290" s="19">
        <v>0.17399999999999999</v>
      </c>
      <c r="CN290" s="19">
        <v>0.98599999999999999</v>
      </c>
      <c r="CO290" s="19">
        <v>0</v>
      </c>
      <c r="CP290" s="19">
        <v>2.8999999999999994E-3</v>
      </c>
      <c r="CQ290" s="19">
        <v>5.3737000000000004</v>
      </c>
      <c r="CR290" s="19">
        <v>74.880749279893948</v>
      </c>
      <c r="CS290" s="19">
        <v>4.6650706801373927</v>
      </c>
      <c r="CT290" s="19">
        <v>1.0318567250769386</v>
      </c>
      <c r="CU290" s="19">
        <v>0.3893798962554485</v>
      </c>
      <c r="CV290" s="19">
        <v>1.421236621332387</v>
      </c>
      <c r="CW290" s="19">
        <v>4.0083665089527232</v>
      </c>
      <c r="CX290" s="19">
        <v>1.1321969291119964</v>
      </c>
      <c r="CY290" s="19">
        <v>4.4816128444016528</v>
      </c>
      <c r="CZ290" s="19">
        <v>6.6112213539218363</v>
      </c>
      <c r="DA290" s="19">
        <v>0.94349744092666366</v>
      </c>
      <c r="DB290" s="19">
        <v>1.9858374709027873</v>
      </c>
      <c r="DC290" s="19">
        <v>1.6773287838696243</v>
      </c>
      <c r="DD290" s="19">
        <v>3.6631662547724115</v>
      </c>
      <c r="DE290" s="19">
        <v>3.9312393371944321</v>
      </c>
      <c r="DF290" s="23">
        <v>0</v>
      </c>
      <c r="DG290" s="23">
        <v>0</v>
      </c>
      <c r="DH290" s="23">
        <v>0</v>
      </c>
      <c r="DI290" s="19">
        <v>0</v>
      </c>
      <c r="DJ290" s="19">
        <v>0</v>
      </c>
      <c r="DK290" s="19">
        <v>0</v>
      </c>
      <c r="DL290" s="19">
        <v>0</v>
      </c>
      <c r="DM290" s="19">
        <v>0</v>
      </c>
      <c r="DN290" s="19">
        <v>0</v>
      </c>
      <c r="DO290" s="19">
        <v>0</v>
      </c>
      <c r="DP290" s="19">
        <v>0</v>
      </c>
      <c r="DQ290" s="19">
        <v>0</v>
      </c>
      <c r="DR290" s="19">
        <v>0</v>
      </c>
      <c r="DS290" s="19">
        <v>0</v>
      </c>
      <c r="DT290" s="19">
        <v>0</v>
      </c>
      <c r="DU290" s="19">
        <v>0</v>
      </c>
      <c r="DV290" s="19">
        <v>0</v>
      </c>
      <c r="DW290" s="17" t="s">
        <v>748</v>
      </c>
      <c r="DX290" s="22">
        <v>13</v>
      </c>
      <c r="DY290" s="22">
        <v>13</v>
      </c>
      <c r="DZ290" s="22">
        <v>13</v>
      </c>
      <c r="EA290" s="22" t="s">
        <v>218</v>
      </c>
      <c r="EB290" s="22" t="s">
        <v>218</v>
      </c>
      <c r="EC290" s="22" t="s">
        <v>218</v>
      </c>
      <c r="ED290" s="22" t="s">
        <v>218</v>
      </c>
      <c r="EE290" s="22" t="s">
        <v>218</v>
      </c>
      <c r="EF290" s="22" t="s">
        <v>218</v>
      </c>
      <c r="EG290" s="22" t="s">
        <v>218</v>
      </c>
      <c r="EH290" s="22" t="s">
        <v>218</v>
      </c>
      <c r="EI290" s="22" t="s">
        <v>218</v>
      </c>
      <c r="EJ290" s="22" t="s">
        <v>218</v>
      </c>
      <c r="EK290" s="22" t="s">
        <v>218</v>
      </c>
      <c r="EL290" s="22" t="s">
        <v>218</v>
      </c>
      <c r="EM290" s="22" t="s">
        <v>218</v>
      </c>
      <c r="EN290" s="22" t="s">
        <v>218</v>
      </c>
      <c r="EO290" s="22" t="s">
        <v>218</v>
      </c>
      <c r="EP290" s="22" t="s">
        <v>218</v>
      </c>
      <c r="EQ290" s="22" t="s">
        <v>218</v>
      </c>
      <c r="ER290" s="22" t="s">
        <v>218</v>
      </c>
      <c r="ES290" s="22">
        <v>13</v>
      </c>
      <c r="ET290" s="22">
        <v>13</v>
      </c>
      <c r="EU290" s="22">
        <v>13</v>
      </c>
      <c r="EV290" s="22">
        <v>13</v>
      </c>
      <c r="EW290" s="22">
        <v>13</v>
      </c>
      <c r="EX290" s="22">
        <v>13</v>
      </c>
      <c r="EY290" s="22" t="s">
        <v>218</v>
      </c>
      <c r="EZ290" s="22" t="s">
        <v>218</v>
      </c>
      <c r="FA290" s="22" t="s">
        <v>218</v>
      </c>
      <c r="FB290" s="22" t="s">
        <v>218</v>
      </c>
      <c r="FC290" s="22" t="s">
        <v>218</v>
      </c>
      <c r="FD290" s="22" t="s">
        <v>218</v>
      </c>
      <c r="FE290" s="22" t="s">
        <v>218</v>
      </c>
      <c r="FF290" s="22">
        <v>0.5</v>
      </c>
      <c r="FG290" s="22">
        <v>3.9</v>
      </c>
      <c r="FH290" s="22">
        <v>2.2999999999999998</v>
      </c>
      <c r="FI290" s="22" t="s">
        <v>218</v>
      </c>
      <c r="FJ290" s="22" t="s">
        <v>218</v>
      </c>
      <c r="FK290" s="22" t="s">
        <v>218</v>
      </c>
      <c r="FL290" s="22" t="s">
        <v>218</v>
      </c>
      <c r="FM290" s="22" t="s">
        <v>218</v>
      </c>
      <c r="FN290" s="22" t="s">
        <v>218</v>
      </c>
      <c r="FO290" s="22" t="s">
        <v>218</v>
      </c>
      <c r="FP290" s="22" t="s">
        <v>218</v>
      </c>
      <c r="FQ290" s="22" t="s">
        <v>218</v>
      </c>
      <c r="FR290" s="22" t="s">
        <v>218</v>
      </c>
      <c r="FS290" s="22" t="s">
        <v>218</v>
      </c>
      <c r="FT290" s="22" t="s">
        <v>218</v>
      </c>
      <c r="FU290" s="22" t="s">
        <v>218</v>
      </c>
      <c r="FV290" s="22" t="s">
        <v>218</v>
      </c>
      <c r="FW290" s="22" t="s">
        <v>218</v>
      </c>
      <c r="FX290" s="22" t="s">
        <v>218</v>
      </c>
      <c r="FY290" s="22" t="s">
        <v>218</v>
      </c>
      <c r="FZ290" s="22" t="s">
        <v>218</v>
      </c>
      <c r="GA290" s="22">
        <v>7.6</v>
      </c>
      <c r="GB290" s="22">
        <v>2.9</v>
      </c>
      <c r="GC290" s="22">
        <v>0.8</v>
      </c>
      <c r="GD290" s="22">
        <v>3.8</v>
      </c>
      <c r="GE290" s="22">
        <v>3.8</v>
      </c>
      <c r="GF290" s="22">
        <v>0.3</v>
      </c>
      <c r="GG290" s="22" t="s">
        <v>218</v>
      </c>
      <c r="GH290" s="22" t="s">
        <v>218</v>
      </c>
      <c r="GI290" s="22" t="s">
        <v>218</v>
      </c>
      <c r="GJ290" s="22" t="s">
        <v>218</v>
      </c>
      <c r="GK290" s="22" t="s">
        <v>218</v>
      </c>
      <c r="GL290" s="22" t="s">
        <v>218</v>
      </c>
      <c r="GM290" s="22" t="s">
        <v>218</v>
      </c>
      <c r="GN290" s="22">
        <v>2016</v>
      </c>
      <c r="GO290" s="22">
        <v>2016</v>
      </c>
      <c r="GP290" s="22">
        <v>2016</v>
      </c>
      <c r="GQ290" s="22" t="s">
        <v>218</v>
      </c>
      <c r="GR290" s="22" t="s">
        <v>218</v>
      </c>
      <c r="GS290" s="22" t="s">
        <v>218</v>
      </c>
      <c r="GT290" s="22" t="s">
        <v>218</v>
      </c>
      <c r="GU290" s="22" t="s">
        <v>218</v>
      </c>
      <c r="GV290" s="22" t="s">
        <v>218</v>
      </c>
      <c r="GW290" s="22" t="s">
        <v>218</v>
      </c>
      <c r="GX290" s="22" t="s">
        <v>218</v>
      </c>
      <c r="GY290" s="22" t="s">
        <v>218</v>
      </c>
      <c r="GZ290" s="22" t="s">
        <v>218</v>
      </c>
      <c r="HA290" s="22" t="s">
        <v>218</v>
      </c>
      <c r="HB290" s="22" t="s">
        <v>218</v>
      </c>
      <c r="HC290" s="22" t="s">
        <v>218</v>
      </c>
      <c r="HD290" s="22" t="s">
        <v>218</v>
      </c>
      <c r="HE290" s="22" t="s">
        <v>218</v>
      </c>
      <c r="HF290" s="22" t="s">
        <v>218</v>
      </c>
      <c r="HG290" s="22" t="s">
        <v>218</v>
      </c>
      <c r="HH290" s="22" t="s">
        <v>218</v>
      </c>
      <c r="HI290" s="22">
        <v>2016</v>
      </c>
      <c r="HJ290" s="22">
        <v>2016</v>
      </c>
      <c r="HK290" s="22">
        <v>2016</v>
      </c>
      <c r="HL290" s="22">
        <v>2016</v>
      </c>
      <c r="HM290" s="860"/>
      <c r="HN290" s="860"/>
      <c r="HO290" s="860"/>
      <c r="HP290" s="860"/>
      <c r="HQ290" s="860"/>
      <c r="HR290" s="860"/>
      <c r="HS290" s="860"/>
      <c r="HT290" s="145"/>
      <c r="HU290" s="145" t="s">
        <v>1809</v>
      </c>
      <c r="HV290" s="22" t="s">
        <v>1989</v>
      </c>
      <c r="HW290" s="22" t="s">
        <v>753</v>
      </c>
      <c r="HX290" s="22" t="s">
        <v>750</v>
      </c>
      <c r="HY290" s="22" t="s">
        <v>751</v>
      </c>
      <c r="HZ290" s="19"/>
      <c r="IA290" s="19"/>
      <c r="IB290" s="621">
        <f>'background data'!$G$10</f>
        <v>0.47300000000000003</v>
      </c>
      <c r="IC290" s="621">
        <f>'background data'!$H$10</f>
        <v>0.13</v>
      </c>
      <c r="ID290" s="621">
        <f>'background data'!$J$10</f>
        <v>0.39100000000000001</v>
      </c>
      <c r="IE290" s="621">
        <f>'background data'!$L$10</f>
        <v>5.5E-2</v>
      </c>
      <c r="IF290" s="621">
        <f>'background data'!$M$10</f>
        <v>3.97</v>
      </c>
      <c r="IG290" s="621">
        <f>'background data'!$N$10</f>
        <v>4.5999999999999999E-3</v>
      </c>
      <c r="IH290" s="621">
        <f>'background data'!$O$10</f>
        <v>2.73</v>
      </c>
      <c r="II290" s="145"/>
      <c r="IJ290" s="145"/>
      <c r="IK290" s="145"/>
      <c r="IL290" s="145"/>
      <c r="IM290" s="145"/>
      <c r="IN290" s="145"/>
      <c r="IO290" s="145"/>
      <c r="IP290" s="145"/>
      <c r="IQ290" s="145"/>
      <c r="IR290" s="145"/>
      <c r="IS290" s="145"/>
      <c r="IT290" s="145"/>
      <c r="IU290" s="145"/>
      <c r="IV290" s="145"/>
      <c r="IW290" s="145"/>
      <c r="IX290" s="145"/>
      <c r="IY290" s="145"/>
      <c r="IZ290" s="145"/>
      <c r="JA290" s="145"/>
      <c r="JB290" s="145"/>
      <c r="JC290" s="145"/>
      <c r="JD290" s="145"/>
      <c r="JE290" s="145"/>
      <c r="JF290" s="145"/>
      <c r="JG290" s="145"/>
      <c r="JH290" s="145"/>
      <c r="JI290" s="145"/>
      <c r="JJ290" s="145"/>
      <c r="JK290" s="145"/>
      <c r="JL290" s="145"/>
      <c r="JM290" s="145"/>
      <c r="JN290" s="145"/>
      <c r="JO290" s="145"/>
      <c r="JP290" s="145"/>
      <c r="JQ290" s="145"/>
      <c r="JR290" s="145"/>
      <c r="JS290" s="145"/>
      <c r="JT290" s="145"/>
      <c r="JU290" s="145"/>
      <c r="JV290" s="145"/>
      <c r="JW290" s="145"/>
      <c r="JX290" s="145"/>
      <c r="JY290" s="145"/>
      <c r="JZ290" s="145"/>
      <c r="KA290" s="145"/>
      <c r="KB290" s="145"/>
      <c r="KC290" s="145"/>
      <c r="KD290" s="145"/>
      <c r="KE290" s="145"/>
      <c r="KF290" s="145"/>
      <c r="KG290" s="145"/>
      <c r="KH290" s="145"/>
      <c r="KI290" s="145"/>
      <c r="KJ290" s="145"/>
      <c r="KK290" s="145"/>
      <c r="KL290" s="145"/>
      <c r="KM290" s="145"/>
      <c r="KN290" s="145"/>
      <c r="KO290" s="145"/>
      <c r="KP290" s="145"/>
      <c r="KQ290" s="145"/>
      <c r="KR290" s="145"/>
      <c r="KS290" s="145"/>
      <c r="KT290" s="145"/>
      <c r="KU290" s="145"/>
      <c r="KV290" s="145"/>
      <c r="KW290" s="145"/>
      <c r="KX290" s="145"/>
      <c r="KY290" s="145"/>
      <c r="KZ290" s="145"/>
      <c r="LA290" s="145"/>
      <c r="LB290" s="145"/>
      <c r="LC290" s="145"/>
      <c r="LD290" s="145"/>
      <c r="LE290" s="145"/>
      <c r="LF290" s="145"/>
      <c r="LG290" s="145"/>
      <c r="LH290" s="145"/>
      <c r="LI290" s="145"/>
      <c r="LJ290" s="145"/>
      <c r="LK290" s="145"/>
      <c r="LL290" s="145"/>
      <c r="LM290" s="145"/>
      <c r="LN290" s="145"/>
      <c r="LO290" s="145"/>
      <c r="LP290" s="145"/>
      <c r="LQ290" s="145"/>
      <c r="LR290" s="145"/>
      <c r="LS290" s="145"/>
      <c r="LT290" s="145"/>
      <c r="LU290" s="145"/>
      <c r="LV290" s="145"/>
      <c r="LW290" s="145"/>
      <c r="LX290" s="145"/>
      <c r="LY290" s="145"/>
      <c r="LZ290" s="145"/>
      <c r="MA290" s="145"/>
      <c r="MB290" s="145"/>
      <c r="MC290" s="145"/>
      <c r="MD290" s="145"/>
      <c r="ME290" s="145"/>
      <c r="MF290" s="145"/>
      <c r="MG290" s="145"/>
      <c r="MH290" s="145"/>
      <c r="MI290" s="145"/>
      <c r="MJ290" s="145"/>
      <c r="MK290" s="145"/>
      <c r="ML290" s="145"/>
      <c r="MM290" s="145"/>
      <c r="MN290" s="145"/>
      <c r="MO290" s="145"/>
      <c r="MP290" s="145"/>
      <c r="MQ290" s="145"/>
      <c r="MR290" s="145"/>
      <c r="MS290" s="145"/>
      <c r="MT290" s="145"/>
      <c r="MU290" s="145"/>
      <c r="MV290" s="145"/>
      <c r="MW290" s="145"/>
      <c r="MX290" s="145"/>
      <c r="MY290" s="145"/>
      <c r="MZ290" s="145"/>
      <c r="NA290" s="145"/>
      <c r="NB290" s="145"/>
      <c r="NC290" s="145"/>
      <c r="ND290" s="145"/>
      <c r="NE290" s="145"/>
      <c r="NF290" s="145"/>
      <c r="NG290" s="145"/>
      <c r="NH290" s="145"/>
      <c r="NI290" s="145"/>
      <c r="NJ290" s="145"/>
      <c r="NK290" s="145"/>
      <c r="NL290" s="145"/>
      <c r="NM290" s="145"/>
      <c r="NN290" s="145"/>
      <c r="NO290" s="145"/>
      <c r="NP290" s="145"/>
      <c r="NQ290" s="145"/>
      <c r="NR290" s="145"/>
      <c r="NS290" s="145"/>
    </row>
    <row r="291" spans="1:383" s="16" customFormat="1" ht="15" customHeight="1" x14ac:dyDescent="0.2">
      <c r="A291" s="15">
        <v>77006</v>
      </c>
      <c r="B291" s="25">
        <v>770</v>
      </c>
      <c r="C291" s="26">
        <v>6</v>
      </c>
      <c r="D291" s="20" t="s">
        <v>761</v>
      </c>
      <c r="E291" s="14">
        <v>42691</v>
      </c>
      <c r="F291" s="18">
        <v>6.7383057562726806E-2</v>
      </c>
      <c r="G291" s="18">
        <v>6.4824899439316297E-2</v>
      </c>
      <c r="H291" s="21">
        <v>99</v>
      </c>
      <c r="I291" s="21">
        <v>98</v>
      </c>
      <c r="J291" s="21">
        <v>98</v>
      </c>
      <c r="K291" s="18">
        <v>0.86</v>
      </c>
      <c r="L291" s="18">
        <v>5.3</v>
      </c>
      <c r="M291" s="18">
        <v>0.89570000000000005</v>
      </c>
      <c r="N291" s="18">
        <v>0.24909999999999999</v>
      </c>
      <c r="O291" s="18">
        <v>0.45689657</v>
      </c>
      <c r="P291" s="18">
        <v>0</v>
      </c>
      <c r="Q291" s="19"/>
      <c r="R291" s="18">
        <v>85</v>
      </c>
      <c r="S291" s="18">
        <v>50</v>
      </c>
      <c r="T291" s="18">
        <v>50</v>
      </c>
      <c r="U291" s="18">
        <v>50</v>
      </c>
      <c r="V291" s="18">
        <v>50</v>
      </c>
      <c r="W291" s="18">
        <v>50</v>
      </c>
      <c r="X291" s="18"/>
      <c r="Y291" s="18">
        <v>13.8</v>
      </c>
      <c r="Z291" s="18">
        <v>9.6999999999999993</v>
      </c>
      <c r="AA291" s="18">
        <v>5.6000000000000005</v>
      </c>
      <c r="AB291" s="18">
        <v>13.8</v>
      </c>
      <c r="AC291" s="18">
        <v>23.800000000000004</v>
      </c>
      <c r="AD291" s="18">
        <v>1.6</v>
      </c>
      <c r="AE291" s="18">
        <v>0</v>
      </c>
      <c r="AF291" s="18">
        <v>92.000000000000014</v>
      </c>
      <c r="AG291" s="18">
        <v>22</v>
      </c>
      <c r="AH291" s="18">
        <v>2.9999999999999813</v>
      </c>
      <c r="AI291" s="18">
        <v>17.000000000000004</v>
      </c>
      <c r="AJ291" s="18">
        <v>0</v>
      </c>
      <c r="AK291" s="18">
        <v>5.000000000000019E-2</v>
      </c>
      <c r="AL291" s="18"/>
      <c r="AM291" s="18">
        <v>7</v>
      </c>
      <c r="AN291" s="18">
        <v>1.3</v>
      </c>
      <c r="AO291" s="18">
        <v>0.5</v>
      </c>
      <c r="AP291" s="18">
        <v>5.3</v>
      </c>
      <c r="AQ291" s="18">
        <v>1.4</v>
      </c>
      <c r="AR291" s="18">
        <v>5.7</v>
      </c>
      <c r="AS291" s="18">
        <v>8.1</v>
      </c>
      <c r="AT291" s="18">
        <v>1.2</v>
      </c>
      <c r="AU291" s="18">
        <v>2.6</v>
      </c>
      <c r="AV291" s="18">
        <v>2</v>
      </c>
      <c r="AW291" s="18">
        <v>5</v>
      </c>
      <c r="AX291" s="18"/>
      <c r="AY291" s="18">
        <v>0.89</v>
      </c>
      <c r="AZ291" s="18">
        <v>1.06</v>
      </c>
      <c r="BA291" s="18">
        <v>1.04</v>
      </c>
      <c r="BB291" s="18">
        <v>1.01</v>
      </c>
      <c r="BC291" s="18">
        <v>1.08</v>
      </c>
      <c r="BD291" s="18">
        <v>1.05</v>
      </c>
      <c r="BE291" s="18">
        <v>1.0900000000000001</v>
      </c>
      <c r="BF291" s="18">
        <v>1.05</v>
      </c>
      <c r="BG291" s="18">
        <v>1.02</v>
      </c>
      <c r="BH291" s="18">
        <v>1.1200000000000001</v>
      </c>
      <c r="BI291" s="18">
        <v>1.05</v>
      </c>
      <c r="BJ291" s="19"/>
      <c r="BK291" s="18">
        <v>16.900000000000002</v>
      </c>
      <c r="BL291" s="18">
        <v>4.7</v>
      </c>
      <c r="BM291" s="18">
        <v>8.6206899999999997</v>
      </c>
      <c r="BN291" s="18">
        <v>0</v>
      </c>
      <c r="BO291" s="18"/>
      <c r="BP291" s="18">
        <v>34</v>
      </c>
      <c r="BQ291" s="18">
        <v>15.98</v>
      </c>
      <c r="BR291" s="18">
        <v>1.2713784445797511</v>
      </c>
      <c r="BS291" s="18">
        <v>1.2231113101757793</v>
      </c>
      <c r="BT291" s="19"/>
      <c r="BU291" s="18">
        <v>913.79310000000009</v>
      </c>
      <c r="BV291" s="18">
        <v>692.22098185714344</v>
      </c>
      <c r="BW291" s="18">
        <v>13.054187142857096</v>
      </c>
      <c r="BX291" s="18">
        <v>0</v>
      </c>
      <c r="BY291" s="18" t="s">
        <v>217</v>
      </c>
      <c r="BZ291" s="18">
        <v>0</v>
      </c>
      <c r="CA291" s="18">
        <v>0</v>
      </c>
      <c r="CB291" s="19"/>
      <c r="CC291" s="19">
        <v>0.73140000000000005</v>
      </c>
      <c r="CD291" s="19">
        <v>0.5141</v>
      </c>
      <c r="CE291" s="19">
        <v>0.29680000000000001</v>
      </c>
      <c r="CF291" s="19">
        <v>0.73140000000000005</v>
      </c>
      <c r="CG291" s="19">
        <v>1.2614000000000003</v>
      </c>
      <c r="CH291" s="19">
        <v>8.48E-2</v>
      </c>
      <c r="CI291" s="19">
        <v>0</v>
      </c>
      <c r="CJ291" s="19"/>
      <c r="CK291" s="19">
        <v>4.8760000000000003</v>
      </c>
      <c r="CL291" s="19">
        <v>1.1659999999999999</v>
      </c>
      <c r="CM291" s="19">
        <v>0.158999999999999</v>
      </c>
      <c r="CN291" s="19">
        <v>0.90100000000000013</v>
      </c>
      <c r="CO291" s="19">
        <v>0</v>
      </c>
      <c r="CP291" s="19">
        <v>2.65000000000001E-3</v>
      </c>
      <c r="CQ291" s="19">
        <v>7.6134500000000003</v>
      </c>
      <c r="CR291" s="19">
        <v>112.98760067265646</v>
      </c>
      <c r="CS291" s="19">
        <v>7.0391275219064973</v>
      </c>
      <c r="CT291" s="19">
        <v>1.5569691372692058</v>
      </c>
      <c r="CU291" s="19">
        <v>0.58753552349781357</v>
      </c>
      <c r="CV291" s="19">
        <v>2.1445046607670197</v>
      </c>
      <c r="CW291" s="19">
        <v>6.0482262640073001</v>
      </c>
      <c r="CX291" s="19">
        <v>1.7083725221705657</v>
      </c>
      <c r="CY291" s="19">
        <v>6.7623079002584889</v>
      </c>
      <c r="CZ291" s="19">
        <v>9.9756752633888386</v>
      </c>
      <c r="DA291" s="19">
        <v>1.4236437684754715</v>
      </c>
      <c r="DB291" s="19">
        <v>2.9964311698388491</v>
      </c>
      <c r="DC291" s="19">
        <v>2.5309222550675043</v>
      </c>
      <c r="DD291" s="19">
        <v>5.5273534249063543</v>
      </c>
      <c r="DE291" s="19">
        <v>5.9318490353144639</v>
      </c>
      <c r="DF291" s="23">
        <v>0</v>
      </c>
      <c r="DG291" s="23">
        <v>0</v>
      </c>
      <c r="DH291" s="23">
        <v>0</v>
      </c>
      <c r="DI291" s="19">
        <v>0</v>
      </c>
      <c r="DJ291" s="19">
        <v>0</v>
      </c>
      <c r="DK291" s="19">
        <v>0</v>
      </c>
      <c r="DL291" s="19">
        <v>0</v>
      </c>
      <c r="DM291" s="19">
        <v>0</v>
      </c>
      <c r="DN291" s="19">
        <v>0</v>
      </c>
      <c r="DO291" s="19">
        <v>0</v>
      </c>
      <c r="DP291" s="19">
        <v>0</v>
      </c>
      <c r="DQ291" s="19">
        <v>0</v>
      </c>
      <c r="DR291" s="19">
        <v>0</v>
      </c>
      <c r="DS291" s="19">
        <v>0</v>
      </c>
      <c r="DT291" s="19">
        <v>0</v>
      </c>
      <c r="DU291" s="19">
        <v>0</v>
      </c>
      <c r="DV291" s="19">
        <v>0</v>
      </c>
      <c r="DW291" s="17" t="s">
        <v>748</v>
      </c>
      <c r="DX291" s="22">
        <v>13</v>
      </c>
      <c r="DY291" s="22">
        <v>13</v>
      </c>
      <c r="DZ291" s="22">
        <v>13</v>
      </c>
      <c r="EA291" s="22" t="s">
        <v>218</v>
      </c>
      <c r="EB291" s="22" t="s">
        <v>218</v>
      </c>
      <c r="EC291" s="22" t="s">
        <v>218</v>
      </c>
      <c r="ED291" s="22" t="s">
        <v>218</v>
      </c>
      <c r="EE291" s="22" t="s">
        <v>218</v>
      </c>
      <c r="EF291" s="22" t="s">
        <v>218</v>
      </c>
      <c r="EG291" s="22" t="s">
        <v>218</v>
      </c>
      <c r="EH291" s="22" t="s">
        <v>218</v>
      </c>
      <c r="EI291" s="22" t="s">
        <v>218</v>
      </c>
      <c r="EJ291" s="22" t="s">
        <v>218</v>
      </c>
      <c r="EK291" s="22" t="s">
        <v>218</v>
      </c>
      <c r="EL291" s="22" t="s">
        <v>218</v>
      </c>
      <c r="EM291" s="22" t="s">
        <v>218</v>
      </c>
      <c r="EN291" s="22" t="s">
        <v>218</v>
      </c>
      <c r="EO291" s="22" t="s">
        <v>218</v>
      </c>
      <c r="EP291" s="22" t="s">
        <v>218</v>
      </c>
      <c r="EQ291" s="22" t="s">
        <v>218</v>
      </c>
      <c r="ER291" s="22" t="s">
        <v>218</v>
      </c>
      <c r="ES291" s="22">
        <v>13</v>
      </c>
      <c r="ET291" s="22">
        <v>13</v>
      </c>
      <c r="EU291" s="22">
        <v>13</v>
      </c>
      <c r="EV291" s="22">
        <v>13</v>
      </c>
      <c r="EW291" s="22">
        <v>13</v>
      </c>
      <c r="EX291" s="22">
        <v>13</v>
      </c>
      <c r="EY291" s="22" t="s">
        <v>218</v>
      </c>
      <c r="EZ291" s="22" t="s">
        <v>218</v>
      </c>
      <c r="FA291" s="22" t="s">
        <v>218</v>
      </c>
      <c r="FB291" s="22" t="s">
        <v>218</v>
      </c>
      <c r="FC291" s="22" t="s">
        <v>218</v>
      </c>
      <c r="FD291" s="22" t="s">
        <v>218</v>
      </c>
      <c r="FE291" s="22" t="s">
        <v>218</v>
      </c>
      <c r="FF291" s="22">
        <v>0.4</v>
      </c>
      <c r="FG291" s="22">
        <v>3.6</v>
      </c>
      <c r="FH291" s="22">
        <v>2.7</v>
      </c>
      <c r="FI291" s="22" t="s">
        <v>218</v>
      </c>
      <c r="FJ291" s="22" t="s">
        <v>218</v>
      </c>
      <c r="FK291" s="22" t="s">
        <v>218</v>
      </c>
      <c r="FL291" s="22" t="s">
        <v>218</v>
      </c>
      <c r="FM291" s="22" t="s">
        <v>218</v>
      </c>
      <c r="FN291" s="22" t="s">
        <v>218</v>
      </c>
      <c r="FO291" s="22" t="s">
        <v>218</v>
      </c>
      <c r="FP291" s="22" t="s">
        <v>218</v>
      </c>
      <c r="FQ291" s="22" t="s">
        <v>218</v>
      </c>
      <c r="FR291" s="22" t="s">
        <v>218</v>
      </c>
      <c r="FS291" s="22" t="s">
        <v>218</v>
      </c>
      <c r="FT291" s="22" t="s">
        <v>218</v>
      </c>
      <c r="FU291" s="22" t="s">
        <v>218</v>
      </c>
      <c r="FV291" s="22" t="s">
        <v>218</v>
      </c>
      <c r="FW291" s="22" t="s">
        <v>218</v>
      </c>
      <c r="FX291" s="22" t="s">
        <v>218</v>
      </c>
      <c r="FY291" s="22" t="s">
        <v>218</v>
      </c>
      <c r="FZ291" s="22" t="s">
        <v>218</v>
      </c>
      <c r="GA291" s="22">
        <v>4</v>
      </c>
      <c r="GB291" s="22">
        <v>1.3</v>
      </c>
      <c r="GC291" s="22">
        <v>0.5</v>
      </c>
      <c r="GD291" s="22">
        <v>2.4</v>
      </c>
      <c r="GE291" s="22">
        <v>2.7</v>
      </c>
      <c r="GF291" s="22">
        <v>0.2</v>
      </c>
      <c r="GG291" s="22" t="s">
        <v>218</v>
      </c>
      <c r="GH291" s="22" t="s">
        <v>218</v>
      </c>
      <c r="GI291" s="22" t="s">
        <v>218</v>
      </c>
      <c r="GJ291" s="22" t="s">
        <v>218</v>
      </c>
      <c r="GK291" s="22" t="s">
        <v>218</v>
      </c>
      <c r="GL291" s="22" t="s">
        <v>218</v>
      </c>
      <c r="GM291" s="22" t="s">
        <v>218</v>
      </c>
      <c r="GN291" s="22">
        <v>2016</v>
      </c>
      <c r="GO291" s="22">
        <v>2016</v>
      </c>
      <c r="GP291" s="22">
        <v>2016</v>
      </c>
      <c r="GQ291" s="22" t="s">
        <v>218</v>
      </c>
      <c r="GR291" s="22" t="s">
        <v>218</v>
      </c>
      <c r="GS291" s="22" t="s">
        <v>218</v>
      </c>
      <c r="GT291" s="22" t="s">
        <v>218</v>
      </c>
      <c r="GU291" s="22" t="s">
        <v>218</v>
      </c>
      <c r="GV291" s="22" t="s">
        <v>218</v>
      </c>
      <c r="GW291" s="22" t="s">
        <v>218</v>
      </c>
      <c r="GX291" s="22" t="s">
        <v>218</v>
      </c>
      <c r="GY291" s="22" t="s">
        <v>218</v>
      </c>
      <c r="GZ291" s="22" t="s">
        <v>218</v>
      </c>
      <c r="HA291" s="22" t="s">
        <v>218</v>
      </c>
      <c r="HB291" s="22" t="s">
        <v>218</v>
      </c>
      <c r="HC291" s="22" t="s">
        <v>218</v>
      </c>
      <c r="HD291" s="22" t="s">
        <v>218</v>
      </c>
      <c r="HE291" s="22" t="s">
        <v>218</v>
      </c>
      <c r="HF291" s="22" t="s">
        <v>218</v>
      </c>
      <c r="HG291" s="22" t="s">
        <v>218</v>
      </c>
      <c r="HH291" s="22" t="s">
        <v>218</v>
      </c>
      <c r="HI291" s="22">
        <v>2016</v>
      </c>
      <c r="HJ291" s="22">
        <v>2016</v>
      </c>
      <c r="HK291" s="22">
        <v>2016</v>
      </c>
      <c r="HL291" s="22">
        <v>2016</v>
      </c>
      <c r="HM291" s="860"/>
      <c r="HN291" s="860"/>
      <c r="HO291" s="860"/>
      <c r="HP291" s="860"/>
      <c r="HQ291" s="860"/>
      <c r="HR291" s="860"/>
      <c r="HS291" s="860"/>
      <c r="HT291" s="145"/>
      <c r="HU291" s="145" t="s">
        <v>1809</v>
      </c>
      <c r="HV291" s="22" t="s">
        <v>1989</v>
      </c>
      <c r="HW291" s="22" t="s">
        <v>753</v>
      </c>
      <c r="HX291" s="22" t="s">
        <v>750</v>
      </c>
      <c r="HY291" s="22" t="s">
        <v>751</v>
      </c>
      <c r="HZ291" s="19"/>
      <c r="IA291" s="19"/>
      <c r="IB291" s="621">
        <f>'background data'!$G$10</f>
        <v>0.47300000000000003</v>
      </c>
      <c r="IC291" s="621">
        <f>'background data'!$H$10</f>
        <v>0.13</v>
      </c>
      <c r="ID291" s="621">
        <f>'background data'!$J$10</f>
        <v>0.39100000000000001</v>
      </c>
      <c r="IE291" s="621">
        <f>'background data'!$L$10</f>
        <v>5.5E-2</v>
      </c>
      <c r="IF291" s="621">
        <f>'background data'!$M$10</f>
        <v>3.97</v>
      </c>
      <c r="IG291" s="621">
        <f>'background data'!$N$10</f>
        <v>4.5999999999999999E-3</v>
      </c>
      <c r="IH291" s="621">
        <f>'background data'!$O$10</f>
        <v>2.73</v>
      </c>
      <c r="II291" s="145"/>
      <c r="IJ291" s="145"/>
      <c r="IK291" s="145"/>
      <c r="IL291" s="145"/>
      <c r="IM291" s="145"/>
      <c r="IN291" s="145"/>
      <c r="IO291" s="145"/>
      <c r="IP291" s="145"/>
      <c r="IQ291" s="145"/>
      <c r="IR291" s="145"/>
      <c r="IS291" s="145"/>
      <c r="IT291" s="145"/>
      <c r="IU291" s="145"/>
      <c r="IV291" s="145"/>
      <c r="IW291" s="145"/>
      <c r="IX291" s="145"/>
      <c r="IY291" s="145"/>
      <c r="IZ291" s="145"/>
      <c r="JA291" s="145"/>
      <c r="JB291" s="145"/>
      <c r="JC291" s="145"/>
      <c r="JD291" s="145"/>
      <c r="JE291" s="145"/>
      <c r="JF291" s="145"/>
      <c r="JG291" s="145"/>
      <c r="JH291" s="145"/>
      <c r="JI291" s="145"/>
      <c r="JJ291" s="145"/>
      <c r="JK291" s="145"/>
      <c r="JL291" s="145"/>
      <c r="JM291" s="145"/>
      <c r="JN291" s="145"/>
      <c r="JO291" s="145"/>
      <c r="JP291" s="145"/>
      <c r="JQ291" s="145"/>
      <c r="JR291" s="145"/>
      <c r="JS291" s="145"/>
      <c r="JT291" s="145"/>
      <c r="JU291" s="145"/>
      <c r="JV291" s="145"/>
      <c r="JW291" s="145"/>
      <c r="JX291" s="145"/>
      <c r="JY291" s="145"/>
      <c r="JZ291" s="145"/>
      <c r="KA291" s="145"/>
      <c r="KB291" s="145"/>
      <c r="KC291" s="145"/>
      <c r="KD291" s="145"/>
      <c r="KE291" s="145"/>
      <c r="KF291" s="145"/>
      <c r="KG291" s="145"/>
      <c r="KH291" s="145"/>
      <c r="KI291" s="145"/>
      <c r="KJ291" s="145"/>
      <c r="KK291" s="145"/>
      <c r="KL291" s="145"/>
      <c r="KM291" s="145"/>
      <c r="KN291" s="145"/>
      <c r="KO291" s="145"/>
      <c r="KP291" s="145"/>
      <c r="KQ291" s="145"/>
      <c r="KR291" s="145"/>
      <c r="KS291" s="145"/>
      <c r="KT291" s="145"/>
      <c r="KU291" s="145"/>
      <c r="KV291" s="145"/>
      <c r="KW291" s="145"/>
      <c r="KX291" s="145"/>
      <c r="KY291" s="145"/>
      <c r="KZ291" s="145"/>
      <c r="LA291" s="145"/>
      <c r="LB291" s="145"/>
      <c r="LC291" s="145"/>
      <c r="LD291" s="145"/>
      <c r="LE291" s="145"/>
      <c r="LF291" s="145"/>
      <c r="LG291" s="145"/>
      <c r="LH291" s="145"/>
      <c r="LI291" s="145"/>
      <c r="LJ291" s="145"/>
      <c r="LK291" s="145"/>
      <c r="LL291" s="145"/>
      <c r="LM291" s="145"/>
      <c r="LN291" s="145"/>
      <c r="LO291" s="145"/>
      <c r="LP291" s="145"/>
      <c r="LQ291" s="145"/>
      <c r="LR291" s="145"/>
      <c r="LS291" s="145"/>
      <c r="LT291" s="145"/>
      <c r="LU291" s="145"/>
      <c r="LV291" s="145"/>
      <c r="LW291" s="145"/>
      <c r="LX291" s="145"/>
      <c r="LY291" s="145"/>
      <c r="LZ291" s="145"/>
      <c r="MA291" s="145"/>
      <c r="MB291" s="145"/>
      <c r="MC291" s="145"/>
      <c r="MD291" s="145"/>
      <c r="ME291" s="145"/>
      <c r="MF291" s="145"/>
      <c r="MG291" s="145"/>
      <c r="MH291" s="145"/>
      <c r="MI291" s="145"/>
      <c r="MJ291" s="145"/>
      <c r="MK291" s="145"/>
      <c r="ML291" s="145"/>
      <c r="MM291" s="145"/>
      <c r="MN291" s="145"/>
      <c r="MO291" s="145"/>
      <c r="MP291" s="145"/>
      <c r="MQ291" s="145"/>
      <c r="MR291" s="145"/>
      <c r="MS291" s="145"/>
      <c r="MT291" s="145"/>
      <c r="MU291" s="145"/>
      <c r="MV291" s="145"/>
      <c r="MW291" s="145"/>
      <c r="MX291" s="145"/>
      <c r="MY291" s="145"/>
      <c r="MZ291" s="145"/>
      <c r="NA291" s="145"/>
      <c r="NB291" s="145"/>
      <c r="NC291" s="145"/>
      <c r="ND291" s="145"/>
      <c r="NE291" s="145"/>
      <c r="NF291" s="145"/>
      <c r="NG291" s="145"/>
      <c r="NH291" s="145"/>
      <c r="NI291" s="145"/>
      <c r="NJ291" s="145"/>
      <c r="NK291" s="145"/>
      <c r="NL291" s="145"/>
      <c r="NM291" s="145"/>
      <c r="NN291" s="145"/>
      <c r="NO291" s="145"/>
      <c r="NP291" s="145"/>
      <c r="NQ291" s="145"/>
      <c r="NR291" s="145"/>
      <c r="NS291" s="145"/>
    </row>
    <row r="292" spans="1:383" s="16" customFormat="1" ht="15" customHeight="1" x14ac:dyDescent="0.2">
      <c r="A292" s="15">
        <v>77405</v>
      </c>
      <c r="B292" s="25">
        <v>774</v>
      </c>
      <c r="C292" s="26">
        <v>5</v>
      </c>
      <c r="D292" s="20" t="s">
        <v>762</v>
      </c>
      <c r="E292" s="14">
        <v>41492</v>
      </c>
      <c r="F292" s="18">
        <v>7.8255987261394905E-2</v>
      </c>
      <c r="G292" s="18">
        <v>7.5299016676876801E-2</v>
      </c>
      <c r="H292" s="21">
        <v>99</v>
      </c>
      <c r="I292" s="21">
        <v>98</v>
      </c>
      <c r="J292" s="21">
        <v>98</v>
      </c>
      <c r="K292" s="18">
        <v>0.86</v>
      </c>
      <c r="L292" s="18">
        <v>6.56</v>
      </c>
      <c r="M292" s="18">
        <v>0.24</v>
      </c>
      <c r="N292" s="18">
        <v>3.0045801526717601E-2</v>
      </c>
      <c r="O292" s="18">
        <v>0.65600000000000003</v>
      </c>
      <c r="P292" s="18">
        <v>0</v>
      </c>
      <c r="Q292" s="19"/>
      <c r="R292" s="18">
        <v>76</v>
      </c>
      <c r="S292" s="18">
        <v>50</v>
      </c>
      <c r="T292" s="18">
        <v>50</v>
      </c>
      <c r="U292" s="18">
        <v>50</v>
      </c>
      <c r="V292" s="18">
        <v>50</v>
      </c>
      <c r="W292" s="18">
        <v>50</v>
      </c>
      <c r="X292" s="18"/>
      <c r="Y292" s="18">
        <v>5.1829268292682933</v>
      </c>
      <c r="Z292" s="18">
        <v>7.3170731707317076</v>
      </c>
      <c r="AA292" s="18">
        <v>7.4695121951219514</v>
      </c>
      <c r="AB292" s="18">
        <v>18.445121951219512</v>
      </c>
      <c r="AC292" s="18">
        <v>26.219512195121954</v>
      </c>
      <c r="AD292" s="18">
        <v>1.2195121951219499</v>
      </c>
      <c r="AE292" s="18">
        <v>0</v>
      </c>
      <c r="AF292" s="18">
        <v>11.000000000000002</v>
      </c>
      <c r="AG292" s="18">
        <v>2.0000000000000004</v>
      </c>
      <c r="AH292" s="18">
        <v>0</v>
      </c>
      <c r="AI292" s="18">
        <v>6</v>
      </c>
      <c r="AJ292" s="18">
        <v>0</v>
      </c>
      <c r="AK292" s="18">
        <v>0</v>
      </c>
      <c r="AL292" s="18"/>
      <c r="AM292" s="18">
        <v>3.6</v>
      </c>
      <c r="AN292" s="18">
        <v>0.7</v>
      </c>
      <c r="AO292" s="18">
        <v>0</v>
      </c>
      <c r="AP292" s="18">
        <v>2.4</v>
      </c>
      <c r="AQ292" s="18">
        <v>0.7</v>
      </c>
      <c r="AR292" s="18">
        <v>2</v>
      </c>
      <c r="AS292" s="18">
        <v>4.4000000000000004</v>
      </c>
      <c r="AT292" s="18">
        <v>1.1000000000000001</v>
      </c>
      <c r="AU292" s="18">
        <v>1.5</v>
      </c>
      <c r="AV292" s="18">
        <v>1.7</v>
      </c>
      <c r="AW292" s="18">
        <v>1.7</v>
      </c>
      <c r="AX292" s="18"/>
      <c r="AY292" s="18">
        <v>0.89</v>
      </c>
      <c r="AZ292" s="18">
        <v>1.06</v>
      </c>
      <c r="BA292" s="18">
        <v>1.04</v>
      </c>
      <c r="BB292" s="18">
        <v>1.01</v>
      </c>
      <c r="BC292" s="18">
        <v>1.08</v>
      </c>
      <c r="BD292" s="18">
        <v>1.05</v>
      </c>
      <c r="BE292" s="18">
        <v>1.0900000000000001</v>
      </c>
      <c r="BF292" s="18">
        <v>1.05</v>
      </c>
      <c r="BG292" s="18">
        <v>1.02</v>
      </c>
      <c r="BH292" s="18">
        <v>1.1200000000000001</v>
      </c>
      <c r="BI292" s="18">
        <v>1.05</v>
      </c>
      <c r="BJ292" s="19"/>
      <c r="BK292" s="18">
        <v>3.6585365853658538</v>
      </c>
      <c r="BL292" s="18">
        <v>0.45801526717557323</v>
      </c>
      <c r="BM292" s="18">
        <v>10.000000000000002</v>
      </c>
      <c r="BN292" s="18">
        <v>0</v>
      </c>
      <c r="BO292" s="18"/>
      <c r="BP292" s="18">
        <v>34</v>
      </c>
      <c r="BQ292" s="18">
        <v>1.5572519083969514</v>
      </c>
      <c r="BR292" s="18">
        <v>1.1929266350822394</v>
      </c>
      <c r="BS292" s="18">
        <v>1.1478508639767806</v>
      </c>
      <c r="BT292" s="19"/>
      <c r="BU292" s="18">
        <v>900</v>
      </c>
      <c r="BV292" s="18">
        <v>840.40742612442534</v>
      </c>
      <c r="BW292" s="18">
        <v>12.857142857142897</v>
      </c>
      <c r="BX292" s="18">
        <v>0</v>
      </c>
      <c r="BY292" s="18" t="s">
        <v>217</v>
      </c>
      <c r="BZ292" s="18">
        <v>0</v>
      </c>
      <c r="CA292" s="18">
        <v>0</v>
      </c>
      <c r="CB292" s="19"/>
      <c r="CC292" s="19">
        <v>0.33999999999999997</v>
      </c>
      <c r="CD292" s="19">
        <v>0.48</v>
      </c>
      <c r="CE292" s="19">
        <v>0.48999999999999994</v>
      </c>
      <c r="CF292" s="19">
        <v>1.21</v>
      </c>
      <c r="CG292" s="19">
        <v>1.72</v>
      </c>
      <c r="CH292" s="19">
        <v>7.9999999999999905E-2</v>
      </c>
      <c r="CI292" s="19">
        <v>0</v>
      </c>
      <c r="CJ292" s="19"/>
      <c r="CK292" s="19">
        <v>0.72160000000000002</v>
      </c>
      <c r="CL292" s="19">
        <v>0.13120000000000001</v>
      </c>
      <c r="CM292" s="19">
        <v>0</v>
      </c>
      <c r="CN292" s="19">
        <v>0.39359999999999995</v>
      </c>
      <c r="CO292" s="19">
        <v>0</v>
      </c>
      <c r="CP292" s="19">
        <v>0</v>
      </c>
      <c r="CQ292" s="19">
        <v>1.8240000000000001</v>
      </c>
      <c r="CR292" s="19">
        <v>23.308120743622798</v>
      </c>
      <c r="CS292" s="19">
        <v>0.7467921886256732</v>
      </c>
      <c r="CT292" s="19">
        <v>0.17294625591768117</v>
      </c>
      <c r="CU292" s="19">
        <v>0</v>
      </c>
      <c r="CV292" s="19">
        <v>0.17294625591768117</v>
      </c>
      <c r="CW292" s="19">
        <v>0.56498884682541661</v>
      </c>
      <c r="CX292" s="19">
        <v>0.17620939282178835</v>
      </c>
      <c r="CY292" s="19">
        <v>0.48947053561607873</v>
      </c>
      <c r="CZ292" s="19">
        <v>1.117857470864148</v>
      </c>
      <c r="DA292" s="19">
        <v>0.26920879458884334</v>
      </c>
      <c r="DB292" s="19">
        <v>0.35661424737742881</v>
      </c>
      <c r="DC292" s="19">
        <v>0.44378661895857813</v>
      </c>
      <c r="DD292" s="19">
        <v>0.8004008663360056</v>
      </c>
      <c r="DE292" s="19">
        <v>0.41604995527366695</v>
      </c>
      <c r="DF292" s="23">
        <v>0</v>
      </c>
      <c r="DG292" s="23">
        <v>0</v>
      </c>
      <c r="DH292" s="23">
        <v>0</v>
      </c>
      <c r="DI292" s="19">
        <v>0</v>
      </c>
      <c r="DJ292" s="19">
        <v>0</v>
      </c>
      <c r="DK292" s="19">
        <v>0</v>
      </c>
      <c r="DL292" s="19">
        <v>0</v>
      </c>
      <c r="DM292" s="19">
        <v>0</v>
      </c>
      <c r="DN292" s="19">
        <v>0</v>
      </c>
      <c r="DO292" s="19">
        <v>0</v>
      </c>
      <c r="DP292" s="19">
        <v>0</v>
      </c>
      <c r="DQ292" s="19">
        <v>0</v>
      </c>
      <c r="DR292" s="19">
        <v>0</v>
      </c>
      <c r="DS292" s="19">
        <v>0</v>
      </c>
      <c r="DT292" s="19">
        <v>0</v>
      </c>
      <c r="DU292" s="19">
        <v>0</v>
      </c>
      <c r="DV292" s="19">
        <v>0</v>
      </c>
      <c r="DW292" s="17" t="s">
        <v>748</v>
      </c>
      <c r="DX292" s="22">
        <v>16</v>
      </c>
      <c r="DY292" s="22">
        <v>16</v>
      </c>
      <c r="DZ292" s="22">
        <v>16</v>
      </c>
      <c r="EA292" s="22" t="s">
        <v>218</v>
      </c>
      <c r="EB292" s="22" t="s">
        <v>218</v>
      </c>
      <c r="EC292" s="22" t="s">
        <v>218</v>
      </c>
      <c r="ED292" s="22" t="s">
        <v>218</v>
      </c>
      <c r="EE292" s="22" t="s">
        <v>218</v>
      </c>
      <c r="EF292" s="22" t="s">
        <v>218</v>
      </c>
      <c r="EG292" s="22" t="s">
        <v>218</v>
      </c>
      <c r="EH292" s="22" t="s">
        <v>218</v>
      </c>
      <c r="EI292" s="22" t="s">
        <v>218</v>
      </c>
      <c r="EJ292" s="22" t="s">
        <v>218</v>
      </c>
      <c r="EK292" s="22" t="s">
        <v>218</v>
      </c>
      <c r="EL292" s="22" t="s">
        <v>218</v>
      </c>
      <c r="EM292" s="22" t="s">
        <v>218</v>
      </c>
      <c r="EN292" s="22" t="s">
        <v>218</v>
      </c>
      <c r="EO292" s="22" t="s">
        <v>218</v>
      </c>
      <c r="EP292" s="22" t="s">
        <v>218</v>
      </c>
      <c r="EQ292" s="22" t="s">
        <v>218</v>
      </c>
      <c r="ER292" s="22" t="s">
        <v>218</v>
      </c>
      <c r="ES292" s="22">
        <v>16</v>
      </c>
      <c r="ET292" s="22">
        <v>16</v>
      </c>
      <c r="EU292" s="22">
        <v>16</v>
      </c>
      <c r="EV292" s="22">
        <v>16</v>
      </c>
      <c r="EW292" s="22">
        <v>16</v>
      </c>
      <c r="EX292" s="22">
        <v>16</v>
      </c>
      <c r="EY292" s="22" t="s">
        <v>218</v>
      </c>
      <c r="EZ292" s="22" t="s">
        <v>218</v>
      </c>
      <c r="FA292" s="22" t="s">
        <v>218</v>
      </c>
      <c r="FB292" s="22" t="s">
        <v>218</v>
      </c>
      <c r="FC292" s="22" t="s">
        <v>218</v>
      </c>
      <c r="FD292" s="22" t="s">
        <v>218</v>
      </c>
      <c r="FE292" s="22" t="s">
        <v>218</v>
      </c>
      <c r="FF292" s="22">
        <v>0.8</v>
      </c>
      <c r="FG292" s="22">
        <v>0.7</v>
      </c>
      <c r="FH292" s="22">
        <v>0.2</v>
      </c>
      <c r="FI292" s="22" t="s">
        <v>218</v>
      </c>
      <c r="FJ292" s="22" t="s">
        <v>218</v>
      </c>
      <c r="FK292" s="22" t="s">
        <v>218</v>
      </c>
      <c r="FL292" s="22" t="s">
        <v>218</v>
      </c>
      <c r="FM292" s="22" t="s">
        <v>218</v>
      </c>
      <c r="FN292" s="22" t="s">
        <v>218</v>
      </c>
      <c r="FO292" s="22" t="s">
        <v>218</v>
      </c>
      <c r="FP292" s="22" t="s">
        <v>218</v>
      </c>
      <c r="FQ292" s="22" t="s">
        <v>218</v>
      </c>
      <c r="FR292" s="22" t="s">
        <v>218</v>
      </c>
      <c r="FS292" s="22" t="s">
        <v>218</v>
      </c>
      <c r="FT292" s="22" t="s">
        <v>218</v>
      </c>
      <c r="FU292" s="22" t="s">
        <v>218</v>
      </c>
      <c r="FV292" s="22" t="s">
        <v>218</v>
      </c>
      <c r="FW292" s="22" t="s">
        <v>218</v>
      </c>
      <c r="FX292" s="22" t="s">
        <v>218</v>
      </c>
      <c r="FY292" s="22" t="s">
        <v>218</v>
      </c>
      <c r="FZ292" s="22" t="s">
        <v>218</v>
      </c>
      <c r="GA292" s="22">
        <v>0.4</v>
      </c>
      <c r="GB292" s="22">
        <v>0.8</v>
      </c>
      <c r="GC292" s="22">
        <v>0.8</v>
      </c>
      <c r="GD292" s="22">
        <v>0.8</v>
      </c>
      <c r="GE292" s="22">
        <v>2</v>
      </c>
      <c r="GF292" s="22">
        <v>0.1</v>
      </c>
      <c r="GG292" s="22" t="s">
        <v>218</v>
      </c>
      <c r="GH292" s="22" t="s">
        <v>218</v>
      </c>
      <c r="GI292" s="22" t="s">
        <v>218</v>
      </c>
      <c r="GJ292" s="22" t="s">
        <v>218</v>
      </c>
      <c r="GK292" s="22" t="s">
        <v>218</v>
      </c>
      <c r="GL292" s="22" t="s">
        <v>218</v>
      </c>
      <c r="GM292" s="22" t="s">
        <v>218</v>
      </c>
      <c r="GN292" s="22">
        <v>2016</v>
      </c>
      <c r="GO292" s="22">
        <v>2016</v>
      </c>
      <c r="GP292" s="22">
        <v>2016</v>
      </c>
      <c r="GQ292" s="22" t="s">
        <v>218</v>
      </c>
      <c r="GR292" s="22" t="s">
        <v>218</v>
      </c>
      <c r="GS292" s="22" t="s">
        <v>218</v>
      </c>
      <c r="GT292" s="22" t="s">
        <v>218</v>
      </c>
      <c r="GU292" s="22" t="s">
        <v>218</v>
      </c>
      <c r="GV292" s="22" t="s">
        <v>218</v>
      </c>
      <c r="GW292" s="22" t="s">
        <v>218</v>
      </c>
      <c r="GX292" s="22" t="s">
        <v>218</v>
      </c>
      <c r="GY292" s="22" t="s">
        <v>218</v>
      </c>
      <c r="GZ292" s="22" t="s">
        <v>218</v>
      </c>
      <c r="HA292" s="22" t="s">
        <v>218</v>
      </c>
      <c r="HB292" s="22" t="s">
        <v>218</v>
      </c>
      <c r="HC292" s="22" t="s">
        <v>218</v>
      </c>
      <c r="HD292" s="22" t="s">
        <v>218</v>
      </c>
      <c r="HE292" s="22" t="s">
        <v>218</v>
      </c>
      <c r="HF292" s="22" t="s">
        <v>218</v>
      </c>
      <c r="HG292" s="22" t="s">
        <v>218</v>
      </c>
      <c r="HH292" s="22" t="s">
        <v>218</v>
      </c>
      <c r="HI292" s="22">
        <v>2016</v>
      </c>
      <c r="HJ292" s="22">
        <v>2016</v>
      </c>
      <c r="HK292" s="22">
        <v>2016</v>
      </c>
      <c r="HL292" s="22">
        <v>2016</v>
      </c>
      <c r="HM292" s="860"/>
      <c r="HN292" s="860"/>
      <c r="HO292" s="860"/>
      <c r="HP292" s="860"/>
      <c r="HQ292" s="860"/>
      <c r="HR292" s="860"/>
      <c r="HS292" s="860"/>
      <c r="HT292" s="145"/>
      <c r="HU292" s="145" t="s">
        <v>1809</v>
      </c>
      <c r="HV292" s="22" t="s">
        <v>1989</v>
      </c>
      <c r="HW292" s="22" t="s">
        <v>755</v>
      </c>
      <c r="HX292" s="22" t="s">
        <v>750</v>
      </c>
      <c r="HY292" s="22" t="s">
        <v>751</v>
      </c>
      <c r="HZ292" s="19"/>
      <c r="IA292" s="19"/>
      <c r="IB292" s="621">
        <f>'background data'!$G$10</f>
        <v>0.47300000000000003</v>
      </c>
      <c r="IC292" s="621">
        <f>'background data'!$H$10</f>
        <v>0.13</v>
      </c>
      <c r="ID292" s="621">
        <f>'background data'!$J$10</f>
        <v>0.39100000000000001</v>
      </c>
      <c r="IE292" s="621">
        <f>'background data'!$L$10</f>
        <v>5.5E-2</v>
      </c>
      <c r="IF292" s="621">
        <f>'background data'!$M$10</f>
        <v>3.97</v>
      </c>
      <c r="IG292" s="621">
        <f>'background data'!$N$10</f>
        <v>4.5999999999999999E-3</v>
      </c>
      <c r="IH292" s="621">
        <f>'background data'!$O$10</f>
        <v>2.73</v>
      </c>
      <c r="II292" s="145"/>
      <c r="IJ292" s="145"/>
      <c r="IK292" s="145"/>
      <c r="IL292" s="145"/>
      <c r="IM292" s="145"/>
      <c r="IN292" s="145"/>
      <c r="IO292" s="145"/>
      <c r="IP292" s="145"/>
      <c r="IQ292" s="145"/>
      <c r="IR292" s="145"/>
      <c r="IS292" s="145"/>
      <c r="IT292" s="145"/>
      <c r="IU292" s="145"/>
      <c r="IV292" s="145"/>
      <c r="IW292" s="145"/>
      <c r="IX292" s="145"/>
      <c r="IY292" s="145"/>
      <c r="IZ292" s="145"/>
      <c r="JA292" s="145"/>
      <c r="JB292" s="145"/>
      <c r="JC292" s="145"/>
      <c r="JD292" s="145"/>
      <c r="JE292" s="145"/>
      <c r="JF292" s="145"/>
      <c r="JG292" s="145"/>
      <c r="JH292" s="145"/>
      <c r="JI292" s="145"/>
      <c r="JJ292" s="145"/>
      <c r="JK292" s="145"/>
      <c r="JL292" s="145"/>
      <c r="JM292" s="145"/>
      <c r="JN292" s="145"/>
      <c r="JO292" s="145"/>
      <c r="JP292" s="145"/>
      <c r="JQ292" s="145"/>
      <c r="JR292" s="145"/>
      <c r="JS292" s="145"/>
      <c r="JT292" s="145"/>
      <c r="JU292" s="145"/>
      <c r="JV292" s="145"/>
      <c r="JW292" s="145"/>
      <c r="JX292" s="145"/>
      <c r="JY292" s="145"/>
      <c r="JZ292" s="145"/>
      <c r="KA292" s="145"/>
      <c r="KB292" s="145"/>
      <c r="KC292" s="145"/>
      <c r="KD292" s="145"/>
      <c r="KE292" s="145"/>
      <c r="KF292" s="145"/>
      <c r="KG292" s="145"/>
      <c r="KH292" s="145"/>
      <c r="KI292" s="145"/>
      <c r="KJ292" s="145"/>
      <c r="KK292" s="145"/>
      <c r="KL292" s="145"/>
      <c r="KM292" s="145"/>
      <c r="KN292" s="145"/>
      <c r="KO292" s="145"/>
      <c r="KP292" s="145"/>
      <c r="KQ292" s="145"/>
      <c r="KR292" s="145"/>
      <c r="KS292" s="145"/>
      <c r="KT292" s="145"/>
      <c r="KU292" s="145"/>
      <c r="KV292" s="145"/>
      <c r="KW292" s="145"/>
      <c r="KX292" s="145"/>
      <c r="KY292" s="145"/>
      <c r="KZ292" s="145"/>
      <c r="LA292" s="145"/>
      <c r="LB292" s="145"/>
      <c r="LC292" s="145"/>
      <c r="LD292" s="145"/>
      <c r="LE292" s="145"/>
      <c r="LF292" s="145"/>
      <c r="LG292" s="145"/>
      <c r="LH292" s="145"/>
      <c r="LI292" s="145"/>
      <c r="LJ292" s="145"/>
      <c r="LK292" s="145"/>
      <c r="LL292" s="145"/>
      <c r="LM292" s="145"/>
      <c r="LN292" s="145"/>
      <c r="LO292" s="145"/>
      <c r="LP292" s="145"/>
      <c r="LQ292" s="145"/>
      <c r="LR292" s="145"/>
      <c r="LS292" s="145"/>
      <c r="LT292" s="145"/>
      <c r="LU292" s="145"/>
      <c r="LV292" s="145"/>
      <c r="LW292" s="145"/>
      <c r="LX292" s="145"/>
      <c r="LY292" s="145"/>
      <c r="LZ292" s="145"/>
      <c r="MA292" s="145"/>
      <c r="MB292" s="145"/>
      <c r="MC292" s="145"/>
      <c r="MD292" s="145"/>
      <c r="ME292" s="145"/>
      <c r="MF292" s="145"/>
      <c r="MG292" s="145"/>
      <c r="MH292" s="145"/>
      <c r="MI292" s="145"/>
      <c r="MJ292" s="145"/>
      <c r="MK292" s="145"/>
      <c r="ML292" s="145"/>
      <c r="MM292" s="145"/>
      <c r="MN292" s="145"/>
      <c r="MO292" s="145"/>
      <c r="MP292" s="145"/>
      <c r="MQ292" s="145"/>
      <c r="MR292" s="145"/>
      <c r="MS292" s="145"/>
      <c r="MT292" s="145"/>
      <c r="MU292" s="145"/>
      <c r="MV292" s="145"/>
      <c r="MW292" s="145"/>
      <c r="MX292" s="145"/>
      <c r="MY292" s="145"/>
      <c r="MZ292" s="145"/>
      <c r="NA292" s="145"/>
      <c r="NB292" s="145"/>
      <c r="NC292" s="145"/>
      <c r="ND292" s="145"/>
      <c r="NE292" s="145"/>
      <c r="NF292" s="145"/>
      <c r="NG292" s="145"/>
      <c r="NH292" s="145"/>
      <c r="NI292" s="145"/>
      <c r="NJ292" s="145"/>
      <c r="NK292" s="145"/>
      <c r="NL292" s="145"/>
      <c r="NM292" s="145"/>
      <c r="NN292" s="145"/>
      <c r="NO292" s="145"/>
      <c r="NP292" s="145"/>
      <c r="NQ292" s="145"/>
      <c r="NR292" s="145"/>
      <c r="NS292" s="145"/>
    </row>
    <row r="293" spans="1:383" s="16" customFormat="1" ht="15" customHeight="1" x14ac:dyDescent="0.2">
      <c r="A293" s="15">
        <v>77406</v>
      </c>
      <c r="B293" s="25">
        <v>774</v>
      </c>
      <c r="C293" s="26">
        <v>6</v>
      </c>
      <c r="D293" s="20" t="s">
        <v>763</v>
      </c>
      <c r="E293" s="14">
        <v>41492</v>
      </c>
      <c r="F293" s="18">
        <v>9.4047886991869598E-2</v>
      </c>
      <c r="G293" s="18">
        <v>9.0473333111687898E-2</v>
      </c>
      <c r="H293" s="21">
        <v>99</v>
      </c>
      <c r="I293" s="21">
        <v>98</v>
      </c>
      <c r="J293" s="21">
        <v>98</v>
      </c>
      <c r="K293" s="18">
        <v>0.86</v>
      </c>
      <c r="L293" s="18">
        <v>7.42</v>
      </c>
      <c r="M293" s="18">
        <v>0.65</v>
      </c>
      <c r="N293" s="18">
        <v>0.35</v>
      </c>
      <c r="O293" s="18">
        <v>0.74199999999999999</v>
      </c>
      <c r="P293" s="18">
        <v>0</v>
      </c>
      <c r="Q293" s="19"/>
      <c r="R293" s="18">
        <v>76</v>
      </c>
      <c r="S293" s="18">
        <v>50</v>
      </c>
      <c r="T293" s="18">
        <v>50</v>
      </c>
      <c r="U293" s="18">
        <v>50</v>
      </c>
      <c r="V293" s="18">
        <v>50</v>
      </c>
      <c r="W293" s="18">
        <v>50</v>
      </c>
      <c r="X293" s="18"/>
      <c r="Y293" s="18">
        <v>7.2776280323450138</v>
      </c>
      <c r="Z293" s="18">
        <v>7.4123989218328852</v>
      </c>
      <c r="AA293" s="18">
        <v>6.0646900269541781</v>
      </c>
      <c r="AB293" s="18">
        <v>15.768194070080861</v>
      </c>
      <c r="AC293" s="18">
        <v>24.393530997304584</v>
      </c>
      <c r="AD293" s="18">
        <v>1.3477088948787064</v>
      </c>
      <c r="AE293" s="18">
        <v>0</v>
      </c>
      <c r="AF293" s="18">
        <v>11</v>
      </c>
      <c r="AG293" s="18">
        <v>2</v>
      </c>
      <c r="AH293" s="18">
        <v>0</v>
      </c>
      <c r="AI293" s="18">
        <v>6</v>
      </c>
      <c r="AJ293" s="18">
        <v>0</v>
      </c>
      <c r="AK293" s="18">
        <v>0</v>
      </c>
      <c r="AL293" s="18"/>
      <c r="AM293" s="18">
        <v>3.6</v>
      </c>
      <c r="AN293" s="18">
        <v>0.7</v>
      </c>
      <c r="AO293" s="18">
        <v>0</v>
      </c>
      <c r="AP293" s="18">
        <v>2.4</v>
      </c>
      <c r="AQ293" s="18">
        <v>0.7</v>
      </c>
      <c r="AR293" s="18">
        <v>2</v>
      </c>
      <c r="AS293" s="18">
        <v>4.4000000000000004</v>
      </c>
      <c r="AT293" s="18">
        <v>1.1000000000000001</v>
      </c>
      <c r="AU293" s="18">
        <v>1.5</v>
      </c>
      <c r="AV293" s="18">
        <v>1.7</v>
      </c>
      <c r="AW293" s="18">
        <v>1.7</v>
      </c>
      <c r="AX293" s="18"/>
      <c r="AY293" s="18">
        <v>0.89</v>
      </c>
      <c r="AZ293" s="18">
        <v>1.06</v>
      </c>
      <c r="BA293" s="18">
        <v>1.04</v>
      </c>
      <c r="BB293" s="18">
        <v>1.01</v>
      </c>
      <c r="BC293" s="18">
        <v>1.08</v>
      </c>
      <c r="BD293" s="18">
        <v>1.05</v>
      </c>
      <c r="BE293" s="18">
        <v>1.0900000000000001</v>
      </c>
      <c r="BF293" s="18">
        <v>1.05</v>
      </c>
      <c r="BG293" s="18">
        <v>1.02</v>
      </c>
      <c r="BH293" s="18">
        <v>1.1200000000000001</v>
      </c>
      <c r="BI293" s="18">
        <v>1.05</v>
      </c>
      <c r="BJ293" s="19"/>
      <c r="BK293" s="18">
        <v>8.7601078167115904</v>
      </c>
      <c r="BL293" s="18">
        <v>4.7169811320754711</v>
      </c>
      <c r="BM293" s="18">
        <v>10</v>
      </c>
      <c r="BN293" s="18">
        <v>0</v>
      </c>
      <c r="BO293" s="18"/>
      <c r="BP293" s="18">
        <v>34</v>
      </c>
      <c r="BQ293" s="18">
        <v>16.037735849056602</v>
      </c>
      <c r="BR293" s="18">
        <v>1.2674917384349003</v>
      </c>
      <c r="BS293" s="18">
        <v>1.2193171578394595</v>
      </c>
      <c r="BT293" s="19"/>
      <c r="BU293" s="18">
        <v>900</v>
      </c>
      <c r="BV293" s="18">
        <v>752.67115902964963</v>
      </c>
      <c r="BW293" s="18">
        <v>12.857142857142897</v>
      </c>
      <c r="BX293" s="18">
        <v>0</v>
      </c>
      <c r="BY293" s="18" t="s">
        <v>217</v>
      </c>
      <c r="BZ293" s="18">
        <v>0</v>
      </c>
      <c r="CA293" s="18">
        <v>0</v>
      </c>
      <c r="CB293" s="19"/>
      <c r="CC293" s="19">
        <v>0.54</v>
      </c>
      <c r="CD293" s="19">
        <v>0.55000000000000004</v>
      </c>
      <c r="CE293" s="19">
        <v>0.45</v>
      </c>
      <c r="CF293" s="19">
        <v>1.17</v>
      </c>
      <c r="CG293" s="19">
        <v>1.8100000000000003</v>
      </c>
      <c r="CH293" s="19">
        <v>0.10000000000000002</v>
      </c>
      <c r="CI293" s="19">
        <v>0</v>
      </c>
      <c r="CJ293" s="19"/>
      <c r="CK293" s="19">
        <v>0.81620000000000004</v>
      </c>
      <c r="CL293" s="19">
        <v>0.1484</v>
      </c>
      <c r="CM293" s="19">
        <v>0</v>
      </c>
      <c r="CN293" s="19">
        <v>0.44520000000000004</v>
      </c>
      <c r="CO293" s="19">
        <v>0</v>
      </c>
      <c r="CP293" s="19">
        <v>0</v>
      </c>
      <c r="CQ293" s="19">
        <v>4.9400000000000004</v>
      </c>
      <c r="CR293" s="19">
        <v>52.526432629231337</v>
      </c>
      <c r="CS293" s="19">
        <v>1.6829469014405718</v>
      </c>
      <c r="CT293" s="19">
        <v>0.38974613010889647</v>
      </c>
      <c r="CU293" s="19">
        <v>0</v>
      </c>
      <c r="CV293" s="19">
        <v>0.38974613010889647</v>
      </c>
      <c r="CW293" s="19">
        <v>1.2732407269325674</v>
      </c>
      <c r="CX293" s="19">
        <v>0.3970998306769889</v>
      </c>
      <c r="CY293" s="19">
        <v>1.1030550852138579</v>
      </c>
      <c r="CZ293" s="19">
        <v>2.5191677088979345</v>
      </c>
      <c r="DA293" s="19">
        <v>0.60668029686762182</v>
      </c>
      <c r="DB293" s="19">
        <v>0.80365441922723935</v>
      </c>
      <c r="DC293" s="19">
        <v>1.0001032772605645</v>
      </c>
      <c r="DD293" s="19">
        <v>1.8037576964878039</v>
      </c>
      <c r="DE293" s="19">
        <v>0.93759682243177922</v>
      </c>
      <c r="DF293" s="23">
        <v>0</v>
      </c>
      <c r="DG293" s="23">
        <v>0</v>
      </c>
      <c r="DH293" s="23">
        <v>0</v>
      </c>
      <c r="DI293" s="19">
        <v>0</v>
      </c>
      <c r="DJ293" s="19">
        <v>0</v>
      </c>
      <c r="DK293" s="19">
        <v>0</v>
      </c>
      <c r="DL293" s="19">
        <v>0</v>
      </c>
      <c r="DM293" s="19">
        <v>0</v>
      </c>
      <c r="DN293" s="19">
        <v>0</v>
      </c>
      <c r="DO293" s="19">
        <v>0</v>
      </c>
      <c r="DP293" s="19">
        <v>0</v>
      </c>
      <c r="DQ293" s="19">
        <v>0</v>
      </c>
      <c r="DR293" s="19">
        <v>0</v>
      </c>
      <c r="DS293" s="19">
        <v>0</v>
      </c>
      <c r="DT293" s="19">
        <v>0</v>
      </c>
      <c r="DU293" s="19">
        <v>0</v>
      </c>
      <c r="DV293" s="19">
        <v>0</v>
      </c>
      <c r="DW293" s="17" t="s">
        <v>748</v>
      </c>
      <c r="DX293" s="22">
        <v>9</v>
      </c>
      <c r="DY293" s="22">
        <v>9</v>
      </c>
      <c r="DZ293" s="22">
        <v>9</v>
      </c>
      <c r="EA293" s="22" t="s">
        <v>218</v>
      </c>
      <c r="EB293" s="22" t="s">
        <v>218</v>
      </c>
      <c r="EC293" s="22" t="s">
        <v>218</v>
      </c>
      <c r="ED293" s="22" t="s">
        <v>218</v>
      </c>
      <c r="EE293" s="22" t="s">
        <v>218</v>
      </c>
      <c r="EF293" s="22" t="s">
        <v>218</v>
      </c>
      <c r="EG293" s="22" t="s">
        <v>218</v>
      </c>
      <c r="EH293" s="22" t="s">
        <v>218</v>
      </c>
      <c r="EI293" s="22" t="s">
        <v>218</v>
      </c>
      <c r="EJ293" s="22" t="s">
        <v>218</v>
      </c>
      <c r="EK293" s="22" t="s">
        <v>218</v>
      </c>
      <c r="EL293" s="22" t="s">
        <v>218</v>
      </c>
      <c r="EM293" s="22" t="s">
        <v>218</v>
      </c>
      <c r="EN293" s="22" t="s">
        <v>218</v>
      </c>
      <c r="EO293" s="22" t="s">
        <v>218</v>
      </c>
      <c r="EP293" s="22" t="s">
        <v>218</v>
      </c>
      <c r="EQ293" s="22" t="s">
        <v>218</v>
      </c>
      <c r="ER293" s="22" t="s">
        <v>218</v>
      </c>
      <c r="ES293" s="22">
        <v>9</v>
      </c>
      <c r="ET293" s="22">
        <v>9</v>
      </c>
      <c r="EU293" s="22">
        <v>8</v>
      </c>
      <c r="EV293" s="22">
        <v>8</v>
      </c>
      <c r="EW293" s="22">
        <v>9</v>
      </c>
      <c r="EX293" s="22">
        <v>9</v>
      </c>
      <c r="EY293" s="22" t="s">
        <v>218</v>
      </c>
      <c r="EZ293" s="22" t="s">
        <v>218</v>
      </c>
      <c r="FA293" s="22" t="s">
        <v>218</v>
      </c>
      <c r="FB293" s="22" t="s">
        <v>218</v>
      </c>
      <c r="FC293" s="22" t="s">
        <v>218</v>
      </c>
      <c r="FD293" s="22" t="s">
        <v>218</v>
      </c>
      <c r="FE293" s="22" t="s">
        <v>218</v>
      </c>
      <c r="FF293" s="22">
        <v>0.4</v>
      </c>
      <c r="FG293" s="22">
        <v>3.4</v>
      </c>
      <c r="FH293" s="22">
        <v>5.3</v>
      </c>
      <c r="FI293" s="22" t="s">
        <v>218</v>
      </c>
      <c r="FJ293" s="22" t="s">
        <v>218</v>
      </c>
      <c r="FK293" s="22" t="s">
        <v>218</v>
      </c>
      <c r="FL293" s="22" t="s">
        <v>218</v>
      </c>
      <c r="FM293" s="22" t="s">
        <v>218</v>
      </c>
      <c r="FN293" s="22" t="s">
        <v>218</v>
      </c>
      <c r="FO293" s="22" t="s">
        <v>218</v>
      </c>
      <c r="FP293" s="22" t="s">
        <v>218</v>
      </c>
      <c r="FQ293" s="22" t="s">
        <v>218</v>
      </c>
      <c r="FR293" s="22" t="s">
        <v>218</v>
      </c>
      <c r="FS293" s="22" t="s">
        <v>218</v>
      </c>
      <c r="FT293" s="22" t="s">
        <v>218</v>
      </c>
      <c r="FU293" s="22" t="s">
        <v>218</v>
      </c>
      <c r="FV293" s="22" t="s">
        <v>218</v>
      </c>
      <c r="FW293" s="22" t="s">
        <v>218</v>
      </c>
      <c r="FX293" s="22" t="s">
        <v>218</v>
      </c>
      <c r="FY293" s="22" t="s">
        <v>218</v>
      </c>
      <c r="FZ293" s="22" t="s">
        <v>218</v>
      </c>
      <c r="GA293" s="22">
        <v>3</v>
      </c>
      <c r="GB293" s="22">
        <v>1.5</v>
      </c>
      <c r="GC293" s="22">
        <v>20.7</v>
      </c>
      <c r="GD293" s="22">
        <v>41.9</v>
      </c>
      <c r="GE293" s="22">
        <v>2.9</v>
      </c>
      <c r="GF293" s="22">
        <v>0.2</v>
      </c>
      <c r="GG293" s="22" t="s">
        <v>218</v>
      </c>
      <c r="GH293" s="22" t="s">
        <v>218</v>
      </c>
      <c r="GI293" s="22" t="s">
        <v>218</v>
      </c>
      <c r="GJ293" s="22" t="s">
        <v>218</v>
      </c>
      <c r="GK293" s="22" t="s">
        <v>218</v>
      </c>
      <c r="GL293" s="22" t="s">
        <v>218</v>
      </c>
      <c r="GM293" s="22" t="s">
        <v>218</v>
      </c>
      <c r="GN293" s="22">
        <v>2016</v>
      </c>
      <c r="GO293" s="22">
        <v>2016</v>
      </c>
      <c r="GP293" s="22">
        <v>2016</v>
      </c>
      <c r="GQ293" s="22" t="s">
        <v>218</v>
      </c>
      <c r="GR293" s="22" t="s">
        <v>218</v>
      </c>
      <c r="GS293" s="22" t="s">
        <v>218</v>
      </c>
      <c r="GT293" s="22" t="s">
        <v>218</v>
      </c>
      <c r="GU293" s="22" t="s">
        <v>218</v>
      </c>
      <c r="GV293" s="22" t="s">
        <v>218</v>
      </c>
      <c r="GW293" s="22" t="s">
        <v>218</v>
      </c>
      <c r="GX293" s="22" t="s">
        <v>218</v>
      </c>
      <c r="GY293" s="22" t="s">
        <v>218</v>
      </c>
      <c r="GZ293" s="22" t="s">
        <v>218</v>
      </c>
      <c r="HA293" s="22" t="s">
        <v>218</v>
      </c>
      <c r="HB293" s="22" t="s">
        <v>218</v>
      </c>
      <c r="HC293" s="22" t="s">
        <v>218</v>
      </c>
      <c r="HD293" s="22" t="s">
        <v>218</v>
      </c>
      <c r="HE293" s="22" t="s">
        <v>218</v>
      </c>
      <c r="HF293" s="22" t="s">
        <v>218</v>
      </c>
      <c r="HG293" s="22" t="s">
        <v>218</v>
      </c>
      <c r="HH293" s="22" t="s">
        <v>218</v>
      </c>
      <c r="HI293" s="22">
        <v>2016</v>
      </c>
      <c r="HJ293" s="22">
        <v>2016</v>
      </c>
      <c r="HK293" s="22">
        <v>2016</v>
      </c>
      <c r="HL293" s="22">
        <v>2016</v>
      </c>
      <c r="HM293" s="860"/>
      <c r="HN293" s="860"/>
      <c r="HO293" s="860"/>
      <c r="HP293" s="860"/>
      <c r="HQ293" s="860"/>
      <c r="HR293" s="860"/>
      <c r="HS293" s="860"/>
      <c r="HT293" s="145"/>
      <c r="HU293" s="145" t="s">
        <v>1809</v>
      </c>
      <c r="HV293" s="22" t="s">
        <v>1989</v>
      </c>
      <c r="HW293" s="22" t="s">
        <v>755</v>
      </c>
      <c r="HX293" s="22" t="s">
        <v>750</v>
      </c>
      <c r="HY293" s="22" t="s">
        <v>751</v>
      </c>
      <c r="HZ293" s="19"/>
      <c r="IA293" s="19"/>
      <c r="IB293" s="621">
        <f>'background data'!$G$10</f>
        <v>0.47300000000000003</v>
      </c>
      <c r="IC293" s="621">
        <f>'background data'!$H$10</f>
        <v>0.13</v>
      </c>
      <c r="ID293" s="621">
        <f>'background data'!$J$10</f>
        <v>0.39100000000000001</v>
      </c>
      <c r="IE293" s="621">
        <f>'background data'!$L$10</f>
        <v>5.5E-2</v>
      </c>
      <c r="IF293" s="621">
        <f>'background data'!$M$10</f>
        <v>3.97</v>
      </c>
      <c r="IG293" s="621">
        <f>'background data'!$N$10</f>
        <v>4.5999999999999999E-3</v>
      </c>
      <c r="IH293" s="621">
        <f>'background data'!$O$10</f>
        <v>2.73</v>
      </c>
      <c r="II293" s="145"/>
      <c r="IJ293" s="145"/>
      <c r="IK293" s="145"/>
      <c r="IL293" s="145"/>
      <c r="IM293" s="145"/>
      <c r="IN293" s="145"/>
      <c r="IO293" s="145"/>
      <c r="IP293" s="145"/>
      <c r="IQ293" s="145"/>
      <c r="IR293" s="145"/>
      <c r="IS293" s="145"/>
      <c r="IT293" s="145"/>
      <c r="IU293" s="145"/>
      <c r="IV293" s="145"/>
      <c r="IW293" s="145"/>
      <c r="IX293" s="145"/>
      <c r="IY293" s="145"/>
      <c r="IZ293" s="145"/>
      <c r="JA293" s="145"/>
      <c r="JB293" s="145"/>
      <c r="JC293" s="145"/>
      <c r="JD293" s="145"/>
      <c r="JE293" s="145"/>
      <c r="JF293" s="145"/>
      <c r="JG293" s="145"/>
      <c r="JH293" s="145"/>
      <c r="JI293" s="145"/>
      <c r="JJ293" s="145"/>
      <c r="JK293" s="145"/>
      <c r="JL293" s="145"/>
      <c r="JM293" s="145"/>
      <c r="JN293" s="145"/>
      <c r="JO293" s="145"/>
      <c r="JP293" s="145"/>
      <c r="JQ293" s="145"/>
      <c r="JR293" s="145"/>
      <c r="JS293" s="145"/>
      <c r="JT293" s="145"/>
      <c r="JU293" s="145"/>
      <c r="JV293" s="145"/>
      <c r="JW293" s="145"/>
      <c r="JX293" s="145"/>
      <c r="JY293" s="145"/>
      <c r="JZ293" s="145"/>
      <c r="KA293" s="145"/>
      <c r="KB293" s="145"/>
      <c r="KC293" s="145"/>
      <c r="KD293" s="145"/>
      <c r="KE293" s="145"/>
      <c r="KF293" s="145"/>
      <c r="KG293" s="145"/>
      <c r="KH293" s="145"/>
      <c r="KI293" s="145"/>
      <c r="KJ293" s="145"/>
      <c r="KK293" s="145"/>
      <c r="KL293" s="145"/>
      <c r="KM293" s="145"/>
      <c r="KN293" s="145"/>
      <c r="KO293" s="145"/>
      <c r="KP293" s="145"/>
      <c r="KQ293" s="145"/>
      <c r="KR293" s="145"/>
      <c r="KS293" s="145"/>
      <c r="KT293" s="145"/>
      <c r="KU293" s="145"/>
      <c r="KV293" s="145"/>
      <c r="KW293" s="145"/>
      <c r="KX293" s="145"/>
      <c r="KY293" s="145"/>
      <c r="KZ293" s="145"/>
      <c r="LA293" s="145"/>
      <c r="LB293" s="145"/>
      <c r="LC293" s="145"/>
      <c r="LD293" s="145"/>
      <c r="LE293" s="145"/>
      <c r="LF293" s="145"/>
      <c r="LG293" s="145"/>
      <c r="LH293" s="145"/>
      <c r="LI293" s="145"/>
      <c r="LJ293" s="145"/>
      <c r="LK293" s="145"/>
      <c r="LL293" s="145"/>
      <c r="LM293" s="145"/>
      <c r="LN293" s="145"/>
      <c r="LO293" s="145"/>
      <c r="LP293" s="145"/>
      <c r="LQ293" s="145"/>
      <c r="LR293" s="145"/>
      <c r="LS293" s="145"/>
      <c r="LT293" s="145"/>
      <c r="LU293" s="145"/>
      <c r="LV293" s="145"/>
      <c r="LW293" s="145"/>
      <c r="LX293" s="145"/>
      <c r="LY293" s="145"/>
      <c r="LZ293" s="145"/>
      <c r="MA293" s="145"/>
      <c r="MB293" s="145"/>
      <c r="MC293" s="145"/>
      <c r="MD293" s="145"/>
      <c r="ME293" s="145"/>
      <c r="MF293" s="145"/>
      <c r="MG293" s="145"/>
      <c r="MH293" s="145"/>
      <c r="MI293" s="145"/>
      <c r="MJ293" s="145"/>
      <c r="MK293" s="145"/>
      <c r="ML293" s="145"/>
      <c r="MM293" s="145"/>
      <c r="MN293" s="145"/>
      <c r="MO293" s="145"/>
      <c r="MP293" s="145"/>
      <c r="MQ293" s="145"/>
      <c r="MR293" s="145"/>
      <c r="MS293" s="145"/>
      <c r="MT293" s="145"/>
      <c r="MU293" s="145"/>
      <c r="MV293" s="145"/>
      <c r="MW293" s="145"/>
      <c r="MX293" s="145"/>
      <c r="MY293" s="145"/>
      <c r="MZ293" s="145"/>
      <c r="NA293" s="145"/>
      <c r="NB293" s="145"/>
      <c r="NC293" s="145"/>
      <c r="ND293" s="145"/>
      <c r="NE293" s="145"/>
      <c r="NF293" s="145"/>
      <c r="NG293" s="145"/>
      <c r="NH293" s="145"/>
      <c r="NI293" s="145"/>
      <c r="NJ293" s="145"/>
      <c r="NK293" s="145"/>
      <c r="NL293" s="145"/>
      <c r="NM293" s="145"/>
      <c r="NN293" s="145"/>
      <c r="NO293" s="145"/>
      <c r="NP293" s="145"/>
      <c r="NQ293" s="145"/>
      <c r="NR293" s="145"/>
      <c r="NS293" s="145"/>
    </row>
    <row r="294" spans="1:383" s="16" customFormat="1" ht="15" customHeight="1" x14ac:dyDescent="0.2">
      <c r="A294" s="15">
        <v>77402</v>
      </c>
      <c r="B294" s="25">
        <v>774</v>
      </c>
      <c r="C294" s="26">
        <v>2</v>
      </c>
      <c r="D294" s="20" t="s">
        <v>764</v>
      </c>
      <c r="E294" s="14">
        <v>42691</v>
      </c>
      <c r="F294" s="18">
        <v>8.5216744936701394E-2</v>
      </c>
      <c r="G294" s="18">
        <v>8.1997048475510106E-2</v>
      </c>
      <c r="H294" s="21">
        <v>99</v>
      </c>
      <c r="I294" s="21">
        <v>98</v>
      </c>
      <c r="J294" s="21">
        <v>98</v>
      </c>
      <c r="K294" s="18">
        <v>0.86</v>
      </c>
      <c r="L294" s="18">
        <v>7.1500000000000101</v>
      </c>
      <c r="M294" s="18">
        <v>0.40755000000000102</v>
      </c>
      <c r="N294" s="18">
        <v>4.2900000000000098E-2</v>
      </c>
      <c r="O294" s="18">
        <v>0.71500000000000097</v>
      </c>
      <c r="P294" s="18">
        <v>0</v>
      </c>
      <c r="Q294" s="19"/>
      <c r="R294" s="18">
        <v>76</v>
      </c>
      <c r="S294" s="18">
        <v>50</v>
      </c>
      <c r="T294" s="18">
        <v>50</v>
      </c>
      <c r="U294" s="18">
        <v>50</v>
      </c>
      <c r="V294" s="18">
        <v>50</v>
      </c>
      <c r="W294" s="18">
        <v>50</v>
      </c>
      <c r="X294" s="18"/>
      <c r="Y294" s="18">
        <v>17.099999999999977</v>
      </c>
      <c r="Z294" s="18">
        <v>9.6</v>
      </c>
      <c r="AA294" s="18">
        <v>16.799999999999976</v>
      </c>
      <c r="AB294" s="18">
        <v>59.800000000000054</v>
      </c>
      <c r="AC294" s="18">
        <v>27.999999999999957</v>
      </c>
      <c r="AD294" s="18">
        <v>2.099999999999997</v>
      </c>
      <c r="AE294" s="18">
        <v>0</v>
      </c>
      <c r="AF294" s="18">
        <v>10.999999999999996</v>
      </c>
      <c r="AG294" s="18">
        <v>1.9999999999999971</v>
      </c>
      <c r="AH294" s="18">
        <v>0</v>
      </c>
      <c r="AI294" s="18">
        <v>6.0000000000000053</v>
      </c>
      <c r="AJ294" s="18">
        <v>0</v>
      </c>
      <c r="AK294" s="18">
        <v>0</v>
      </c>
      <c r="AL294" s="18"/>
      <c r="AM294" s="18">
        <v>3.6</v>
      </c>
      <c r="AN294" s="18">
        <v>0.7</v>
      </c>
      <c r="AO294" s="18">
        <v>0</v>
      </c>
      <c r="AP294" s="18">
        <v>2.4</v>
      </c>
      <c r="AQ294" s="18">
        <v>0.7</v>
      </c>
      <c r="AR294" s="18">
        <v>2</v>
      </c>
      <c r="AS294" s="18">
        <v>4.4000000000000004</v>
      </c>
      <c r="AT294" s="18">
        <v>1.1000000000000001</v>
      </c>
      <c r="AU294" s="18">
        <v>1.5</v>
      </c>
      <c r="AV294" s="18">
        <v>1.7</v>
      </c>
      <c r="AW294" s="18">
        <v>1.7</v>
      </c>
      <c r="AX294" s="18"/>
      <c r="AY294" s="18">
        <v>0.89</v>
      </c>
      <c r="AZ294" s="18">
        <v>1.06</v>
      </c>
      <c r="BA294" s="18">
        <v>1.04</v>
      </c>
      <c r="BB294" s="18">
        <v>1.01</v>
      </c>
      <c r="BC294" s="18">
        <v>1.08</v>
      </c>
      <c r="BD294" s="18">
        <v>1.05</v>
      </c>
      <c r="BE294" s="18">
        <v>1.0900000000000001</v>
      </c>
      <c r="BF294" s="18">
        <v>1.05</v>
      </c>
      <c r="BG294" s="18">
        <v>1.02</v>
      </c>
      <c r="BH294" s="18">
        <v>1.1200000000000001</v>
      </c>
      <c r="BI294" s="18">
        <v>1.05</v>
      </c>
      <c r="BJ294" s="19"/>
      <c r="BK294" s="18">
        <v>5.7000000000000064</v>
      </c>
      <c r="BL294" s="18">
        <v>0.60000000000000053</v>
      </c>
      <c r="BM294" s="18">
        <v>10</v>
      </c>
      <c r="BN294" s="18">
        <v>0</v>
      </c>
      <c r="BO294" s="18"/>
      <c r="BP294" s="18">
        <v>34</v>
      </c>
      <c r="BQ294" s="18">
        <v>2.0399999999999969</v>
      </c>
      <c r="BR294" s="18">
        <v>1.1918425865272906</v>
      </c>
      <c r="BS294" s="18">
        <v>1.1468118667903495</v>
      </c>
      <c r="BT294" s="19"/>
      <c r="BU294" s="18">
        <v>900</v>
      </c>
      <c r="BV294" s="18">
        <v>820.45285714285762</v>
      </c>
      <c r="BW294" s="18">
        <v>12.857142857142906</v>
      </c>
      <c r="BX294" s="18">
        <v>0</v>
      </c>
      <c r="BY294" s="18" t="s">
        <v>217</v>
      </c>
      <c r="BZ294" s="18">
        <v>0</v>
      </c>
      <c r="CA294" s="18">
        <v>0</v>
      </c>
      <c r="CB294" s="19"/>
      <c r="CC294" s="19">
        <v>1.22265</v>
      </c>
      <c r="CD294" s="19">
        <v>0.68640000000000101</v>
      </c>
      <c r="CE294" s="19">
        <v>1.2012</v>
      </c>
      <c r="CF294" s="19">
        <v>4.2757000000000103</v>
      </c>
      <c r="CG294" s="19">
        <v>2.0019999999999998</v>
      </c>
      <c r="CH294" s="19">
        <v>0.15015000000000001</v>
      </c>
      <c r="CI294" s="19">
        <v>0</v>
      </c>
      <c r="CJ294" s="19"/>
      <c r="CK294" s="19">
        <v>0.78650000000000087</v>
      </c>
      <c r="CL294" s="19">
        <v>0.14300000000000002</v>
      </c>
      <c r="CM294" s="19">
        <v>0</v>
      </c>
      <c r="CN294" s="19">
        <v>0.42900000000000099</v>
      </c>
      <c r="CO294" s="19">
        <v>0</v>
      </c>
      <c r="CP294" s="19">
        <v>0</v>
      </c>
      <c r="CQ294" s="19">
        <v>3.0973799999999998</v>
      </c>
      <c r="CR294" s="19">
        <v>36.347081812391679</v>
      </c>
      <c r="CS294" s="19">
        <v>1.1645605012690305</v>
      </c>
      <c r="CT294" s="19">
        <v>0.26969534704794629</v>
      </c>
      <c r="CU294" s="19">
        <v>0</v>
      </c>
      <c r="CV294" s="19">
        <v>0.26969534704794629</v>
      </c>
      <c r="CW294" s="19">
        <v>0.88105326313237553</v>
      </c>
      <c r="CX294" s="19">
        <v>0.27478393850168109</v>
      </c>
      <c r="CY294" s="19">
        <v>0.76328871806022647</v>
      </c>
      <c r="CZ294" s="19">
        <v>1.7432060437223051</v>
      </c>
      <c r="DA294" s="19">
        <v>0.41980879493312506</v>
      </c>
      <c r="DB294" s="19">
        <v>0.55611035172959389</v>
      </c>
      <c r="DC294" s="19">
        <v>0.69204843770793878</v>
      </c>
      <c r="DD294" s="19">
        <v>1.2481587894375303</v>
      </c>
      <c r="DE294" s="19">
        <v>0.6487954103511927</v>
      </c>
      <c r="DF294" s="23">
        <v>0</v>
      </c>
      <c r="DG294" s="23">
        <v>0</v>
      </c>
      <c r="DH294" s="23">
        <v>0</v>
      </c>
      <c r="DI294" s="19">
        <v>0</v>
      </c>
      <c r="DJ294" s="19">
        <v>0</v>
      </c>
      <c r="DK294" s="19">
        <v>0</v>
      </c>
      <c r="DL294" s="19">
        <v>0</v>
      </c>
      <c r="DM294" s="19">
        <v>0</v>
      </c>
      <c r="DN294" s="19">
        <v>0</v>
      </c>
      <c r="DO294" s="19">
        <v>0</v>
      </c>
      <c r="DP294" s="19">
        <v>0</v>
      </c>
      <c r="DQ294" s="19">
        <v>0</v>
      </c>
      <c r="DR294" s="19">
        <v>0</v>
      </c>
      <c r="DS294" s="19">
        <v>0</v>
      </c>
      <c r="DT294" s="19">
        <v>0</v>
      </c>
      <c r="DU294" s="19">
        <v>0</v>
      </c>
      <c r="DV294" s="19">
        <v>0</v>
      </c>
      <c r="DW294" s="17" t="s">
        <v>748</v>
      </c>
      <c r="DX294" s="22">
        <v>14</v>
      </c>
      <c r="DY294" s="22">
        <v>14</v>
      </c>
      <c r="DZ294" s="22">
        <v>14</v>
      </c>
      <c r="EA294" s="22" t="s">
        <v>218</v>
      </c>
      <c r="EB294" s="22" t="s">
        <v>218</v>
      </c>
      <c r="EC294" s="22" t="s">
        <v>218</v>
      </c>
      <c r="ED294" s="22" t="s">
        <v>218</v>
      </c>
      <c r="EE294" s="22" t="s">
        <v>218</v>
      </c>
      <c r="EF294" s="22" t="s">
        <v>218</v>
      </c>
      <c r="EG294" s="22" t="s">
        <v>218</v>
      </c>
      <c r="EH294" s="22" t="s">
        <v>218</v>
      </c>
      <c r="EI294" s="22" t="s">
        <v>218</v>
      </c>
      <c r="EJ294" s="22" t="s">
        <v>218</v>
      </c>
      <c r="EK294" s="22" t="s">
        <v>218</v>
      </c>
      <c r="EL294" s="22" t="s">
        <v>218</v>
      </c>
      <c r="EM294" s="22" t="s">
        <v>218</v>
      </c>
      <c r="EN294" s="22" t="s">
        <v>218</v>
      </c>
      <c r="EO294" s="22" t="s">
        <v>218</v>
      </c>
      <c r="EP294" s="22" t="s">
        <v>218</v>
      </c>
      <c r="EQ294" s="22" t="s">
        <v>218</v>
      </c>
      <c r="ER294" s="22" t="s">
        <v>218</v>
      </c>
      <c r="ES294" s="22">
        <v>14</v>
      </c>
      <c r="ET294" s="22">
        <v>14</v>
      </c>
      <c r="EU294" s="22">
        <v>14</v>
      </c>
      <c r="EV294" s="22">
        <v>13</v>
      </c>
      <c r="EW294" s="22">
        <v>14</v>
      </c>
      <c r="EX294" s="22">
        <v>14</v>
      </c>
      <c r="EY294" s="22" t="s">
        <v>218</v>
      </c>
      <c r="EZ294" s="22" t="s">
        <v>218</v>
      </c>
      <c r="FA294" s="22" t="s">
        <v>218</v>
      </c>
      <c r="FB294" s="22" t="s">
        <v>218</v>
      </c>
      <c r="FC294" s="22" t="s">
        <v>218</v>
      </c>
      <c r="FD294" s="22" t="s">
        <v>218</v>
      </c>
      <c r="FE294" s="22" t="s">
        <v>218</v>
      </c>
      <c r="FF294" s="22">
        <v>0.7</v>
      </c>
      <c r="FG294" s="22">
        <v>2</v>
      </c>
      <c r="FH294" s="22">
        <v>0.4</v>
      </c>
      <c r="FI294" s="22" t="s">
        <v>218</v>
      </c>
      <c r="FJ294" s="22" t="s">
        <v>218</v>
      </c>
      <c r="FK294" s="22" t="s">
        <v>218</v>
      </c>
      <c r="FL294" s="22" t="s">
        <v>218</v>
      </c>
      <c r="FM294" s="22" t="s">
        <v>218</v>
      </c>
      <c r="FN294" s="22" t="s">
        <v>218</v>
      </c>
      <c r="FO294" s="22" t="s">
        <v>218</v>
      </c>
      <c r="FP294" s="22" t="s">
        <v>218</v>
      </c>
      <c r="FQ294" s="22" t="s">
        <v>218</v>
      </c>
      <c r="FR294" s="22" t="s">
        <v>218</v>
      </c>
      <c r="FS294" s="22" t="s">
        <v>218</v>
      </c>
      <c r="FT294" s="22" t="s">
        <v>218</v>
      </c>
      <c r="FU294" s="22" t="s">
        <v>218</v>
      </c>
      <c r="FV294" s="22" t="s">
        <v>218</v>
      </c>
      <c r="FW294" s="22" t="s">
        <v>218</v>
      </c>
      <c r="FX294" s="22" t="s">
        <v>218</v>
      </c>
      <c r="FY294" s="22" t="s">
        <v>218</v>
      </c>
      <c r="FZ294" s="22" t="s">
        <v>218</v>
      </c>
      <c r="GA294" s="22">
        <v>8.5</v>
      </c>
      <c r="GB294" s="22">
        <v>3.7</v>
      </c>
      <c r="GC294" s="22">
        <v>6.7</v>
      </c>
      <c r="GD294" s="22">
        <v>7.3</v>
      </c>
      <c r="GE294" s="22">
        <v>5.2</v>
      </c>
      <c r="GF294" s="22">
        <v>0.3</v>
      </c>
      <c r="GG294" s="22" t="s">
        <v>218</v>
      </c>
      <c r="GH294" s="22" t="s">
        <v>218</v>
      </c>
      <c r="GI294" s="22" t="s">
        <v>218</v>
      </c>
      <c r="GJ294" s="22" t="s">
        <v>218</v>
      </c>
      <c r="GK294" s="22" t="s">
        <v>218</v>
      </c>
      <c r="GL294" s="22" t="s">
        <v>218</v>
      </c>
      <c r="GM294" s="22" t="s">
        <v>218</v>
      </c>
      <c r="GN294" s="22">
        <v>2016</v>
      </c>
      <c r="GO294" s="22">
        <v>2016</v>
      </c>
      <c r="GP294" s="22">
        <v>2016</v>
      </c>
      <c r="GQ294" s="22" t="s">
        <v>218</v>
      </c>
      <c r="GR294" s="22" t="s">
        <v>218</v>
      </c>
      <c r="GS294" s="22" t="s">
        <v>218</v>
      </c>
      <c r="GT294" s="22" t="s">
        <v>218</v>
      </c>
      <c r="GU294" s="22" t="s">
        <v>218</v>
      </c>
      <c r="GV294" s="22" t="s">
        <v>218</v>
      </c>
      <c r="GW294" s="22" t="s">
        <v>218</v>
      </c>
      <c r="GX294" s="22" t="s">
        <v>218</v>
      </c>
      <c r="GY294" s="22" t="s">
        <v>218</v>
      </c>
      <c r="GZ294" s="22" t="s">
        <v>218</v>
      </c>
      <c r="HA294" s="22" t="s">
        <v>218</v>
      </c>
      <c r="HB294" s="22" t="s">
        <v>218</v>
      </c>
      <c r="HC294" s="22" t="s">
        <v>218</v>
      </c>
      <c r="HD294" s="22" t="s">
        <v>218</v>
      </c>
      <c r="HE294" s="22" t="s">
        <v>218</v>
      </c>
      <c r="HF294" s="22" t="s">
        <v>218</v>
      </c>
      <c r="HG294" s="22" t="s">
        <v>218</v>
      </c>
      <c r="HH294" s="22" t="s">
        <v>218</v>
      </c>
      <c r="HI294" s="22">
        <v>2016</v>
      </c>
      <c r="HJ294" s="22">
        <v>2016</v>
      </c>
      <c r="HK294" s="22">
        <v>2016</v>
      </c>
      <c r="HL294" s="22">
        <v>2016</v>
      </c>
      <c r="HM294" s="860"/>
      <c r="HN294" s="860"/>
      <c r="HO294" s="860"/>
      <c r="HP294" s="860"/>
      <c r="HQ294" s="860"/>
      <c r="HR294" s="860"/>
      <c r="HS294" s="860"/>
      <c r="HT294" s="145"/>
      <c r="HU294" s="145" t="s">
        <v>1809</v>
      </c>
      <c r="HV294" s="22" t="s">
        <v>1989</v>
      </c>
      <c r="HW294" s="22" t="s">
        <v>755</v>
      </c>
      <c r="HX294" s="22" t="s">
        <v>750</v>
      </c>
      <c r="HY294" s="22" t="s">
        <v>751</v>
      </c>
      <c r="HZ294" s="19"/>
      <c r="IA294" s="19"/>
      <c r="IB294" s="621">
        <f>'background data'!$G$10</f>
        <v>0.47300000000000003</v>
      </c>
      <c r="IC294" s="621">
        <f>'background data'!$H$10</f>
        <v>0.13</v>
      </c>
      <c r="ID294" s="621">
        <f>'background data'!$J$10</f>
        <v>0.39100000000000001</v>
      </c>
      <c r="IE294" s="621">
        <f>'background data'!$L$10</f>
        <v>5.5E-2</v>
      </c>
      <c r="IF294" s="621">
        <f>'background data'!$M$10</f>
        <v>3.97</v>
      </c>
      <c r="IG294" s="621">
        <f>'background data'!$N$10</f>
        <v>4.5999999999999999E-3</v>
      </c>
      <c r="IH294" s="621">
        <f>'background data'!$O$10</f>
        <v>2.73</v>
      </c>
      <c r="II294" s="145"/>
      <c r="IJ294" s="145"/>
      <c r="IK294" s="145"/>
      <c r="IL294" s="145"/>
      <c r="IM294" s="145"/>
      <c r="IN294" s="145"/>
      <c r="IO294" s="145"/>
      <c r="IP294" s="145"/>
      <c r="IQ294" s="145"/>
      <c r="IR294" s="145"/>
      <c r="IS294" s="145"/>
      <c r="IT294" s="145"/>
      <c r="IU294" s="145"/>
      <c r="IV294" s="145"/>
      <c r="IW294" s="145"/>
      <c r="IX294" s="145"/>
      <c r="IY294" s="145"/>
      <c r="IZ294" s="145"/>
      <c r="JA294" s="145"/>
      <c r="JB294" s="145"/>
      <c r="JC294" s="145"/>
      <c r="JD294" s="145"/>
      <c r="JE294" s="145"/>
      <c r="JF294" s="145"/>
      <c r="JG294" s="145"/>
      <c r="JH294" s="145"/>
      <c r="JI294" s="145"/>
      <c r="JJ294" s="145"/>
      <c r="JK294" s="145"/>
      <c r="JL294" s="145"/>
      <c r="JM294" s="145"/>
      <c r="JN294" s="145"/>
      <c r="JO294" s="145"/>
      <c r="JP294" s="145"/>
      <c r="JQ294" s="145"/>
      <c r="JR294" s="145"/>
      <c r="JS294" s="145"/>
      <c r="JT294" s="145"/>
      <c r="JU294" s="145"/>
      <c r="JV294" s="145"/>
      <c r="JW294" s="145"/>
      <c r="JX294" s="145"/>
      <c r="JY294" s="145"/>
      <c r="JZ294" s="145"/>
      <c r="KA294" s="145"/>
      <c r="KB294" s="145"/>
      <c r="KC294" s="145"/>
      <c r="KD294" s="145"/>
      <c r="KE294" s="145"/>
      <c r="KF294" s="145"/>
      <c r="KG294" s="145"/>
      <c r="KH294" s="145"/>
      <c r="KI294" s="145"/>
      <c r="KJ294" s="145"/>
      <c r="KK294" s="145"/>
      <c r="KL294" s="145"/>
      <c r="KM294" s="145"/>
      <c r="KN294" s="145"/>
      <c r="KO294" s="145"/>
      <c r="KP294" s="145"/>
      <c r="KQ294" s="145"/>
      <c r="KR294" s="145"/>
      <c r="KS294" s="145"/>
      <c r="KT294" s="145"/>
      <c r="KU294" s="145"/>
      <c r="KV294" s="145"/>
      <c r="KW294" s="145"/>
      <c r="KX294" s="145"/>
      <c r="KY294" s="145"/>
      <c r="KZ294" s="145"/>
      <c r="LA294" s="145"/>
      <c r="LB294" s="145"/>
      <c r="LC294" s="145"/>
      <c r="LD294" s="145"/>
      <c r="LE294" s="145"/>
      <c r="LF294" s="145"/>
      <c r="LG294" s="145"/>
      <c r="LH294" s="145"/>
      <c r="LI294" s="145"/>
      <c r="LJ294" s="145"/>
      <c r="LK294" s="145"/>
      <c r="LL294" s="145"/>
      <c r="LM294" s="145"/>
      <c r="LN294" s="145"/>
      <c r="LO294" s="145"/>
      <c r="LP294" s="145"/>
      <c r="LQ294" s="145"/>
      <c r="LR294" s="145"/>
      <c r="LS294" s="145"/>
      <c r="LT294" s="145"/>
      <c r="LU294" s="145"/>
      <c r="LV294" s="145"/>
      <c r="LW294" s="145"/>
      <c r="LX294" s="145"/>
      <c r="LY294" s="145"/>
      <c r="LZ294" s="145"/>
      <c r="MA294" s="145"/>
      <c r="MB294" s="145"/>
      <c r="MC294" s="145"/>
      <c r="MD294" s="145"/>
      <c r="ME294" s="145"/>
      <c r="MF294" s="145"/>
      <c r="MG294" s="145"/>
      <c r="MH294" s="145"/>
      <c r="MI294" s="145"/>
      <c r="MJ294" s="145"/>
      <c r="MK294" s="145"/>
      <c r="ML294" s="145"/>
      <c r="MM294" s="145"/>
      <c r="MN294" s="145"/>
      <c r="MO294" s="145"/>
      <c r="MP294" s="145"/>
      <c r="MQ294" s="145"/>
      <c r="MR294" s="145"/>
      <c r="MS294" s="145"/>
      <c r="MT294" s="145"/>
      <c r="MU294" s="145"/>
      <c r="MV294" s="145"/>
      <c r="MW294" s="145"/>
      <c r="MX294" s="145"/>
      <c r="MY294" s="145"/>
      <c r="MZ294" s="145"/>
      <c r="NA294" s="145"/>
      <c r="NB294" s="145"/>
      <c r="NC294" s="145"/>
      <c r="ND294" s="145"/>
      <c r="NE294" s="145"/>
      <c r="NF294" s="145"/>
      <c r="NG294" s="145"/>
      <c r="NH294" s="145"/>
      <c r="NI294" s="145"/>
      <c r="NJ294" s="145"/>
      <c r="NK294" s="145"/>
      <c r="NL294" s="145"/>
      <c r="NM294" s="145"/>
      <c r="NN294" s="145"/>
      <c r="NO294" s="145"/>
      <c r="NP294" s="145"/>
      <c r="NQ294" s="145"/>
      <c r="NR294" s="145"/>
      <c r="NS294" s="145"/>
    </row>
    <row r="295" spans="1:383" s="16" customFormat="1" ht="15" customHeight="1" x14ac:dyDescent="0.2">
      <c r="A295" s="15">
        <v>77410</v>
      </c>
      <c r="B295" s="25">
        <v>774</v>
      </c>
      <c r="C295" s="26">
        <v>10</v>
      </c>
      <c r="D295" s="20" t="s">
        <v>765</v>
      </c>
      <c r="E295" s="14">
        <v>42691</v>
      </c>
      <c r="F295" s="18">
        <v>8.4363473169173503E-2</v>
      </c>
      <c r="G295" s="18">
        <v>8.1170917645331395E-2</v>
      </c>
      <c r="H295" s="21">
        <v>99</v>
      </c>
      <c r="I295" s="21">
        <v>98</v>
      </c>
      <c r="J295" s="21">
        <v>98</v>
      </c>
      <c r="K295" s="18">
        <v>0.86</v>
      </c>
      <c r="L295" s="18">
        <v>6.86</v>
      </c>
      <c r="M295" s="18">
        <v>0.37730000000000002</v>
      </c>
      <c r="N295" s="18">
        <v>0.10290000000000001</v>
      </c>
      <c r="O295" s="18">
        <v>0.59137933399999998</v>
      </c>
      <c r="P295" s="18">
        <v>0</v>
      </c>
      <c r="Q295" s="19"/>
      <c r="R295" s="18">
        <v>85</v>
      </c>
      <c r="S295" s="18">
        <v>50</v>
      </c>
      <c r="T295" s="18">
        <v>50</v>
      </c>
      <c r="U295" s="18">
        <v>50</v>
      </c>
      <c r="V295" s="18">
        <v>50</v>
      </c>
      <c r="W295" s="18">
        <v>50</v>
      </c>
      <c r="X295" s="18"/>
      <c r="Y295" s="18">
        <v>7.0999999999999988</v>
      </c>
      <c r="Z295" s="18">
        <v>7.8</v>
      </c>
      <c r="AA295" s="18">
        <v>6.3999999999999995</v>
      </c>
      <c r="AB295" s="18">
        <v>17.899999999999999</v>
      </c>
      <c r="AC295" s="18">
        <v>25.7</v>
      </c>
      <c r="AD295" s="18">
        <v>1.2999999999999998</v>
      </c>
      <c r="AE295" s="18">
        <v>0</v>
      </c>
      <c r="AF295" s="18">
        <v>92</v>
      </c>
      <c r="AG295" s="18">
        <v>22</v>
      </c>
      <c r="AH295" s="18">
        <v>3</v>
      </c>
      <c r="AI295" s="18">
        <v>16.999999999999996</v>
      </c>
      <c r="AJ295" s="18">
        <v>0</v>
      </c>
      <c r="AK295" s="18">
        <v>4.9999999999999996E-2</v>
      </c>
      <c r="AL295" s="18"/>
      <c r="AM295" s="18">
        <v>6.1</v>
      </c>
      <c r="AN295" s="18">
        <v>1.5</v>
      </c>
      <c r="AO295" s="18">
        <v>2</v>
      </c>
      <c r="AP295" s="18">
        <v>5.4</v>
      </c>
      <c r="AQ295" s="18">
        <v>1.1000000000000001</v>
      </c>
      <c r="AR295" s="18">
        <v>5.7</v>
      </c>
      <c r="AS295" s="18">
        <v>8.1</v>
      </c>
      <c r="AT295" s="18">
        <v>1.2</v>
      </c>
      <c r="AU295" s="18">
        <v>2.6</v>
      </c>
      <c r="AV295" s="18">
        <v>2</v>
      </c>
      <c r="AW295" s="18">
        <v>5</v>
      </c>
      <c r="AX295" s="18"/>
      <c r="AY295" s="18">
        <v>0.89</v>
      </c>
      <c r="AZ295" s="18">
        <v>1.06</v>
      </c>
      <c r="BA295" s="18">
        <v>1.04</v>
      </c>
      <c r="BB295" s="18">
        <v>1.01</v>
      </c>
      <c r="BC295" s="18">
        <v>1.08</v>
      </c>
      <c r="BD295" s="18">
        <v>1.05</v>
      </c>
      <c r="BE295" s="18">
        <v>1.0900000000000001</v>
      </c>
      <c r="BF295" s="18">
        <v>1.05</v>
      </c>
      <c r="BG295" s="18">
        <v>1.02</v>
      </c>
      <c r="BH295" s="18">
        <v>1.1200000000000001</v>
      </c>
      <c r="BI295" s="18">
        <v>1.05</v>
      </c>
      <c r="BJ295" s="19"/>
      <c r="BK295" s="18">
        <v>5.5</v>
      </c>
      <c r="BL295" s="18">
        <v>1.5</v>
      </c>
      <c r="BM295" s="18">
        <v>8.620689999999998</v>
      </c>
      <c r="BN295" s="18">
        <v>0</v>
      </c>
      <c r="BO295" s="18"/>
      <c r="BP295" s="18">
        <v>34</v>
      </c>
      <c r="BQ295" s="18">
        <v>5.0999999999999996</v>
      </c>
      <c r="BR295" s="18">
        <v>1.2297882386176895</v>
      </c>
      <c r="BS295" s="18">
        <v>1.1832495283576003</v>
      </c>
      <c r="BT295" s="19"/>
      <c r="BU295" s="18">
        <v>913.79310000000009</v>
      </c>
      <c r="BV295" s="18">
        <v>827.00098185714285</v>
      </c>
      <c r="BW295" s="18">
        <v>13.054187142857099</v>
      </c>
      <c r="BX295" s="18">
        <v>0</v>
      </c>
      <c r="BY295" s="18" t="s">
        <v>217</v>
      </c>
      <c r="BZ295" s="18">
        <v>0</v>
      </c>
      <c r="CA295" s="18">
        <v>0</v>
      </c>
      <c r="CB295" s="19"/>
      <c r="CC295" s="19">
        <v>0.48705999999999999</v>
      </c>
      <c r="CD295" s="19">
        <v>0.53508</v>
      </c>
      <c r="CE295" s="19">
        <v>0.43904000000000004</v>
      </c>
      <c r="CF295" s="19">
        <v>1.22794</v>
      </c>
      <c r="CG295" s="19">
        <v>1.7630200000000003</v>
      </c>
      <c r="CH295" s="19">
        <v>8.9179999999999995E-2</v>
      </c>
      <c r="CI295" s="19">
        <v>0</v>
      </c>
      <c r="CJ295" s="19"/>
      <c r="CK295" s="19">
        <v>6.3112000000000004</v>
      </c>
      <c r="CL295" s="19">
        <v>1.5092000000000001</v>
      </c>
      <c r="CM295" s="19">
        <v>0.20580000000000004</v>
      </c>
      <c r="CN295" s="19">
        <v>1.1661999999999999</v>
      </c>
      <c r="CO295" s="19">
        <v>0</v>
      </c>
      <c r="CP295" s="19">
        <v>3.4300000000000003E-3</v>
      </c>
      <c r="CQ295" s="19">
        <v>3.2070500000000002</v>
      </c>
      <c r="CR295" s="19">
        <v>38.014674829341416</v>
      </c>
      <c r="CS295" s="19">
        <v>2.0638166964849454</v>
      </c>
      <c r="CT295" s="19">
        <v>0.60443332978652853</v>
      </c>
      <c r="CU295" s="19">
        <v>0.79070523645030144</v>
      </c>
      <c r="CV295" s="19">
        <v>1.3951385662368301</v>
      </c>
      <c r="CW295" s="19">
        <v>2.0733203651922807</v>
      </c>
      <c r="CX295" s="19">
        <v>0.45161433697257602</v>
      </c>
      <c r="CY295" s="19">
        <v>2.2751782885360838</v>
      </c>
      <c r="CZ295" s="19">
        <v>3.3563156406825536</v>
      </c>
      <c r="DA295" s="19">
        <v>0.47898490284970185</v>
      </c>
      <c r="DB295" s="19">
        <v>1.0081491764741344</v>
      </c>
      <c r="DC295" s="19">
        <v>0.85152871617724779</v>
      </c>
      <c r="DD295" s="19">
        <v>1.8596778926513822</v>
      </c>
      <c r="DE295" s="19">
        <v>1.9957704285404245</v>
      </c>
      <c r="DF295" s="23">
        <v>0</v>
      </c>
      <c r="DG295" s="23">
        <v>0</v>
      </c>
      <c r="DH295" s="23">
        <v>0</v>
      </c>
      <c r="DI295" s="19">
        <v>0</v>
      </c>
      <c r="DJ295" s="19">
        <v>0</v>
      </c>
      <c r="DK295" s="19">
        <v>0</v>
      </c>
      <c r="DL295" s="19">
        <v>0</v>
      </c>
      <c r="DM295" s="19">
        <v>0</v>
      </c>
      <c r="DN295" s="19">
        <v>0</v>
      </c>
      <c r="DO295" s="19">
        <v>0</v>
      </c>
      <c r="DP295" s="19">
        <v>0</v>
      </c>
      <c r="DQ295" s="19">
        <v>0</v>
      </c>
      <c r="DR295" s="19">
        <v>0</v>
      </c>
      <c r="DS295" s="19">
        <v>0</v>
      </c>
      <c r="DT295" s="19">
        <v>0</v>
      </c>
      <c r="DU295" s="19">
        <v>0</v>
      </c>
      <c r="DV295" s="19">
        <v>0</v>
      </c>
      <c r="DW295" s="17" t="s">
        <v>748</v>
      </c>
      <c r="DX295" s="22">
        <v>11</v>
      </c>
      <c r="DY295" s="22">
        <v>11</v>
      </c>
      <c r="DZ295" s="22">
        <v>11</v>
      </c>
      <c r="EA295" s="22" t="s">
        <v>218</v>
      </c>
      <c r="EB295" s="22" t="s">
        <v>218</v>
      </c>
      <c r="EC295" s="22" t="s">
        <v>218</v>
      </c>
      <c r="ED295" s="22" t="s">
        <v>218</v>
      </c>
      <c r="EE295" s="22" t="s">
        <v>218</v>
      </c>
      <c r="EF295" s="22" t="s">
        <v>218</v>
      </c>
      <c r="EG295" s="22" t="s">
        <v>218</v>
      </c>
      <c r="EH295" s="22" t="s">
        <v>218</v>
      </c>
      <c r="EI295" s="22" t="s">
        <v>218</v>
      </c>
      <c r="EJ295" s="22" t="s">
        <v>218</v>
      </c>
      <c r="EK295" s="22" t="s">
        <v>218</v>
      </c>
      <c r="EL295" s="22" t="s">
        <v>218</v>
      </c>
      <c r="EM295" s="22" t="s">
        <v>218</v>
      </c>
      <c r="EN295" s="22" t="s">
        <v>218</v>
      </c>
      <c r="EO295" s="22" t="s">
        <v>218</v>
      </c>
      <c r="EP295" s="22" t="s">
        <v>218</v>
      </c>
      <c r="EQ295" s="22" t="s">
        <v>218</v>
      </c>
      <c r="ER295" s="22" t="s">
        <v>218</v>
      </c>
      <c r="ES295" s="22">
        <v>11</v>
      </c>
      <c r="ET295" s="22">
        <v>11</v>
      </c>
      <c r="EU295" s="22">
        <v>11</v>
      </c>
      <c r="EV295" s="22">
        <v>11</v>
      </c>
      <c r="EW295" s="22">
        <v>11</v>
      </c>
      <c r="EX295" s="22">
        <v>11</v>
      </c>
      <c r="EY295" s="22" t="s">
        <v>218</v>
      </c>
      <c r="EZ295" s="22" t="s">
        <v>218</v>
      </c>
      <c r="FA295" s="22" t="s">
        <v>218</v>
      </c>
      <c r="FB295" s="22" t="s">
        <v>218</v>
      </c>
      <c r="FC295" s="22" t="s">
        <v>218</v>
      </c>
      <c r="FD295" s="22" t="s">
        <v>218</v>
      </c>
      <c r="FE295" s="22" t="s">
        <v>218</v>
      </c>
      <c r="FF295" s="22">
        <v>0.3</v>
      </c>
      <c r="FG295" s="22">
        <v>1.1000000000000001</v>
      </c>
      <c r="FH295" s="22">
        <v>0.7</v>
      </c>
      <c r="FI295" s="22" t="s">
        <v>218</v>
      </c>
      <c r="FJ295" s="22" t="s">
        <v>218</v>
      </c>
      <c r="FK295" s="22" t="s">
        <v>218</v>
      </c>
      <c r="FL295" s="22" t="s">
        <v>218</v>
      </c>
      <c r="FM295" s="22" t="s">
        <v>218</v>
      </c>
      <c r="FN295" s="22" t="s">
        <v>218</v>
      </c>
      <c r="FO295" s="22" t="s">
        <v>218</v>
      </c>
      <c r="FP295" s="22" t="s">
        <v>218</v>
      </c>
      <c r="FQ295" s="22" t="s">
        <v>218</v>
      </c>
      <c r="FR295" s="22" t="s">
        <v>218</v>
      </c>
      <c r="FS295" s="22" t="s">
        <v>218</v>
      </c>
      <c r="FT295" s="22" t="s">
        <v>218</v>
      </c>
      <c r="FU295" s="22" t="s">
        <v>218</v>
      </c>
      <c r="FV295" s="22" t="s">
        <v>218</v>
      </c>
      <c r="FW295" s="22" t="s">
        <v>218</v>
      </c>
      <c r="FX295" s="22" t="s">
        <v>218</v>
      </c>
      <c r="FY295" s="22" t="s">
        <v>218</v>
      </c>
      <c r="FZ295" s="22" t="s">
        <v>218</v>
      </c>
      <c r="GA295" s="22">
        <v>0.5</v>
      </c>
      <c r="GB295" s="22">
        <v>0.4</v>
      </c>
      <c r="GC295" s="22">
        <v>0.3</v>
      </c>
      <c r="GD295" s="22">
        <v>0.7</v>
      </c>
      <c r="GE295" s="22">
        <v>1.1000000000000001</v>
      </c>
      <c r="GF295" s="22">
        <v>0.1</v>
      </c>
      <c r="GG295" s="22" t="s">
        <v>218</v>
      </c>
      <c r="GH295" s="22" t="s">
        <v>218</v>
      </c>
      <c r="GI295" s="22" t="s">
        <v>218</v>
      </c>
      <c r="GJ295" s="22" t="s">
        <v>218</v>
      </c>
      <c r="GK295" s="22" t="s">
        <v>218</v>
      </c>
      <c r="GL295" s="22" t="s">
        <v>218</v>
      </c>
      <c r="GM295" s="22" t="s">
        <v>218</v>
      </c>
      <c r="GN295" s="22">
        <v>2015</v>
      </c>
      <c r="GO295" s="22">
        <v>2015</v>
      </c>
      <c r="GP295" s="22">
        <v>2015</v>
      </c>
      <c r="GQ295" s="22" t="s">
        <v>218</v>
      </c>
      <c r="GR295" s="22" t="s">
        <v>218</v>
      </c>
      <c r="GS295" s="22" t="s">
        <v>218</v>
      </c>
      <c r="GT295" s="22" t="s">
        <v>218</v>
      </c>
      <c r="GU295" s="22" t="s">
        <v>218</v>
      </c>
      <c r="GV295" s="22" t="s">
        <v>218</v>
      </c>
      <c r="GW295" s="22" t="s">
        <v>218</v>
      </c>
      <c r="GX295" s="22" t="s">
        <v>218</v>
      </c>
      <c r="GY295" s="22" t="s">
        <v>218</v>
      </c>
      <c r="GZ295" s="22" t="s">
        <v>218</v>
      </c>
      <c r="HA295" s="22" t="s">
        <v>218</v>
      </c>
      <c r="HB295" s="22" t="s">
        <v>218</v>
      </c>
      <c r="HC295" s="22" t="s">
        <v>218</v>
      </c>
      <c r="HD295" s="22" t="s">
        <v>218</v>
      </c>
      <c r="HE295" s="22" t="s">
        <v>218</v>
      </c>
      <c r="HF295" s="22" t="s">
        <v>218</v>
      </c>
      <c r="HG295" s="22" t="s">
        <v>218</v>
      </c>
      <c r="HH295" s="22" t="s">
        <v>218</v>
      </c>
      <c r="HI295" s="22">
        <v>2015</v>
      </c>
      <c r="HJ295" s="22">
        <v>2015</v>
      </c>
      <c r="HK295" s="22">
        <v>2015</v>
      </c>
      <c r="HL295" s="22">
        <v>2015</v>
      </c>
      <c r="HM295" s="860"/>
      <c r="HN295" s="860"/>
      <c r="HO295" s="860"/>
      <c r="HP295" s="860"/>
      <c r="HQ295" s="860"/>
      <c r="HR295" s="860"/>
      <c r="HS295" s="860"/>
      <c r="HT295" s="145"/>
      <c r="HU295" s="145" t="s">
        <v>1809</v>
      </c>
      <c r="HV295" s="22" t="s">
        <v>1989</v>
      </c>
      <c r="HW295" s="22" t="s">
        <v>755</v>
      </c>
      <c r="HX295" s="22" t="s">
        <v>750</v>
      </c>
      <c r="HY295" s="22" t="s">
        <v>751</v>
      </c>
      <c r="HZ295" s="19"/>
      <c r="IA295" s="19"/>
      <c r="IB295" s="621">
        <f>'background data'!$G$10</f>
        <v>0.47300000000000003</v>
      </c>
      <c r="IC295" s="621">
        <f>'background data'!$H$10</f>
        <v>0.13</v>
      </c>
      <c r="ID295" s="621">
        <f>'background data'!$J$10</f>
        <v>0.39100000000000001</v>
      </c>
      <c r="IE295" s="621">
        <f>'background data'!$L$10</f>
        <v>5.5E-2</v>
      </c>
      <c r="IF295" s="621">
        <f>'background data'!$M$10</f>
        <v>3.97</v>
      </c>
      <c r="IG295" s="621">
        <f>'background data'!$N$10</f>
        <v>4.5999999999999999E-3</v>
      </c>
      <c r="IH295" s="621">
        <f>'background data'!$O$10</f>
        <v>2.73</v>
      </c>
      <c r="II295" s="145"/>
      <c r="IJ295" s="145"/>
      <c r="IK295" s="145"/>
      <c r="IL295" s="145"/>
      <c r="IM295" s="145"/>
      <c r="IN295" s="145"/>
      <c r="IO295" s="145"/>
      <c r="IP295" s="145"/>
      <c r="IQ295" s="145"/>
      <c r="IR295" s="145"/>
      <c r="IS295" s="145"/>
      <c r="IT295" s="145"/>
      <c r="IU295" s="145"/>
      <c r="IV295" s="145"/>
      <c r="IW295" s="145"/>
      <c r="IX295" s="145"/>
      <c r="IY295" s="145"/>
      <c r="IZ295" s="145"/>
      <c r="JA295" s="145"/>
      <c r="JB295" s="145"/>
      <c r="JC295" s="145"/>
      <c r="JD295" s="145"/>
      <c r="JE295" s="145"/>
      <c r="JF295" s="145"/>
      <c r="JG295" s="145"/>
      <c r="JH295" s="145"/>
      <c r="JI295" s="145"/>
      <c r="JJ295" s="145"/>
      <c r="JK295" s="145"/>
      <c r="JL295" s="145"/>
      <c r="JM295" s="145"/>
      <c r="JN295" s="145"/>
      <c r="JO295" s="145"/>
      <c r="JP295" s="145"/>
      <c r="JQ295" s="145"/>
      <c r="JR295" s="145"/>
      <c r="JS295" s="145"/>
      <c r="JT295" s="145"/>
      <c r="JU295" s="145"/>
      <c r="JV295" s="145"/>
      <c r="JW295" s="145"/>
      <c r="JX295" s="145"/>
      <c r="JY295" s="145"/>
      <c r="JZ295" s="145"/>
      <c r="KA295" s="145"/>
      <c r="KB295" s="145"/>
      <c r="KC295" s="145"/>
      <c r="KD295" s="145"/>
      <c r="KE295" s="145"/>
      <c r="KF295" s="145"/>
      <c r="KG295" s="145"/>
      <c r="KH295" s="145"/>
      <c r="KI295" s="145"/>
      <c r="KJ295" s="145"/>
      <c r="KK295" s="145"/>
      <c r="KL295" s="145"/>
      <c r="KM295" s="145"/>
      <c r="KN295" s="145"/>
      <c r="KO295" s="145"/>
      <c r="KP295" s="145"/>
      <c r="KQ295" s="145"/>
      <c r="KR295" s="145"/>
      <c r="KS295" s="145"/>
      <c r="KT295" s="145"/>
      <c r="KU295" s="145"/>
      <c r="KV295" s="145"/>
      <c r="KW295" s="145"/>
      <c r="KX295" s="145"/>
      <c r="KY295" s="145"/>
      <c r="KZ295" s="145"/>
      <c r="LA295" s="145"/>
      <c r="LB295" s="145"/>
      <c r="LC295" s="145"/>
      <c r="LD295" s="145"/>
      <c r="LE295" s="145"/>
      <c r="LF295" s="145"/>
      <c r="LG295" s="145"/>
      <c r="LH295" s="145"/>
      <c r="LI295" s="145"/>
      <c r="LJ295" s="145"/>
      <c r="LK295" s="145"/>
      <c r="LL295" s="145"/>
      <c r="LM295" s="145"/>
      <c r="LN295" s="145"/>
      <c r="LO295" s="145"/>
      <c r="LP295" s="145"/>
      <c r="LQ295" s="145"/>
      <c r="LR295" s="145"/>
      <c r="LS295" s="145"/>
      <c r="LT295" s="145"/>
      <c r="LU295" s="145"/>
      <c r="LV295" s="145"/>
      <c r="LW295" s="145"/>
      <c r="LX295" s="145"/>
      <c r="LY295" s="145"/>
      <c r="LZ295" s="145"/>
      <c r="MA295" s="145"/>
      <c r="MB295" s="145"/>
      <c r="MC295" s="145"/>
      <c r="MD295" s="145"/>
      <c r="ME295" s="145"/>
      <c r="MF295" s="145"/>
      <c r="MG295" s="145"/>
      <c r="MH295" s="145"/>
      <c r="MI295" s="145"/>
      <c r="MJ295" s="145"/>
      <c r="MK295" s="145"/>
      <c r="ML295" s="145"/>
      <c r="MM295" s="145"/>
      <c r="MN295" s="145"/>
      <c r="MO295" s="145"/>
      <c r="MP295" s="145"/>
      <c r="MQ295" s="145"/>
      <c r="MR295" s="145"/>
      <c r="MS295" s="145"/>
      <c r="MT295" s="145"/>
      <c r="MU295" s="145"/>
      <c r="MV295" s="145"/>
      <c r="MW295" s="145"/>
      <c r="MX295" s="145"/>
      <c r="MY295" s="145"/>
      <c r="MZ295" s="145"/>
      <c r="NA295" s="145"/>
      <c r="NB295" s="145"/>
      <c r="NC295" s="145"/>
      <c r="ND295" s="145"/>
      <c r="NE295" s="145"/>
      <c r="NF295" s="145"/>
      <c r="NG295" s="145"/>
      <c r="NH295" s="145"/>
      <c r="NI295" s="145"/>
      <c r="NJ295" s="145"/>
      <c r="NK295" s="145"/>
      <c r="NL295" s="145"/>
      <c r="NM295" s="145"/>
      <c r="NN295" s="145"/>
      <c r="NO295" s="145"/>
      <c r="NP295" s="145"/>
      <c r="NQ295" s="145"/>
      <c r="NR295" s="145"/>
      <c r="NS295" s="145"/>
    </row>
    <row r="296" spans="1:383" s="16" customFormat="1" ht="15" customHeight="1" x14ac:dyDescent="0.2">
      <c r="A296" s="15">
        <v>77401</v>
      </c>
      <c r="B296" s="25">
        <v>774</v>
      </c>
      <c r="C296" s="26">
        <v>1</v>
      </c>
      <c r="D296" s="20" t="s">
        <v>766</v>
      </c>
      <c r="E296" s="14">
        <v>42691</v>
      </c>
      <c r="F296" s="18">
        <v>4.9282422857143002E-2</v>
      </c>
      <c r="G296" s="18">
        <v>4.7399036834137397E-2</v>
      </c>
      <c r="H296" s="21">
        <v>99</v>
      </c>
      <c r="I296" s="21">
        <v>98</v>
      </c>
      <c r="J296" s="21">
        <v>98</v>
      </c>
      <c r="K296" s="18">
        <v>0.86</v>
      </c>
      <c r="L296" s="18">
        <v>3.66</v>
      </c>
      <c r="M296" s="18">
        <v>0.65880000000000005</v>
      </c>
      <c r="N296" s="18">
        <v>0.35136000000000001</v>
      </c>
      <c r="O296" s="18">
        <v>0.36599999999999999</v>
      </c>
      <c r="P296" s="18">
        <v>0</v>
      </c>
      <c r="Q296" s="19"/>
      <c r="R296" s="18">
        <v>76</v>
      </c>
      <c r="S296" s="18">
        <v>50</v>
      </c>
      <c r="T296" s="18">
        <v>50</v>
      </c>
      <c r="U296" s="18">
        <v>50</v>
      </c>
      <c r="V296" s="18">
        <v>50</v>
      </c>
      <c r="W296" s="18">
        <v>50</v>
      </c>
      <c r="X296" s="18"/>
      <c r="Y296" s="18">
        <v>9.6</v>
      </c>
      <c r="Z296" s="18">
        <v>7.6000000000000005</v>
      </c>
      <c r="AA296" s="18">
        <v>43.8</v>
      </c>
      <c r="AB296" s="18">
        <v>72.900000000000006</v>
      </c>
      <c r="AC296" s="18">
        <v>19.400000000000002</v>
      </c>
      <c r="AD296" s="18">
        <v>1.3</v>
      </c>
      <c r="AE296" s="18">
        <v>0</v>
      </c>
      <c r="AF296" s="18">
        <v>10.999999999999998</v>
      </c>
      <c r="AG296" s="18">
        <v>2</v>
      </c>
      <c r="AH296" s="18">
        <v>0</v>
      </c>
      <c r="AI296" s="18">
        <v>5.9999999999999991</v>
      </c>
      <c r="AJ296" s="18">
        <v>0</v>
      </c>
      <c r="AK296" s="18">
        <v>0</v>
      </c>
      <c r="AL296" s="18"/>
      <c r="AM296" s="18">
        <v>3.6</v>
      </c>
      <c r="AN296" s="18">
        <v>0.7</v>
      </c>
      <c r="AO296" s="18">
        <v>0</v>
      </c>
      <c r="AP296" s="18">
        <v>2.4</v>
      </c>
      <c r="AQ296" s="18">
        <v>0.7</v>
      </c>
      <c r="AR296" s="18">
        <v>2</v>
      </c>
      <c r="AS296" s="18">
        <v>4.4000000000000004</v>
      </c>
      <c r="AT296" s="18">
        <v>1.1000000000000001</v>
      </c>
      <c r="AU296" s="18">
        <v>1.5</v>
      </c>
      <c r="AV296" s="18">
        <v>1.7</v>
      </c>
      <c r="AW296" s="18">
        <v>1.7</v>
      </c>
      <c r="AX296" s="18"/>
      <c r="AY296" s="18">
        <v>0.89</v>
      </c>
      <c r="AZ296" s="18">
        <v>1.06</v>
      </c>
      <c r="BA296" s="18">
        <v>1.04</v>
      </c>
      <c r="BB296" s="18">
        <v>1.01</v>
      </c>
      <c r="BC296" s="18">
        <v>1.08</v>
      </c>
      <c r="BD296" s="18">
        <v>1.05</v>
      </c>
      <c r="BE296" s="18">
        <v>1.0900000000000001</v>
      </c>
      <c r="BF296" s="18">
        <v>1.05</v>
      </c>
      <c r="BG296" s="18">
        <v>1.02</v>
      </c>
      <c r="BH296" s="18">
        <v>1.1200000000000001</v>
      </c>
      <c r="BI296" s="18">
        <v>1.05</v>
      </c>
      <c r="BJ296" s="19"/>
      <c r="BK296" s="18">
        <v>18.000000000000004</v>
      </c>
      <c r="BL296" s="18">
        <v>9.6</v>
      </c>
      <c r="BM296" s="18">
        <v>10</v>
      </c>
      <c r="BN296" s="18">
        <v>0</v>
      </c>
      <c r="BO296" s="18"/>
      <c r="BP296" s="18">
        <v>34</v>
      </c>
      <c r="BQ296" s="18">
        <v>32.639999999999993</v>
      </c>
      <c r="BR296" s="18">
        <v>1.3465142857142895</v>
      </c>
      <c r="BS296" s="18">
        <v>1.2950556512059397</v>
      </c>
      <c r="BT296" s="19"/>
      <c r="BU296" s="18">
        <v>900</v>
      </c>
      <c r="BV296" s="18">
        <v>621.22285714285795</v>
      </c>
      <c r="BW296" s="18">
        <v>12.857142857142895</v>
      </c>
      <c r="BX296" s="18">
        <v>0</v>
      </c>
      <c r="BY296" s="18" t="s">
        <v>217</v>
      </c>
      <c r="BZ296" s="18">
        <v>0</v>
      </c>
      <c r="CA296" s="18">
        <v>0</v>
      </c>
      <c r="CB296" s="19"/>
      <c r="CC296" s="19">
        <v>0.35136000000000001</v>
      </c>
      <c r="CD296" s="19">
        <v>0.27816000000000002</v>
      </c>
      <c r="CE296" s="19">
        <v>1.6030799999999998</v>
      </c>
      <c r="CF296" s="19">
        <v>2.6681400000000002</v>
      </c>
      <c r="CG296" s="19">
        <v>0.71004000000000012</v>
      </c>
      <c r="CH296" s="19">
        <v>4.7580000000000004E-2</v>
      </c>
      <c r="CI296" s="19">
        <v>0</v>
      </c>
      <c r="CJ296" s="19"/>
      <c r="CK296" s="19">
        <v>0.40259999999999996</v>
      </c>
      <c r="CL296" s="19">
        <v>7.3200000000000001E-2</v>
      </c>
      <c r="CM296" s="19">
        <v>0</v>
      </c>
      <c r="CN296" s="19">
        <v>0.21959999999999996</v>
      </c>
      <c r="CO296" s="19">
        <v>0</v>
      </c>
      <c r="CP296" s="19">
        <v>0</v>
      </c>
      <c r="CQ296" s="19">
        <v>5.0068799999999998</v>
      </c>
      <c r="CR296" s="19">
        <v>101.59565438804927</v>
      </c>
      <c r="CS296" s="19">
        <v>3.2551247665930982</v>
      </c>
      <c r="CT296" s="19">
        <v>0.75383975555932559</v>
      </c>
      <c r="CU296" s="19">
        <v>0</v>
      </c>
      <c r="CV296" s="19">
        <v>0.75383975555932559</v>
      </c>
      <c r="CW296" s="19">
        <v>2.4626786623663142</v>
      </c>
      <c r="CX296" s="19">
        <v>0.76806314717365254</v>
      </c>
      <c r="CY296" s="19">
        <v>2.1335087421490346</v>
      </c>
      <c r="CZ296" s="19">
        <v>4.8725275844508431</v>
      </c>
      <c r="DA296" s="19">
        <v>1.173429808181969</v>
      </c>
      <c r="DB296" s="19">
        <v>1.5544135121371538</v>
      </c>
      <c r="DC296" s="19">
        <v>1.9343812595484582</v>
      </c>
      <c r="DD296" s="19">
        <v>3.4887947716856118</v>
      </c>
      <c r="DE296" s="19">
        <v>1.8134824308266795</v>
      </c>
      <c r="DF296" s="23">
        <v>0</v>
      </c>
      <c r="DG296" s="23">
        <v>0</v>
      </c>
      <c r="DH296" s="23">
        <v>0</v>
      </c>
      <c r="DI296" s="19">
        <v>0</v>
      </c>
      <c r="DJ296" s="19">
        <v>0</v>
      </c>
      <c r="DK296" s="19">
        <v>0</v>
      </c>
      <c r="DL296" s="19">
        <v>0</v>
      </c>
      <c r="DM296" s="19">
        <v>0</v>
      </c>
      <c r="DN296" s="19">
        <v>0</v>
      </c>
      <c r="DO296" s="19">
        <v>0</v>
      </c>
      <c r="DP296" s="19">
        <v>0</v>
      </c>
      <c r="DQ296" s="19">
        <v>0</v>
      </c>
      <c r="DR296" s="19">
        <v>0</v>
      </c>
      <c r="DS296" s="19">
        <v>0</v>
      </c>
      <c r="DT296" s="19">
        <v>0</v>
      </c>
      <c r="DU296" s="19">
        <v>0</v>
      </c>
      <c r="DV296" s="19">
        <v>0</v>
      </c>
      <c r="DW296" s="17" t="s">
        <v>748</v>
      </c>
      <c r="DX296" s="22">
        <v>13</v>
      </c>
      <c r="DY296" s="22">
        <v>13</v>
      </c>
      <c r="DZ296" s="22">
        <v>13</v>
      </c>
      <c r="EA296" s="22" t="s">
        <v>218</v>
      </c>
      <c r="EB296" s="22" t="s">
        <v>218</v>
      </c>
      <c r="EC296" s="22" t="s">
        <v>218</v>
      </c>
      <c r="ED296" s="22" t="s">
        <v>218</v>
      </c>
      <c r="EE296" s="22" t="s">
        <v>218</v>
      </c>
      <c r="EF296" s="22" t="s">
        <v>218</v>
      </c>
      <c r="EG296" s="22" t="s">
        <v>218</v>
      </c>
      <c r="EH296" s="22" t="s">
        <v>218</v>
      </c>
      <c r="EI296" s="22" t="s">
        <v>218</v>
      </c>
      <c r="EJ296" s="22" t="s">
        <v>218</v>
      </c>
      <c r="EK296" s="22" t="s">
        <v>218</v>
      </c>
      <c r="EL296" s="22" t="s">
        <v>218</v>
      </c>
      <c r="EM296" s="22" t="s">
        <v>218</v>
      </c>
      <c r="EN296" s="22" t="s">
        <v>218</v>
      </c>
      <c r="EO296" s="22" t="s">
        <v>218</v>
      </c>
      <c r="EP296" s="22" t="s">
        <v>218</v>
      </c>
      <c r="EQ296" s="22" t="s">
        <v>218</v>
      </c>
      <c r="ER296" s="22" t="s">
        <v>218</v>
      </c>
      <c r="ES296" s="22">
        <v>13</v>
      </c>
      <c r="ET296" s="22">
        <v>13</v>
      </c>
      <c r="EU296" s="22">
        <v>13</v>
      </c>
      <c r="EV296" s="22">
        <v>13</v>
      </c>
      <c r="EW296" s="22">
        <v>13</v>
      </c>
      <c r="EX296" s="22">
        <v>13</v>
      </c>
      <c r="EY296" s="22" t="s">
        <v>218</v>
      </c>
      <c r="EZ296" s="22" t="s">
        <v>218</v>
      </c>
      <c r="FA296" s="22" t="s">
        <v>218</v>
      </c>
      <c r="FB296" s="22" t="s">
        <v>218</v>
      </c>
      <c r="FC296" s="22" t="s">
        <v>218</v>
      </c>
      <c r="FD296" s="22" t="s">
        <v>218</v>
      </c>
      <c r="FE296" s="22" t="s">
        <v>218</v>
      </c>
      <c r="FF296" s="22">
        <v>0.7</v>
      </c>
      <c r="FG296" s="22">
        <v>1.8</v>
      </c>
      <c r="FH296" s="22">
        <v>4.7</v>
      </c>
      <c r="FI296" s="22" t="s">
        <v>218</v>
      </c>
      <c r="FJ296" s="22" t="s">
        <v>218</v>
      </c>
      <c r="FK296" s="22" t="s">
        <v>218</v>
      </c>
      <c r="FL296" s="22" t="s">
        <v>218</v>
      </c>
      <c r="FM296" s="22" t="s">
        <v>218</v>
      </c>
      <c r="FN296" s="22" t="s">
        <v>218</v>
      </c>
      <c r="FO296" s="22" t="s">
        <v>218</v>
      </c>
      <c r="FP296" s="22" t="s">
        <v>218</v>
      </c>
      <c r="FQ296" s="22" t="s">
        <v>218</v>
      </c>
      <c r="FR296" s="22" t="s">
        <v>218</v>
      </c>
      <c r="FS296" s="22" t="s">
        <v>218</v>
      </c>
      <c r="FT296" s="22" t="s">
        <v>218</v>
      </c>
      <c r="FU296" s="22" t="s">
        <v>218</v>
      </c>
      <c r="FV296" s="22" t="s">
        <v>218</v>
      </c>
      <c r="FW296" s="22" t="s">
        <v>218</v>
      </c>
      <c r="FX296" s="22" t="s">
        <v>218</v>
      </c>
      <c r="FY296" s="22" t="s">
        <v>218</v>
      </c>
      <c r="FZ296" s="22" t="s">
        <v>218</v>
      </c>
      <c r="GA296" s="22">
        <v>1.4</v>
      </c>
      <c r="GB296" s="22">
        <v>1.1000000000000001</v>
      </c>
      <c r="GC296" s="22">
        <v>16.399999999999999</v>
      </c>
      <c r="GD296" s="22">
        <v>27.9</v>
      </c>
      <c r="GE296" s="22">
        <v>2.9</v>
      </c>
      <c r="GF296" s="22">
        <v>0.2</v>
      </c>
      <c r="GG296" s="22" t="s">
        <v>218</v>
      </c>
      <c r="GH296" s="22" t="s">
        <v>218</v>
      </c>
      <c r="GI296" s="22" t="s">
        <v>218</v>
      </c>
      <c r="GJ296" s="22" t="s">
        <v>218</v>
      </c>
      <c r="GK296" s="22" t="s">
        <v>218</v>
      </c>
      <c r="GL296" s="22" t="s">
        <v>218</v>
      </c>
      <c r="GM296" s="22" t="s">
        <v>218</v>
      </c>
      <c r="GN296" s="22">
        <v>2016</v>
      </c>
      <c r="GO296" s="22">
        <v>2016</v>
      </c>
      <c r="GP296" s="22">
        <v>2016</v>
      </c>
      <c r="GQ296" s="22" t="s">
        <v>218</v>
      </c>
      <c r="GR296" s="22" t="s">
        <v>218</v>
      </c>
      <c r="GS296" s="22" t="s">
        <v>218</v>
      </c>
      <c r="GT296" s="22" t="s">
        <v>218</v>
      </c>
      <c r="GU296" s="22" t="s">
        <v>218</v>
      </c>
      <c r="GV296" s="22" t="s">
        <v>218</v>
      </c>
      <c r="GW296" s="22" t="s">
        <v>218</v>
      </c>
      <c r="GX296" s="22" t="s">
        <v>218</v>
      </c>
      <c r="GY296" s="22" t="s">
        <v>218</v>
      </c>
      <c r="GZ296" s="22" t="s">
        <v>218</v>
      </c>
      <c r="HA296" s="22" t="s">
        <v>218</v>
      </c>
      <c r="HB296" s="22" t="s">
        <v>218</v>
      </c>
      <c r="HC296" s="22" t="s">
        <v>218</v>
      </c>
      <c r="HD296" s="22" t="s">
        <v>218</v>
      </c>
      <c r="HE296" s="22" t="s">
        <v>218</v>
      </c>
      <c r="HF296" s="22" t="s">
        <v>218</v>
      </c>
      <c r="HG296" s="22" t="s">
        <v>218</v>
      </c>
      <c r="HH296" s="22" t="s">
        <v>218</v>
      </c>
      <c r="HI296" s="22">
        <v>2016</v>
      </c>
      <c r="HJ296" s="22">
        <v>2016</v>
      </c>
      <c r="HK296" s="22">
        <v>2016</v>
      </c>
      <c r="HL296" s="22">
        <v>2016</v>
      </c>
      <c r="HM296" s="860"/>
      <c r="HN296" s="860"/>
      <c r="HO296" s="860"/>
      <c r="HP296" s="860"/>
      <c r="HQ296" s="860"/>
      <c r="HR296" s="860"/>
      <c r="HS296" s="860"/>
      <c r="HT296" s="145"/>
      <c r="HU296" s="145" t="s">
        <v>1809</v>
      </c>
      <c r="HV296" s="22" t="s">
        <v>1989</v>
      </c>
      <c r="HW296" s="22" t="s">
        <v>755</v>
      </c>
      <c r="HX296" s="22" t="s">
        <v>750</v>
      </c>
      <c r="HY296" s="22" t="s">
        <v>751</v>
      </c>
      <c r="HZ296" s="19"/>
      <c r="IA296" s="19"/>
      <c r="IB296" s="621">
        <f>'background data'!$G$10</f>
        <v>0.47300000000000003</v>
      </c>
      <c r="IC296" s="621">
        <f>'background data'!$H$10</f>
        <v>0.13</v>
      </c>
      <c r="ID296" s="621">
        <f>'background data'!$J$10</f>
        <v>0.39100000000000001</v>
      </c>
      <c r="IE296" s="621">
        <f>'background data'!$L$10</f>
        <v>5.5E-2</v>
      </c>
      <c r="IF296" s="621">
        <f>'background data'!$M$10</f>
        <v>3.97</v>
      </c>
      <c r="IG296" s="621">
        <f>'background data'!$N$10</f>
        <v>4.5999999999999999E-3</v>
      </c>
      <c r="IH296" s="621">
        <f>'background data'!$O$10</f>
        <v>2.73</v>
      </c>
      <c r="II296" s="145"/>
      <c r="IJ296" s="145"/>
      <c r="IK296" s="145"/>
      <c r="IL296" s="145"/>
      <c r="IM296" s="145"/>
      <c r="IN296" s="145"/>
      <c r="IO296" s="145"/>
      <c r="IP296" s="145"/>
      <c r="IQ296" s="145"/>
      <c r="IR296" s="145"/>
      <c r="IS296" s="145"/>
      <c r="IT296" s="145"/>
      <c r="IU296" s="145"/>
      <c r="IV296" s="145"/>
      <c r="IW296" s="145"/>
      <c r="IX296" s="145"/>
      <c r="IY296" s="145"/>
      <c r="IZ296" s="145"/>
      <c r="JA296" s="145"/>
      <c r="JB296" s="145"/>
      <c r="JC296" s="145"/>
      <c r="JD296" s="145"/>
      <c r="JE296" s="145"/>
      <c r="JF296" s="145"/>
      <c r="JG296" s="145"/>
      <c r="JH296" s="145"/>
      <c r="JI296" s="145"/>
      <c r="JJ296" s="145"/>
      <c r="JK296" s="145"/>
      <c r="JL296" s="145"/>
      <c r="JM296" s="145"/>
      <c r="JN296" s="145"/>
      <c r="JO296" s="145"/>
      <c r="JP296" s="145"/>
      <c r="JQ296" s="145"/>
      <c r="JR296" s="145"/>
      <c r="JS296" s="145"/>
      <c r="JT296" s="145"/>
      <c r="JU296" s="145"/>
      <c r="JV296" s="145"/>
      <c r="JW296" s="145"/>
      <c r="JX296" s="145"/>
      <c r="JY296" s="145"/>
      <c r="JZ296" s="145"/>
      <c r="KA296" s="145"/>
      <c r="KB296" s="145"/>
      <c r="KC296" s="145"/>
      <c r="KD296" s="145"/>
      <c r="KE296" s="145"/>
      <c r="KF296" s="145"/>
      <c r="KG296" s="145"/>
      <c r="KH296" s="145"/>
      <c r="KI296" s="145"/>
      <c r="KJ296" s="145"/>
      <c r="KK296" s="145"/>
      <c r="KL296" s="145"/>
      <c r="KM296" s="145"/>
      <c r="KN296" s="145"/>
      <c r="KO296" s="145"/>
      <c r="KP296" s="145"/>
      <c r="KQ296" s="145"/>
      <c r="KR296" s="145"/>
      <c r="KS296" s="145"/>
      <c r="KT296" s="145"/>
      <c r="KU296" s="145"/>
      <c r="KV296" s="145"/>
      <c r="KW296" s="145"/>
      <c r="KX296" s="145"/>
      <c r="KY296" s="145"/>
      <c r="KZ296" s="145"/>
      <c r="LA296" s="145"/>
      <c r="LB296" s="145"/>
      <c r="LC296" s="145"/>
      <c r="LD296" s="145"/>
      <c r="LE296" s="145"/>
      <c r="LF296" s="145"/>
      <c r="LG296" s="145"/>
      <c r="LH296" s="145"/>
      <c r="LI296" s="145"/>
      <c r="LJ296" s="145"/>
      <c r="LK296" s="145"/>
      <c r="LL296" s="145"/>
      <c r="LM296" s="145"/>
      <c r="LN296" s="145"/>
      <c r="LO296" s="145"/>
      <c r="LP296" s="145"/>
      <c r="LQ296" s="145"/>
      <c r="LR296" s="145"/>
      <c r="LS296" s="145"/>
      <c r="LT296" s="145"/>
      <c r="LU296" s="145"/>
      <c r="LV296" s="145"/>
      <c r="LW296" s="145"/>
      <c r="LX296" s="145"/>
      <c r="LY296" s="145"/>
      <c r="LZ296" s="145"/>
      <c r="MA296" s="145"/>
      <c r="MB296" s="145"/>
      <c r="MC296" s="145"/>
      <c r="MD296" s="145"/>
      <c r="ME296" s="145"/>
      <c r="MF296" s="145"/>
      <c r="MG296" s="145"/>
      <c r="MH296" s="145"/>
      <c r="MI296" s="145"/>
      <c r="MJ296" s="145"/>
      <c r="MK296" s="145"/>
      <c r="ML296" s="145"/>
      <c r="MM296" s="145"/>
      <c r="MN296" s="145"/>
      <c r="MO296" s="145"/>
      <c r="MP296" s="145"/>
      <c r="MQ296" s="145"/>
      <c r="MR296" s="145"/>
      <c r="MS296" s="145"/>
      <c r="MT296" s="145"/>
      <c r="MU296" s="145"/>
      <c r="MV296" s="145"/>
      <c r="MW296" s="145"/>
      <c r="MX296" s="145"/>
      <c r="MY296" s="145"/>
      <c r="MZ296" s="145"/>
      <c r="NA296" s="145"/>
      <c r="NB296" s="145"/>
      <c r="NC296" s="145"/>
      <c r="ND296" s="145"/>
      <c r="NE296" s="145"/>
      <c r="NF296" s="145"/>
      <c r="NG296" s="145"/>
      <c r="NH296" s="145"/>
      <c r="NI296" s="145"/>
      <c r="NJ296" s="145"/>
      <c r="NK296" s="145"/>
      <c r="NL296" s="145"/>
      <c r="NM296" s="145"/>
      <c r="NN296" s="145"/>
      <c r="NO296" s="145"/>
      <c r="NP296" s="145"/>
      <c r="NQ296" s="145"/>
      <c r="NR296" s="145"/>
      <c r="NS296" s="145"/>
    </row>
    <row r="297" spans="1:383" s="16" customFormat="1" ht="15" customHeight="1" x14ac:dyDescent="0.2">
      <c r="A297" s="15">
        <v>77408</v>
      </c>
      <c r="B297" s="25">
        <v>774</v>
      </c>
      <c r="C297" s="26">
        <v>8</v>
      </c>
      <c r="D297" s="20" t="s">
        <v>767</v>
      </c>
      <c r="E297" s="14">
        <v>42691</v>
      </c>
      <c r="F297" s="18">
        <v>4.73437826233064E-2</v>
      </c>
      <c r="G297" s="18">
        <v>4.5552664509090797E-2</v>
      </c>
      <c r="H297" s="21">
        <v>99</v>
      </c>
      <c r="I297" s="21">
        <v>98</v>
      </c>
      <c r="J297" s="21">
        <v>98</v>
      </c>
      <c r="K297" s="18">
        <v>0.86</v>
      </c>
      <c r="L297" s="18">
        <v>3.92</v>
      </c>
      <c r="M297" s="18">
        <v>0.58799999999999997</v>
      </c>
      <c r="N297" s="18">
        <v>9.0160000000000004E-2</v>
      </c>
      <c r="O297" s="18">
        <v>0.39200000000000002</v>
      </c>
      <c r="P297" s="18">
        <v>0</v>
      </c>
      <c r="Q297" s="19"/>
      <c r="R297" s="18">
        <v>76</v>
      </c>
      <c r="S297" s="18">
        <v>50</v>
      </c>
      <c r="T297" s="18">
        <v>50</v>
      </c>
      <c r="U297" s="18">
        <v>50</v>
      </c>
      <c r="V297" s="18">
        <v>50</v>
      </c>
      <c r="W297" s="18">
        <v>50</v>
      </c>
      <c r="X297" s="18"/>
      <c r="Y297" s="18">
        <v>10.7</v>
      </c>
      <c r="Z297" s="18">
        <v>8.8000000000000007</v>
      </c>
      <c r="AA297" s="18">
        <v>6.4</v>
      </c>
      <c r="AB297" s="18">
        <v>14.500000000000002</v>
      </c>
      <c r="AC297" s="18">
        <v>24.200000000000003</v>
      </c>
      <c r="AD297" s="18">
        <v>1.5</v>
      </c>
      <c r="AE297" s="18">
        <v>0</v>
      </c>
      <c r="AF297" s="18">
        <v>11.000000000000002</v>
      </c>
      <c r="AG297" s="18">
        <v>2</v>
      </c>
      <c r="AH297" s="18">
        <v>0</v>
      </c>
      <c r="AI297" s="18">
        <v>6</v>
      </c>
      <c r="AJ297" s="18">
        <v>0</v>
      </c>
      <c r="AK297" s="18">
        <v>0</v>
      </c>
      <c r="AL297" s="18"/>
      <c r="AM297" s="18">
        <v>3.6</v>
      </c>
      <c r="AN297" s="18">
        <v>0.7</v>
      </c>
      <c r="AO297" s="18">
        <v>0</v>
      </c>
      <c r="AP297" s="18">
        <v>2.4</v>
      </c>
      <c r="AQ297" s="18">
        <v>0.7</v>
      </c>
      <c r="AR297" s="18">
        <v>2</v>
      </c>
      <c r="AS297" s="18">
        <v>4.4000000000000004</v>
      </c>
      <c r="AT297" s="18">
        <v>1.1000000000000001</v>
      </c>
      <c r="AU297" s="18">
        <v>1.5</v>
      </c>
      <c r="AV297" s="18">
        <v>1.7</v>
      </c>
      <c r="AW297" s="18">
        <v>1.7</v>
      </c>
      <c r="AX297" s="18"/>
      <c r="AY297" s="18">
        <v>0.89</v>
      </c>
      <c r="AZ297" s="18">
        <v>1.06</v>
      </c>
      <c r="BA297" s="18">
        <v>1.04</v>
      </c>
      <c r="BB297" s="18">
        <v>1.01</v>
      </c>
      <c r="BC297" s="18">
        <v>1.08</v>
      </c>
      <c r="BD297" s="18">
        <v>1.05</v>
      </c>
      <c r="BE297" s="18">
        <v>1.0900000000000001</v>
      </c>
      <c r="BF297" s="18">
        <v>1.05</v>
      </c>
      <c r="BG297" s="18">
        <v>1.02</v>
      </c>
      <c r="BH297" s="18">
        <v>1.1200000000000001</v>
      </c>
      <c r="BI297" s="18">
        <v>1.05</v>
      </c>
      <c r="BJ297" s="19"/>
      <c r="BK297" s="18">
        <v>15</v>
      </c>
      <c r="BL297" s="18">
        <v>2.3000000000000003</v>
      </c>
      <c r="BM297" s="18">
        <v>10.000000000000002</v>
      </c>
      <c r="BN297" s="18">
        <v>0</v>
      </c>
      <c r="BO297" s="18"/>
      <c r="BP297" s="18">
        <v>34</v>
      </c>
      <c r="BQ297" s="18">
        <v>7.82</v>
      </c>
      <c r="BR297" s="18">
        <v>1.207749556717</v>
      </c>
      <c r="BS297" s="18">
        <v>1.1620577680890509</v>
      </c>
      <c r="BT297" s="19"/>
      <c r="BU297" s="18">
        <v>900</v>
      </c>
      <c r="BV297" s="18">
        <v>719.33285714285716</v>
      </c>
      <c r="BW297" s="18">
        <v>12.857142857142907</v>
      </c>
      <c r="BX297" s="18">
        <v>0</v>
      </c>
      <c r="BY297" s="18" t="s">
        <v>217</v>
      </c>
      <c r="BZ297" s="18">
        <v>0</v>
      </c>
      <c r="CA297" s="18">
        <v>0</v>
      </c>
      <c r="CB297" s="19"/>
      <c r="CC297" s="19">
        <v>0.41943999999999998</v>
      </c>
      <c r="CD297" s="19">
        <v>0.34496000000000004</v>
      </c>
      <c r="CE297" s="19">
        <v>0.25087999999999999</v>
      </c>
      <c r="CF297" s="19">
        <v>0.56840000000000002</v>
      </c>
      <c r="CG297" s="19">
        <v>0.94864000000000004</v>
      </c>
      <c r="CH297" s="19">
        <v>5.8799999999999998E-2</v>
      </c>
      <c r="CI297" s="19">
        <v>0</v>
      </c>
      <c r="CJ297" s="19"/>
      <c r="CK297" s="19">
        <v>0.43120000000000008</v>
      </c>
      <c r="CL297" s="19">
        <v>7.8399999999999997E-2</v>
      </c>
      <c r="CM297" s="19">
        <v>0</v>
      </c>
      <c r="CN297" s="19">
        <v>0.23519999999999999</v>
      </c>
      <c r="CO297" s="19">
        <v>0</v>
      </c>
      <c r="CP297" s="19">
        <v>0</v>
      </c>
      <c r="CQ297" s="19">
        <v>4.4687999999999999</v>
      </c>
      <c r="CR297" s="19">
        <v>94.3904300075951</v>
      </c>
      <c r="CS297" s="19">
        <v>3.0242693774433471</v>
      </c>
      <c r="CT297" s="19">
        <v>0.70037699065635572</v>
      </c>
      <c r="CU297" s="19">
        <v>0</v>
      </c>
      <c r="CV297" s="19">
        <v>0.70037699065635572</v>
      </c>
      <c r="CW297" s="19">
        <v>2.2880240233841054</v>
      </c>
      <c r="CX297" s="19">
        <v>0.71359165085741894</v>
      </c>
      <c r="CY297" s="19">
        <v>1.9821990301594972</v>
      </c>
      <c r="CZ297" s="19">
        <v>4.5269650231642613</v>
      </c>
      <c r="DA297" s="19">
        <v>1.0902094665877236</v>
      </c>
      <c r="DB297" s="19">
        <v>1.4441735791162049</v>
      </c>
      <c r="DC297" s="19">
        <v>1.7971937873446109</v>
      </c>
      <c r="DD297" s="19">
        <v>3.2413673664608158</v>
      </c>
      <c r="DE297" s="19">
        <v>1.6848691756355727</v>
      </c>
      <c r="DF297" s="23">
        <v>0</v>
      </c>
      <c r="DG297" s="23">
        <v>0</v>
      </c>
      <c r="DH297" s="24">
        <v>0</v>
      </c>
      <c r="DI297" s="19">
        <v>0</v>
      </c>
      <c r="DJ297" s="19">
        <v>0</v>
      </c>
      <c r="DK297" s="19">
        <v>0</v>
      </c>
      <c r="DL297" s="19">
        <v>0</v>
      </c>
      <c r="DM297" s="19">
        <v>0</v>
      </c>
      <c r="DN297" s="19">
        <v>0</v>
      </c>
      <c r="DO297" s="19">
        <v>0</v>
      </c>
      <c r="DP297" s="19">
        <v>0</v>
      </c>
      <c r="DQ297" s="19">
        <v>0</v>
      </c>
      <c r="DR297" s="19">
        <v>0</v>
      </c>
      <c r="DS297" s="19">
        <v>0</v>
      </c>
      <c r="DT297" s="19">
        <v>0</v>
      </c>
      <c r="DU297" s="19">
        <v>0</v>
      </c>
      <c r="DV297" s="19">
        <v>0</v>
      </c>
      <c r="DW297" s="17" t="s">
        <v>748</v>
      </c>
      <c r="DX297" s="22">
        <v>2</v>
      </c>
      <c r="DY297" s="22">
        <v>2</v>
      </c>
      <c r="DZ297" s="22">
        <v>2</v>
      </c>
      <c r="EA297" s="22" t="s">
        <v>218</v>
      </c>
      <c r="EB297" s="22" t="s">
        <v>218</v>
      </c>
      <c r="EC297" s="22" t="s">
        <v>218</v>
      </c>
      <c r="ED297" s="22" t="s">
        <v>218</v>
      </c>
      <c r="EE297" s="22" t="s">
        <v>218</v>
      </c>
      <c r="EF297" s="22" t="s">
        <v>218</v>
      </c>
      <c r="EG297" s="22" t="s">
        <v>218</v>
      </c>
      <c r="EH297" s="22" t="s">
        <v>218</v>
      </c>
      <c r="EI297" s="22" t="s">
        <v>218</v>
      </c>
      <c r="EJ297" s="22" t="s">
        <v>218</v>
      </c>
      <c r="EK297" s="22" t="s">
        <v>218</v>
      </c>
      <c r="EL297" s="22" t="s">
        <v>218</v>
      </c>
      <c r="EM297" s="22" t="s">
        <v>218</v>
      </c>
      <c r="EN297" s="22" t="s">
        <v>218</v>
      </c>
      <c r="EO297" s="22" t="s">
        <v>218</v>
      </c>
      <c r="EP297" s="22" t="s">
        <v>218</v>
      </c>
      <c r="EQ297" s="22" t="s">
        <v>218</v>
      </c>
      <c r="ER297" s="22" t="s">
        <v>218</v>
      </c>
      <c r="ES297" s="22">
        <v>2</v>
      </c>
      <c r="ET297" s="22">
        <v>2</v>
      </c>
      <c r="EU297" s="22">
        <v>2</v>
      </c>
      <c r="EV297" s="22">
        <v>2</v>
      </c>
      <c r="EW297" s="22">
        <v>2</v>
      </c>
      <c r="EX297" s="22">
        <v>2</v>
      </c>
      <c r="EY297" s="22" t="s">
        <v>218</v>
      </c>
      <c r="EZ297" s="22" t="s">
        <v>218</v>
      </c>
      <c r="FA297" s="22" t="s">
        <v>218</v>
      </c>
      <c r="FB297" s="22" t="s">
        <v>218</v>
      </c>
      <c r="FC297" s="22" t="s">
        <v>218</v>
      </c>
      <c r="FD297" s="22" t="s">
        <v>218</v>
      </c>
      <c r="FE297" s="22" t="s">
        <v>218</v>
      </c>
      <c r="FF297" s="22">
        <v>0.4</v>
      </c>
      <c r="FG297" s="22">
        <v>3.3</v>
      </c>
      <c r="FH297" s="22">
        <v>1</v>
      </c>
      <c r="FI297" s="22" t="s">
        <v>218</v>
      </c>
      <c r="FJ297" s="22" t="s">
        <v>218</v>
      </c>
      <c r="FK297" s="22" t="s">
        <v>218</v>
      </c>
      <c r="FL297" s="22" t="s">
        <v>218</v>
      </c>
      <c r="FM297" s="22" t="s">
        <v>218</v>
      </c>
      <c r="FN297" s="22" t="s">
        <v>218</v>
      </c>
      <c r="FO297" s="22" t="s">
        <v>218</v>
      </c>
      <c r="FP297" s="22" t="s">
        <v>218</v>
      </c>
      <c r="FQ297" s="22" t="s">
        <v>218</v>
      </c>
      <c r="FR297" s="22" t="s">
        <v>218</v>
      </c>
      <c r="FS297" s="22" t="s">
        <v>218</v>
      </c>
      <c r="FT297" s="22" t="s">
        <v>218</v>
      </c>
      <c r="FU297" s="22" t="s">
        <v>218</v>
      </c>
      <c r="FV297" s="22" t="s">
        <v>218</v>
      </c>
      <c r="FW297" s="22" t="s">
        <v>218</v>
      </c>
      <c r="FX297" s="22" t="s">
        <v>218</v>
      </c>
      <c r="FY297" s="22" t="s">
        <v>218</v>
      </c>
      <c r="FZ297" s="22" t="s">
        <v>218</v>
      </c>
      <c r="GA297" s="22">
        <v>2.2999999999999998</v>
      </c>
      <c r="GB297" s="22">
        <v>0.7</v>
      </c>
      <c r="GC297" s="22">
        <v>0.3</v>
      </c>
      <c r="GD297" s="22">
        <v>0.7</v>
      </c>
      <c r="GE297" s="22">
        <v>1.2</v>
      </c>
      <c r="GF297" s="22">
        <v>0.2</v>
      </c>
      <c r="GG297" s="22" t="s">
        <v>218</v>
      </c>
      <c r="GH297" s="22" t="s">
        <v>218</v>
      </c>
      <c r="GI297" s="22" t="s">
        <v>218</v>
      </c>
      <c r="GJ297" s="22" t="s">
        <v>218</v>
      </c>
      <c r="GK297" s="22" t="s">
        <v>218</v>
      </c>
      <c r="GL297" s="22" t="s">
        <v>218</v>
      </c>
      <c r="GM297" s="22" t="s">
        <v>218</v>
      </c>
      <c r="GN297" s="22">
        <v>2015</v>
      </c>
      <c r="GO297" s="22">
        <v>2015</v>
      </c>
      <c r="GP297" s="22">
        <v>2015</v>
      </c>
      <c r="GQ297" s="22" t="s">
        <v>218</v>
      </c>
      <c r="GR297" s="22" t="s">
        <v>218</v>
      </c>
      <c r="GS297" s="22" t="s">
        <v>218</v>
      </c>
      <c r="GT297" s="22" t="s">
        <v>218</v>
      </c>
      <c r="GU297" s="22" t="s">
        <v>218</v>
      </c>
      <c r="GV297" s="22" t="s">
        <v>218</v>
      </c>
      <c r="GW297" s="22" t="s">
        <v>218</v>
      </c>
      <c r="GX297" s="22" t="s">
        <v>218</v>
      </c>
      <c r="GY297" s="22" t="s">
        <v>218</v>
      </c>
      <c r="GZ297" s="22" t="s">
        <v>218</v>
      </c>
      <c r="HA297" s="22" t="s">
        <v>218</v>
      </c>
      <c r="HB297" s="22" t="s">
        <v>218</v>
      </c>
      <c r="HC297" s="22" t="s">
        <v>218</v>
      </c>
      <c r="HD297" s="22" t="s">
        <v>218</v>
      </c>
      <c r="HE297" s="22" t="s">
        <v>218</v>
      </c>
      <c r="HF297" s="22" t="s">
        <v>218</v>
      </c>
      <c r="HG297" s="22" t="s">
        <v>218</v>
      </c>
      <c r="HH297" s="22" t="s">
        <v>218</v>
      </c>
      <c r="HI297" s="22">
        <v>2015</v>
      </c>
      <c r="HJ297" s="22">
        <v>2015</v>
      </c>
      <c r="HK297" s="22">
        <v>2015</v>
      </c>
      <c r="HL297" s="22">
        <v>2015</v>
      </c>
      <c r="HM297" s="860"/>
      <c r="HN297" s="860"/>
      <c r="HO297" s="860"/>
      <c r="HP297" s="860"/>
      <c r="HQ297" s="860"/>
      <c r="HR297" s="860"/>
      <c r="HS297" s="860"/>
      <c r="HT297" s="145"/>
      <c r="HU297" s="145" t="s">
        <v>1809</v>
      </c>
      <c r="HV297" s="22" t="s">
        <v>1989</v>
      </c>
      <c r="HW297" s="22" t="s">
        <v>755</v>
      </c>
      <c r="HX297" s="22" t="s">
        <v>750</v>
      </c>
      <c r="HY297" s="22" t="s">
        <v>751</v>
      </c>
      <c r="HZ297" s="19"/>
      <c r="IA297" s="19"/>
      <c r="IB297" s="621">
        <f>'background data'!$G$10</f>
        <v>0.47300000000000003</v>
      </c>
      <c r="IC297" s="621">
        <f>'background data'!$H$10</f>
        <v>0.13</v>
      </c>
      <c r="ID297" s="621">
        <f>'background data'!$J$10</f>
        <v>0.39100000000000001</v>
      </c>
      <c r="IE297" s="621">
        <f>'background data'!$L$10</f>
        <v>5.5E-2</v>
      </c>
      <c r="IF297" s="621">
        <f>'background data'!$M$10</f>
        <v>3.97</v>
      </c>
      <c r="IG297" s="621">
        <f>'background data'!$N$10</f>
        <v>4.5999999999999999E-3</v>
      </c>
      <c r="IH297" s="621">
        <f>'background data'!$O$10</f>
        <v>2.73</v>
      </c>
      <c r="II297" s="145"/>
      <c r="IJ297" s="145"/>
      <c r="IK297" s="145"/>
      <c r="IL297" s="145"/>
      <c r="IM297" s="145"/>
      <c r="IN297" s="145"/>
      <c r="IO297" s="145"/>
      <c r="IP297" s="145"/>
      <c r="IQ297" s="145"/>
      <c r="IR297" s="145"/>
      <c r="IS297" s="145"/>
      <c r="IT297" s="145"/>
      <c r="IU297" s="145"/>
      <c r="IV297" s="145"/>
      <c r="IW297" s="145"/>
      <c r="IX297" s="145"/>
      <c r="IY297" s="145"/>
      <c r="IZ297" s="145"/>
      <c r="JA297" s="145"/>
      <c r="JB297" s="145"/>
      <c r="JC297" s="145"/>
      <c r="JD297" s="145"/>
      <c r="JE297" s="145"/>
      <c r="JF297" s="145"/>
      <c r="JG297" s="145"/>
      <c r="JH297" s="145"/>
      <c r="JI297" s="145"/>
      <c r="JJ297" s="145"/>
      <c r="JK297" s="145"/>
      <c r="JL297" s="145"/>
      <c r="JM297" s="145"/>
      <c r="JN297" s="145"/>
      <c r="JO297" s="145"/>
      <c r="JP297" s="145"/>
      <c r="JQ297" s="145"/>
      <c r="JR297" s="145"/>
      <c r="JS297" s="145"/>
      <c r="JT297" s="145"/>
      <c r="JU297" s="145"/>
      <c r="JV297" s="145"/>
      <c r="JW297" s="145"/>
      <c r="JX297" s="145"/>
      <c r="JY297" s="145"/>
      <c r="JZ297" s="145"/>
      <c r="KA297" s="145"/>
      <c r="KB297" s="145"/>
      <c r="KC297" s="145"/>
      <c r="KD297" s="145"/>
      <c r="KE297" s="145"/>
      <c r="KF297" s="145"/>
      <c r="KG297" s="145"/>
      <c r="KH297" s="145"/>
      <c r="KI297" s="145"/>
      <c r="KJ297" s="145"/>
      <c r="KK297" s="145"/>
      <c r="KL297" s="145"/>
      <c r="KM297" s="145"/>
      <c r="KN297" s="145"/>
      <c r="KO297" s="145"/>
      <c r="KP297" s="145"/>
      <c r="KQ297" s="145"/>
      <c r="KR297" s="145"/>
      <c r="KS297" s="145"/>
      <c r="KT297" s="145"/>
      <c r="KU297" s="145"/>
      <c r="KV297" s="145"/>
      <c r="KW297" s="145"/>
      <c r="KX297" s="145"/>
      <c r="KY297" s="145"/>
      <c r="KZ297" s="145"/>
      <c r="LA297" s="145"/>
      <c r="LB297" s="145"/>
      <c r="LC297" s="145"/>
      <c r="LD297" s="145"/>
      <c r="LE297" s="145"/>
      <c r="LF297" s="145"/>
      <c r="LG297" s="145"/>
      <c r="LH297" s="145"/>
      <c r="LI297" s="145"/>
      <c r="LJ297" s="145"/>
      <c r="LK297" s="145"/>
      <c r="LL297" s="145"/>
      <c r="LM297" s="145"/>
      <c r="LN297" s="145"/>
      <c r="LO297" s="145"/>
      <c r="LP297" s="145"/>
      <c r="LQ297" s="145"/>
      <c r="LR297" s="145"/>
      <c r="LS297" s="145"/>
      <c r="LT297" s="145"/>
      <c r="LU297" s="145"/>
      <c r="LV297" s="145"/>
      <c r="LW297" s="145"/>
      <c r="LX297" s="145"/>
      <c r="LY297" s="145"/>
      <c r="LZ297" s="145"/>
      <c r="MA297" s="145"/>
      <c r="MB297" s="145"/>
      <c r="MC297" s="145"/>
      <c r="MD297" s="145"/>
      <c r="ME297" s="145"/>
      <c r="MF297" s="145"/>
      <c r="MG297" s="145"/>
      <c r="MH297" s="145"/>
      <c r="MI297" s="145"/>
      <c r="MJ297" s="145"/>
      <c r="MK297" s="145"/>
      <c r="ML297" s="145"/>
      <c r="MM297" s="145"/>
      <c r="MN297" s="145"/>
      <c r="MO297" s="145"/>
      <c r="MP297" s="145"/>
      <c r="MQ297" s="145"/>
      <c r="MR297" s="145"/>
      <c r="MS297" s="145"/>
      <c r="MT297" s="145"/>
      <c r="MU297" s="145"/>
      <c r="MV297" s="145"/>
      <c r="MW297" s="145"/>
      <c r="MX297" s="145"/>
      <c r="MY297" s="145"/>
      <c r="MZ297" s="145"/>
      <c r="NA297" s="145"/>
      <c r="NB297" s="145"/>
      <c r="NC297" s="145"/>
      <c r="ND297" s="145"/>
      <c r="NE297" s="145"/>
      <c r="NF297" s="145"/>
      <c r="NG297" s="145"/>
      <c r="NH297" s="145"/>
      <c r="NI297" s="145"/>
      <c r="NJ297" s="145"/>
      <c r="NK297" s="145"/>
      <c r="NL297" s="145"/>
      <c r="NM297" s="145"/>
      <c r="NN297" s="145"/>
      <c r="NO297" s="145"/>
      <c r="NP297" s="145"/>
      <c r="NQ297" s="145"/>
      <c r="NR297" s="145"/>
      <c r="NS297" s="145"/>
    </row>
    <row r="298" spans="1:383" s="16" customFormat="1" ht="15" customHeight="1" x14ac:dyDescent="0.2">
      <c r="A298" s="15">
        <v>77007</v>
      </c>
      <c r="B298" s="25">
        <v>770</v>
      </c>
      <c r="C298" s="26">
        <v>7</v>
      </c>
      <c r="D298" s="20" t="s">
        <v>768</v>
      </c>
      <c r="E298" s="14">
        <v>42691</v>
      </c>
      <c r="F298" s="18">
        <v>6.5449195031697105E-2</v>
      </c>
      <c r="G298" s="18">
        <v>6.2975974593647996E-2</v>
      </c>
      <c r="H298" s="21">
        <v>99</v>
      </c>
      <c r="I298" s="21">
        <v>98</v>
      </c>
      <c r="J298" s="21">
        <v>98</v>
      </c>
      <c r="K298" s="18">
        <v>0.86</v>
      </c>
      <c r="L298" s="18">
        <v>5.4000000000000101</v>
      </c>
      <c r="M298" s="18">
        <v>0.18360000000000001</v>
      </c>
      <c r="N298" s="18">
        <v>2.1600000000000001E-2</v>
      </c>
      <c r="O298" s="18">
        <v>0.46551726000000099</v>
      </c>
      <c r="P298" s="18">
        <v>0</v>
      </c>
      <c r="Q298" s="19"/>
      <c r="R298" s="18">
        <v>85</v>
      </c>
      <c r="S298" s="18">
        <v>50</v>
      </c>
      <c r="T298" s="18">
        <v>50</v>
      </c>
      <c r="U298" s="18">
        <v>50</v>
      </c>
      <c r="V298" s="18">
        <v>50</v>
      </c>
      <c r="W298" s="18">
        <v>50</v>
      </c>
      <c r="X298" s="18"/>
      <c r="Y298" s="18">
        <v>4.7999999999999909</v>
      </c>
      <c r="Z298" s="18">
        <v>6.8000000000000069</v>
      </c>
      <c r="AA298" s="18">
        <v>6.6000000000000059</v>
      </c>
      <c r="AB298" s="18">
        <v>17.100000000000005</v>
      </c>
      <c r="AC298" s="18">
        <v>25.699999999999953</v>
      </c>
      <c r="AD298" s="18">
        <v>1.1999999999999995</v>
      </c>
      <c r="AE298" s="18">
        <v>0</v>
      </c>
      <c r="AF298" s="18">
        <v>92.000000000000014</v>
      </c>
      <c r="AG298" s="18">
        <v>21.999999999999957</v>
      </c>
      <c r="AH298" s="18">
        <v>2.9999999999999942</v>
      </c>
      <c r="AI298" s="18">
        <v>17.000000000000007</v>
      </c>
      <c r="AJ298" s="18">
        <v>0</v>
      </c>
      <c r="AK298" s="18">
        <v>5.0000000000000093E-2</v>
      </c>
      <c r="AL298" s="18"/>
      <c r="AM298" s="18">
        <v>6.1</v>
      </c>
      <c r="AN298" s="18">
        <v>1.5</v>
      </c>
      <c r="AO298" s="18">
        <v>2</v>
      </c>
      <c r="AP298" s="18">
        <v>5.4</v>
      </c>
      <c r="AQ298" s="18">
        <v>1.1000000000000001</v>
      </c>
      <c r="AR298" s="18">
        <v>5.7</v>
      </c>
      <c r="AS298" s="18">
        <v>8.1</v>
      </c>
      <c r="AT298" s="18">
        <v>1.2</v>
      </c>
      <c r="AU298" s="18">
        <v>2.6</v>
      </c>
      <c r="AV298" s="18">
        <v>2</v>
      </c>
      <c r="AW298" s="18">
        <v>5</v>
      </c>
      <c r="AX298" s="18"/>
      <c r="AY298" s="18">
        <v>0.89</v>
      </c>
      <c r="AZ298" s="18">
        <v>1.06</v>
      </c>
      <c r="BA298" s="18">
        <v>1.04</v>
      </c>
      <c r="BB298" s="18">
        <v>1.01</v>
      </c>
      <c r="BC298" s="18">
        <v>1.08</v>
      </c>
      <c r="BD298" s="18">
        <v>1.05</v>
      </c>
      <c r="BE298" s="18">
        <v>1.0900000000000001</v>
      </c>
      <c r="BF298" s="18">
        <v>1.05</v>
      </c>
      <c r="BG298" s="18">
        <v>1.02</v>
      </c>
      <c r="BH298" s="18">
        <v>1.1200000000000001</v>
      </c>
      <c r="BI298" s="18">
        <v>1.05</v>
      </c>
      <c r="BJ298" s="19"/>
      <c r="BK298" s="18">
        <v>3.3999999999999941</v>
      </c>
      <c r="BL298" s="18">
        <v>0.3999999999999993</v>
      </c>
      <c r="BM298" s="18">
        <v>8.6206900000000033</v>
      </c>
      <c r="BN298" s="18">
        <v>0</v>
      </c>
      <c r="BO298" s="18"/>
      <c r="BP298" s="18">
        <v>34</v>
      </c>
      <c r="BQ298" s="18">
        <v>1.3599999999999992</v>
      </c>
      <c r="BR298" s="18">
        <v>1.2120221302166108</v>
      </c>
      <c r="BS298" s="18">
        <v>1.1662217517342199</v>
      </c>
      <c r="BT298" s="19"/>
      <c r="BU298" s="18">
        <v>913.79310000000021</v>
      </c>
      <c r="BV298" s="18">
        <v>856.78098185714282</v>
      </c>
      <c r="BW298" s="18">
        <v>13.054187142857105</v>
      </c>
      <c r="BX298" s="18">
        <v>0</v>
      </c>
      <c r="BY298" s="18" t="s">
        <v>217</v>
      </c>
      <c r="BZ298" s="18">
        <v>0</v>
      </c>
      <c r="CA298" s="18">
        <v>0</v>
      </c>
      <c r="CB298" s="19"/>
      <c r="CC298" s="19">
        <v>0.25919999999999999</v>
      </c>
      <c r="CD298" s="19">
        <v>0.36720000000000108</v>
      </c>
      <c r="CE298" s="19">
        <v>0.35640000000000099</v>
      </c>
      <c r="CF298" s="19">
        <v>0.923400000000002</v>
      </c>
      <c r="CG298" s="19">
        <v>1.3878000000000001</v>
      </c>
      <c r="CH298" s="19">
        <v>6.4800000000000094E-2</v>
      </c>
      <c r="CI298" s="19">
        <v>0</v>
      </c>
      <c r="CJ298" s="19"/>
      <c r="CK298" s="19">
        <v>4.9680000000000106</v>
      </c>
      <c r="CL298" s="19">
        <v>1.1879999999999999</v>
      </c>
      <c r="CM298" s="19">
        <v>0.16200000000000001</v>
      </c>
      <c r="CN298" s="19">
        <v>0.91800000000000215</v>
      </c>
      <c r="CO298" s="19">
        <v>0</v>
      </c>
      <c r="CP298" s="19">
        <v>2.7000000000000101E-3</v>
      </c>
      <c r="CQ298" s="19">
        <v>1.5606</v>
      </c>
      <c r="CR298" s="19">
        <v>23.844449106581067</v>
      </c>
      <c r="CS298" s="19">
        <v>1.2945151419962893</v>
      </c>
      <c r="CT298" s="19">
        <v>0.37912674079463893</v>
      </c>
      <c r="CU298" s="19">
        <v>0.49596454141688767</v>
      </c>
      <c r="CV298" s="19">
        <v>0.87509128221152666</v>
      </c>
      <c r="CW298" s="19">
        <v>1.3004762542729342</v>
      </c>
      <c r="CX298" s="19">
        <v>0.28327205538618305</v>
      </c>
      <c r="CY298" s="19">
        <v>1.4270902790288797</v>
      </c>
      <c r="CZ298" s="19">
        <v>2.1052264116200421</v>
      </c>
      <c r="DA298" s="19">
        <v>0.30044005874292146</v>
      </c>
      <c r="DB298" s="19">
        <v>0.63235479030653141</v>
      </c>
      <c r="DC298" s="19">
        <v>0.5341156599874175</v>
      </c>
      <c r="DD298" s="19">
        <v>1.1664704502939471</v>
      </c>
      <c r="DE298" s="19">
        <v>1.251833578095509</v>
      </c>
      <c r="DF298" s="23">
        <v>0</v>
      </c>
      <c r="DG298" s="23">
        <v>0</v>
      </c>
      <c r="DH298" s="23">
        <v>0</v>
      </c>
      <c r="DI298" s="19">
        <v>0</v>
      </c>
      <c r="DJ298" s="19">
        <v>0</v>
      </c>
      <c r="DK298" s="19">
        <v>0</v>
      </c>
      <c r="DL298" s="19">
        <v>0</v>
      </c>
      <c r="DM298" s="19">
        <v>0</v>
      </c>
      <c r="DN298" s="19">
        <v>0</v>
      </c>
      <c r="DO298" s="19">
        <v>0</v>
      </c>
      <c r="DP298" s="19">
        <v>0</v>
      </c>
      <c r="DQ298" s="19">
        <v>0</v>
      </c>
      <c r="DR298" s="19">
        <v>0</v>
      </c>
      <c r="DS298" s="19">
        <v>0</v>
      </c>
      <c r="DT298" s="19">
        <v>0</v>
      </c>
      <c r="DU298" s="19">
        <v>0</v>
      </c>
      <c r="DV298" s="19">
        <v>0</v>
      </c>
      <c r="DW298" s="17" t="s">
        <v>748</v>
      </c>
      <c r="DX298" s="22">
        <v>12</v>
      </c>
      <c r="DY298" s="22">
        <v>12</v>
      </c>
      <c r="DZ298" s="22">
        <v>12</v>
      </c>
      <c r="EA298" s="22" t="s">
        <v>218</v>
      </c>
      <c r="EB298" s="22" t="s">
        <v>218</v>
      </c>
      <c r="EC298" s="22" t="s">
        <v>218</v>
      </c>
      <c r="ED298" s="22" t="s">
        <v>218</v>
      </c>
      <c r="EE298" s="22" t="s">
        <v>218</v>
      </c>
      <c r="EF298" s="22" t="s">
        <v>218</v>
      </c>
      <c r="EG298" s="22" t="s">
        <v>218</v>
      </c>
      <c r="EH298" s="22" t="s">
        <v>218</v>
      </c>
      <c r="EI298" s="22" t="s">
        <v>218</v>
      </c>
      <c r="EJ298" s="22" t="s">
        <v>218</v>
      </c>
      <c r="EK298" s="22" t="s">
        <v>218</v>
      </c>
      <c r="EL298" s="22" t="s">
        <v>218</v>
      </c>
      <c r="EM298" s="22" t="s">
        <v>218</v>
      </c>
      <c r="EN298" s="22" t="s">
        <v>218</v>
      </c>
      <c r="EO298" s="22" t="s">
        <v>218</v>
      </c>
      <c r="EP298" s="22" t="s">
        <v>218</v>
      </c>
      <c r="EQ298" s="22" t="s">
        <v>218</v>
      </c>
      <c r="ER298" s="22" t="s">
        <v>218</v>
      </c>
      <c r="ES298" s="22">
        <v>12</v>
      </c>
      <c r="ET298" s="22">
        <v>12</v>
      </c>
      <c r="EU298" s="22">
        <v>12</v>
      </c>
      <c r="EV298" s="22">
        <v>12</v>
      </c>
      <c r="EW298" s="22">
        <v>12</v>
      </c>
      <c r="EX298" s="22">
        <v>12</v>
      </c>
      <c r="EY298" s="22" t="s">
        <v>218</v>
      </c>
      <c r="EZ298" s="22" t="s">
        <v>218</v>
      </c>
      <c r="FA298" s="22" t="s">
        <v>218</v>
      </c>
      <c r="FB298" s="22" t="s">
        <v>218</v>
      </c>
      <c r="FC298" s="22" t="s">
        <v>218</v>
      </c>
      <c r="FD298" s="22" t="s">
        <v>218</v>
      </c>
      <c r="FE298" s="22" t="s">
        <v>218</v>
      </c>
      <c r="FF298" s="22">
        <v>0.3</v>
      </c>
      <c r="FG298" s="22">
        <v>0.7</v>
      </c>
      <c r="FH298" s="22">
        <v>0.2</v>
      </c>
      <c r="FI298" s="22" t="s">
        <v>218</v>
      </c>
      <c r="FJ298" s="22" t="s">
        <v>218</v>
      </c>
      <c r="FK298" s="22" t="s">
        <v>218</v>
      </c>
      <c r="FL298" s="22" t="s">
        <v>218</v>
      </c>
      <c r="FM298" s="22" t="s">
        <v>218</v>
      </c>
      <c r="FN298" s="22" t="s">
        <v>218</v>
      </c>
      <c r="FO298" s="22" t="s">
        <v>218</v>
      </c>
      <c r="FP298" s="22" t="s">
        <v>218</v>
      </c>
      <c r="FQ298" s="22" t="s">
        <v>218</v>
      </c>
      <c r="FR298" s="22" t="s">
        <v>218</v>
      </c>
      <c r="FS298" s="22" t="s">
        <v>218</v>
      </c>
      <c r="FT298" s="22" t="s">
        <v>218</v>
      </c>
      <c r="FU298" s="22" t="s">
        <v>218</v>
      </c>
      <c r="FV298" s="22" t="s">
        <v>218</v>
      </c>
      <c r="FW298" s="22" t="s">
        <v>218</v>
      </c>
      <c r="FX298" s="22" t="s">
        <v>218</v>
      </c>
      <c r="FY298" s="22" t="s">
        <v>218</v>
      </c>
      <c r="FZ298" s="22" t="s">
        <v>218</v>
      </c>
      <c r="GA298" s="22">
        <v>0.4</v>
      </c>
      <c r="GB298" s="22">
        <v>0.4</v>
      </c>
      <c r="GC298" s="22">
        <v>0.6</v>
      </c>
      <c r="GD298" s="22">
        <v>0.7</v>
      </c>
      <c r="GE298" s="22">
        <v>1.7</v>
      </c>
      <c r="GF298" s="22">
        <v>0.1</v>
      </c>
      <c r="GG298" s="22" t="s">
        <v>218</v>
      </c>
      <c r="GH298" s="22" t="s">
        <v>218</v>
      </c>
      <c r="GI298" s="22" t="s">
        <v>218</v>
      </c>
      <c r="GJ298" s="22" t="s">
        <v>218</v>
      </c>
      <c r="GK298" s="22" t="s">
        <v>218</v>
      </c>
      <c r="GL298" s="22" t="s">
        <v>218</v>
      </c>
      <c r="GM298" s="22" t="s">
        <v>218</v>
      </c>
      <c r="GN298" s="22">
        <v>2015</v>
      </c>
      <c r="GO298" s="22">
        <v>2015</v>
      </c>
      <c r="GP298" s="22">
        <v>2015</v>
      </c>
      <c r="GQ298" s="22" t="s">
        <v>218</v>
      </c>
      <c r="GR298" s="22" t="s">
        <v>218</v>
      </c>
      <c r="GS298" s="22" t="s">
        <v>218</v>
      </c>
      <c r="GT298" s="22" t="s">
        <v>218</v>
      </c>
      <c r="GU298" s="22" t="s">
        <v>218</v>
      </c>
      <c r="GV298" s="22" t="s">
        <v>218</v>
      </c>
      <c r="GW298" s="22" t="s">
        <v>218</v>
      </c>
      <c r="GX298" s="22" t="s">
        <v>218</v>
      </c>
      <c r="GY298" s="22" t="s">
        <v>218</v>
      </c>
      <c r="GZ298" s="22" t="s">
        <v>218</v>
      </c>
      <c r="HA298" s="22" t="s">
        <v>218</v>
      </c>
      <c r="HB298" s="22" t="s">
        <v>218</v>
      </c>
      <c r="HC298" s="22" t="s">
        <v>218</v>
      </c>
      <c r="HD298" s="22" t="s">
        <v>218</v>
      </c>
      <c r="HE298" s="22" t="s">
        <v>218</v>
      </c>
      <c r="HF298" s="22" t="s">
        <v>218</v>
      </c>
      <c r="HG298" s="22" t="s">
        <v>218</v>
      </c>
      <c r="HH298" s="22" t="s">
        <v>218</v>
      </c>
      <c r="HI298" s="22">
        <v>2015</v>
      </c>
      <c r="HJ298" s="22">
        <v>2015</v>
      </c>
      <c r="HK298" s="22">
        <v>2015</v>
      </c>
      <c r="HL298" s="22">
        <v>2015</v>
      </c>
      <c r="HM298" s="860"/>
      <c r="HN298" s="860"/>
      <c r="HO298" s="860"/>
      <c r="HP298" s="860"/>
      <c r="HQ298" s="860"/>
      <c r="HR298" s="860"/>
      <c r="HS298" s="860"/>
      <c r="HT298" s="145"/>
      <c r="HU298" s="145" t="s">
        <v>1809</v>
      </c>
      <c r="HV298" s="22" t="s">
        <v>1989</v>
      </c>
      <c r="HW298" s="22" t="s">
        <v>753</v>
      </c>
      <c r="HX298" s="22" t="s">
        <v>750</v>
      </c>
      <c r="HY298" s="22" t="s">
        <v>751</v>
      </c>
      <c r="HZ298" s="19"/>
      <c r="IA298" s="19"/>
      <c r="IB298" s="621">
        <f>'background data'!$G$10</f>
        <v>0.47300000000000003</v>
      </c>
      <c r="IC298" s="621">
        <f>'background data'!$H$10</f>
        <v>0.13</v>
      </c>
      <c r="ID298" s="621">
        <f>'background data'!$J$10</f>
        <v>0.39100000000000001</v>
      </c>
      <c r="IE298" s="621">
        <f>'background data'!$L$10</f>
        <v>5.5E-2</v>
      </c>
      <c r="IF298" s="621">
        <f>'background data'!$M$10</f>
        <v>3.97</v>
      </c>
      <c r="IG298" s="621">
        <f>'background data'!$N$10</f>
        <v>4.5999999999999999E-3</v>
      </c>
      <c r="IH298" s="621">
        <f>'background data'!$O$10</f>
        <v>2.73</v>
      </c>
      <c r="II298" s="145"/>
      <c r="IJ298" s="145"/>
      <c r="IK298" s="145"/>
      <c r="IL298" s="145"/>
      <c r="IM298" s="145"/>
      <c r="IN298" s="145"/>
      <c r="IO298" s="145"/>
      <c r="IP298" s="145"/>
      <c r="IQ298" s="145"/>
      <c r="IR298" s="145"/>
      <c r="IS298" s="145"/>
      <c r="IT298" s="145"/>
      <c r="IU298" s="145"/>
      <c r="IV298" s="145"/>
      <c r="IW298" s="145"/>
      <c r="IX298" s="145"/>
      <c r="IY298" s="145"/>
      <c r="IZ298" s="145"/>
      <c r="JA298" s="145"/>
      <c r="JB298" s="145"/>
      <c r="JC298" s="145"/>
      <c r="JD298" s="145"/>
      <c r="JE298" s="145"/>
      <c r="JF298" s="145"/>
      <c r="JG298" s="145"/>
      <c r="JH298" s="145"/>
      <c r="JI298" s="145"/>
      <c r="JJ298" s="145"/>
      <c r="JK298" s="145"/>
      <c r="JL298" s="145"/>
      <c r="JM298" s="145"/>
      <c r="JN298" s="145"/>
      <c r="JO298" s="145"/>
      <c r="JP298" s="145"/>
      <c r="JQ298" s="145"/>
      <c r="JR298" s="145"/>
      <c r="JS298" s="145"/>
      <c r="JT298" s="145"/>
      <c r="JU298" s="145"/>
      <c r="JV298" s="145"/>
      <c r="JW298" s="145"/>
      <c r="JX298" s="145"/>
      <c r="JY298" s="145"/>
      <c r="JZ298" s="145"/>
      <c r="KA298" s="145"/>
      <c r="KB298" s="145"/>
      <c r="KC298" s="145"/>
      <c r="KD298" s="145"/>
      <c r="KE298" s="145"/>
      <c r="KF298" s="145"/>
      <c r="KG298" s="145"/>
      <c r="KH298" s="145"/>
      <c r="KI298" s="145"/>
      <c r="KJ298" s="145"/>
      <c r="KK298" s="145"/>
      <c r="KL298" s="145"/>
      <c r="KM298" s="145"/>
      <c r="KN298" s="145"/>
      <c r="KO298" s="145"/>
      <c r="KP298" s="145"/>
      <c r="KQ298" s="145"/>
      <c r="KR298" s="145"/>
      <c r="KS298" s="145"/>
      <c r="KT298" s="145"/>
      <c r="KU298" s="145"/>
      <c r="KV298" s="145"/>
      <c r="KW298" s="145"/>
      <c r="KX298" s="145"/>
      <c r="KY298" s="145"/>
      <c r="KZ298" s="145"/>
      <c r="LA298" s="145"/>
      <c r="LB298" s="145"/>
      <c r="LC298" s="145"/>
      <c r="LD298" s="145"/>
      <c r="LE298" s="145"/>
      <c r="LF298" s="145"/>
      <c r="LG298" s="145"/>
      <c r="LH298" s="145"/>
      <c r="LI298" s="145"/>
      <c r="LJ298" s="145"/>
      <c r="LK298" s="145"/>
      <c r="LL298" s="145"/>
      <c r="LM298" s="145"/>
      <c r="LN298" s="145"/>
      <c r="LO298" s="145"/>
      <c r="LP298" s="145"/>
      <c r="LQ298" s="145"/>
      <c r="LR298" s="145"/>
      <c r="LS298" s="145"/>
      <c r="LT298" s="145"/>
      <c r="LU298" s="145"/>
      <c r="LV298" s="145"/>
      <c r="LW298" s="145"/>
      <c r="LX298" s="145"/>
      <c r="LY298" s="145"/>
      <c r="LZ298" s="145"/>
      <c r="MA298" s="145"/>
      <c r="MB298" s="145"/>
      <c r="MC298" s="145"/>
      <c r="MD298" s="145"/>
      <c r="ME298" s="145"/>
      <c r="MF298" s="145"/>
      <c r="MG298" s="145"/>
      <c r="MH298" s="145"/>
      <c r="MI298" s="145"/>
      <c r="MJ298" s="145"/>
      <c r="MK298" s="145"/>
      <c r="ML298" s="145"/>
      <c r="MM298" s="145"/>
      <c r="MN298" s="145"/>
      <c r="MO298" s="145"/>
      <c r="MP298" s="145"/>
      <c r="MQ298" s="145"/>
      <c r="MR298" s="145"/>
      <c r="MS298" s="145"/>
      <c r="MT298" s="145"/>
      <c r="MU298" s="145"/>
      <c r="MV298" s="145"/>
      <c r="MW298" s="145"/>
      <c r="MX298" s="145"/>
      <c r="MY298" s="145"/>
      <c r="MZ298" s="145"/>
      <c r="NA298" s="145"/>
      <c r="NB298" s="145"/>
      <c r="NC298" s="145"/>
      <c r="ND298" s="145"/>
      <c r="NE298" s="145"/>
      <c r="NF298" s="145"/>
      <c r="NG298" s="145"/>
      <c r="NH298" s="145"/>
      <c r="NI298" s="145"/>
      <c r="NJ298" s="145"/>
      <c r="NK298" s="145"/>
      <c r="NL298" s="145"/>
      <c r="NM298" s="145"/>
      <c r="NN298" s="145"/>
      <c r="NO298" s="145"/>
      <c r="NP298" s="145"/>
      <c r="NQ298" s="145"/>
      <c r="NR298" s="145"/>
      <c r="NS298" s="145"/>
    </row>
    <row r="299" spans="1:383" s="16" customFormat="1" ht="15" customHeight="1" x14ac:dyDescent="0.2">
      <c r="A299" s="15">
        <v>77010</v>
      </c>
      <c r="B299" s="25">
        <v>770</v>
      </c>
      <c r="C299" s="26">
        <v>10</v>
      </c>
      <c r="D299" s="20" t="s">
        <v>769</v>
      </c>
      <c r="E299" s="14">
        <v>42691</v>
      </c>
      <c r="F299" s="18">
        <v>7.8788725804635099E-2</v>
      </c>
      <c r="G299" s="18">
        <v>7.5808199792095105E-2</v>
      </c>
      <c r="H299" s="21">
        <v>99</v>
      </c>
      <c r="I299" s="21">
        <v>98</v>
      </c>
      <c r="J299" s="21">
        <v>98</v>
      </c>
      <c r="K299" s="18">
        <v>0.86</v>
      </c>
      <c r="L299" s="18">
        <v>6.4300000000000104</v>
      </c>
      <c r="M299" s="18">
        <v>0.97093000000000196</v>
      </c>
      <c r="N299" s="18">
        <v>0.14146</v>
      </c>
      <c r="O299" s="18">
        <v>0.55431036700000103</v>
      </c>
      <c r="P299" s="18">
        <v>0</v>
      </c>
      <c r="Q299" s="19"/>
      <c r="R299" s="18">
        <v>85</v>
      </c>
      <c r="S299" s="18">
        <v>50</v>
      </c>
      <c r="T299" s="18">
        <v>50</v>
      </c>
      <c r="U299" s="18">
        <v>50</v>
      </c>
      <c r="V299" s="18">
        <v>50</v>
      </c>
      <c r="W299" s="18">
        <v>50</v>
      </c>
      <c r="X299" s="18"/>
      <c r="Y299" s="18">
        <v>6.2000000000000055</v>
      </c>
      <c r="Z299" s="18">
        <v>6.9000000000000048</v>
      </c>
      <c r="AA299" s="18">
        <v>11.399999999999999</v>
      </c>
      <c r="AB299" s="18">
        <v>22.599999999999962</v>
      </c>
      <c r="AC299" s="18">
        <v>22.599999999999962</v>
      </c>
      <c r="AD299" s="18">
        <v>1.2999999999999994</v>
      </c>
      <c r="AE299" s="18">
        <v>0</v>
      </c>
      <c r="AF299" s="18">
        <v>92</v>
      </c>
      <c r="AG299" s="18">
        <v>21.999999999999964</v>
      </c>
      <c r="AH299" s="18">
        <v>2.9999999999999951</v>
      </c>
      <c r="AI299" s="18">
        <v>16.999999999999972</v>
      </c>
      <c r="AJ299" s="18">
        <v>0</v>
      </c>
      <c r="AK299" s="18">
        <v>5.0000000000000079E-2</v>
      </c>
      <c r="AL299" s="18"/>
      <c r="AM299" s="18">
        <v>6.1</v>
      </c>
      <c r="AN299" s="18">
        <v>1.5</v>
      </c>
      <c r="AO299" s="18">
        <v>2</v>
      </c>
      <c r="AP299" s="18">
        <v>5.4</v>
      </c>
      <c r="AQ299" s="18">
        <v>1.1000000000000001</v>
      </c>
      <c r="AR299" s="18">
        <v>5.7</v>
      </c>
      <c r="AS299" s="18">
        <v>8.1</v>
      </c>
      <c r="AT299" s="18">
        <v>1.2</v>
      </c>
      <c r="AU299" s="18">
        <v>2.6</v>
      </c>
      <c r="AV299" s="18">
        <v>2</v>
      </c>
      <c r="AW299" s="18">
        <v>5</v>
      </c>
      <c r="AX299" s="18"/>
      <c r="AY299" s="18">
        <v>0.89</v>
      </c>
      <c r="AZ299" s="18">
        <v>1.06</v>
      </c>
      <c r="BA299" s="18">
        <v>1.04</v>
      </c>
      <c r="BB299" s="18">
        <v>1.01</v>
      </c>
      <c r="BC299" s="18">
        <v>1.08</v>
      </c>
      <c r="BD299" s="18">
        <v>1.05</v>
      </c>
      <c r="BE299" s="18">
        <v>1.0900000000000001</v>
      </c>
      <c r="BF299" s="18">
        <v>1.05</v>
      </c>
      <c r="BG299" s="18">
        <v>1.02</v>
      </c>
      <c r="BH299" s="18">
        <v>1.1200000000000001</v>
      </c>
      <c r="BI299" s="18">
        <v>1.05</v>
      </c>
      <c r="BJ299" s="19"/>
      <c r="BK299" s="18">
        <v>15.100000000000007</v>
      </c>
      <c r="BL299" s="18">
        <v>2.1999999999999966</v>
      </c>
      <c r="BM299" s="18">
        <v>8.6206900000000015</v>
      </c>
      <c r="BN299" s="18">
        <v>0</v>
      </c>
      <c r="BO299" s="18"/>
      <c r="BP299" s="18">
        <v>34</v>
      </c>
      <c r="BQ299" s="18">
        <v>7.480000000000004</v>
      </c>
      <c r="BR299" s="18">
        <v>1.2253301058263604</v>
      </c>
      <c r="BS299" s="18">
        <v>1.1789766686173404</v>
      </c>
      <c r="BT299" s="19"/>
      <c r="BU299" s="18">
        <v>913.79310000000009</v>
      </c>
      <c r="BV299" s="18">
        <v>732.85098185714344</v>
      </c>
      <c r="BW299" s="18">
        <v>13.054187142857103</v>
      </c>
      <c r="BX299" s="18">
        <v>0</v>
      </c>
      <c r="BY299" s="18" t="s">
        <v>217</v>
      </c>
      <c r="BZ299" s="18">
        <v>0</v>
      </c>
      <c r="CA299" s="18">
        <v>0</v>
      </c>
      <c r="CB299" s="19"/>
      <c r="CC299" s="19">
        <v>0.39866000000000101</v>
      </c>
      <c r="CD299" s="19">
        <v>0.44367000000000106</v>
      </c>
      <c r="CE299" s="19">
        <v>0.73302000000000112</v>
      </c>
      <c r="CF299" s="19">
        <v>1.4531799999999999</v>
      </c>
      <c r="CG299" s="19">
        <v>1.4531799999999999</v>
      </c>
      <c r="CH299" s="19">
        <v>8.3590000000000095E-2</v>
      </c>
      <c r="CI299" s="19">
        <v>0</v>
      </c>
      <c r="CJ299" s="19"/>
      <c r="CK299" s="19">
        <v>5.9156000000000102</v>
      </c>
      <c r="CL299" s="19">
        <v>1.4146000000000001</v>
      </c>
      <c r="CM299" s="19">
        <v>0.19290000000000002</v>
      </c>
      <c r="CN299" s="19">
        <v>1.0931</v>
      </c>
      <c r="CO299" s="19">
        <v>0</v>
      </c>
      <c r="CP299" s="19">
        <v>3.2150000000000104E-3</v>
      </c>
      <c r="CQ299" s="19">
        <v>8.2529050000000108</v>
      </c>
      <c r="CR299" s="19">
        <v>104.74728351952224</v>
      </c>
      <c r="CS299" s="19">
        <v>5.6867300222748671</v>
      </c>
      <c r="CT299" s="19">
        <v>1.6654818079604015</v>
      </c>
      <c r="CU299" s="19">
        <v>2.1787434972060598</v>
      </c>
      <c r="CV299" s="19">
        <v>3.8442253051664608</v>
      </c>
      <c r="CW299" s="19">
        <v>5.7129168431547477</v>
      </c>
      <c r="CX299" s="19">
        <v>1.2443977282119238</v>
      </c>
      <c r="CY299" s="19">
        <v>6.2691249186434108</v>
      </c>
      <c r="CZ299" s="19">
        <v>9.2481376619386193</v>
      </c>
      <c r="DA299" s="19">
        <v>1.3198157723459785</v>
      </c>
      <c r="DB299" s="19">
        <v>2.7778979589377264</v>
      </c>
      <c r="DC299" s="19">
        <v>2.3463391508372951</v>
      </c>
      <c r="DD299" s="19">
        <v>5.1242371097750343</v>
      </c>
      <c r="DE299" s="19">
        <v>5.4992323847749232</v>
      </c>
      <c r="DF299" s="23">
        <v>0</v>
      </c>
      <c r="DG299" s="23">
        <v>0</v>
      </c>
      <c r="DH299" s="23">
        <v>0</v>
      </c>
      <c r="DI299" s="19">
        <v>0</v>
      </c>
      <c r="DJ299" s="19">
        <v>0</v>
      </c>
      <c r="DK299" s="19">
        <v>0</v>
      </c>
      <c r="DL299" s="19">
        <v>0</v>
      </c>
      <c r="DM299" s="19">
        <v>0</v>
      </c>
      <c r="DN299" s="19">
        <v>0</v>
      </c>
      <c r="DO299" s="19">
        <v>0</v>
      </c>
      <c r="DP299" s="19">
        <v>0</v>
      </c>
      <c r="DQ299" s="19">
        <v>0</v>
      </c>
      <c r="DR299" s="19">
        <v>0</v>
      </c>
      <c r="DS299" s="19">
        <v>0</v>
      </c>
      <c r="DT299" s="19">
        <v>0</v>
      </c>
      <c r="DU299" s="19">
        <v>0</v>
      </c>
      <c r="DV299" s="19">
        <v>0</v>
      </c>
      <c r="DW299" s="17" t="s">
        <v>748</v>
      </c>
      <c r="DX299" s="22">
        <v>12</v>
      </c>
      <c r="DY299" s="22">
        <v>12</v>
      </c>
      <c r="DZ299" s="22">
        <v>12</v>
      </c>
      <c r="EA299" s="22" t="s">
        <v>218</v>
      </c>
      <c r="EB299" s="22" t="s">
        <v>218</v>
      </c>
      <c r="EC299" s="22" t="s">
        <v>218</v>
      </c>
      <c r="ED299" s="22" t="s">
        <v>218</v>
      </c>
      <c r="EE299" s="22" t="s">
        <v>218</v>
      </c>
      <c r="EF299" s="22" t="s">
        <v>218</v>
      </c>
      <c r="EG299" s="22" t="s">
        <v>218</v>
      </c>
      <c r="EH299" s="22" t="s">
        <v>218</v>
      </c>
      <c r="EI299" s="22" t="s">
        <v>218</v>
      </c>
      <c r="EJ299" s="22" t="s">
        <v>218</v>
      </c>
      <c r="EK299" s="22" t="s">
        <v>218</v>
      </c>
      <c r="EL299" s="22" t="s">
        <v>218</v>
      </c>
      <c r="EM299" s="22" t="s">
        <v>218</v>
      </c>
      <c r="EN299" s="22" t="s">
        <v>218</v>
      </c>
      <c r="EO299" s="22" t="s">
        <v>218</v>
      </c>
      <c r="EP299" s="22" t="s">
        <v>218</v>
      </c>
      <c r="EQ299" s="22" t="s">
        <v>218</v>
      </c>
      <c r="ER299" s="22" t="s">
        <v>218</v>
      </c>
      <c r="ES299" s="22">
        <v>12</v>
      </c>
      <c r="ET299" s="22">
        <v>12</v>
      </c>
      <c r="EU299" s="22">
        <v>12</v>
      </c>
      <c r="EV299" s="22">
        <v>12</v>
      </c>
      <c r="EW299" s="22">
        <v>12</v>
      </c>
      <c r="EX299" s="22">
        <v>12</v>
      </c>
      <c r="EY299" s="22" t="s">
        <v>218</v>
      </c>
      <c r="EZ299" s="22" t="s">
        <v>218</v>
      </c>
      <c r="FA299" s="22" t="s">
        <v>218</v>
      </c>
      <c r="FB299" s="22" t="s">
        <v>218</v>
      </c>
      <c r="FC299" s="22" t="s">
        <v>218</v>
      </c>
      <c r="FD299" s="22" t="s">
        <v>218</v>
      </c>
      <c r="FE299" s="22" t="s">
        <v>218</v>
      </c>
      <c r="FF299" s="22">
        <v>0.2</v>
      </c>
      <c r="FG299" s="22">
        <v>0.5</v>
      </c>
      <c r="FH299" s="22">
        <v>1.2</v>
      </c>
      <c r="FI299" s="22" t="s">
        <v>218</v>
      </c>
      <c r="FJ299" s="22" t="s">
        <v>218</v>
      </c>
      <c r="FK299" s="22" t="s">
        <v>218</v>
      </c>
      <c r="FL299" s="22" t="s">
        <v>218</v>
      </c>
      <c r="FM299" s="22" t="s">
        <v>218</v>
      </c>
      <c r="FN299" s="22" t="s">
        <v>218</v>
      </c>
      <c r="FO299" s="22" t="s">
        <v>218</v>
      </c>
      <c r="FP299" s="22" t="s">
        <v>218</v>
      </c>
      <c r="FQ299" s="22" t="s">
        <v>218</v>
      </c>
      <c r="FR299" s="22" t="s">
        <v>218</v>
      </c>
      <c r="FS299" s="22" t="s">
        <v>218</v>
      </c>
      <c r="FT299" s="22" t="s">
        <v>218</v>
      </c>
      <c r="FU299" s="22" t="s">
        <v>218</v>
      </c>
      <c r="FV299" s="22" t="s">
        <v>218</v>
      </c>
      <c r="FW299" s="22" t="s">
        <v>218</v>
      </c>
      <c r="FX299" s="22" t="s">
        <v>218</v>
      </c>
      <c r="FY299" s="22" t="s">
        <v>218</v>
      </c>
      <c r="FZ299" s="22" t="s">
        <v>218</v>
      </c>
      <c r="GA299" s="22">
        <v>0.4</v>
      </c>
      <c r="GB299" s="22">
        <v>0.6</v>
      </c>
      <c r="GC299" s="22">
        <v>1.3</v>
      </c>
      <c r="GD299" s="22">
        <v>2</v>
      </c>
      <c r="GE299" s="22">
        <v>1.6</v>
      </c>
      <c r="GF299" s="22">
        <v>0.1</v>
      </c>
      <c r="GG299" s="22" t="s">
        <v>218</v>
      </c>
      <c r="GH299" s="22" t="s">
        <v>218</v>
      </c>
      <c r="GI299" s="22" t="s">
        <v>218</v>
      </c>
      <c r="GJ299" s="22" t="s">
        <v>218</v>
      </c>
      <c r="GK299" s="22" t="s">
        <v>218</v>
      </c>
      <c r="GL299" s="22" t="s">
        <v>218</v>
      </c>
      <c r="GM299" s="22" t="s">
        <v>218</v>
      </c>
      <c r="GN299" s="22">
        <v>2015</v>
      </c>
      <c r="GO299" s="22">
        <v>2015</v>
      </c>
      <c r="GP299" s="22">
        <v>2015</v>
      </c>
      <c r="GQ299" s="22" t="s">
        <v>218</v>
      </c>
      <c r="GR299" s="22" t="s">
        <v>218</v>
      </c>
      <c r="GS299" s="22" t="s">
        <v>218</v>
      </c>
      <c r="GT299" s="22" t="s">
        <v>218</v>
      </c>
      <c r="GU299" s="22" t="s">
        <v>218</v>
      </c>
      <c r="GV299" s="22" t="s">
        <v>218</v>
      </c>
      <c r="GW299" s="22" t="s">
        <v>218</v>
      </c>
      <c r="GX299" s="22" t="s">
        <v>218</v>
      </c>
      <c r="GY299" s="22" t="s">
        <v>218</v>
      </c>
      <c r="GZ299" s="22" t="s">
        <v>218</v>
      </c>
      <c r="HA299" s="22" t="s">
        <v>218</v>
      </c>
      <c r="HB299" s="22" t="s">
        <v>218</v>
      </c>
      <c r="HC299" s="22" t="s">
        <v>218</v>
      </c>
      <c r="HD299" s="22" t="s">
        <v>218</v>
      </c>
      <c r="HE299" s="22" t="s">
        <v>218</v>
      </c>
      <c r="HF299" s="22" t="s">
        <v>218</v>
      </c>
      <c r="HG299" s="22" t="s">
        <v>218</v>
      </c>
      <c r="HH299" s="22" t="s">
        <v>218</v>
      </c>
      <c r="HI299" s="22">
        <v>2015</v>
      </c>
      <c r="HJ299" s="22">
        <v>2015</v>
      </c>
      <c r="HK299" s="22">
        <v>2015</v>
      </c>
      <c r="HL299" s="22">
        <v>2015</v>
      </c>
      <c r="HM299" s="860"/>
      <c r="HN299" s="860"/>
      <c r="HO299" s="860"/>
      <c r="HP299" s="860"/>
      <c r="HQ299" s="860"/>
      <c r="HR299" s="860"/>
      <c r="HS299" s="860"/>
      <c r="HT299" s="145"/>
      <c r="HU299" s="145" t="s">
        <v>1809</v>
      </c>
      <c r="HV299" s="22" t="s">
        <v>1989</v>
      </c>
      <c r="HW299" s="22" t="s">
        <v>753</v>
      </c>
      <c r="HX299" s="22" t="s">
        <v>750</v>
      </c>
      <c r="HY299" s="22" t="s">
        <v>751</v>
      </c>
      <c r="HZ299" s="19"/>
      <c r="IA299" s="19"/>
      <c r="IB299" s="621">
        <f>'background data'!$G$10</f>
        <v>0.47300000000000003</v>
      </c>
      <c r="IC299" s="621">
        <f>'background data'!$H$10</f>
        <v>0.13</v>
      </c>
      <c r="ID299" s="621">
        <f>'background data'!$J$10</f>
        <v>0.39100000000000001</v>
      </c>
      <c r="IE299" s="621">
        <f>'background data'!$L$10</f>
        <v>5.5E-2</v>
      </c>
      <c r="IF299" s="621">
        <f>'background data'!$M$10</f>
        <v>3.97</v>
      </c>
      <c r="IG299" s="621">
        <f>'background data'!$N$10</f>
        <v>4.5999999999999999E-3</v>
      </c>
      <c r="IH299" s="621">
        <f>'background data'!$O$10</f>
        <v>2.73</v>
      </c>
      <c r="II299" s="145"/>
      <c r="IJ299" s="145"/>
      <c r="IK299" s="145"/>
      <c r="IL299" s="145"/>
      <c r="IM299" s="145"/>
      <c r="IN299" s="145"/>
      <c r="IO299" s="145"/>
      <c r="IP299" s="145"/>
      <c r="IQ299" s="145"/>
      <c r="IR299" s="145"/>
      <c r="IS299" s="145"/>
      <c r="IT299" s="145"/>
      <c r="IU299" s="145"/>
      <c r="IV299" s="145"/>
      <c r="IW299" s="145"/>
      <c r="IX299" s="145"/>
      <c r="IY299" s="145"/>
      <c r="IZ299" s="145"/>
      <c r="JA299" s="145"/>
      <c r="JB299" s="145"/>
      <c r="JC299" s="145"/>
      <c r="JD299" s="145"/>
      <c r="JE299" s="145"/>
      <c r="JF299" s="145"/>
      <c r="JG299" s="145"/>
      <c r="JH299" s="145"/>
      <c r="JI299" s="145"/>
      <c r="JJ299" s="145"/>
      <c r="JK299" s="145"/>
      <c r="JL299" s="145"/>
      <c r="JM299" s="145"/>
      <c r="JN299" s="145"/>
      <c r="JO299" s="145"/>
      <c r="JP299" s="145"/>
      <c r="JQ299" s="145"/>
      <c r="JR299" s="145"/>
      <c r="JS299" s="145"/>
      <c r="JT299" s="145"/>
      <c r="JU299" s="145"/>
      <c r="JV299" s="145"/>
      <c r="JW299" s="145"/>
      <c r="JX299" s="145"/>
      <c r="JY299" s="145"/>
      <c r="JZ299" s="145"/>
      <c r="KA299" s="145"/>
      <c r="KB299" s="145"/>
      <c r="KC299" s="145"/>
      <c r="KD299" s="145"/>
      <c r="KE299" s="145"/>
      <c r="KF299" s="145"/>
      <c r="KG299" s="145"/>
      <c r="KH299" s="145"/>
      <c r="KI299" s="145"/>
      <c r="KJ299" s="145"/>
      <c r="KK299" s="145"/>
      <c r="KL299" s="145"/>
      <c r="KM299" s="145"/>
      <c r="KN299" s="145"/>
      <c r="KO299" s="145"/>
      <c r="KP299" s="145"/>
      <c r="KQ299" s="145"/>
      <c r="KR299" s="145"/>
      <c r="KS299" s="145"/>
      <c r="KT299" s="145"/>
      <c r="KU299" s="145"/>
      <c r="KV299" s="145"/>
      <c r="KW299" s="145"/>
      <c r="KX299" s="145"/>
      <c r="KY299" s="145"/>
      <c r="KZ299" s="145"/>
      <c r="LA299" s="145"/>
      <c r="LB299" s="145"/>
      <c r="LC299" s="145"/>
      <c r="LD299" s="145"/>
      <c r="LE299" s="145"/>
      <c r="LF299" s="145"/>
      <c r="LG299" s="145"/>
      <c r="LH299" s="145"/>
      <c r="LI299" s="145"/>
      <c r="LJ299" s="145"/>
      <c r="LK299" s="145"/>
      <c r="LL299" s="145"/>
      <c r="LM299" s="145"/>
      <c r="LN299" s="145"/>
      <c r="LO299" s="145"/>
      <c r="LP299" s="145"/>
      <c r="LQ299" s="145"/>
      <c r="LR299" s="145"/>
      <c r="LS299" s="145"/>
      <c r="LT299" s="145"/>
      <c r="LU299" s="145"/>
      <c r="LV299" s="145"/>
      <c r="LW299" s="145"/>
      <c r="LX299" s="145"/>
      <c r="LY299" s="145"/>
      <c r="LZ299" s="145"/>
      <c r="MA299" s="145"/>
      <c r="MB299" s="145"/>
      <c r="MC299" s="145"/>
      <c r="MD299" s="145"/>
      <c r="ME299" s="145"/>
      <c r="MF299" s="145"/>
      <c r="MG299" s="145"/>
      <c r="MH299" s="145"/>
      <c r="MI299" s="145"/>
      <c r="MJ299" s="145"/>
      <c r="MK299" s="145"/>
      <c r="ML299" s="145"/>
      <c r="MM299" s="145"/>
      <c r="MN299" s="145"/>
      <c r="MO299" s="145"/>
      <c r="MP299" s="145"/>
      <c r="MQ299" s="145"/>
      <c r="MR299" s="145"/>
      <c r="MS299" s="145"/>
      <c r="MT299" s="145"/>
      <c r="MU299" s="145"/>
      <c r="MV299" s="145"/>
      <c r="MW299" s="145"/>
      <c r="MX299" s="145"/>
      <c r="MY299" s="145"/>
      <c r="MZ299" s="145"/>
      <c r="NA299" s="145"/>
      <c r="NB299" s="145"/>
      <c r="NC299" s="145"/>
      <c r="ND299" s="145"/>
      <c r="NE299" s="145"/>
      <c r="NF299" s="145"/>
      <c r="NG299" s="145"/>
      <c r="NH299" s="145"/>
      <c r="NI299" s="145"/>
      <c r="NJ299" s="145"/>
      <c r="NK299" s="145"/>
      <c r="NL299" s="145"/>
      <c r="NM299" s="145"/>
      <c r="NN299" s="145"/>
      <c r="NO299" s="145"/>
      <c r="NP299" s="145"/>
      <c r="NQ299" s="145"/>
      <c r="NR299" s="145"/>
      <c r="NS299" s="145"/>
    </row>
    <row r="300" spans="1:383" s="16" customFormat="1" ht="15" customHeight="1" x14ac:dyDescent="0.2">
      <c r="A300" s="15">
        <v>77008</v>
      </c>
      <c r="B300" s="25">
        <v>770</v>
      </c>
      <c r="C300" s="26">
        <v>8</v>
      </c>
      <c r="D300" s="20" t="s">
        <v>770</v>
      </c>
      <c r="E300" s="14">
        <v>42691</v>
      </c>
      <c r="F300" s="18">
        <v>4.7735603993935699E-2</v>
      </c>
      <c r="G300" s="18">
        <v>4.59313630197783E-2</v>
      </c>
      <c r="H300" s="21">
        <v>99</v>
      </c>
      <c r="I300" s="21">
        <v>98</v>
      </c>
      <c r="J300" s="21">
        <v>98</v>
      </c>
      <c r="K300" s="18">
        <v>0.86</v>
      </c>
      <c r="L300" s="18">
        <v>3.9300000000000099</v>
      </c>
      <c r="M300" s="18">
        <v>0.48732000000000097</v>
      </c>
      <c r="N300" s="18">
        <v>5.5020000000000097E-2</v>
      </c>
      <c r="O300" s="18">
        <v>0.33879311700000098</v>
      </c>
      <c r="P300" s="18">
        <v>0</v>
      </c>
      <c r="Q300" s="19"/>
      <c r="R300" s="18">
        <v>85</v>
      </c>
      <c r="S300" s="18">
        <v>50</v>
      </c>
      <c r="T300" s="18">
        <v>50</v>
      </c>
      <c r="U300" s="18">
        <v>50</v>
      </c>
      <c r="V300" s="18">
        <v>50</v>
      </c>
      <c r="W300" s="18">
        <v>50</v>
      </c>
      <c r="X300" s="18"/>
      <c r="Y300" s="18">
        <v>9.5000000000000018</v>
      </c>
      <c r="Z300" s="18">
        <v>8.4000000000000039</v>
      </c>
      <c r="AA300" s="18">
        <v>7.000000000000008</v>
      </c>
      <c r="AB300" s="18">
        <v>21.4</v>
      </c>
      <c r="AC300" s="18">
        <v>22.999999999999993</v>
      </c>
      <c r="AD300" s="18">
        <v>1.3999999999999988</v>
      </c>
      <c r="AE300" s="18">
        <v>0</v>
      </c>
      <c r="AF300" s="18">
        <v>92.000000000000014</v>
      </c>
      <c r="AG300" s="18">
        <v>21.999999999999996</v>
      </c>
      <c r="AH300" s="18">
        <v>2.9999999999999925</v>
      </c>
      <c r="AI300" s="18">
        <v>17.000000000000007</v>
      </c>
      <c r="AJ300" s="18">
        <v>0</v>
      </c>
      <c r="AK300" s="18">
        <v>4.9999999999999878E-2</v>
      </c>
      <c r="AL300" s="18"/>
      <c r="AM300" s="18">
        <v>6.1</v>
      </c>
      <c r="AN300" s="18">
        <v>1.5</v>
      </c>
      <c r="AO300" s="18">
        <v>2</v>
      </c>
      <c r="AP300" s="18">
        <v>5.4</v>
      </c>
      <c r="AQ300" s="18">
        <v>1.1000000000000001</v>
      </c>
      <c r="AR300" s="18">
        <v>5.7</v>
      </c>
      <c r="AS300" s="18">
        <v>8.1</v>
      </c>
      <c r="AT300" s="18">
        <v>1.2</v>
      </c>
      <c r="AU300" s="18">
        <v>2.6</v>
      </c>
      <c r="AV300" s="18">
        <v>2</v>
      </c>
      <c r="AW300" s="18">
        <v>5</v>
      </c>
      <c r="AX300" s="18"/>
      <c r="AY300" s="18">
        <v>0.89</v>
      </c>
      <c r="AZ300" s="18">
        <v>1.06</v>
      </c>
      <c r="BA300" s="18">
        <v>1.04</v>
      </c>
      <c r="BB300" s="18">
        <v>1.01</v>
      </c>
      <c r="BC300" s="18">
        <v>1.08</v>
      </c>
      <c r="BD300" s="18">
        <v>1.05</v>
      </c>
      <c r="BE300" s="18">
        <v>1.0900000000000001</v>
      </c>
      <c r="BF300" s="18">
        <v>1.05</v>
      </c>
      <c r="BG300" s="18">
        <v>1.02</v>
      </c>
      <c r="BH300" s="18">
        <v>1.1200000000000001</v>
      </c>
      <c r="BI300" s="18">
        <v>1.05</v>
      </c>
      <c r="BJ300" s="19"/>
      <c r="BK300" s="18">
        <v>12.399999999999993</v>
      </c>
      <c r="BL300" s="18">
        <v>1.3999999999999988</v>
      </c>
      <c r="BM300" s="18">
        <v>8.6206900000000015</v>
      </c>
      <c r="BN300" s="18">
        <v>0</v>
      </c>
      <c r="BO300" s="18"/>
      <c r="BP300" s="18">
        <v>34</v>
      </c>
      <c r="BQ300" s="18">
        <v>4.7599999999999882</v>
      </c>
      <c r="BR300" s="18">
        <v>1.2146464120594294</v>
      </c>
      <c r="BS300" s="18">
        <v>1.1687369725134398</v>
      </c>
      <c r="BT300" s="19"/>
      <c r="BU300" s="18">
        <v>913.79310000000032</v>
      </c>
      <c r="BV300" s="18">
        <v>765.18098185714314</v>
      </c>
      <c r="BW300" s="18">
        <v>13.054187142857092</v>
      </c>
      <c r="BX300" s="18">
        <v>0</v>
      </c>
      <c r="BY300" s="18" t="s">
        <v>217</v>
      </c>
      <c r="BZ300" s="18">
        <v>0</v>
      </c>
      <c r="CA300" s="18">
        <v>0</v>
      </c>
      <c r="CB300" s="19"/>
      <c r="CC300" s="19">
        <v>0.37335000000000101</v>
      </c>
      <c r="CD300" s="19">
        <v>0.33012000000000097</v>
      </c>
      <c r="CE300" s="19">
        <v>0.27510000000000101</v>
      </c>
      <c r="CF300" s="19">
        <v>0.8410200000000021</v>
      </c>
      <c r="CG300" s="19">
        <v>0.90390000000000204</v>
      </c>
      <c r="CH300" s="19">
        <v>5.502000000000009E-2</v>
      </c>
      <c r="CI300" s="19">
        <v>0</v>
      </c>
      <c r="CJ300" s="19"/>
      <c r="CK300" s="19">
        <v>3.6156000000000095</v>
      </c>
      <c r="CL300" s="19">
        <v>0.86460000000000203</v>
      </c>
      <c r="CM300" s="19">
        <v>0.1179</v>
      </c>
      <c r="CN300" s="19">
        <v>0.66810000000000191</v>
      </c>
      <c r="CO300" s="19">
        <v>0</v>
      </c>
      <c r="CP300" s="19">
        <v>1.9650000000000002E-3</v>
      </c>
      <c r="CQ300" s="19">
        <v>4.1422200000000098</v>
      </c>
      <c r="CR300" s="19">
        <v>86.77422413103298</v>
      </c>
      <c r="CS300" s="19">
        <v>4.7109726280737902</v>
      </c>
      <c r="CT300" s="19">
        <v>1.3797101636834255</v>
      </c>
      <c r="CU300" s="19">
        <v>1.804903861925486</v>
      </c>
      <c r="CV300" s="19">
        <v>3.1846140256089028</v>
      </c>
      <c r="CW300" s="19">
        <v>4.7326661841065487</v>
      </c>
      <c r="CX300" s="19">
        <v>1.0308777826766715</v>
      </c>
      <c r="CY300" s="19">
        <v>5.1934373142423329</v>
      </c>
      <c r="CZ300" s="19">
        <v>7.6612962485289051</v>
      </c>
      <c r="DA300" s="19">
        <v>1.0933552240510152</v>
      </c>
      <c r="DB300" s="19">
        <v>2.3012524239549896</v>
      </c>
      <c r="DC300" s="19">
        <v>1.9437426205351387</v>
      </c>
      <c r="DD300" s="19">
        <v>4.2449950444901443</v>
      </c>
      <c r="DE300" s="19">
        <v>4.5556467668792422</v>
      </c>
      <c r="DF300" s="23">
        <v>0</v>
      </c>
      <c r="DG300" s="23">
        <v>0</v>
      </c>
      <c r="DH300" s="23">
        <v>0</v>
      </c>
      <c r="DI300" s="19">
        <v>0</v>
      </c>
      <c r="DJ300" s="19">
        <v>0</v>
      </c>
      <c r="DK300" s="19">
        <v>0</v>
      </c>
      <c r="DL300" s="19">
        <v>0</v>
      </c>
      <c r="DM300" s="19">
        <v>0</v>
      </c>
      <c r="DN300" s="19">
        <v>0</v>
      </c>
      <c r="DO300" s="19">
        <v>0</v>
      </c>
      <c r="DP300" s="19">
        <v>0</v>
      </c>
      <c r="DQ300" s="19">
        <v>0</v>
      </c>
      <c r="DR300" s="19">
        <v>0</v>
      </c>
      <c r="DS300" s="19">
        <v>0</v>
      </c>
      <c r="DT300" s="19">
        <v>0</v>
      </c>
      <c r="DU300" s="19">
        <v>0</v>
      </c>
      <c r="DV300" s="19">
        <v>0</v>
      </c>
      <c r="DW300" s="17" t="s">
        <v>748</v>
      </c>
      <c r="DX300" s="22">
        <v>15</v>
      </c>
      <c r="DY300" s="22">
        <v>15</v>
      </c>
      <c r="DZ300" s="22">
        <v>15</v>
      </c>
      <c r="EA300" s="22" t="s">
        <v>218</v>
      </c>
      <c r="EB300" s="22" t="s">
        <v>218</v>
      </c>
      <c r="EC300" s="22" t="s">
        <v>218</v>
      </c>
      <c r="ED300" s="22" t="s">
        <v>218</v>
      </c>
      <c r="EE300" s="22" t="s">
        <v>218</v>
      </c>
      <c r="EF300" s="22" t="s">
        <v>218</v>
      </c>
      <c r="EG300" s="22" t="s">
        <v>218</v>
      </c>
      <c r="EH300" s="22" t="s">
        <v>218</v>
      </c>
      <c r="EI300" s="22" t="s">
        <v>218</v>
      </c>
      <c r="EJ300" s="22" t="s">
        <v>218</v>
      </c>
      <c r="EK300" s="22" t="s">
        <v>218</v>
      </c>
      <c r="EL300" s="22" t="s">
        <v>218</v>
      </c>
      <c r="EM300" s="22" t="s">
        <v>218</v>
      </c>
      <c r="EN300" s="22" t="s">
        <v>218</v>
      </c>
      <c r="EO300" s="22" t="s">
        <v>218</v>
      </c>
      <c r="EP300" s="22" t="s">
        <v>218</v>
      </c>
      <c r="EQ300" s="22" t="s">
        <v>218</v>
      </c>
      <c r="ER300" s="22" t="s">
        <v>218</v>
      </c>
      <c r="ES300" s="22">
        <v>15</v>
      </c>
      <c r="ET300" s="22">
        <v>15</v>
      </c>
      <c r="EU300" s="22">
        <v>15</v>
      </c>
      <c r="EV300" s="22">
        <v>15</v>
      </c>
      <c r="EW300" s="22">
        <v>15</v>
      </c>
      <c r="EX300" s="22">
        <v>15</v>
      </c>
      <c r="EY300" s="22" t="s">
        <v>218</v>
      </c>
      <c r="EZ300" s="22" t="s">
        <v>218</v>
      </c>
      <c r="FA300" s="22" t="s">
        <v>218</v>
      </c>
      <c r="FB300" s="22" t="s">
        <v>218</v>
      </c>
      <c r="FC300" s="22" t="s">
        <v>218</v>
      </c>
      <c r="FD300" s="22" t="s">
        <v>218</v>
      </c>
      <c r="FE300" s="22" t="s">
        <v>218</v>
      </c>
      <c r="FF300" s="22">
        <v>0.3</v>
      </c>
      <c r="FG300" s="22">
        <v>2.1</v>
      </c>
      <c r="FH300" s="22">
        <v>0.6</v>
      </c>
      <c r="FI300" s="22" t="s">
        <v>218</v>
      </c>
      <c r="FJ300" s="22" t="s">
        <v>218</v>
      </c>
      <c r="FK300" s="22" t="s">
        <v>218</v>
      </c>
      <c r="FL300" s="22" t="s">
        <v>218</v>
      </c>
      <c r="FM300" s="22" t="s">
        <v>218</v>
      </c>
      <c r="FN300" s="22" t="s">
        <v>218</v>
      </c>
      <c r="FO300" s="22" t="s">
        <v>218</v>
      </c>
      <c r="FP300" s="22" t="s">
        <v>218</v>
      </c>
      <c r="FQ300" s="22" t="s">
        <v>218</v>
      </c>
      <c r="FR300" s="22" t="s">
        <v>218</v>
      </c>
      <c r="FS300" s="22" t="s">
        <v>218</v>
      </c>
      <c r="FT300" s="22" t="s">
        <v>218</v>
      </c>
      <c r="FU300" s="22" t="s">
        <v>218</v>
      </c>
      <c r="FV300" s="22" t="s">
        <v>218</v>
      </c>
      <c r="FW300" s="22" t="s">
        <v>218</v>
      </c>
      <c r="FX300" s="22" t="s">
        <v>218</v>
      </c>
      <c r="FY300" s="22" t="s">
        <v>218</v>
      </c>
      <c r="FZ300" s="22" t="s">
        <v>218</v>
      </c>
      <c r="GA300" s="22">
        <v>1.3</v>
      </c>
      <c r="GB300" s="22">
        <v>0.8</v>
      </c>
      <c r="GC300" s="22">
        <v>1.6</v>
      </c>
      <c r="GD300" s="22">
        <v>5.0999999999999996</v>
      </c>
      <c r="GE300" s="22">
        <v>1.9</v>
      </c>
      <c r="GF300" s="22">
        <v>0.1</v>
      </c>
      <c r="GG300" s="22" t="s">
        <v>218</v>
      </c>
      <c r="GH300" s="22" t="s">
        <v>218</v>
      </c>
      <c r="GI300" s="22" t="s">
        <v>218</v>
      </c>
      <c r="GJ300" s="22" t="s">
        <v>218</v>
      </c>
      <c r="GK300" s="22" t="s">
        <v>218</v>
      </c>
      <c r="GL300" s="22" t="s">
        <v>218</v>
      </c>
      <c r="GM300" s="22" t="s">
        <v>218</v>
      </c>
      <c r="GN300" s="22">
        <v>2016</v>
      </c>
      <c r="GO300" s="22">
        <v>2016</v>
      </c>
      <c r="GP300" s="22">
        <v>2016</v>
      </c>
      <c r="GQ300" s="22" t="s">
        <v>218</v>
      </c>
      <c r="GR300" s="22" t="s">
        <v>218</v>
      </c>
      <c r="GS300" s="22" t="s">
        <v>218</v>
      </c>
      <c r="GT300" s="22" t="s">
        <v>218</v>
      </c>
      <c r="GU300" s="22" t="s">
        <v>218</v>
      </c>
      <c r="GV300" s="22" t="s">
        <v>218</v>
      </c>
      <c r="GW300" s="22" t="s">
        <v>218</v>
      </c>
      <c r="GX300" s="22" t="s">
        <v>218</v>
      </c>
      <c r="GY300" s="22" t="s">
        <v>218</v>
      </c>
      <c r="GZ300" s="22" t="s">
        <v>218</v>
      </c>
      <c r="HA300" s="22" t="s">
        <v>218</v>
      </c>
      <c r="HB300" s="22" t="s">
        <v>218</v>
      </c>
      <c r="HC300" s="22" t="s">
        <v>218</v>
      </c>
      <c r="HD300" s="22" t="s">
        <v>218</v>
      </c>
      <c r="HE300" s="22" t="s">
        <v>218</v>
      </c>
      <c r="HF300" s="22" t="s">
        <v>218</v>
      </c>
      <c r="HG300" s="22" t="s">
        <v>218</v>
      </c>
      <c r="HH300" s="22" t="s">
        <v>218</v>
      </c>
      <c r="HI300" s="22">
        <v>2016</v>
      </c>
      <c r="HJ300" s="22">
        <v>2016</v>
      </c>
      <c r="HK300" s="22">
        <v>2016</v>
      </c>
      <c r="HL300" s="22">
        <v>2016</v>
      </c>
      <c r="HM300" s="860"/>
      <c r="HN300" s="860"/>
      <c r="HO300" s="860"/>
      <c r="HP300" s="860"/>
      <c r="HQ300" s="860"/>
      <c r="HR300" s="860"/>
      <c r="HS300" s="860"/>
      <c r="HT300" s="145"/>
      <c r="HU300" s="145" t="s">
        <v>1809</v>
      </c>
      <c r="HV300" s="22" t="s">
        <v>1989</v>
      </c>
      <c r="HW300" s="22" t="s">
        <v>753</v>
      </c>
      <c r="HX300" s="22" t="s">
        <v>750</v>
      </c>
      <c r="HY300" s="22" t="s">
        <v>751</v>
      </c>
      <c r="HZ300" s="19"/>
      <c r="IA300" s="19"/>
      <c r="IB300" s="621">
        <f>'background data'!$G$10</f>
        <v>0.47300000000000003</v>
      </c>
      <c r="IC300" s="621">
        <f>'background data'!$H$10</f>
        <v>0.13</v>
      </c>
      <c r="ID300" s="621">
        <f>'background data'!$J$10</f>
        <v>0.39100000000000001</v>
      </c>
      <c r="IE300" s="621">
        <f>'background data'!$L$10</f>
        <v>5.5E-2</v>
      </c>
      <c r="IF300" s="621">
        <f>'background data'!$M$10</f>
        <v>3.97</v>
      </c>
      <c r="IG300" s="621">
        <f>'background data'!$N$10</f>
        <v>4.5999999999999999E-3</v>
      </c>
      <c r="IH300" s="621">
        <f>'background data'!$O$10</f>
        <v>2.73</v>
      </c>
      <c r="II300" s="145"/>
      <c r="IJ300" s="145"/>
      <c r="IK300" s="145"/>
      <c r="IL300" s="145"/>
      <c r="IM300" s="145"/>
      <c r="IN300" s="145"/>
      <c r="IO300" s="145"/>
      <c r="IP300" s="145"/>
      <c r="IQ300" s="145"/>
      <c r="IR300" s="145"/>
      <c r="IS300" s="145"/>
      <c r="IT300" s="145"/>
      <c r="IU300" s="145"/>
      <c r="IV300" s="145"/>
      <c r="IW300" s="145"/>
      <c r="IX300" s="145"/>
      <c r="IY300" s="145"/>
      <c r="IZ300" s="145"/>
      <c r="JA300" s="145"/>
      <c r="JB300" s="145"/>
      <c r="JC300" s="145"/>
      <c r="JD300" s="145"/>
      <c r="JE300" s="145"/>
      <c r="JF300" s="145"/>
      <c r="JG300" s="145"/>
      <c r="JH300" s="145"/>
      <c r="JI300" s="145"/>
      <c r="JJ300" s="145"/>
      <c r="JK300" s="145"/>
      <c r="JL300" s="145"/>
      <c r="JM300" s="145"/>
      <c r="JN300" s="145"/>
      <c r="JO300" s="145"/>
      <c r="JP300" s="145"/>
      <c r="JQ300" s="145"/>
      <c r="JR300" s="145"/>
      <c r="JS300" s="145"/>
      <c r="JT300" s="145"/>
      <c r="JU300" s="145"/>
      <c r="JV300" s="145"/>
      <c r="JW300" s="145"/>
      <c r="JX300" s="145"/>
      <c r="JY300" s="145"/>
      <c r="JZ300" s="145"/>
      <c r="KA300" s="145"/>
      <c r="KB300" s="145"/>
      <c r="KC300" s="145"/>
      <c r="KD300" s="145"/>
      <c r="KE300" s="145"/>
      <c r="KF300" s="145"/>
      <c r="KG300" s="145"/>
      <c r="KH300" s="145"/>
      <c r="KI300" s="145"/>
      <c r="KJ300" s="145"/>
      <c r="KK300" s="145"/>
      <c r="KL300" s="145"/>
      <c r="KM300" s="145"/>
      <c r="KN300" s="145"/>
      <c r="KO300" s="145"/>
      <c r="KP300" s="145"/>
      <c r="KQ300" s="145"/>
      <c r="KR300" s="145"/>
      <c r="KS300" s="145"/>
      <c r="KT300" s="145"/>
      <c r="KU300" s="145"/>
      <c r="KV300" s="145"/>
      <c r="KW300" s="145"/>
      <c r="KX300" s="145"/>
      <c r="KY300" s="145"/>
      <c r="KZ300" s="145"/>
      <c r="LA300" s="145"/>
      <c r="LB300" s="145"/>
      <c r="LC300" s="145"/>
      <c r="LD300" s="145"/>
      <c r="LE300" s="145"/>
      <c r="LF300" s="145"/>
      <c r="LG300" s="145"/>
      <c r="LH300" s="145"/>
      <c r="LI300" s="145"/>
      <c r="LJ300" s="145"/>
      <c r="LK300" s="145"/>
      <c r="LL300" s="145"/>
      <c r="LM300" s="145"/>
      <c r="LN300" s="145"/>
      <c r="LO300" s="145"/>
      <c r="LP300" s="145"/>
      <c r="LQ300" s="145"/>
      <c r="LR300" s="145"/>
      <c r="LS300" s="145"/>
      <c r="LT300" s="145"/>
      <c r="LU300" s="145"/>
      <c r="LV300" s="145"/>
      <c r="LW300" s="145"/>
      <c r="LX300" s="145"/>
      <c r="LY300" s="145"/>
      <c r="LZ300" s="145"/>
      <c r="MA300" s="145"/>
      <c r="MB300" s="145"/>
      <c r="MC300" s="145"/>
      <c r="MD300" s="145"/>
      <c r="ME300" s="145"/>
      <c r="MF300" s="145"/>
      <c r="MG300" s="145"/>
      <c r="MH300" s="145"/>
      <c r="MI300" s="145"/>
      <c r="MJ300" s="145"/>
      <c r="MK300" s="145"/>
      <c r="ML300" s="145"/>
      <c r="MM300" s="145"/>
      <c r="MN300" s="145"/>
      <c r="MO300" s="145"/>
      <c r="MP300" s="145"/>
      <c r="MQ300" s="145"/>
      <c r="MR300" s="145"/>
      <c r="MS300" s="145"/>
      <c r="MT300" s="145"/>
      <c r="MU300" s="145"/>
      <c r="MV300" s="145"/>
      <c r="MW300" s="145"/>
      <c r="MX300" s="145"/>
      <c r="MY300" s="145"/>
      <c r="MZ300" s="145"/>
      <c r="NA300" s="145"/>
      <c r="NB300" s="145"/>
      <c r="NC300" s="145"/>
      <c r="ND300" s="145"/>
      <c r="NE300" s="145"/>
      <c r="NF300" s="145"/>
      <c r="NG300" s="145"/>
      <c r="NH300" s="145"/>
      <c r="NI300" s="145"/>
      <c r="NJ300" s="145"/>
      <c r="NK300" s="145"/>
      <c r="NL300" s="145"/>
      <c r="NM300" s="145"/>
      <c r="NN300" s="145"/>
      <c r="NO300" s="145"/>
      <c r="NP300" s="145"/>
      <c r="NQ300" s="145"/>
      <c r="NR300" s="145"/>
      <c r="NS300" s="145"/>
    </row>
    <row r="301" spans="1:383" s="16" customFormat="1" ht="15" customHeight="1" x14ac:dyDescent="0.2">
      <c r="A301" s="15">
        <v>78200</v>
      </c>
      <c r="B301" s="25">
        <v>782</v>
      </c>
      <c r="C301" s="26">
        <v>0</v>
      </c>
      <c r="D301" s="20" t="s">
        <v>771</v>
      </c>
      <c r="E301" s="14">
        <v>40310</v>
      </c>
      <c r="F301" s="18">
        <v>1.36759693515292</v>
      </c>
      <c r="G301" s="18">
        <v>1.3160310513914599</v>
      </c>
      <c r="H301" s="21">
        <v>100</v>
      </c>
      <c r="I301" s="21">
        <v>98.4</v>
      </c>
      <c r="J301" s="21">
        <v>98.7</v>
      </c>
      <c r="K301" s="18">
        <v>1</v>
      </c>
      <c r="L301" s="18">
        <v>97</v>
      </c>
      <c r="M301" s="18">
        <v>9.3119999999999994</v>
      </c>
      <c r="N301" s="18">
        <v>0.48499999999999999</v>
      </c>
      <c r="O301" s="18">
        <v>8.2449999999999992</v>
      </c>
      <c r="P301" s="18">
        <v>0</v>
      </c>
      <c r="Q301" s="19"/>
      <c r="R301" s="18">
        <v>92</v>
      </c>
      <c r="S301" s="18">
        <v>58</v>
      </c>
      <c r="T301" s="18">
        <v>58</v>
      </c>
      <c r="U301" s="18">
        <v>58</v>
      </c>
      <c r="V301" s="18">
        <v>58</v>
      </c>
      <c r="W301" s="18">
        <v>58</v>
      </c>
      <c r="X301" s="18"/>
      <c r="Y301" s="18">
        <v>10.6</v>
      </c>
      <c r="Z301" s="18">
        <v>8.1999999999999993</v>
      </c>
      <c r="AA301" s="18">
        <v>6.6000000000000005</v>
      </c>
      <c r="AB301" s="18">
        <v>35</v>
      </c>
      <c r="AC301" s="18">
        <v>21</v>
      </c>
      <c r="AD301" s="18">
        <v>1.6</v>
      </c>
      <c r="AE301" s="18">
        <v>2</v>
      </c>
      <c r="AF301" s="18">
        <v>4</v>
      </c>
      <c r="AG301" s="18">
        <v>3</v>
      </c>
      <c r="AH301" s="18">
        <v>3</v>
      </c>
      <c r="AI301" s="18">
        <v>14</v>
      </c>
      <c r="AJ301" s="18">
        <v>0</v>
      </c>
      <c r="AK301" s="18">
        <v>6.25E-2</v>
      </c>
      <c r="AL301" s="18"/>
      <c r="AM301" s="18">
        <v>7.47</v>
      </c>
      <c r="AN301" s="18">
        <v>1.45</v>
      </c>
      <c r="AO301" s="18">
        <v>1.82</v>
      </c>
      <c r="AP301" s="18">
        <v>6.07</v>
      </c>
      <c r="AQ301" s="18">
        <v>1.29</v>
      </c>
      <c r="AR301" s="18">
        <v>5.88</v>
      </c>
      <c r="AS301" s="18">
        <v>8.6300000000000008</v>
      </c>
      <c r="AT301" s="18">
        <v>2.15</v>
      </c>
      <c r="AU301" s="18">
        <v>3</v>
      </c>
      <c r="AV301" s="18">
        <v>2.75</v>
      </c>
      <c r="AW301" s="18">
        <v>5.29</v>
      </c>
      <c r="AX301" s="18"/>
      <c r="AY301" s="18">
        <v>1.01</v>
      </c>
      <c r="AZ301" s="18">
        <v>0.99</v>
      </c>
      <c r="BA301" s="18">
        <v>0.97</v>
      </c>
      <c r="BB301" s="18">
        <v>1.01</v>
      </c>
      <c r="BC301" s="18">
        <v>0.99</v>
      </c>
      <c r="BD301" s="18">
        <v>0.97</v>
      </c>
      <c r="BE301" s="18">
        <v>0.98</v>
      </c>
      <c r="BF301" s="18">
        <v>1.01</v>
      </c>
      <c r="BG301" s="18">
        <v>1.05</v>
      </c>
      <c r="BH301" s="18">
        <v>1</v>
      </c>
      <c r="BI301" s="18">
        <v>0.97</v>
      </c>
      <c r="BJ301" s="19"/>
      <c r="BK301" s="18">
        <v>9.6</v>
      </c>
      <c r="BL301" s="18">
        <v>0.5</v>
      </c>
      <c r="BM301" s="18">
        <v>8.5</v>
      </c>
      <c r="BN301" s="18">
        <v>0</v>
      </c>
      <c r="BO301" s="18"/>
      <c r="BP301" s="18">
        <v>34</v>
      </c>
      <c r="BQ301" s="18">
        <v>1.7</v>
      </c>
      <c r="BR301" s="18">
        <v>1.4098937475803299</v>
      </c>
      <c r="BS301" s="18">
        <v>1.3567330426716082</v>
      </c>
      <c r="BT301" s="19"/>
      <c r="BU301" s="18">
        <v>915</v>
      </c>
      <c r="BV301" s="18">
        <v>801.87571428571448</v>
      </c>
      <c r="BW301" s="18">
        <v>20.914285714285565</v>
      </c>
      <c r="BX301" s="18">
        <v>0</v>
      </c>
      <c r="BY301" s="18">
        <v>775</v>
      </c>
      <c r="BZ301" s="18">
        <v>0</v>
      </c>
      <c r="CA301" s="18">
        <v>0</v>
      </c>
      <c r="CB301" s="19"/>
      <c r="CC301" s="19">
        <v>10.282</v>
      </c>
      <c r="CD301" s="19">
        <v>7.9539999999999988</v>
      </c>
      <c r="CE301" s="19">
        <v>6.4020000000000001</v>
      </c>
      <c r="CF301" s="19">
        <v>33.949999999999996</v>
      </c>
      <c r="CG301" s="19">
        <v>20.37</v>
      </c>
      <c r="CH301" s="19">
        <v>1.552</v>
      </c>
      <c r="CI301" s="19">
        <v>1.94</v>
      </c>
      <c r="CJ301" s="19"/>
      <c r="CK301" s="19">
        <v>3.88</v>
      </c>
      <c r="CL301" s="19">
        <v>2.91</v>
      </c>
      <c r="CM301" s="19">
        <v>2.91</v>
      </c>
      <c r="CN301" s="19">
        <v>13.58</v>
      </c>
      <c r="CO301" s="19">
        <v>0</v>
      </c>
      <c r="CP301" s="19">
        <v>6.0624999999999998E-2</v>
      </c>
      <c r="CQ301" s="19">
        <v>85.670400000000001</v>
      </c>
      <c r="CR301" s="19">
        <v>62.64301842005856</v>
      </c>
      <c r="CS301" s="19">
        <v>4.7262278107381581</v>
      </c>
      <c r="CT301" s="19">
        <v>0.8992405294199407</v>
      </c>
      <c r="CU301" s="19">
        <v>1.1058998471877137</v>
      </c>
      <c r="CV301" s="19">
        <v>2.0051403766076548</v>
      </c>
      <c r="CW301" s="19">
        <v>3.8404555302785304</v>
      </c>
      <c r="CX301" s="19">
        <v>0.80001398824256775</v>
      </c>
      <c r="CY301" s="19">
        <v>3.57290719860646</v>
      </c>
      <c r="CZ301" s="19">
        <v>5.2979706398580326</v>
      </c>
      <c r="DA301" s="19">
        <v>1.3602931449915716</v>
      </c>
      <c r="DB301" s="19">
        <v>1.9732550802318445</v>
      </c>
      <c r="DC301" s="19">
        <v>1.7226830065516103</v>
      </c>
      <c r="DD301" s="19">
        <v>3.695938086783455</v>
      </c>
      <c r="DE301" s="19">
        <v>3.2144012041884644</v>
      </c>
      <c r="DF301" s="23">
        <v>0</v>
      </c>
      <c r="DG301" s="23">
        <v>0</v>
      </c>
      <c r="DH301" s="23">
        <v>0</v>
      </c>
      <c r="DI301" s="19">
        <v>0</v>
      </c>
      <c r="DJ301" s="19">
        <v>0</v>
      </c>
      <c r="DK301" s="19">
        <v>0</v>
      </c>
      <c r="DL301" s="19">
        <v>0</v>
      </c>
      <c r="DM301" s="19">
        <v>0</v>
      </c>
      <c r="DN301" s="19">
        <v>0</v>
      </c>
      <c r="DO301" s="19">
        <v>0</v>
      </c>
      <c r="DP301" s="19">
        <v>0</v>
      </c>
      <c r="DQ301" s="19">
        <v>0</v>
      </c>
      <c r="DR301" s="19">
        <v>0</v>
      </c>
      <c r="DS301" s="19">
        <v>0</v>
      </c>
      <c r="DT301" s="19">
        <v>0</v>
      </c>
      <c r="DU301" s="19">
        <v>0</v>
      </c>
      <c r="DV301" s="19">
        <v>0</v>
      </c>
      <c r="DW301" s="17" t="s">
        <v>748</v>
      </c>
      <c r="DX301" s="22" t="s">
        <v>218</v>
      </c>
      <c r="DY301" s="22" t="s">
        <v>218</v>
      </c>
      <c r="DZ301" s="22" t="s">
        <v>218</v>
      </c>
      <c r="EA301" s="22" t="s">
        <v>218</v>
      </c>
      <c r="EB301" s="22" t="s">
        <v>218</v>
      </c>
      <c r="EC301" s="22" t="s">
        <v>218</v>
      </c>
      <c r="ED301" s="22" t="s">
        <v>218</v>
      </c>
      <c r="EE301" s="22" t="s">
        <v>218</v>
      </c>
      <c r="EF301" s="22" t="s">
        <v>218</v>
      </c>
      <c r="EG301" s="22" t="s">
        <v>218</v>
      </c>
      <c r="EH301" s="22" t="s">
        <v>218</v>
      </c>
      <c r="EI301" s="22" t="s">
        <v>218</v>
      </c>
      <c r="EJ301" s="22" t="s">
        <v>218</v>
      </c>
      <c r="EK301" s="22" t="s">
        <v>218</v>
      </c>
      <c r="EL301" s="22" t="s">
        <v>218</v>
      </c>
      <c r="EM301" s="22" t="s">
        <v>218</v>
      </c>
      <c r="EN301" s="22" t="s">
        <v>218</v>
      </c>
      <c r="EO301" s="22" t="s">
        <v>218</v>
      </c>
      <c r="EP301" s="22" t="s">
        <v>218</v>
      </c>
      <c r="EQ301" s="22" t="s">
        <v>218</v>
      </c>
      <c r="ER301" s="22" t="s">
        <v>218</v>
      </c>
      <c r="ES301" s="22" t="s">
        <v>218</v>
      </c>
      <c r="ET301" s="22" t="s">
        <v>218</v>
      </c>
      <c r="EU301" s="22" t="s">
        <v>218</v>
      </c>
      <c r="EV301" s="22" t="s">
        <v>218</v>
      </c>
      <c r="EW301" s="22" t="s">
        <v>218</v>
      </c>
      <c r="EX301" s="22" t="s">
        <v>218</v>
      </c>
      <c r="EY301" s="22" t="s">
        <v>218</v>
      </c>
      <c r="EZ301" s="22" t="s">
        <v>218</v>
      </c>
      <c r="FA301" s="22" t="s">
        <v>218</v>
      </c>
      <c r="FB301" s="22" t="s">
        <v>218</v>
      </c>
      <c r="FC301" s="22" t="s">
        <v>218</v>
      </c>
      <c r="FD301" s="22" t="s">
        <v>218</v>
      </c>
      <c r="FE301" s="22" t="s">
        <v>218</v>
      </c>
      <c r="FF301" s="22" t="s">
        <v>218</v>
      </c>
      <c r="FG301" s="22" t="s">
        <v>218</v>
      </c>
      <c r="FH301" s="22" t="s">
        <v>218</v>
      </c>
      <c r="FI301" s="22" t="s">
        <v>218</v>
      </c>
      <c r="FJ301" s="22" t="s">
        <v>218</v>
      </c>
      <c r="FK301" s="22" t="s">
        <v>218</v>
      </c>
      <c r="FL301" s="22" t="s">
        <v>218</v>
      </c>
      <c r="FM301" s="22" t="s">
        <v>218</v>
      </c>
      <c r="FN301" s="22" t="s">
        <v>218</v>
      </c>
      <c r="FO301" s="22" t="s">
        <v>218</v>
      </c>
      <c r="FP301" s="22" t="s">
        <v>218</v>
      </c>
      <c r="FQ301" s="22" t="s">
        <v>218</v>
      </c>
      <c r="FR301" s="22" t="s">
        <v>218</v>
      </c>
      <c r="FS301" s="22" t="s">
        <v>218</v>
      </c>
      <c r="FT301" s="22" t="s">
        <v>218</v>
      </c>
      <c r="FU301" s="22" t="s">
        <v>218</v>
      </c>
      <c r="FV301" s="22" t="s">
        <v>218</v>
      </c>
      <c r="FW301" s="22" t="s">
        <v>218</v>
      </c>
      <c r="FX301" s="22" t="s">
        <v>218</v>
      </c>
      <c r="FY301" s="22" t="s">
        <v>218</v>
      </c>
      <c r="FZ301" s="22" t="s">
        <v>218</v>
      </c>
      <c r="GA301" s="22" t="s">
        <v>218</v>
      </c>
      <c r="GB301" s="22" t="s">
        <v>218</v>
      </c>
      <c r="GC301" s="22" t="s">
        <v>218</v>
      </c>
      <c r="GD301" s="22" t="s">
        <v>218</v>
      </c>
      <c r="GE301" s="22" t="s">
        <v>218</v>
      </c>
      <c r="GF301" s="22" t="s">
        <v>218</v>
      </c>
      <c r="GG301" s="22" t="s">
        <v>218</v>
      </c>
      <c r="GH301" s="22" t="s">
        <v>218</v>
      </c>
      <c r="GI301" s="22" t="s">
        <v>218</v>
      </c>
      <c r="GJ301" s="22" t="s">
        <v>218</v>
      </c>
      <c r="GK301" s="22" t="s">
        <v>218</v>
      </c>
      <c r="GL301" s="22" t="s">
        <v>218</v>
      </c>
      <c r="GM301" s="22" t="s">
        <v>218</v>
      </c>
      <c r="GN301" s="22" t="s">
        <v>218</v>
      </c>
      <c r="GO301" s="22" t="s">
        <v>218</v>
      </c>
      <c r="GP301" s="22" t="s">
        <v>218</v>
      </c>
      <c r="GQ301" s="22" t="s">
        <v>218</v>
      </c>
      <c r="GR301" s="22" t="s">
        <v>218</v>
      </c>
      <c r="GS301" s="22" t="s">
        <v>218</v>
      </c>
      <c r="GT301" s="22" t="s">
        <v>218</v>
      </c>
      <c r="GU301" s="22" t="s">
        <v>218</v>
      </c>
      <c r="GV301" s="22" t="s">
        <v>218</v>
      </c>
      <c r="GW301" s="22" t="s">
        <v>218</v>
      </c>
      <c r="GX301" s="22" t="s">
        <v>218</v>
      </c>
      <c r="GY301" s="22" t="s">
        <v>218</v>
      </c>
      <c r="GZ301" s="22" t="s">
        <v>218</v>
      </c>
      <c r="HA301" s="22" t="s">
        <v>218</v>
      </c>
      <c r="HB301" s="22" t="s">
        <v>218</v>
      </c>
      <c r="HC301" s="22" t="s">
        <v>218</v>
      </c>
      <c r="HD301" s="22" t="s">
        <v>218</v>
      </c>
      <c r="HE301" s="22" t="s">
        <v>218</v>
      </c>
      <c r="HF301" s="22" t="s">
        <v>218</v>
      </c>
      <c r="HG301" s="22" t="s">
        <v>218</v>
      </c>
      <c r="HH301" s="22" t="s">
        <v>218</v>
      </c>
      <c r="HI301" s="22" t="s">
        <v>218</v>
      </c>
      <c r="HJ301" s="22" t="s">
        <v>218</v>
      </c>
      <c r="HK301" s="22" t="s">
        <v>218</v>
      </c>
      <c r="HL301" s="22" t="s">
        <v>218</v>
      </c>
      <c r="HM301" s="860"/>
      <c r="HN301" s="860"/>
      <c r="HO301" s="860"/>
      <c r="HP301" s="860"/>
      <c r="HQ301" s="860"/>
      <c r="HR301" s="860"/>
      <c r="HS301" s="860"/>
      <c r="HT301" s="145"/>
      <c r="HU301" s="145" t="s">
        <v>1809</v>
      </c>
      <c r="HV301" s="22" t="s">
        <v>1990</v>
      </c>
      <c r="HW301" s="22" t="s">
        <v>772</v>
      </c>
      <c r="HX301" s="22" t="s">
        <v>773</v>
      </c>
      <c r="HY301" s="22" t="s">
        <v>774</v>
      </c>
      <c r="HZ301" s="19"/>
      <c r="IA301" s="19"/>
      <c r="IB301" s="621">
        <f>'background data'!$G$10</f>
        <v>0.47300000000000003</v>
      </c>
      <c r="IC301" s="621">
        <f>'background data'!$H$10</f>
        <v>0.13</v>
      </c>
      <c r="ID301" s="621">
        <f>'background data'!$J$10</f>
        <v>0.39100000000000001</v>
      </c>
      <c r="IE301" s="621">
        <f>'background data'!$L$10</f>
        <v>5.5E-2</v>
      </c>
      <c r="IF301" s="621">
        <f>'background data'!$M$10</f>
        <v>3.97</v>
      </c>
      <c r="IG301" s="621">
        <f>'background data'!$N$10</f>
        <v>4.5999999999999999E-3</v>
      </c>
      <c r="IH301" s="621">
        <f>'background data'!$O$10</f>
        <v>2.73</v>
      </c>
      <c r="II301" s="145"/>
      <c r="IJ301" s="145"/>
      <c r="IK301" s="145"/>
      <c r="IL301" s="145"/>
      <c r="IM301" s="145"/>
      <c r="IN301" s="145"/>
      <c r="IO301" s="145"/>
      <c r="IP301" s="145"/>
      <c r="IQ301" s="145"/>
      <c r="IR301" s="145"/>
      <c r="IS301" s="145"/>
      <c r="IT301" s="145"/>
      <c r="IU301" s="145"/>
      <c r="IV301" s="145"/>
      <c r="IW301" s="145"/>
      <c r="IX301" s="145"/>
      <c r="IY301" s="145"/>
      <c r="IZ301" s="145"/>
      <c r="JA301" s="145"/>
      <c r="JB301" s="145"/>
      <c r="JC301" s="145"/>
      <c r="JD301" s="145"/>
      <c r="JE301" s="145"/>
      <c r="JF301" s="145"/>
      <c r="JG301" s="145"/>
      <c r="JH301" s="145"/>
      <c r="JI301" s="145"/>
      <c r="JJ301" s="145"/>
      <c r="JK301" s="145"/>
      <c r="JL301" s="145"/>
      <c r="JM301" s="145"/>
      <c r="JN301" s="145"/>
      <c r="JO301" s="145"/>
      <c r="JP301" s="145"/>
      <c r="JQ301" s="145"/>
      <c r="JR301" s="145"/>
      <c r="JS301" s="145"/>
      <c r="JT301" s="145"/>
      <c r="JU301" s="145"/>
      <c r="JV301" s="145"/>
      <c r="JW301" s="145"/>
      <c r="JX301" s="145"/>
      <c r="JY301" s="145"/>
      <c r="JZ301" s="145"/>
      <c r="KA301" s="145"/>
      <c r="KB301" s="145"/>
      <c r="KC301" s="145"/>
      <c r="KD301" s="145"/>
      <c r="KE301" s="145"/>
      <c r="KF301" s="145"/>
      <c r="KG301" s="145"/>
      <c r="KH301" s="145"/>
      <c r="KI301" s="145"/>
      <c r="KJ301" s="145"/>
      <c r="KK301" s="145"/>
      <c r="KL301" s="145"/>
      <c r="KM301" s="145"/>
      <c r="KN301" s="145"/>
      <c r="KO301" s="145"/>
      <c r="KP301" s="145"/>
      <c r="KQ301" s="145"/>
      <c r="KR301" s="145"/>
      <c r="KS301" s="145"/>
      <c r="KT301" s="145"/>
      <c r="KU301" s="145"/>
      <c r="KV301" s="145"/>
      <c r="KW301" s="145"/>
      <c r="KX301" s="145"/>
      <c r="KY301" s="145"/>
      <c r="KZ301" s="145"/>
      <c r="LA301" s="145"/>
      <c r="LB301" s="145"/>
      <c r="LC301" s="145"/>
      <c r="LD301" s="145"/>
      <c r="LE301" s="145"/>
      <c r="LF301" s="145"/>
      <c r="LG301" s="145"/>
      <c r="LH301" s="145"/>
      <c r="LI301" s="145"/>
      <c r="LJ301" s="145"/>
      <c r="LK301" s="145"/>
      <c r="LL301" s="145"/>
      <c r="LM301" s="145"/>
      <c r="LN301" s="145"/>
      <c r="LO301" s="145"/>
      <c r="LP301" s="145"/>
      <c r="LQ301" s="145"/>
      <c r="LR301" s="145"/>
      <c r="LS301" s="145"/>
      <c r="LT301" s="145"/>
      <c r="LU301" s="145"/>
      <c r="LV301" s="145"/>
      <c r="LW301" s="145"/>
      <c r="LX301" s="145"/>
      <c r="LY301" s="145"/>
      <c r="LZ301" s="145"/>
      <c r="MA301" s="145"/>
      <c r="MB301" s="145"/>
      <c r="MC301" s="145"/>
      <c r="MD301" s="145"/>
      <c r="ME301" s="145"/>
      <c r="MF301" s="145"/>
      <c r="MG301" s="145"/>
      <c r="MH301" s="145"/>
      <c r="MI301" s="145"/>
      <c r="MJ301" s="145"/>
      <c r="MK301" s="145"/>
      <c r="ML301" s="145"/>
      <c r="MM301" s="145"/>
      <c r="MN301" s="145"/>
      <c r="MO301" s="145"/>
      <c r="MP301" s="145"/>
      <c r="MQ301" s="145"/>
      <c r="MR301" s="145"/>
      <c r="MS301" s="145"/>
      <c r="MT301" s="145"/>
      <c r="MU301" s="145"/>
      <c r="MV301" s="145"/>
      <c r="MW301" s="145"/>
      <c r="MX301" s="145"/>
      <c r="MY301" s="145"/>
      <c r="MZ301" s="145"/>
      <c r="NA301" s="145"/>
      <c r="NB301" s="145"/>
      <c r="NC301" s="145"/>
      <c r="ND301" s="145"/>
      <c r="NE301" s="145"/>
      <c r="NF301" s="145"/>
      <c r="NG301" s="145"/>
      <c r="NH301" s="145"/>
      <c r="NI301" s="145"/>
      <c r="NJ301" s="145"/>
      <c r="NK301" s="145"/>
      <c r="NL301" s="145"/>
      <c r="NM301" s="145"/>
      <c r="NN301" s="145"/>
      <c r="NO301" s="145"/>
      <c r="NP301" s="145"/>
      <c r="NQ301" s="145"/>
      <c r="NR301" s="145"/>
      <c r="NS301" s="145"/>
    </row>
    <row r="302" spans="1:383" s="16" customFormat="1" ht="15" customHeight="1" x14ac:dyDescent="0.2">
      <c r="A302" s="15">
        <v>78000</v>
      </c>
      <c r="B302" s="25">
        <v>780</v>
      </c>
      <c r="C302" s="26">
        <v>0</v>
      </c>
      <c r="D302" s="20" t="s">
        <v>775</v>
      </c>
      <c r="E302" s="14">
        <v>40310</v>
      </c>
      <c r="F302" s="18">
        <v>1.36476482089625</v>
      </c>
      <c r="G302" s="18">
        <v>1.3141744147866401</v>
      </c>
      <c r="H302" s="21">
        <v>99.7</v>
      </c>
      <c r="I302" s="21">
        <v>98</v>
      </c>
      <c r="J302" s="21">
        <v>94.4</v>
      </c>
      <c r="K302" s="18">
        <v>1</v>
      </c>
      <c r="L302" s="18">
        <v>96.5</v>
      </c>
      <c r="M302" s="18">
        <v>12.448499999999999</v>
      </c>
      <c r="N302" s="18">
        <v>1.2544999999999999</v>
      </c>
      <c r="O302" s="18">
        <v>8.2025000000000006</v>
      </c>
      <c r="P302" s="18">
        <v>0</v>
      </c>
      <c r="Q302" s="19"/>
      <c r="R302" s="18">
        <v>85</v>
      </c>
      <c r="S302" s="18">
        <v>58</v>
      </c>
      <c r="T302" s="18">
        <v>58</v>
      </c>
      <c r="U302" s="18">
        <v>58</v>
      </c>
      <c r="V302" s="18">
        <v>58</v>
      </c>
      <c r="W302" s="18">
        <v>58</v>
      </c>
      <c r="X302" s="18"/>
      <c r="Y302" s="18">
        <v>5.5</v>
      </c>
      <c r="Z302" s="18">
        <v>6</v>
      </c>
      <c r="AA302" s="18">
        <v>5.5</v>
      </c>
      <c r="AB302" s="18">
        <v>15</v>
      </c>
      <c r="AC302" s="18">
        <v>22</v>
      </c>
      <c r="AD302" s="18">
        <v>1.3</v>
      </c>
      <c r="AE302" s="18">
        <v>2</v>
      </c>
      <c r="AF302" s="18">
        <v>4</v>
      </c>
      <c r="AG302" s="18">
        <v>3</v>
      </c>
      <c r="AH302" s="18">
        <v>2</v>
      </c>
      <c r="AI302" s="18">
        <v>2</v>
      </c>
      <c r="AJ302" s="18">
        <v>0</v>
      </c>
      <c r="AK302" s="18">
        <v>0.05</v>
      </c>
      <c r="AL302" s="18"/>
      <c r="AM302" s="18">
        <v>7.47</v>
      </c>
      <c r="AN302" s="18">
        <v>1.45</v>
      </c>
      <c r="AO302" s="18">
        <v>1.82</v>
      </c>
      <c r="AP302" s="18">
        <v>6.07</v>
      </c>
      <c r="AQ302" s="18">
        <v>1.29</v>
      </c>
      <c r="AR302" s="18">
        <v>5.88</v>
      </c>
      <c r="AS302" s="18">
        <v>8.6300000000000008</v>
      </c>
      <c r="AT302" s="18">
        <v>2.15</v>
      </c>
      <c r="AU302" s="18">
        <v>3</v>
      </c>
      <c r="AV302" s="18">
        <v>2.75</v>
      </c>
      <c r="AW302" s="18">
        <v>5.29</v>
      </c>
      <c r="AX302" s="18"/>
      <c r="AY302" s="18">
        <v>0.89</v>
      </c>
      <c r="AZ302" s="18">
        <v>1.06</v>
      </c>
      <c r="BA302" s="18">
        <v>1.04</v>
      </c>
      <c r="BB302" s="18">
        <v>1.01</v>
      </c>
      <c r="BC302" s="18">
        <v>1.08</v>
      </c>
      <c r="BD302" s="18">
        <v>1.05</v>
      </c>
      <c r="BE302" s="18">
        <v>1.0900000000000001</v>
      </c>
      <c r="BF302" s="18">
        <v>1.05</v>
      </c>
      <c r="BG302" s="18">
        <v>1.02</v>
      </c>
      <c r="BH302" s="18">
        <v>1.1200000000000001</v>
      </c>
      <c r="BI302" s="18">
        <v>1.05</v>
      </c>
      <c r="BJ302" s="19"/>
      <c r="BK302" s="18">
        <v>12.899999999999999</v>
      </c>
      <c r="BL302" s="18">
        <v>1.3</v>
      </c>
      <c r="BM302" s="18">
        <v>8.5</v>
      </c>
      <c r="BN302" s="18">
        <v>0</v>
      </c>
      <c r="BO302" s="18"/>
      <c r="BP302" s="18">
        <v>34</v>
      </c>
      <c r="BQ302" s="18">
        <v>4.42</v>
      </c>
      <c r="BR302" s="18">
        <v>1.4142640631049221</v>
      </c>
      <c r="BS302" s="18">
        <v>1.361838771799627</v>
      </c>
      <c r="BT302" s="19"/>
      <c r="BU302" s="18">
        <v>915</v>
      </c>
      <c r="BV302" s="18">
        <v>760.03357142857101</v>
      </c>
      <c r="BW302" s="18">
        <v>22.2214285714286</v>
      </c>
      <c r="BX302" s="18">
        <v>0</v>
      </c>
      <c r="BY302" s="18">
        <v>775</v>
      </c>
      <c r="BZ302" s="18">
        <v>0</v>
      </c>
      <c r="CA302" s="18">
        <v>0</v>
      </c>
      <c r="CB302" s="19"/>
      <c r="CC302" s="19">
        <v>5.3075000000000001</v>
      </c>
      <c r="CD302" s="19">
        <v>5.79</v>
      </c>
      <c r="CE302" s="19">
        <v>5.3075000000000001</v>
      </c>
      <c r="CF302" s="19">
        <v>14.475</v>
      </c>
      <c r="CG302" s="19">
        <v>21.23</v>
      </c>
      <c r="CH302" s="19">
        <v>1.2544999999999999</v>
      </c>
      <c r="CI302" s="19">
        <v>1.93</v>
      </c>
      <c r="CJ302" s="19"/>
      <c r="CK302" s="19">
        <v>3.86</v>
      </c>
      <c r="CL302" s="19">
        <v>2.895</v>
      </c>
      <c r="CM302" s="19">
        <v>1.93</v>
      </c>
      <c r="CN302" s="19">
        <v>1.93</v>
      </c>
      <c r="CO302" s="19">
        <v>0</v>
      </c>
      <c r="CP302" s="19">
        <v>4.8250000000000001E-2</v>
      </c>
      <c r="CQ302" s="19">
        <v>105.81225000000001</v>
      </c>
      <c r="CR302" s="19">
        <v>77.531489953347716</v>
      </c>
      <c r="CS302" s="19">
        <v>5.1545260465684164</v>
      </c>
      <c r="CT302" s="19">
        <v>1.1916590005829544</v>
      </c>
      <c r="CU302" s="19">
        <v>1.4675160418369655</v>
      </c>
      <c r="CV302" s="19">
        <v>2.6591750424199199</v>
      </c>
      <c r="CW302" s="19">
        <v>4.7532230545698884</v>
      </c>
      <c r="CX302" s="19">
        <v>1.0801687180300403</v>
      </c>
      <c r="CY302" s="19">
        <v>4.7867941897196884</v>
      </c>
      <c r="CZ302" s="19">
        <v>7.2931546654415591</v>
      </c>
      <c r="DA302" s="19">
        <v>1.7502733856968247</v>
      </c>
      <c r="DB302" s="19">
        <v>2.3724635925724402</v>
      </c>
      <c r="DC302" s="19">
        <v>2.3879698905631095</v>
      </c>
      <c r="DD302" s="19">
        <v>4.7604334831355493</v>
      </c>
      <c r="DE302" s="19">
        <v>4.3064866094586991</v>
      </c>
      <c r="DF302" s="23">
        <v>0</v>
      </c>
      <c r="DG302" s="23">
        <v>0</v>
      </c>
      <c r="DH302" s="23">
        <v>0</v>
      </c>
      <c r="DI302" s="19">
        <v>0</v>
      </c>
      <c r="DJ302" s="19">
        <v>0</v>
      </c>
      <c r="DK302" s="19">
        <v>0</v>
      </c>
      <c r="DL302" s="19">
        <v>0</v>
      </c>
      <c r="DM302" s="19">
        <v>0</v>
      </c>
      <c r="DN302" s="19">
        <v>0</v>
      </c>
      <c r="DO302" s="19">
        <v>0</v>
      </c>
      <c r="DP302" s="19">
        <v>0</v>
      </c>
      <c r="DQ302" s="19">
        <v>0</v>
      </c>
      <c r="DR302" s="19">
        <v>0</v>
      </c>
      <c r="DS302" s="19">
        <v>0</v>
      </c>
      <c r="DT302" s="19">
        <v>0</v>
      </c>
      <c r="DU302" s="19">
        <v>0</v>
      </c>
      <c r="DV302" s="19">
        <v>0</v>
      </c>
      <c r="DW302" s="17" t="s">
        <v>748</v>
      </c>
      <c r="DX302" s="22" t="s">
        <v>218</v>
      </c>
      <c r="DY302" s="22" t="s">
        <v>218</v>
      </c>
      <c r="DZ302" s="22">
        <v>3</v>
      </c>
      <c r="EA302" s="22">
        <v>3</v>
      </c>
      <c r="EB302" s="22" t="s">
        <v>218</v>
      </c>
      <c r="EC302" s="22">
        <v>3</v>
      </c>
      <c r="ED302" s="22">
        <v>1</v>
      </c>
      <c r="EE302" s="22" t="s">
        <v>218</v>
      </c>
      <c r="EF302" s="22">
        <v>3</v>
      </c>
      <c r="EG302" s="22" t="s">
        <v>218</v>
      </c>
      <c r="EH302" s="22" t="s">
        <v>218</v>
      </c>
      <c r="EI302" s="22" t="s">
        <v>218</v>
      </c>
      <c r="EJ302" s="22" t="s">
        <v>218</v>
      </c>
      <c r="EK302" s="22" t="s">
        <v>218</v>
      </c>
      <c r="EL302" s="22" t="s">
        <v>218</v>
      </c>
      <c r="EM302" s="22" t="s">
        <v>218</v>
      </c>
      <c r="EN302" s="22" t="s">
        <v>218</v>
      </c>
      <c r="EO302" s="22" t="s">
        <v>218</v>
      </c>
      <c r="EP302" s="22" t="s">
        <v>218</v>
      </c>
      <c r="EQ302" s="22" t="s">
        <v>218</v>
      </c>
      <c r="ER302" s="22" t="s">
        <v>218</v>
      </c>
      <c r="ES302" s="22" t="s">
        <v>218</v>
      </c>
      <c r="ET302" s="22" t="s">
        <v>218</v>
      </c>
      <c r="EU302" s="22" t="s">
        <v>218</v>
      </c>
      <c r="EV302" s="22" t="s">
        <v>218</v>
      </c>
      <c r="EW302" s="22" t="s">
        <v>218</v>
      </c>
      <c r="EX302" s="22" t="s">
        <v>218</v>
      </c>
      <c r="EY302" s="22" t="s">
        <v>218</v>
      </c>
      <c r="EZ302" s="22" t="s">
        <v>218</v>
      </c>
      <c r="FA302" s="22" t="s">
        <v>218</v>
      </c>
      <c r="FB302" s="22" t="s">
        <v>218</v>
      </c>
      <c r="FC302" s="22" t="s">
        <v>218</v>
      </c>
      <c r="FD302" s="22" t="s">
        <v>218</v>
      </c>
      <c r="FE302" s="22" t="s">
        <v>218</v>
      </c>
      <c r="FF302" s="22" t="s">
        <v>218</v>
      </c>
      <c r="FG302" s="22" t="s">
        <v>218</v>
      </c>
      <c r="FH302" s="22">
        <v>0.4</v>
      </c>
      <c r="FI302" s="22">
        <v>1</v>
      </c>
      <c r="FJ302" s="22" t="s">
        <v>218</v>
      </c>
      <c r="FK302" s="22">
        <v>0.2</v>
      </c>
      <c r="FL302" s="22" t="s">
        <v>218</v>
      </c>
      <c r="FM302" s="22" t="s">
        <v>218</v>
      </c>
      <c r="FN302" s="22">
        <v>2.2999999999999998</v>
      </c>
      <c r="FO302" s="22" t="s">
        <v>218</v>
      </c>
      <c r="FP302" s="22" t="s">
        <v>218</v>
      </c>
      <c r="FQ302" s="22" t="s">
        <v>218</v>
      </c>
      <c r="FR302" s="22" t="s">
        <v>218</v>
      </c>
      <c r="FS302" s="22" t="s">
        <v>218</v>
      </c>
      <c r="FT302" s="22" t="s">
        <v>218</v>
      </c>
      <c r="FU302" s="22" t="s">
        <v>218</v>
      </c>
      <c r="FV302" s="22" t="s">
        <v>218</v>
      </c>
      <c r="FW302" s="22" t="s">
        <v>218</v>
      </c>
      <c r="FX302" s="22" t="s">
        <v>218</v>
      </c>
      <c r="FY302" s="22" t="s">
        <v>218</v>
      </c>
      <c r="FZ302" s="22" t="s">
        <v>218</v>
      </c>
      <c r="GA302" s="22" t="s">
        <v>218</v>
      </c>
      <c r="GB302" s="22" t="s">
        <v>218</v>
      </c>
      <c r="GC302" s="22" t="s">
        <v>218</v>
      </c>
      <c r="GD302" s="22" t="s">
        <v>218</v>
      </c>
      <c r="GE302" s="22" t="s">
        <v>218</v>
      </c>
      <c r="GF302" s="22" t="s">
        <v>218</v>
      </c>
      <c r="GG302" s="22" t="s">
        <v>218</v>
      </c>
      <c r="GH302" s="22" t="s">
        <v>218</v>
      </c>
      <c r="GI302" s="22" t="s">
        <v>218</v>
      </c>
      <c r="GJ302" s="22" t="s">
        <v>218</v>
      </c>
      <c r="GK302" s="22" t="s">
        <v>218</v>
      </c>
      <c r="GL302" s="22" t="s">
        <v>218</v>
      </c>
      <c r="GM302" s="22" t="s">
        <v>218</v>
      </c>
      <c r="GN302" s="22" t="s">
        <v>218</v>
      </c>
      <c r="GO302" s="22" t="s">
        <v>218</v>
      </c>
      <c r="GP302" s="22">
        <v>2005</v>
      </c>
      <c r="GQ302" s="22">
        <v>2005</v>
      </c>
      <c r="GR302" s="22" t="s">
        <v>218</v>
      </c>
      <c r="GS302" s="22">
        <v>2005</v>
      </c>
      <c r="GT302" s="22">
        <v>2005</v>
      </c>
      <c r="GU302" s="22" t="s">
        <v>218</v>
      </c>
      <c r="GV302" s="22">
        <v>2005</v>
      </c>
      <c r="GW302" s="22" t="s">
        <v>218</v>
      </c>
      <c r="GX302" s="22" t="s">
        <v>218</v>
      </c>
      <c r="GY302" s="22" t="s">
        <v>218</v>
      </c>
      <c r="GZ302" s="22" t="s">
        <v>218</v>
      </c>
      <c r="HA302" s="22" t="s">
        <v>218</v>
      </c>
      <c r="HB302" s="22" t="s">
        <v>218</v>
      </c>
      <c r="HC302" s="22" t="s">
        <v>218</v>
      </c>
      <c r="HD302" s="22" t="s">
        <v>218</v>
      </c>
      <c r="HE302" s="22" t="s">
        <v>218</v>
      </c>
      <c r="HF302" s="22" t="s">
        <v>218</v>
      </c>
      <c r="HG302" s="22" t="s">
        <v>218</v>
      </c>
      <c r="HH302" s="22" t="s">
        <v>218</v>
      </c>
      <c r="HI302" s="22" t="s">
        <v>218</v>
      </c>
      <c r="HJ302" s="22" t="s">
        <v>218</v>
      </c>
      <c r="HK302" s="22" t="s">
        <v>218</v>
      </c>
      <c r="HL302" s="22" t="s">
        <v>218</v>
      </c>
      <c r="HM302" s="860"/>
      <c r="HN302" s="860"/>
      <c r="HO302" s="860"/>
      <c r="HP302" s="860"/>
      <c r="HQ302" s="860"/>
      <c r="HR302" s="860"/>
      <c r="HS302" s="860"/>
      <c r="HT302" s="145"/>
      <c r="HU302" s="145" t="s">
        <v>1809</v>
      </c>
      <c r="HV302" s="22" t="s">
        <v>1990</v>
      </c>
      <c r="HW302" s="22" t="s">
        <v>776</v>
      </c>
      <c r="HX302" s="22" t="s">
        <v>773</v>
      </c>
      <c r="HY302" s="22" t="s">
        <v>774</v>
      </c>
      <c r="HZ302" s="19"/>
      <c r="IA302" s="19"/>
      <c r="IB302" s="621">
        <f>'background data'!$G$10</f>
        <v>0.47300000000000003</v>
      </c>
      <c r="IC302" s="621">
        <f>'background data'!$H$10</f>
        <v>0.13</v>
      </c>
      <c r="ID302" s="621">
        <f>'background data'!$J$10</f>
        <v>0.39100000000000001</v>
      </c>
      <c r="IE302" s="621">
        <f>'background data'!$L$10</f>
        <v>5.5E-2</v>
      </c>
      <c r="IF302" s="621">
        <f>'background data'!$M$10</f>
        <v>3.97</v>
      </c>
      <c r="IG302" s="621">
        <f>'background data'!$N$10</f>
        <v>4.5999999999999999E-3</v>
      </c>
      <c r="IH302" s="621">
        <f>'background data'!$O$10</f>
        <v>2.73</v>
      </c>
      <c r="II302" s="145"/>
      <c r="IJ302" s="145"/>
      <c r="IK302" s="145"/>
      <c r="IL302" s="145"/>
      <c r="IM302" s="145"/>
      <c r="IN302" s="145"/>
      <c r="IO302" s="145"/>
      <c r="IP302" s="145"/>
      <c r="IQ302" s="145"/>
      <c r="IR302" s="145"/>
      <c r="IS302" s="145"/>
      <c r="IT302" s="145"/>
      <c r="IU302" s="145"/>
      <c r="IV302" s="145"/>
      <c r="IW302" s="145"/>
      <c r="IX302" s="145"/>
      <c r="IY302" s="145"/>
      <c r="IZ302" s="145"/>
      <c r="JA302" s="145"/>
      <c r="JB302" s="145"/>
      <c r="JC302" s="145"/>
      <c r="JD302" s="145"/>
      <c r="JE302" s="145"/>
      <c r="JF302" s="145"/>
      <c r="JG302" s="145"/>
      <c r="JH302" s="145"/>
      <c r="JI302" s="145"/>
      <c r="JJ302" s="145"/>
      <c r="JK302" s="145"/>
      <c r="JL302" s="145"/>
      <c r="JM302" s="145"/>
      <c r="JN302" s="145"/>
      <c r="JO302" s="145"/>
      <c r="JP302" s="145"/>
      <c r="JQ302" s="145"/>
      <c r="JR302" s="145"/>
      <c r="JS302" s="145"/>
      <c r="JT302" s="145"/>
      <c r="JU302" s="145"/>
      <c r="JV302" s="145"/>
      <c r="JW302" s="145"/>
      <c r="JX302" s="145"/>
      <c r="JY302" s="145"/>
      <c r="JZ302" s="145"/>
      <c r="KA302" s="145"/>
      <c r="KB302" s="145"/>
      <c r="KC302" s="145"/>
      <c r="KD302" s="145"/>
      <c r="KE302" s="145"/>
      <c r="KF302" s="145"/>
      <c r="KG302" s="145"/>
      <c r="KH302" s="145"/>
      <c r="KI302" s="145"/>
      <c r="KJ302" s="145"/>
      <c r="KK302" s="145"/>
      <c r="KL302" s="145"/>
      <c r="KM302" s="145"/>
      <c r="KN302" s="145"/>
      <c r="KO302" s="145"/>
      <c r="KP302" s="145"/>
      <c r="KQ302" s="145"/>
      <c r="KR302" s="145"/>
      <c r="KS302" s="145"/>
      <c r="KT302" s="145"/>
      <c r="KU302" s="145"/>
      <c r="KV302" s="145"/>
      <c r="KW302" s="145"/>
      <c r="KX302" s="145"/>
      <c r="KY302" s="145"/>
      <c r="KZ302" s="145"/>
      <c r="LA302" s="145"/>
      <c r="LB302" s="145"/>
      <c r="LC302" s="145"/>
      <c r="LD302" s="145"/>
      <c r="LE302" s="145"/>
      <c r="LF302" s="145"/>
      <c r="LG302" s="145"/>
      <c r="LH302" s="145"/>
      <c r="LI302" s="145"/>
      <c r="LJ302" s="145"/>
      <c r="LK302" s="145"/>
      <c r="LL302" s="145"/>
      <c r="LM302" s="145"/>
      <c r="LN302" s="145"/>
      <c r="LO302" s="145"/>
      <c r="LP302" s="145"/>
      <c r="LQ302" s="145"/>
      <c r="LR302" s="145"/>
      <c r="LS302" s="145"/>
      <c r="LT302" s="145"/>
      <c r="LU302" s="145"/>
      <c r="LV302" s="145"/>
      <c r="LW302" s="145"/>
      <c r="LX302" s="145"/>
      <c r="LY302" s="145"/>
      <c r="LZ302" s="145"/>
      <c r="MA302" s="145"/>
      <c r="MB302" s="145"/>
      <c r="MC302" s="145"/>
      <c r="MD302" s="145"/>
      <c r="ME302" s="145"/>
      <c r="MF302" s="145"/>
      <c r="MG302" s="145"/>
      <c r="MH302" s="145"/>
      <c r="MI302" s="145"/>
      <c r="MJ302" s="145"/>
      <c r="MK302" s="145"/>
      <c r="ML302" s="145"/>
      <c r="MM302" s="145"/>
      <c r="MN302" s="145"/>
      <c r="MO302" s="145"/>
      <c r="MP302" s="145"/>
      <c r="MQ302" s="145"/>
      <c r="MR302" s="145"/>
      <c r="MS302" s="145"/>
      <c r="MT302" s="145"/>
      <c r="MU302" s="145"/>
      <c r="MV302" s="145"/>
      <c r="MW302" s="145"/>
      <c r="MX302" s="145"/>
      <c r="MY302" s="145"/>
      <c r="MZ302" s="145"/>
      <c r="NA302" s="145"/>
      <c r="NB302" s="145"/>
      <c r="NC302" s="145"/>
      <c r="ND302" s="145"/>
      <c r="NE302" s="145"/>
      <c r="NF302" s="145"/>
      <c r="NG302" s="145"/>
      <c r="NH302" s="145"/>
      <c r="NI302" s="145"/>
      <c r="NJ302" s="145"/>
      <c r="NK302" s="145"/>
      <c r="NL302" s="145"/>
      <c r="NM302" s="145"/>
      <c r="NN302" s="145"/>
      <c r="NO302" s="145"/>
      <c r="NP302" s="145"/>
      <c r="NQ302" s="145"/>
      <c r="NR302" s="145"/>
      <c r="NS302" s="145"/>
    </row>
    <row r="303" spans="1:383" s="16" customFormat="1" ht="15" customHeight="1" x14ac:dyDescent="0.2">
      <c r="A303" s="15">
        <v>94000</v>
      </c>
      <c r="B303" s="25">
        <v>940</v>
      </c>
      <c r="C303" s="26">
        <v>0</v>
      </c>
      <c r="D303" s="20" t="s">
        <v>777</v>
      </c>
      <c r="E303" s="14">
        <v>40310</v>
      </c>
      <c r="F303" s="18">
        <v>1E-8</v>
      </c>
      <c r="G303" s="18">
        <v>1E-8</v>
      </c>
      <c r="H303" s="21">
        <v>1E-8</v>
      </c>
      <c r="I303" s="21">
        <v>1E-8</v>
      </c>
      <c r="J303" s="21">
        <v>1E-8</v>
      </c>
      <c r="K303" s="18">
        <v>1E-8</v>
      </c>
      <c r="L303" s="18">
        <v>1E-8</v>
      </c>
      <c r="M303" s="18">
        <v>1E-8</v>
      </c>
      <c r="N303" s="18">
        <v>1E-8</v>
      </c>
      <c r="O303" s="18">
        <v>1E-8</v>
      </c>
      <c r="P303" s="18">
        <v>1E-8</v>
      </c>
      <c r="Q303" s="19"/>
      <c r="R303" s="18">
        <v>1E-8</v>
      </c>
      <c r="S303" s="18">
        <v>1E-8</v>
      </c>
      <c r="T303" s="18">
        <v>1E-8</v>
      </c>
      <c r="U303" s="18">
        <v>1E-8</v>
      </c>
      <c r="V303" s="18">
        <v>1E-8</v>
      </c>
      <c r="W303" s="18">
        <v>1E-8</v>
      </c>
      <c r="X303" s="18"/>
      <c r="Y303" s="18">
        <v>1E-8</v>
      </c>
      <c r="Z303" s="18">
        <v>1E-8</v>
      </c>
      <c r="AA303" s="18">
        <v>1E-8</v>
      </c>
      <c r="AB303" s="18">
        <v>1E-8</v>
      </c>
      <c r="AC303" s="18">
        <v>1E-8</v>
      </c>
      <c r="AD303" s="18">
        <v>1E-8</v>
      </c>
      <c r="AE303" s="18">
        <v>1E-8</v>
      </c>
      <c r="AF303" s="18">
        <v>1E-8</v>
      </c>
      <c r="AG303" s="18">
        <v>1E-8</v>
      </c>
      <c r="AH303" s="18">
        <v>1E-8</v>
      </c>
      <c r="AI303" s="18">
        <v>1E-8</v>
      </c>
      <c r="AJ303" s="18">
        <v>1E-8</v>
      </c>
      <c r="AK303" s="18">
        <v>1E-8</v>
      </c>
      <c r="AL303" s="18"/>
      <c r="AM303" s="18">
        <v>1E-8</v>
      </c>
      <c r="AN303" s="18">
        <v>1E-8</v>
      </c>
      <c r="AO303" s="18">
        <v>1E-8</v>
      </c>
      <c r="AP303" s="18">
        <v>1E-8</v>
      </c>
      <c r="AQ303" s="18">
        <v>1E-8</v>
      </c>
      <c r="AR303" s="18">
        <v>1E-8</v>
      </c>
      <c r="AS303" s="18">
        <v>1E-8</v>
      </c>
      <c r="AT303" s="18">
        <v>1E-8</v>
      </c>
      <c r="AU303" s="18">
        <v>1E-8</v>
      </c>
      <c r="AV303" s="18">
        <v>1E-8</v>
      </c>
      <c r="AW303" s="18">
        <v>1E-8</v>
      </c>
      <c r="AX303" s="18"/>
      <c r="AY303" s="18">
        <v>1E-8</v>
      </c>
      <c r="AZ303" s="18">
        <v>1E-8</v>
      </c>
      <c r="BA303" s="18">
        <v>1E-8</v>
      </c>
      <c r="BB303" s="18">
        <v>1E-8</v>
      </c>
      <c r="BC303" s="18">
        <v>1E-8</v>
      </c>
      <c r="BD303" s="18">
        <v>1E-8</v>
      </c>
      <c r="BE303" s="18">
        <v>1E-8</v>
      </c>
      <c r="BF303" s="18">
        <v>1E-8</v>
      </c>
      <c r="BG303" s="18">
        <v>1E-8</v>
      </c>
      <c r="BH303" s="18">
        <v>1E-8</v>
      </c>
      <c r="BI303" s="18">
        <v>1E-8</v>
      </c>
      <c r="BJ303" s="19"/>
      <c r="BK303" s="18">
        <v>1E-8</v>
      </c>
      <c r="BL303" s="18">
        <v>1E-8</v>
      </c>
      <c r="BM303" s="18">
        <v>1E-8</v>
      </c>
      <c r="BN303" s="18">
        <v>1E-8</v>
      </c>
      <c r="BO303" s="18"/>
      <c r="BP303" s="18">
        <v>1E-8</v>
      </c>
      <c r="BQ303" s="18">
        <v>1E-8</v>
      </c>
      <c r="BR303" s="18">
        <v>1E-8</v>
      </c>
      <c r="BS303" s="18">
        <v>1E-8</v>
      </c>
      <c r="BT303" s="19"/>
      <c r="BU303" s="18">
        <v>1E-8</v>
      </c>
      <c r="BV303" s="18">
        <v>1E-8</v>
      </c>
      <c r="BW303" s="18">
        <v>1E-8</v>
      </c>
      <c r="BX303" s="18">
        <v>1E-8</v>
      </c>
      <c r="BY303" s="18">
        <v>1E-8</v>
      </c>
      <c r="BZ303" s="18">
        <v>1E-8</v>
      </c>
      <c r="CA303" s="18">
        <v>1E-8</v>
      </c>
      <c r="CB303" s="19"/>
      <c r="CC303" s="19">
        <v>1.0000000000000001E-18</v>
      </c>
      <c r="CD303" s="19">
        <v>1.0000000000000001E-18</v>
      </c>
      <c r="CE303" s="19">
        <v>1.0000000000000001E-18</v>
      </c>
      <c r="CF303" s="19">
        <v>1.0000000000000001E-18</v>
      </c>
      <c r="CG303" s="19">
        <v>1.0000000000000001E-18</v>
      </c>
      <c r="CH303" s="19">
        <v>1.0000000000000001E-18</v>
      </c>
      <c r="CI303" s="19">
        <v>1.0000000000000001E-18</v>
      </c>
      <c r="CJ303" s="19"/>
      <c r="CK303" s="19">
        <v>1.0000000000000001E-18</v>
      </c>
      <c r="CL303" s="19">
        <v>1.0000000000000001E-18</v>
      </c>
      <c r="CM303" s="19">
        <v>1.0000000000000001E-18</v>
      </c>
      <c r="CN303" s="19">
        <v>1.0000000000000001E-18</v>
      </c>
      <c r="CO303" s="19">
        <v>1.0000000000000001E-18</v>
      </c>
      <c r="CP303" s="19">
        <v>1.0000000000000001E-18</v>
      </c>
      <c r="CQ303" s="19">
        <v>9.9999999999999995E-8</v>
      </c>
      <c r="CR303" s="19">
        <v>1E-8</v>
      </c>
      <c r="CS303" s="19">
        <v>1E-8</v>
      </c>
      <c r="CT303" s="19">
        <v>1E-8</v>
      </c>
      <c r="CU303" s="19">
        <v>1E-8</v>
      </c>
      <c r="CV303" s="19">
        <v>1E-8</v>
      </c>
      <c r="CW303" s="19">
        <v>1E-8</v>
      </c>
      <c r="CX303" s="19">
        <v>1E-8</v>
      </c>
      <c r="CY303" s="19">
        <v>1E-8</v>
      </c>
      <c r="CZ303" s="19">
        <v>1E-8</v>
      </c>
      <c r="DA303" s="19">
        <v>1E-8</v>
      </c>
      <c r="DB303" s="19">
        <v>1E-8</v>
      </c>
      <c r="DC303" s="19">
        <v>1E-8</v>
      </c>
      <c r="DD303" s="19">
        <v>1E-8</v>
      </c>
      <c r="DE303" s="19">
        <v>1E-8</v>
      </c>
      <c r="DF303" s="23">
        <v>1E-8</v>
      </c>
      <c r="DG303" s="23">
        <v>1E-8</v>
      </c>
      <c r="DH303" s="23">
        <v>1E-8</v>
      </c>
      <c r="DI303" s="19">
        <v>1E-8</v>
      </c>
      <c r="DJ303" s="19">
        <v>1E-8</v>
      </c>
      <c r="DK303" s="19">
        <v>1E-8</v>
      </c>
      <c r="DL303" s="19">
        <v>1E-8</v>
      </c>
      <c r="DM303" s="19">
        <v>1E-8</v>
      </c>
      <c r="DN303" s="19">
        <v>1E-8</v>
      </c>
      <c r="DO303" s="19">
        <v>1E-8</v>
      </c>
      <c r="DP303" s="19">
        <v>1E-8</v>
      </c>
      <c r="DQ303" s="19">
        <v>1E-8</v>
      </c>
      <c r="DR303" s="19">
        <v>1E-8</v>
      </c>
      <c r="DS303" s="19">
        <v>1E-8</v>
      </c>
      <c r="DT303" s="19">
        <v>1E-8</v>
      </c>
      <c r="DU303" s="19">
        <v>1E-8</v>
      </c>
      <c r="DV303" s="19">
        <v>1E-8</v>
      </c>
      <c r="DW303" s="17" t="s">
        <v>218</v>
      </c>
      <c r="DX303" s="22" t="s">
        <v>218</v>
      </c>
      <c r="DY303" s="22" t="s">
        <v>218</v>
      </c>
      <c r="DZ303" s="22" t="s">
        <v>218</v>
      </c>
      <c r="EA303" s="22" t="s">
        <v>218</v>
      </c>
      <c r="EB303" s="22" t="s">
        <v>218</v>
      </c>
      <c r="EC303" s="22" t="s">
        <v>218</v>
      </c>
      <c r="ED303" s="22" t="s">
        <v>218</v>
      </c>
      <c r="EE303" s="22" t="s">
        <v>218</v>
      </c>
      <c r="EF303" s="22" t="s">
        <v>218</v>
      </c>
      <c r="EG303" s="22" t="s">
        <v>218</v>
      </c>
      <c r="EH303" s="22" t="s">
        <v>218</v>
      </c>
      <c r="EI303" s="22" t="s">
        <v>218</v>
      </c>
      <c r="EJ303" s="22" t="s">
        <v>218</v>
      </c>
      <c r="EK303" s="22" t="s">
        <v>218</v>
      </c>
      <c r="EL303" s="22" t="s">
        <v>218</v>
      </c>
      <c r="EM303" s="22" t="s">
        <v>218</v>
      </c>
      <c r="EN303" s="22" t="s">
        <v>218</v>
      </c>
      <c r="EO303" s="22" t="s">
        <v>218</v>
      </c>
      <c r="EP303" s="22" t="s">
        <v>218</v>
      </c>
      <c r="EQ303" s="22" t="s">
        <v>218</v>
      </c>
      <c r="ER303" s="22" t="s">
        <v>218</v>
      </c>
      <c r="ES303" s="22" t="s">
        <v>218</v>
      </c>
      <c r="ET303" s="22" t="s">
        <v>218</v>
      </c>
      <c r="EU303" s="22" t="s">
        <v>218</v>
      </c>
      <c r="EV303" s="22" t="s">
        <v>218</v>
      </c>
      <c r="EW303" s="22" t="s">
        <v>218</v>
      </c>
      <c r="EX303" s="22" t="s">
        <v>218</v>
      </c>
      <c r="EY303" s="22" t="s">
        <v>218</v>
      </c>
      <c r="EZ303" s="22" t="s">
        <v>218</v>
      </c>
      <c r="FA303" s="22" t="s">
        <v>218</v>
      </c>
      <c r="FB303" s="22" t="s">
        <v>218</v>
      </c>
      <c r="FC303" s="22" t="s">
        <v>218</v>
      </c>
      <c r="FD303" s="22" t="s">
        <v>218</v>
      </c>
      <c r="FE303" s="22" t="s">
        <v>218</v>
      </c>
      <c r="FF303" s="22" t="s">
        <v>218</v>
      </c>
      <c r="FG303" s="22" t="s">
        <v>218</v>
      </c>
      <c r="FH303" s="22" t="s">
        <v>218</v>
      </c>
      <c r="FI303" s="22" t="s">
        <v>218</v>
      </c>
      <c r="FJ303" s="22" t="s">
        <v>218</v>
      </c>
      <c r="FK303" s="22" t="s">
        <v>218</v>
      </c>
      <c r="FL303" s="22" t="s">
        <v>218</v>
      </c>
      <c r="FM303" s="22" t="s">
        <v>218</v>
      </c>
      <c r="FN303" s="22" t="s">
        <v>218</v>
      </c>
      <c r="FO303" s="22" t="s">
        <v>218</v>
      </c>
      <c r="FP303" s="22" t="s">
        <v>218</v>
      </c>
      <c r="FQ303" s="22" t="s">
        <v>218</v>
      </c>
      <c r="FR303" s="22" t="s">
        <v>218</v>
      </c>
      <c r="FS303" s="22" t="s">
        <v>218</v>
      </c>
      <c r="FT303" s="22" t="s">
        <v>218</v>
      </c>
      <c r="FU303" s="22" t="s">
        <v>218</v>
      </c>
      <c r="FV303" s="22" t="s">
        <v>218</v>
      </c>
      <c r="FW303" s="22" t="s">
        <v>218</v>
      </c>
      <c r="FX303" s="22" t="s">
        <v>218</v>
      </c>
      <c r="FY303" s="22" t="s">
        <v>218</v>
      </c>
      <c r="FZ303" s="22" t="s">
        <v>218</v>
      </c>
      <c r="GA303" s="22" t="s">
        <v>218</v>
      </c>
      <c r="GB303" s="22" t="s">
        <v>218</v>
      </c>
      <c r="GC303" s="22" t="s">
        <v>218</v>
      </c>
      <c r="GD303" s="22" t="s">
        <v>218</v>
      </c>
      <c r="GE303" s="22" t="s">
        <v>218</v>
      </c>
      <c r="GF303" s="22" t="s">
        <v>218</v>
      </c>
      <c r="GG303" s="22" t="s">
        <v>218</v>
      </c>
      <c r="GH303" s="22" t="s">
        <v>218</v>
      </c>
      <c r="GI303" s="22" t="s">
        <v>218</v>
      </c>
      <c r="GJ303" s="22" t="s">
        <v>218</v>
      </c>
      <c r="GK303" s="22" t="s">
        <v>218</v>
      </c>
      <c r="GL303" s="22" t="s">
        <v>218</v>
      </c>
      <c r="GM303" s="22" t="s">
        <v>218</v>
      </c>
      <c r="GN303" s="22" t="s">
        <v>218</v>
      </c>
      <c r="GO303" s="22" t="s">
        <v>218</v>
      </c>
      <c r="GP303" s="22" t="s">
        <v>218</v>
      </c>
      <c r="GQ303" s="22" t="s">
        <v>218</v>
      </c>
      <c r="GR303" s="22" t="s">
        <v>218</v>
      </c>
      <c r="GS303" s="22" t="s">
        <v>218</v>
      </c>
      <c r="GT303" s="22" t="s">
        <v>218</v>
      </c>
      <c r="GU303" s="22" t="s">
        <v>218</v>
      </c>
      <c r="GV303" s="22" t="s">
        <v>218</v>
      </c>
      <c r="GW303" s="22" t="s">
        <v>218</v>
      </c>
      <c r="GX303" s="22" t="s">
        <v>218</v>
      </c>
      <c r="GY303" s="22" t="s">
        <v>218</v>
      </c>
      <c r="GZ303" s="22" t="s">
        <v>218</v>
      </c>
      <c r="HA303" s="22" t="s">
        <v>218</v>
      </c>
      <c r="HB303" s="22" t="s">
        <v>218</v>
      </c>
      <c r="HC303" s="22" t="s">
        <v>218</v>
      </c>
      <c r="HD303" s="22" t="s">
        <v>218</v>
      </c>
      <c r="HE303" s="22" t="s">
        <v>218</v>
      </c>
      <c r="HF303" s="22" t="s">
        <v>218</v>
      </c>
      <c r="HG303" s="22" t="s">
        <v>218</v>
      </c>
      <c r="HH303" s="22" t="s">
        <v>218</v>
      </c>
      <c r="HI303" s="22" t="s">
        <v>218</v>
      </c>
      <c r="HJ303" s="22" t="s">
        <v>218</v>
      </c>
      <c r="HK303" s="22" t="s">
        <v>218</v>
      </c>
      <c r="HL303" s="22" t="s">
        <v>218</v>
      </c>
      <c r="HM303" s="620"/>
      <c r="HN303" s="620"/>
      <c r="HO303" s="620"/>
      <c r="HP303" s="620"/>
      <c r="HQ303" s="620"/>
      <c r="HR303" s="620"/>
      <c r="HS303" s="620"/>
      <c r="HT303" s="145"/>
      <c r="HU303" s="145" t="s">
        <v>1809</v>
      </c>
      <c r="HV303" s="22" t="s">
        <v>1991</v>
      </c>
      <c r="HW303" s="22">
        <v>0</v>
      </c>
      <c r="HX303" s="22">
        <v>0</v>
      </c>
      <c r="HY303" s="22">
        <v>0</v>
      </c>
      <c r="HZ303" s="19"/>
      <c r="IA303" s="19"/>
      <c r="IB303" s="620"/>
      <c r="IC303" s="620"/>
      <c r="ID303" s="620"/>
      <c r="IE303" s="620"/>
      <c r="IF303" s="620"/>
      <c r="IG303" s="620"/>
      <c r="IH303" s="620"/>
      <c r="II303" s="145"/>
      <c r="IJ303" s="145"/>
      <c r="IK303" s="145"/>
      <c r="IL303" s="145"/>
      <c r="IM303" s="145"/>
      <c r="IN303" s="145"/>
      <c r="IO303" s="145"/>
      <c r="IP303" s="145"/>
      <c r="IQ303" s="145"/>
      <c r="IR303" s="145"/>
      <c r="IS303" s="145"/>
      <c r="IT303" s="145"/>
      <c r="IU303" s="145"/>
      <c r="IV303" s="145"/>
      <c r="IW303" s="145"/>
      <c r="IX303" s="145"/>
      <c r="IY303" s="145"/>
      <c r="IZ303" s="145"/>
      <c r="JA303" s="145"/>
      <c r="JB303" s="145"/>
      <c r="JC303" s="145"/>
      <c r="JD303" s="145"/>
      <c r="JE303" s="145"/>
      <c r="JF303" s="145"/>
      <c r="JG303" s="145"/>
      <c r="JH303" s="145"/>
      <c r="JI303" s="145"/>
      <c r="JJ303" s="145"/>
      <c r="JK303" s="145"/>
      <c r="JL303" s="145"/>
      <c r="JM303" s="145"/>
      <c r="JN303" s="145"/>
      <c r="JO303" s="145"/>
      <c r="JP303" s="145"/>
      <c r="JQ303" s="145"/>
      <c r="JR303" s="145"/>
      <c r="JS303" s="145"/>
      <c r="JT303" s="145"/>
      <c r="JU303" s="145"/>
      <c r="JV303" s="145"/>
      <c r="JW303" s="145"/>
      <c r="JX303" s="145"/>
      <c r="JY303" s="145"/>
      <c r="JZ303" s="145"/>
      <c r="KA303" s="145"/>
      <c r="KB303" s="145"/>
      <c r="KC303" s="145"/>
      <c r="KD303" s="145"/>
      <c r="KE303" s="145"/>
      <c r="KF303" s="145"/>
      <c r="KG303" s="145"/>
      <c r="KH303" s="145"/>
      <c r="KI303" s="145"/>
      <c r="KJ303" s="145"/>
      <c r="KK303" s="145"/>
      <c r="KL303" s="145"/>
      <c r="KM303" s="145"/>
      <c r="KN303" s="145"/>
      <c r="KO303" s="145"/>
      <c r="KP303" s="145"/>
      <c r="KQ303" s="145"/>
      <c r="KR303" s="145"/>
      <c r="KS303" s="145"/>
      <c r="KT303" s="145"/>
      <c r="KU303" s="145"/>
      <c r="KV303" s="145"/>
      <c r="KW303" s="145"/>
      <c r="KX303" s="145"/>
      <c r="KY303" s="145"/>
      <c r="KZ303" s="145"/>
      <c r="LA303" s="145"/>
      <c r="LB303" s="145"/>
      <c r="LC303" s="145"/>
      <c r="LD303" s="145"/>
      <c r="LE303" s="145"/>
      <c r="LF303" s="145"/>
      <c r="LG303" s="145"/>
      <c r="LH303" s="145"/>
      <c r="LI303" s="145"/>
      <c r="LJ303" s="145"/>
      <c r="LK303" s="145"/>
      <c r="LL303" s="145"/>
      <c r="LM303" s="145"/>
      <c r="LN303" s="145"/>
      <c r="LO303" s="145"/>
      <c r="LP303" s="145"/>
      <c r="LQ303" s="145"/>
      <c r="LR303" s="145"/>
      <c r="LS303" s="145"/>
      <c r="LT303" s="145"/>
      <c r="LU303" s="145"/>
      <c r="LV303" s="145"/>
      <c r="LW303" s="145"/>
      <c r="LX303" s="145"/>
      <c r="LY303" s="145"/>
      <c r="LZ303" s="145"/>
      <c r="MA303" s="145"/>
      <c r="MB303" s="145"/>
      <c r="MC303" s="145"/>
      <c r="MD303" s="145"/>
      <c r="ME303" s="145"/>
      <c r="MF303" s="145"/>
      <c r="MG303" s="145"/>
      <c r="MH303" s="145"/>
      <c r="MI303" s="145"/>
      <c r="MJ303" s="145"/>
      <c r="MK303" s="145"/>
      <c r="ML303" s="145"/>
      <c r="MM303" s="145"/>
      <c r="MN303" s="145"/>
      <c r="MO303" s="145"/>
      <c r="MP303" s="145"/>
      <c r="MQ303" s="145"/>
      <c r="MR303" s="145"/>
      <c r="MS303" s="145"/>
      <c r="MT303" s="145"/>
      <c r="MU303" s="145"/>
      <c r="MV303" s="145"/>
      <c r="MW303" s="145"/>
      <c r="MX303" s="145"/>
      <c r="MY303" s="145"/>
      <c r="MZ303" s="145"/>
      <c r="NA303" s="145"/>
      <c r="NB303" s="145"/>
      <c r="NC303" s="145"/>
      <c r="ND303" s="145"/>
      <c r="NE303" s="145"/>
      <c r="NF303" s="145"/>
      <c r="NG303" s="145"/>
      <c r="NH303" s="145"/>
      <c r="NI303" s="145"/>
      <c r="NJ303" s="145"/>
      <c r="NK303" s="145"/>
      <c r="NL303" s="145"/>
      <c r="NM303" s="145"/>
      <c r="NN303" s="145"/>
      <c r="NO303" s="145"/>
      <c r="NP303" s="145"/>
      <c r="NQ303" s="145"/>
      <c r="NR303" s="145"/>
      <c r="NS303" s="145"/>
    </row>
    <row r="304" spans="1:383" s="16" customFormat="1" ht="15" customHeight="1" x14ac:dyDescent="0.2">
      <c r="A304" s="15">
        <v>88620</v>
      </c>
      <c r="B304" s="25">
        <v>886</v>
      </c>
      <c r="C304" s="26">
        <v>20</v>
      </c>
      <c r="D304" s="20" t="s">
        <v>778</v>
      </c>
      <c r="E304" s="14">
        <v>42522</v>
      </c>
      <c r="F304" s="18">
        <v>3.78963392452575</v>
      </c>
      <c r="G304" s="18">
        <v>3.6383912159740301</v>
      </c>
      <c r="H304" s="21">
        <v>97</v>
      </c>
      <c r="I304" s="21">
        <v>97</v>
      </c>
      <c r="J304" s="21">
        <v>90</v>
      </c>
      <c r="K304" s="18">
        <v>1</v>
      </c>
      <c r="L304" s="18">
        <v>99</v>
      </c>
      <c r="M304" s="18">
        <v>1E-4</v>
      </c>
      <c r="N304" s="18">
        <v>99</v>
      </c>
      <c r="O304" s="18">
        <v>0</v>
      </c>
      <c r="P304" s="18">
        <v>0</v>
      </c>
      <c r="Q304" s="19"/>
      <c r="R304" s="18">
        <v>0</v>
      </c>
      <c r="S304" s="18">
        <v>0</v>
      </c>
      <c r="T304" s="18">
        <v>0</v>
      </c>
      <c r="U304" s="18">
        <v>0</v>
      </c>
      <c r="V304" s="18">
        <v>0</v>
      </c>
      <c r="W304" s="18">
        <v>0</v>
      </c>
      <c r="X304" s="18"/>
      <c r="Y304" s="18">
        <v>0</v>
      </c>
      <c r="Z304" s="18">
        <v>0</v>
      </c>
      <c r="AA304" s="18">
        <v>0</v>
      </c>
      <c r="AB304" s="18">
        <v>0</v>
      </c>
      <c r="AC304" s="18">
        <v>0</v>
      </c>
      <c r="AD304" s="18">
        <v>0</v>
      </c>
      <c r="AE304" s="18">
        <v>0</v>
      </c>
      <c r="AF304" s="18">
        <v>0</v>
      </c>
      <c r="AG304" s="18">
        <v>0</v>
      </c>
      <c r="AH304" s="18">
        <v>0</v>
      </c>
      <c r="AI304" s="18">
        <v>0</v>
      </c>
      <c r="AJ304" s="18">
        <v>0</v>
      </c>
      <c r="AK304" s="18">
        <v>0</v>
      </c>
      <c r="AL304" s="18"/>
      <c r="AM304" s="18">
        <v>0</v>
      </c>
      <c r="AN304" s="18">
        <v>0</v>
      </c>
      <c r="AO304" s="18">
        <v>0</v>
      </c>
      <c r="AP304" s="18">
        <v>0</v>
      </c>
      <c r="AQ304" s="18">
        <v>0</v>
      </c>
      <c r="AR304" s="18">
        <v>0</v>
      </c>
      <c r="AS304" s="18">
        <v>0</v>
      </c>
      <c r="AT304" s="18">
        <v>0</v>
      </c>
      <c r="AU304" s="18">
        <v>0</v>
      </c>
      <c r="AV304" s="18">
        <v>0</v>
      </c>
      <c r="AW304" s="18">
        <v>0</v>
      </c>
      <c r="AX304" s="18"/>
      <c r="AY304" s="18">
        <v>0</v>
      </c>
      <c r="AZ304" s="18">
        <v>0</v>
      </c>
      <c r="BA304" s="18">
        <v>0</v>
      </c>
      <c r="BB304" s="18">
        <v>0</v>
      </c>
      <c r="BC304" s="18">
        <v>0</v>
      </c>
      <c r="BD304" s="18">
        <v>0</v>
      </c>
      <c r="BE304" s="18">
        <v>0</v>
      </c>
      <c r="BF304" s="18">
        <v>0</v>
      </c>
      <c r="BG304" s="18">
        <v>0</v>
      </c>
      <c r="BH304" s="18">
        <v>0</v>
      </c>
      <c r="BI304" s="18">
        <v>0</v>
      </c>
      <c r="BJ304" s="19"/>
      <c r="BK304" s="18">
        <v>1.0101010101010101E-4</v>
      </c>
      <c r="BL304" s="18">
        <v>100</v>
      </c>
      <c r="BM304" s="18">
        <v>0</v>
      </c>
      <c r="BN304" s="18">
        <v>0</v>
      </c>
      <c r="BO304" s="18"/>
      <c r="BP304" s="18">
        <v>56</v>
      </c>
      <c r="BQ304" s="18">
        <v>560</v>
      </c>
      <c r="BR304" s="18">
        <v>3.8279130550765155</v>
      </c>
      <c r="BS304" s="18">
        <v>3.67514264239801</v>
      </c>
      <c r="BT304" s="19"/>
      <c r="BU304" s="18">
        <v>1000</v>
      </c>
      <c r="BV304" s="18">
        <v>-9.1919191907823233E-4</v>
      </c>
      <c r="BW304" s="18">
        <v>0</v>
      </c>
      <c r="BX304" s="18">
        <v>0</v>
      </c>
      <c r="BY304" s="18">
        <v>0</v>
      </c>
      <c r="BZ304" s="18">
        <v>0</v>
      </c>
      <c r="CA304" s="18">
        <v>0</v>
      </c>
      <c r="CB304" s="19"/>
      <c r="CC304" s="19">
        <v>0</v>
      </c>
      <c r="CD304" s="19">
        <v>0</v>
      </c>
      <c r="CE304" s="19">
        <v>0</v>
      </c>
      <c r="CF304" s="19">
        <v>0</v>
      </c>
      <c r="CG304" s="19">
        <v>0</v>
      </c>
      <c r="CH304" s="19">
        <v>0</v>
      </c>
      <c r="CI304" s="19">
        <v>0</v>
      </c>
      <c r="CJ304" s="19"/>
      <c r="CK304" s="19">
        <v>0</v>
      </c>
      <c r="CL304" s="19">
        <v>0</v>
      </c>
      <c r="CM304" s="19">
        <v>0</v>
      </c>
      <c r="CN304" s="19">
        <v>0</v>
      </c>
      <c r="CO304" s="19">
        <v>0</v>
      </c>
      <c r="CP304" s="19">
        <v>0</v>
      </c>
      <c r="CQ304" s="19">
        <v>0</v>
      </c>
      <c r="CR304" s="19">
        <v>0</v>
      </c>
      <c r="CS304" s="19">
        <v>0</v>
      </c>
      <c r="CT304" s="19">
        <v>0</v>
      </c>
      <c r="CU304" s="19">
        <v>0</v>
      </c>
      <c r="CV304" s="19">
        <v>0</v>
      </c>
      <c r="CW304" s="19">
        <v>0</v>
      </c>
      <c r="CX304" s="19">
        <v>0</v>
      </c>
      <c r="CY304" s="19">
        <v>0</v>
      </c>
      <c r="CZ304" s="19">
        <v>0</v>
      </c>
      <c r="DA304" s="19">
        <v>0</v>
      </c>
      <c r="DB304" s="19">
        <v>0</v>
      </c>
      <c r="DC304" s="19">
        <v>0</v>
      </c>
      <c r="DD304" s="19">
        <v>0</v>
      </c>
      <c r="DE304" s="19">
        <v>0</v>
      </c>
      <c r="DF304" s="23">
        <v>0</v>
      </c>
      <c r="DG304" s="23">
        <v>0</v>
      </c>
      <c r="DH304" s="23">
        <v>0</v>
      </c>
      <c r="DI304" s="19">
        <v>0</v>
      </c>
      <c r="DJ304" s="19">
        <v>0</v>
      </c>
      <c r="DK304" s="19">
        <v>0</v>
      </c>
      <c r="DL304" s="19">
        <v>0</v>
      </c>
      <c r="DM304" s="19">
        <v>0</v>
      </c>
      <c r="DN304" s="19">
        <v>0</v>
      </c>
      <c r="DO304" s="19">
        <v>0</v>
      </c>
      <c r="DP304" s="19">
        <v>0</v>
      </c>
      <c r="DQ304" s="19">
        <v>0</v>
      </c>
      <c r="DR304" s="19">
        <v>0</v>
      </c>
      <c r="DS304" s="19">
        <v>0</v>
      </c>
      <c r="DT304" s="19">
        <v>0</v>
      </c>
      <c r="DU304" s="19">
        <v>0</v>
      </c>
      <c r="DV304" s="19">
        <v>0</v>
      </c>
      <c r="DW304" s="17" t="s">
        <v>218</v>
      </c>
      <c r="DX304" s="22" t="s">
        <v>218</v>
      </c>
      <c r="DY304" s="22" t="s">
        <v>218</v>
      </c>
      <c r="DZ304" s="22" t="s">
        <v>218</v>
      </c>
      <c r="EA304" s="22" t="s">
        <v>218</v>
      </c>
      <c r="EB304" s="22" t="s">
        <v>218</v>
      </c>
      <c r="EC304" s="22" t="s">
        <v>218</v>
      </c>
      <c r="ED304" s="22" t="s">
        <v>218</v>
      </c>
      <c r="EE304" s="22" t="s">
        <v>218</v>
      </c>
      <c r="EF304" s="22" t="s">
        <v>218</v>
      </c>
      <c r="EG304" s="22" t="s">
        <v>218</v>
      </c>
      <c r="EH304" s="22" t="s">
        <v>218</v>
      </c>
      <c r="EI304" s="22" t="s">
        <v>218</v>
      </c>
      <c r="EJ304" s="22" t="s">
        <v>218</v>
      </c>
      <c r="EK304" s="22" t="s">
        <v>218</v>
      </c>
      <c r="EL304" s="22" t="s">
        <v>218</v>
      </c>
      <c r="EM304" s="22" t="s">
        <v>218</v>
      </c>
      <c r="EN304" s="22" t="s">
        <v>218</v>
      </c>
      <c r="EO304" s="22" t="s">
        <v>218</v>
      </c>
      <c r="EP304" s="22" t="s">
        <v>218</v>
      </c>
      <c r="EQ304" s="22" t="s">
        <v>218</v>
      </c>
      <c r="ER304" s="22" t="s">
        <v>218</v>
      </c>
      <c r="ES304" s="22" t="s">
        <v>218</v>
      </c>
      <c r="ET304" s="22" t="s">
        <v>218</v>
      </c>
      <c r="EU304" s="22" t="s">
        <v>218</v>
      </c>
      <c r="EV304" s="22" t="s">
        <v>218</v>
      </c>
      <c r="EW304" s="22" t="s">
        <v>218</v>
      </c>
      <c r="EX304" s="22" t="s">
        <v>218</v>
      </c>
      <c r="EY304" s="22" t="s">
        <v>218</v>
      </c>
      <c r="EZ304" s="22" t="s">
        <v>218</v>
      </c>
      <c r="FA304" s="22" t="s">
        <v>218</v>
      </c>
      <c r="FB304" s="22" t="s">
        <v>218</v>
      </c>
      <c r="FC304" s="22" t="s">
        <v>218</v>
      </c>
      <c r="FD304" s="22" t="s">
        <v>218</v>
      </c>
      <c r="FE304" s="22" t="s">
        <v>218</v>
      </c>
      <c r="FF304" s="22" t="s">
        <v>218</v>
      </c>
      <c r="FG304" s="22" t="s">
        <v>218</v>
      </c>
      <c r="FH304" s="22" t="s">
        <v>218</v>
      </c>
      <c r="FI304" s="22" t="s">
        <v>218</v>
      </c>
      <c r="FJ304" s="22" t="s">
        <v>218</v>
      </c>
      <c r="FK304" s="22" t="s">
        <v>218</v>
      </c>
      <c r="FL304" s="22" t="s">
        <v>218</v>
      </c>
      <c r="FM304" s="22" t="s">
        <v>218</v>
      </c>
      <c r="FN304" s="22" t="s">
        <v>218</v>
      </c>
      <c r="FO304" s="22" t="s">
        <v>218</v>
      </c>
      <c r="FP304" s="22" t="s">
        <v>218</v>
      </c>
      <c r="FQ304" s="22" t="s">
        <v>218</v>
      </c>
      <c r="FR304" s="22" t="s">
        <v>218</v>
      </c>
      <c r="FS304" s="22" t="s">
        <v>218</v>
      </c>
      <c r="FT304" s="22" t="s">
        <v>218</v>
      </c>
      <c r="FU304" s="22" t="s">
        <v>218</v>
      </c>
      <c r="FV304" s="22" t="s">
        <v>218</v>
      </c>
      <c r="FW304" s="22" t="s">
        <v>218</v>
      </c>
      <c r="FX304" s="22" t="s">
        <v>218</v>
      </c>
      <c r="FY304" s="22" t="s">
        <v>218</v>
      </c>
      <c r="FZ304" s="22" t="s">
        <v>218</v>
      </c>
      <c r="GA304" s="22" t="s">
        <v>218</v>
      </c>
      <c r="GB304" s="22" t="s">
        <v>218</v>
      </c>
      <c r="GC304" s="22" t="s">
        <v>218</v>
      </c>
      <c r="GD304" s="22" t="s">
        <v>218</v>
      </c>
      <c r="GE304" s="22" t="s">
        <v>218</v>
      </c>
      <c r="GF304" s="22" t="s">
        <v>218</v>
      </c>
      <c r="GG304" s="22" t="s">
        <v>218</v>
      </c>
      <c r="GH304" s="22" t="s">
        <v>218</v>
      </c>
      <c r="GI304" s="22" t="s">
        <v>218</v>
      </c>
      <c r="GJ304" s="22" t="s">
        <v>218</v>
      </c>
      <c r="GK304" s="22" t="s">
        <v>218</v>
      </c>
      <c r="GL304" s="22" t="s">
        <v>218</v>
      </c>
      <c r="GM304" s="22" t="s">
        <v>218</v>
      </c>
      <c r="GN304" s="22" t="s">
        <v>218</v>
      </c>
      <c r="GO304" s="22" t="s">
        <v>218</v>
      </c>
      <c r="GP304" s="22" t="s">
        <v>218</v>
      </c>
      <c r="GQ304" s="22" t="s">
        <v>218</v>
      </c>
      <c r="GR304" s="22" t="s">
        <v>218</v>
      </c>
      <c r="GS304" s="22" t="s">
        <v>218</v>
      </c>
      <c r="GT304" s="22" t="s">
        <v>218</v>
      </c>
      <c r="GU304" s="22" t="s">
        <v>218</v>
      </c>
      <c r="GV304" s="22" t="s">
        <v>218</v>
      </c>
      <c r="GW304" s="22" t="s">
        <v>218</v>
      </c>
      <c r="GX304" s="22" t="s">
        <v>218</v>
      </c>
      <c r="GY304" s="22" t="s">
        <v>218</v>
      </c>
      <c r="GZ304" s="22" t="s">
        <v>218</v>
      </c>
      <c r="HA304" s="22" t="s">
        <v>218</v>
      </c>
      <c r="HB304" s="22" t="s">
        <v>218</v>
      </c>
      <c r="HC304" s="22" t="s">
        <v>218</v>
      </c>
      <c r="HD304" s="22" t="s">
        <v>218</v>
      </c>
      <c r="HE304" s="22" t="s">
        <v>218</v>
      </c>
      <c r="HF304" s="22" t="s">
        <v>218</v>
      </c>
      <c r="HG304" s="22" t="s">
        <v>218</v>
      </c>
      <c r="HH304" s="22" t="s">
        <v>218</v>
      </c>
      <c r="HI304" s="22" t="s">
        <v>218</v>
      </c>
      <c r="HJ304" s="22" t="s">
        <v>218</v>
      </c>
      <c r="HK304" s="22" t="s">
        <v>218</v>
      </c>
      <c r="HL304" s="22" t="s">
        <v>218</v>
      </c>
      <c r="HM304" s="622">
        <f>1930/2000+1661/2000</f>
        <v>1.7955000000000001</v>
      </c>
      <c r="HN304" s="622">
        <f>(2645+2131)/2/1000</f>
        <v>2.3879999999999999</v>
      </c>
      <c r="HO304" s="622">
        <f>(290+234)/2/1000</f>
        <v>0.26200000000000001</v>
      </c>
      <c r="HP304" s="622">
        <f>(118.5+104.7)/2/1000</f>
        <v>0.11159999999999999</v>
      </c>
      <c r="HQ304" s="622">
        <v>8.9499999999999993</v>
      </c>
      <c r="HR304" s="622"/>
      <c r="HS304" s="622">
        <f>(2.03+1.63)/2</f>
        <v>1.8299999999999998</v>
      </c>
      <c r="HT304" s="145" t="s">
        <v>1806</v>
      </c>
      <c r="HU304" s="145" t="s">
        <v>1809</v>
      </c>
      <c r="HV304" s="22" t="s">
        <v>1992</v>
      </c>
      <c r="HW304" s="22" t="s">
        <v>779</v>
      </c>
      <c r="HX304" s="22" t="s">
        <v>780</v>
      </c>
      <c r="HY304" s="22" t="s">
        <v>781</v>
      </c>
      <c r="HZ304" s="19"/>
      <c r="IA304" s="19"/>
      <c r="IB304" s="622">
        <f>1930/2000+1661/2000</f>
        <v>1.7955000000000001</v>
      </c>
      <c r="IC304" s="622">
        <f>(2645+2131)/2/1000</f>
        <v>2.3879999999999999</v>
      </c>
      <c r="ID304" s="622">
        <f>(290+234)/2/1000</f>
        <v>0.26200000000000001</v>
      </c>
      <c r="IE304" s="622">
        <f>(118.5+104.7)/2/1000</f>
        <v>0.11159999999999999</v>
      </c>
      <c r="IF304" s="622">
        <v>8.9499999999999993</v>
      </c>
      <c r="IG304" s="622"/>
      <c r="IH304" s="622">
        <f>(2.03+1.63)/2</f>
        <v>1.8299999999999998</v>
      </c>
      <c r="II304" s="145" t="s">
        <v>1806</v>
      </c>
      <c r="IJ304" s="145"/>
      <c r="IK304" s="145"/>
      <c r="IL304" s="145"/>
      <c r="IM304" s="145"/>
      <c r="IN304" s="145"/>
      <c r="IO304" s="145"/>
      <c r="IP304" s="145"/>
      <c r="IQ304" s="145"/>
      <c r="IR304" s="145"/>
      <c r="IS304" s="145"/>
      <c r="IT304" s="145"/>
      <c r="IU304" s="145"/>
      <c r="IV304" s="145"/>
      <c r="IW304" s="145"/>
      <c r="IX304" s="145"/>
      <c r="IY304" s="145"/>
      <c r="IZ304" s="145"/>
      <c r="JA304" s="145"/>
      <c r="JB304" s="145"/>
      <c r="JC304" s="145"/>
      <c r="JD304" s="145"/>
      <c r="JE304" s="145"/>
      <c r="JF304" s="145"/>
      <c r="JG304" s="145"/>
      <c r="JH304" s="145"/>
      <c r="JI304" s="145"/>
      <c r="JJ304" s="145"/>
      <c r="JK304" s="145"/>
      <c r="JL304" s="145"/>
      <c r="JM304" s="145"/>
      <c r="JN304" s="145"/>
      <c r="JO304" s="145"/>
      <c r="JP304" s="145"/>
      <c r="JQ304" s="145"/>
      <c r="JR304" s="145"/>
      <c r="JS304" s="145"/>
      <c r="JT304" s="145"/>
      <c r="JU304" s="145"/>
      <c r="JV304" s="145"/>
      <c r="JW304" s="145"/>
      <c r="JX304" s="145"/>
      <c r="JY304" s="145"/>
      <c r="JZ304" s="145"/>
      <c r="KA304" s="145"/>
      <c r="KB304" s="145"/>
      <c r="KC304" s="145"/>
      <c r="KD304" s="145"/>
      <c r="KE304" s="145"/>
      <c r="KF304" s="145"/>
      <c r="KG304" s="145"/>
      <c r="KH304" s="145"/>
      <c r="KI304" s="145"/>
      <c r="KJ304" s="145"/>
      <c r="KK304" s="145"/>
      <c r="KL304" s="145"/>
      <c r="KM304" s="145"/>
      <c r="KN304" s="145"/>
      <c r="KO304" s="145"/>
      <c r="KP304" s="145"/>
      <c r="KQ304" s="145"/>
      <c r="KR304" s="145"/>
      <c r="KS304" s="145"/>
      <c r="KT304" s="145"/>
      <c r="KU304" s="145"/>
      <c r="KV304" s="145"/>
      <c r="KW304" s="145"/>
      <c r="KX304" s="145"/>
      <c r="KY304" s="145"/>
      <c r="KZ304" s="145"/>
      <c r="LA304" s="145"/>
      <c r="LB304" s="145"/>
      <c r="LC304" s="145"/>
      <c r="LD304" s="145"/>
      <c r="LE304" s="145"/>
      <c r="LF304" s="145"/>
      <c r="LG304" s="145"/>
      <c r="LH304" s="145"/>
      <c r="LI304" s="145"/>
      <c r="LJ304" s="145"/>
      <c r="LK304" s="145"/>
      <c r="LL304" s="145"/>
      <c r="LM304" s="145"/>
      <c r="LN304" s="145"/>
      <c r="LO304" s="145"/>
      <c r="LP304" s="145"/>
      <c r="LQ304" s="145"/>
      <c r="LR304" s="145"/>
      <c r="LS304" s="145"/>
      <c r="LT304" s="145"/>
      <c r="LU304" s="145"/>
      <c r="LV304" s="145"/>
      <c r="LW304" s="145"/>
      <c r="LX304" s="145"/>
      <c r="LY304" s="145"/>
      <c r="LZ304" s="145"/>
      <c r="MA304" s="145"/>
      <c r="MB304" s="145"/>
      <c r="MC304" s="145"/>
      <c r="MD304" s="145"/>
      <c r="ME304" s="145"/>
      <c r="MF304" s="145"/>
      <c r="MG304" s="145"/>
      <c r="MH304" s="145"/>
      <c r="MI304" s="145"/>
      <c r="MJ304" s="145"/>
      <c r="MK304" s="145"/>
      <c r="ML304" s="145"/>
      <c r="MM304" s="145"/>
      <c r="MN304" s="145"/>
      <c r="MO304" s="145"/>
      <c r="MP304" s="145"/>
      <c r="MQ304" s="145"/>
      <c r="MR304" s="145"/>
      <c r="MS304" s="145"/>
      <c r="MT304" s="145"/>
      <c r="MU304" s="145"/>
      <c r="MV304" s="145"/>
      <c r="MW304" s="145"/>
      <c r="MX304" s="145"/>
      <c r="MY304" s="145"/>
      <c r="MZ304" s="145"/>
      <c r="NA304" s="145"/>
      <c r="NB304" s="145"/>
      <c r="NC304" s="145"/>
      <c r="ND304" s="145"/>
      <c r="NE304" s="145"/>
      <c r="NF304" s="145"/>
      <c r="NG304" s="145"/>
      <c r="NH304" s="145"/>
      <c r="NI304" s="145"/>
      <c r="NJ304" s="145"/>
      <c r="NK304" s="145"/>
      <c r="NL304" s="145"/>
      <c r="NM304" s="145"/>
      <c r="NN304" s="145"/>
      <c r="NO304" s="145"/>
      <c r="NP304" s="145"/>
      <c r="NQ304" s="145"/>
      <c r="NR304" s="145"/>
      <c r="NS304" s="145"/>
    </row>
    <row r="305" spans="1:383" s="16" customFormat="1" ht="15" customHeight="1" x14ac:dyDescent="0.2">
      <c r="A305" s="15">
        <v>88610</v>
      </c>
      <c r="B305" s="25">
        <v>886</v>
      </c>
      <c r="C305" s="26">
        <v>10</v>
      </c>
      <c r="D305" s="20" t="s">
        <v>782</v>
      </c>
      <c r="E305" s="14">
        <v>42522</v>
      </c>
      <c r="F305" s="18">
        <v>3.7953757941083599</v>
      </c>
      <c r="G305" s="18">
        <v>3.6439039299376299</v>
      </c>
      <c r="H305" s="21">
        <v>97</v>
      </c>
      <c r="I305" s="21">
        <v>97</v>
      </c>
      <c r="J305" s="21">
        <v>90</v>
      </c>
      <c r="K305" s="18">
        <v>1</v>
      </c>
      <c r="L305" s="18">
        <v>99.15</v>
      </c>
      <c r="M305" s="18">
        <v>1.00151515151515E-4</v>
      </c>
      <c r="N305" s="18">
        <v>99.15</v>
      </c>
      <c r="O305" s="18">
        <v>0</v>
      </c>
      <c r="P305" s="18">
        <v>0</v>
      </c>
      <c r="Q305" s="19"/>
      <c r="R305" s="18">
        <v>0</v>
      </c>
      <c r="S305" s="18">
        <v>0</v>
      </c>
      <c r="T305" s="18">
        <v>0</v>
      </c>
      <c r="U305" s="18">
        <v>0</v>
      </c>
      <c r="V305" s="18">
        <v>0</v>
      </c>
      <c r="W305" s="18">
        <v>0</v>
      </c>
      <c r="X305" s="18"/>
      <c r="Y305" s="18">
        <v>0</v>
      </c>
      <c r="Z305" s="18">
        <v>0</v>
      </c>
      <c r="AA305" s="18">
        <v>0</v>
      </c>
      <c r="AB305" s="18">
        <v>0</v>
      </c>
      <c r="AC305" s="18">
        <v>0</v>
      </c>
      <c r="AD305" s="18">
        <v>0</v>
      </c>
      <c r="AE305" s="18">
        <v>0</v>
      </c>
      <c r="AF305" s="18">
        <v>0</v>
      </c>
      <c r="AG305" s="18">
        <v>0</v>
      </c>
      <c r="AH305" s="18">
        <v>0</v>
      </c>
      <c r="AI305" s="18">
        <v>0</v>
      </c>
      <c r="AJ305" s="18">
        <v>0</v>
      </c>
      <c r="AK305" s="18">
        <v>0</v>
      </c>
      <c r="AL305" s="18"/>
      <c r="AM305" s="18">
        <v>0</v>
      </c>
      <c r="AN305" s="18">
        <v>0</v>
      </c>
      <c r="AO305" s="18">
        <v>0</v>
      </c>
      <c r="AP305" s="18">
        <v>0</v>
      </c>
      <c r="AQ305" s="18">
        <v>0</v>
      </c>
      <c r="AR305" s="18">
        <v>0</v>
      </c>
      <c r="AS305" s="18">
        <v>0</v>
      </c>
      <c r="AT305" s="18">
        <v>0</v>
      </c>
      <c r="AU305" s="18">
        <v>0</v>
      </c>
      <c r="AV305" s="18">
        <v>0</v>
      </c>
      <c r="AW305" s="18">
        <v>0</v>
      </c>
      <c r="AX305" s="18"/>
      <c r="AY305" s="18">
        <v>0</v>
      </c>
      <c r="AZ305" s="18">
        <v>0</v>
      </c>
      <c r="BA305" s="18">
        <v>0</v>
      </c>
      <c r="BB305" s="18">
        <v>0</v>
      </c>
      <c r="BC305" s="18">
        <v>0</v>
      </c>
      <c r="BD305" s="18">
        <v>0</v>
      </c>
      <c r="BE305" s="18">
        <v>0</v>
      </c>
      <c r="BF305" s="18">
        <v>0</v>
      </c>
      <c r="BG305" s="18">
        <v>0</v>
      </c>
      <c r="BH305" s="18">
        <v>0</v>
      </c>
      <c r="BI305" s="18">
        <v>0</v>
      </c>
      <c r="BJ305" s="19"/>
      <c r="BK305" s="18">
        <v>1.0101010101010085E-4</v>
      </c>
      <c r="BL305" s="18">
        <v>100</v>
      </c>
      <c r="BM305" s="18">
        <v>0</v>
      </c>
      <c r="BN305" s="18">
        <v>0</v>
      </c>
      <c r="BO305" s="18"/>
      <c r="BP305" s="18">
        <v>56</v>
      </c>
      <c r="BQ305" s="18">
        <v>560</v>
      </c>
      <c r="BR305" s="18">
        <v>3.8279130550765097</v>
      </c>
      <c r="BS305" s="18">
        <v>3.6751426423980127</v>
      </c>
      <c r="BT305" s="19"/>
      <c r="BU305" s="18">
        <v>999.99999999999989</v>
      </c>
      <c r="BV305" s="18">
        <v>-9.191919190782319E-4</v>
      </c>
      <c r="BW305" s="18">
        <v>0</v>
      </c>
      <c r="BX305" s="18">
        <v>0</v>
      </c>
      <c r="BY305" s="18">
        <v>0</v>
      </c>
      <c r="BZ305" s="18">
        <v>0</v>
      </c>
      <c r="CA305" s="18">
        <v>0</v>
      </c>
      <c r="CB305" s="19"/>
      <c r="CC305" s="19">
        <v>0</v>
      </c>
      <c r="CD305" s="19">
        <v>0</v>
      </c>
      <c r="CE305" s="19">
        <v>0</v>
      </c>
      <c r="CF305" s="19">
        <v>0</v>
      </c>
      <c r="CG305" s="19">
        <v>0</v>
      </c>
      <c r="CH305" s="19">
        <v>0</v>
      </c>
      <c r="CI305" s="19">
        <v>0</v>
      </c>
      <c r="CJ305" s="19"/>
      <c r="CK305" s="19">
        <v>0</v>
      </c>
      <c r="CL305" s="19">
        <v>0</v>
      </c>
      <c r="CM305" s="19">
        <v>0</v>
      </c>
      <c r="CN305" s="19">
        <v>0</v>
      </c>
      <c r="CO305" s="19">
        <v>0</v>
      </c>
      <c r="CP305" s="19">
        <v>0</v>
      </c>
      <c r="CQ305" s="19">
        <v>0</v>
      </c>
      <c r="CR305" s="19">
        <v>0</v>
      </c>
      <c r="CS305" s="19">
        <v>0</v>
      </c>
      <c r="CT305" s="19">
        <v>0</v>
      </c>
      <c r="CU305" s="19">
        <v>0</v>
      </c>
      <c r="CV305" s="19">
        <v>0</v>
      </c>
      <c r="CW305" s="19">
        <v>0</v>
      </c>
      <c r="CX305" s="19">
        <v>0</v>
      </c>
      <c r="CY305" s="19">
        <v>0</v>
      </c>
      <c r="CZ305" s="19">
        <v>0</v>
      </c>
      <c r="DA305" s="19">
        <v>0</v>
      </c>
      <c r="DB305" s="19">
        <v>0</v>
      </c>
      <c r="DC305" s="19">
        <v>0</v>
      </c>
      <c r="DD305" s="19">
        <v>0</v>
      </c>
      <c r="DE305" s="19">
        <v>0</v>
      </c>
      <c r="DF305" s="23">
        <v>0</v>
      </c>
      <c r="DG305" s="23">
        <v>0</v>
      </c>
      <c r="DH305" s="23">
        <v>0</v>
      </c>
      <c r="DI305" s="19">
        <v>0</v>
      </c>
      <c r="DJ305" s="19">
        <v>0</v>
      </c>
      <c r="DK305" s="19">
        <v>0</v>
      </c>
      <c r="DL305" s="19">
        <v>0</v>
      </c>
      <c r="DM305" s="19">
        <v>0</v>
      </c>
      <c r="DN305" s="19">
        <v>0</v>
      </c>
      <c r="DO305" s="19">
        <v>0</v>
      </c>
      <c r="DP305" s="19">
        <v>0</v>
      </c>
      <c r="DQ305" s="19">
        <v>0</v>
      </c>
      <c r="DR305" s="19">
        <v>0</v>
      </c>
      <c r="DS305" s="19">
        <v>0</v>
      </c>
      <c r="DT305" s="19">
        <v>0</v>
      </c>
      <c r="DU305" s="19">
        <v>0</v>
      </c>
      <c r="DV305" s="19">
        <v>0</v>
      </c>
      <c r="DW305" s="17" t="s">
        <v>218</v>
      </c>
      <c r="DX305" s="22" t="s">
        <v>218</v>
      </c>
      <c r="DY305" s="22" t="s">
        <v>218</v>
      </c>
      <c r="DZ305" s="22" t="s">
        <v>218</v>
      </c>
      <c r="EA305" s="22" t="s">
        <v>218</v>
      </c>
      <c r="EB305" s="22" t="s">
        <v>218</v>
      </c>
      <c r="EC305" s="22" t="s">
        <v>218</v>
      </c>
      <c r="ED305" s="22" t="s">
        <v>218</v>
      </c>
      <c r="EE305" s="22" t="s">
        <v>218</v>
      </c>
      <c r="EF305" s="22" t="s">
        <v>218</v>
      </c>
      <c r="EG305" s="22" t="s">
        <v>218</v>
      </c>
      <c r="EH305" s="22" t="s">
        <v>218</v>
      </c>
      <c r="EI305" s="22" t="s">
        <v>218</v>
      </c>
      <c r="EJ305" s="22" t="s">
        <v>218</v>
      </c>
      <c r="EK305" s="22" t="s">
        <v>218</v>
      </c>
      <c r="EL305" s="22" t="s">
        <v>218</v>
      </c>
      <c r="EM305" s="22" t="s">
        <v>218</v>
      </c>
      <c r="EN305" s="22" t="s">
        <v>218</v>
      </c>
      <c r="EO305" s="22" t="s">
        <v>218</v>
      </c>
      <c r="EP305" s="22" t="s">
        <v>218</v>
      </c>
      <c r="EQ305" s="22" t="s">
        <v>218</v>
      </c>
      <c r="ER305" s="22" t="s">
        <v>218</v>
      </c>
      <c r="ES305" s="22" t="s">
        <v>218</v>
      </c>
      <c r="ET305" s="22" t="s">
        <v>218</v>
      </c>
      <c r="EU305" s="22" t="s">
        <v>218</v>
      </c>
      <c r="EV305" s="22" t="s">
        <v>218</v>
      </c>
      <c r="EW305" s="22" t="s">
        <v>218</v>
      </c>
      <c r="EX305" s="22" t="s">
        <v>218</v>
      </c>
      <c r="EY305" s="22" t="s">
        <v>218</v>
      </c>
      <c r="EZ305" s="22" t="s">
        <v>218</v>
      </c>
      <c r="FA305" s="22" t="s">
        <v>218</v>
      </c>
      <c r="FB305" s="22" t="s">
        <v>218</v>
      </c>
      <c r="FC305" s="22" t="s">
        <v>218</v>
      </c>
      <c r="FD305" s="22" t="s">
        <v>218</v>
      </c>
      <c r="FE305" s="22" t="s">
        <v>218</v>
      </c>
      <c r="FF305" s="22" t="s">
        <v>218</v>
      </c>
      <c r="FG305" s="22" t="s">
        <v>218</v>
      </c>
      <c r="FH305" s="22" t="s">
        <v>218</v>
      </c>
      <c r="FI305" s="22" t="s">
        <v>218</v>
      </c>
      <c r="FJ305" s="22" t="s">
        <v>218</v>
      </c>
      <c r="FK305" s="22" t="s">
        <v>218</v>
      </c>
      <c r="FL305" s="22" t="s">
        <v>218</v>
      </c>
      <c r="FM305" s="22" t="s">
        <v>218</v>
      </c>
      <c r="FN305" s="22" t="s">
        <v>218</v>
      </c>
      <c r="FO305" s="22" t="s">
        <v>218</v>
      </c>
      <c r="FP305" s="22" t="s">
        <v>218</v>
      </c>
      <c r="FQ305" s="22" t="s">
        <v>218</v>
      </c>
      <c r="FR305" s="22" t="s">
        <v>218</v>
      </c>
      <c r="FS305" s="22" t="s">
        <v>218</v>
      </c>
      <c r="FT305" s="22" t="s">
        <v>218</v>
      </c>
      <c r="FU305" s="22" t="s">
        <v>218</v>
      </c>
      <c r="FV305" s="22" t="s">
        <v>218</v>
      </c>
      <c r="FW305" s="22" t="s">
        <v>218</v>
      </c>
      <c r="FX305" s="22" t="s">
        <v>218</v>
      </c>
      <c r="FY305" s="22" t="s">
        <v>218</v>
      </c>
      <c r="FZ305" s="22" t="s">
        <v>218</v>
      </c>
      <c r="GA305" s="22" t="s">
        <v>218</v>
      </c>
      <c r="GB305" s="22" t="s">
        <v>218</v>
      </c>
      <c r="GC305" s="22" t="s">
        <v>218</v>
      </c>
      <c r="GD305" s="22" t="s">
        <v>218</v>
      </c>
      <c r="GE305" s="22" t="s">
        <v>218</v>
      </c>
      <c r="GF305" s="22" t="s">
        <v>218</v>
      </c>
      <c r="GG305" s="22" t="s">
        <v>218</v>
      </c>
      <c r="GH305" s="22" t="s">
        <v>218</v>
      </c>
      <c r="GI305" s="22" t="s">
        <v>218</v>
      </c>
      <c r="GJ305" s="22" t="s">
        <v>218</v>
      </c>
      <c r="GK305" s="22" t="s">
        <v>218</v>
      </c>
      <c r="GL305" s="22" t="s">
        <v>218</v>
      </c>
      <c r="GM305" s="22" t="s">
        <v>218</v>
      </c>
      <c r="GN305" s="22" t="s">
        <v>218</v>
      </c>
      <c r="GO305" s="22" t="s">
        <v>218</v>
      </c>
      <c r="GP305" s="22" t="s">
        <v>218</v>
      </c>
      <c r="GQ305" s="22" t="s">
        <v>218</v>
      </c>
      <c r="GR305" s="22" t="s">
        <v>218</v>
      </c>
      <c r="GS305" s="22" t="s">
        <v>218</v>
      </c>
      <c r="GT305" s="22" t="s">
        <v>218</v>
      </c>
      <c r="GU305" s="22" t="s">
        <v>218</v>
      </c>
      <c r="GV305" s="22" t="s">
        <v>218</v>
      </c>
      <c r="GW305" s="22" t="s">
        <v>218</v>
      </c>
      <c r="GX305" s="22" t="s">
        <v>218</v>
      </c>
      <c r="GY305" s="22" t="s">
        <v>218</v>
      </c>
      <c r="GZ305" s="22" t="s">
        <v>218</v>
      </c>
      <c r="HA305" s="22" t="s">
        <v>218</v>
      </c>
      <c r="HB305" s="22" t="s">
        <v>218</v>
      </c>
      <c r="HC305" s="22" t="s">
        <v>218</v>
      </c>
      <c r="HD305" s="22" t="s">
        <v>218</v>
      </c>
      <c r="HE305" s="22" t="s">
        <v>218</v>
      </c>
      <c r="HF305" s="22" t="s">
        <v>218</v>
      </c>
      <c r="HG305" s="22" t="s">
        <v>218</v>
      </c>
      <c r="HH305" s="22" t="s">
        <v>218</v>
      </c>
      <c r="HI305" s="22" t="s">
        <v>218</v>
      </c>
      <c r="HJ305" s="22" t="s">
        <v>218</v>
      </c>
      <c r="HK305" s="22" t="s">
        <v>218</v>
      </c>
      <c r="HL305" s="22" t="s">
        <v>218</v>
      </c>
      <c r="HM305" s="622">
        <f>1930/2000+1661/2000</f>
        <v>1.7955000000000001</v>
      </c>
      <c r="HN305" s="622">
        <f>(2645+2131)/2/1000</f>
        <v>2.3879999999999999</v>
      </c>
      <c r="HO305" s="622">
        <f>(290+234)/2/1000</f>
        <v>0.26200000000000001</v>
      </c>
      <c r="HP305" s="622">
        <f>(118.5+104.7)/2/1000</f>
        <v>0.11159999999999999</v>
      </c>
      <c r="HQ305" s="622">
        <v>8.9499999999999993</v>
      </c>
      <c r="HR305" s="622"/>
      <c r="HS305" s="622">
        <f>(2.03+1.63)/2</f>
        <v>1.8299999999999998</v>
      </c>
      <c r="HT305" s="145" t="s">
        <v>1806</v>
      </c>
      <c r="HU305" s="145" t="s">
        <v>1809</v>
      </c>
      <c r="HV305" s="22" t="s">
        <v>1992</v>
      </c>
      <c r="HW305" s="22" t="s">
        <v>779</v>
      </c>
      <c r="HX305" s="22" t="s">
        <v>780</v>
      </c>
      <c r="HY305" s="22" t="s">
        <v>781</v>
      </c>
      <c r="HZ305" s="19"/>
      <c r="IA305" s="19"/>
      <c r="IB305" s="622">
        <f>1930/2000+1661/2000</f>
        <v>1.7955000000000001</v>
      </c>
      <c r="IC305" s="622">
        <f>(2645+2131)/2/1000</f>
        <v>2.3879999999999999</v>
      </c>
      <c r="ID305" s="622">
        <f>(290+234)/2/1000</f>
        <v>0.26200000000000001</v>
      </c>
      <c r="IE305" s="622">
        <f>(118.5+104.7)/2/1000</f>
        <v>0.11159999999999999</v>
      </c>
      <c r="IF305" s="622">
        <v>8.9499999999999993</v>
      </c>
      <c r="IG305" s="622"/>
      <c r="IH305" s="622">
        <f>(2.03+1.63)/2</f>
        <v>1.8299999999999998</v>
      </c>
      <c r="II305" s="145" t="s">
        <v>1806</v>
      </c>
      <c r="IJ305" s="145"/>
      <c r="IK305" s="145"/>
      <c r="IL305" s="145"/>
      <c r="IM305" s="145"/>
      <c r="IN305" s="145"/>
      <c r="IO305" s="145"/>
      <c r="IP305" s="145"/>
      <c r="IQ305" s="145"/>
      <c r="IR305" s="145"/>
      <c r="IS305" s="145"/>
      <c r="IT305" s="145"/>
      <c r="IU305" s="145"/>
      <c r="IV305" s="145"/>
      <c r="IW305" s="145"/>
      <c r="IX305" s="145"/>
      <c r="IY305" s="145"/>
      <c r="IZ305" s="145"/>
      <c r="JA305" s="145"/>
      <c r="JB305" s="145"/>
      <c r="JC305" s="145"/>
      <c r="JD305" s="145"/>
      <c r="JE305" s="145"/>
      <c r="JF305" s="145"/>
      <c r="JG305" s="145"/>
      <c r="JH305" s="145"/>
      <c r="JI305" s="145"/>
      <c r="JJ305" s="145"/>
      <c r="JK305" s="145"/>
      <c r="JL305" s="145"/>
      <c r="JM305" s="145"/>
      <c r="JN305" s="145"/>
      <c r="JO305" s="145"/>
      <c r="JP305" s="145"/>
      <c r="JQ305" s="145"/>
      <c r="JR305" s="145"/>
      <c r="JS305" s="145"/>
      <c r="JT305" s="145"/>
      <c r="JU305" s="145"/>
      <c r="JV305" s="145"/>
      <c r="JW305" s="145"/>
      <c r="JX305" s="145"/>
      <c r="JY305" s="145"/>
      <c r="JZ305" s="145"/>
      <c r="KA305" s="145"/>
      <c r="KB305" s="145"/>
      <c r="KC305" s="145"/>
      <c r="KD305" s="145"/>
      <c r="KE305" s="145"/>
      <c r="KF305" s="145"/>
      <c r="KG305" s="145"/>
      <c r="KH305" s="145"/>
      <c r="KI305" s="145"/>
      <c r="KJ305" s="145"/>
      <c r="KK305" s="145"/>
      <c r="KL305" s="145"/>
      <c r="KM305" s="145"/>
      <c r="KN305" s="145"/>
      <c r="KO305" s="145"/>
      <c r="KP305" s="145"/>
      <c r="KQ305" s="145"/>
      <c r="KR305" s="145"/>
      <c r="KS305" s="145"/>
      <c r="KT305" s="145"/>
      <c r="KU305" s="145"/>
      <c r="KV305" s="145"/>
      <c r="KW305" s="145"/>
      <c r="KX305" s="145"/>
      <c r="KY305" s="145"/>
      <c r="KZ305" s="145"/>
      <c r="LA305" s="145"/>
      <c r="LB305" s="145"/>
      <c r="LC305" s="145"/>
      <c r="LD305" s="145"/>
      <c r="LE305" s="145"/>
      <c r="LF305" s="145"/>
      <c r="LG305" s="145"/>
      <c r="LH305" s="145"/>
      <c r="LI305" s="145"/>
      <c r="LJ305" s="145"/>
      <c r="LK305" s="145"/>
      <c r="LL305" s="145"/>
      <c r="LM305" s="145"/>
      <c r="LN305" s="145"/>
      <c r="LO305" s="145"/>
      <c r="LP305" s="145"/>
      <c r="LQ305" s="145"/>
      <c r="LR305" s="145"/>
      <c r="LS305" s="145"/>
      <c r="LT305" s="145"/>
      <c r="LU305" s="145"/>
      <c r="LV305" s="145"/>
      <c r="LW305" s="145"/>
      <c r="LX305" s="145"/>
      <c r="LY305" s="145"/>
      <c r="LZ305" s="145"/>
      <c r="MA305" s="145"/>
      <c r="MB305" s="145"/>
      <c r="MC305" s="145"/>
      <c r="MD305" s="145"/>
      <c r="ME305" s="145"/>
      <c r="MF305" s="145"/>
      <c r="MG305" s="145"/>
      <c r="MH305" s="145"/>
      <c r="MI305" s="145"/>
      <c r="MJ305" s="145"/>
      <c r="MK305" s="145"/>
      <c r="ML305" s="145"/>
      <c r="MM305" s="145"/>
      <c r="MN305" s="145"/>
      <c r="MO305" s="145"/>
      <c r="MP305" s="145"/>
      <c r="MQ305" s="145"/>
      <c r="MR305" s="145"/>
      <c r="MS305" s="145"/>
      <c r="MT305" s="145"/>
      <c r="MU305" s="145"/>
      <c r="MV305" s="145"/>
      <c r="MW305" s="145"/>
      <c r="MX305" s="145"/>
      <c r="MY305" s="145"/>
      <c r="MZ305" s="145"/>
      <c r="NA305" s="145"/>
      <c r="NB305" s="145"/>
      <c r="NC305" s="145"/>
      <c r="ND305" s="145"/>
      <c r="NE305" s="145"/>
      <c r="NF305" s="145"/>
      <c r="NG305" s="145"/>
      <c r="NH305" s="145"/>
      <c r="NI305" s="145"/>
      <c r="NJ305" s="145"/>
      <c r="NK305" s="145"/>
      <c r="NL305" s="145"/>
      <c r="NM305" s="145"/>
      <c r="NN305" s="145"/>
      <c r="NO305" s="145"/>
      <c r="NP305" s="145"/>
      <c r="NQ305" s="145"/>
      <c r="NR305" s="145"/>
      <c r="NS305" s="145"/>
    </row>
    <row r="306" spans="1:383" s="16" customFormat="1" ht="15" customHeight="1" x14ac:dyDescent="0.2">
      <c r="A306" s="15">
        <v>89000</v>
      </c>
      <c r="B306" s="25">
        <v>890</v>
      </c>
      <c r="C306" s="26">
        <v>0</v>
      </c>
      <c r="D306" s="20" t="s">
        <v>783</v>
      </c>
      <c r="E306" s="14">
        <v>40310</v>
      </c>
      <c r="F306" s="18">
        <v>3.8087734898011298</v>
      </c>
      <c r="G306" s="18">
        <v>3.6567669291860199</v>
      </c>
      <c r="H306" s="21">
        <v>97</v>
      </c>
      <c r="I306" s="21">
        <v>97</v>
      </c>
      <c r="J306" s="21">
        <v>90</v>
      </c>
      <c r="K306" s="18">
        <v>1</v>
      </c>
      <c r="L306" s="18">
        <v>99.5</v>
      </c>
      <c r="M306" s="18">
        <v>1.0050505050505E-4</v>
      </c>
      <c r="N306" s="18">
        <v>99.5</v>
      </c>
      <c r="O306" s="18">
        <v>0</v>
      </c>
      <c r="P306" s="18">
        <v>0</v>
      </c>
      <c r="Q306" s="19"/>
      <c r="R306" s="18">
        <v>0</v>
      </c>
      <c r="S306" s="18">
        <v>0</v>
      </c>
      <c r="T306" s="18">
        <v>0</v>
      </c>
      <c r="U306" s="18">
        <v>0</v>
      </c>
      <c r="V306" s="18">
        <v>0</v>
      </c>
      <c r="W306" s="18">
        <v>0</v>
      </c>
      <c r="X306" s="18"/>
      <c r="Y306" s="18">
        <v>0</v>
      </c>
      <c r="Z306" s="18">
        <v>0</v>
      </c>
      <c r="AA306" s="18">
        <v>0</v>
      </c>
      <c r="AB306" s="18">
        <v>0</v>
      </c>
      <c r="AC306" s="18">
        <v>0</v>
      </c>
      <c r="AD306" s="18">
        <v>0</v>
      </c>
      <c r="AE306" s="18">
        <v>0</v>
      </c>
      <c r="AF306" s="18">
        <v>0</v>
      </c>
      <c r="AG306" s="18">
        <v>0</v>
      </c>
      <c r="AH306" s="18">
        <v>0</v>
      </c>
      <c r="AI306" s="18">
        <v>0</v>
      </c>
      <c r="AJ306" s="18">
        <v>0</v>
      </c>
      <c r="AK306" s="18">
        <v>0</v>
      </c>
      <c r="AL306" s="18"/>
      <c r="AM306" s="18">
        <v>0</v>
      </c>
      <c r="AN306" s="18">
        <v>0</v>
      </c>
      <c r="AO306" s="18">
        <v>0</v>
      </c>
      <c r="AP306" s="18">
        <v>0</v>
      </c>
      <c r="AQ306" s="18">
        <v>0</v>
      </c>
      <c r="AR306" s="18">
        <v>0</v>
      </c>
      <c r="AS306" s="18">
        <v>0</v>
      </c>
      <c r="AT306" s="18">
        <v>0</v>
      </c>
      <c r="AU306" s="18">
        <v>0</v>
      </c>
      <c r="AV306" s="18">
        <v>0</v>
      </c>
      <c r="AW306" s="18">
        <v>0</v>
      </c>
      <c r="AX306" s="18"/>
      <c r="AY306" s="18">
        <v>1</v>
      </c>
      <c r="AZ306" s="18">
        <v>1</v>
      </c>
      <c r="BA306" s="18">
        <v>1</v>
      </c>
      <c r="BB306" s="18">
        <v>1</v>
      </c>
      <c r="BC306" s="18">
        <v>1</v>
      </c>
      <c r="BD306" s="18">
        <v>1</v>
      </c>
      <c r="BE306" s="18">
        <v>1</v>
      </c>
      <c r="BF306" s="18">
        <v>1</v>
      </c>
      <c r="BG306" s="18">
        <v>1</v>
      </c>
      <c r="BH306" s="18">
        <v>1</v>
      </c>
      <c r="BI306" s="18">
        <v>1</v>
      </c>
      <c r="BJ306" s="19"/>
      <c r="BK306" s="18">
        <v>1.010101010101005E-4</v>
      </c>
      <c r="BL306" s="18">
        <v>100</v>
      </c>
      <c r="BM306" s="18">
        <v>0</v>
      </c>
      <c r="BN306" s="18">
        <v>0</v>
      </c>
      <c r="BO306" s="18"/>
      <c r="BP306" s="18">
        <v>10</v>
      </c>
      <c r="BQ306" s="18">
        <v>100</v>
      </c>
      <c r="BR306" s="18">
        <v>3.8279130550765124</v>
      </c>
      <c r="BS306" s="18">
        <v>3.67514264239801</v>
      </c>
      <c r="BT306" s="19"/>
      <c r="BU306" s="18">
        <v>1000</v>
      </c>
      <c r="BV306" s="18">
        <v>-9.1919191907823211E-4</v>
      </c>
      <c r="BW306" s="18">
        <v>0</v>
      </c>
      <c r="BX306" s="18">
        <v>0</v>
      </c>
      <c r="BY306" s="18">
        <v>0</v>
      </c>
      <c r="BZ306" s="18">
        <v>0</v>
      </c>
      <c r="CA306" s="18">
        <v>0</v>
      </c>
      <c r="CB306" s="19"/>
      <c r="CC306" s="19">
        <v>0</v>
      </c>
      <c r="CD306" s="19">
        <v>0</v>
      </c>
      <c r="CE306" s="19">
        <v>0</v>
      </c>
      <c r="CF306" s="19">
        <v>0</v>
      </c>
      <c r="CG306" s="19">
        <v>0</v>
      </c>
      <c r="CH306" s="19">
        <v>0</v>
      </c>
      <c r="CI306" s="19">
        <v>0</v>
      </c>
      <c r="CJ306" s="19"/>
      <c r="CK306" s="19">
        <v>0</v>
      </c>
      <c r="CL306" s="19">
        <v>0</v>
      </c>
      <c r="CM306" s="19">
        <v>0</v>
      </c>
      <c r="CN306" s="19">
        <v>0</v>
      </c>
      <c r="CO306" s="19">
        <v>0</v>
      </c>
      <c r="CP306" s="19">
        <v>0</v>
      </c>
      <c r="CQ306" s="19">
        <v>0</v>
      </c>
      <c r="CR306" s="19">
        <v>0</v>
      </c>
      <c r="CS306" s="19">
        <v>0</v>
      </c>
      <c r="CT306" s="19">
        <v>0</v>
      </c>
      <c r="CU306" s="19">
        <v>0</v>
      </c>
      <c r="CV306" s="19">
        <v>0</v>
      </c>
      <c r="CW306" s="19">
        <v>0</v>
      </c>
      <c r="CX306" s="19">
        <v>0</v>
      </c>
      <c r="CY306" s="19">
        <v>0</v>
      </c>
      <c r="CZ306" s="19">
        <v>0</v>
      </c>
      <c r="DA306" s="19">
        <v>0</v>
      </c>
      <c r="DB306" s="19">
        <v>0</v>
      </c>
      <c r="DC306" s="19">
        <v>0</v>
      </c>
      <c r="DD306" s="19">
        <v>0</v>
      </c>
      <c r="DE306" s="19">
        <v>0</v>
      </c>
      <c r="DF306" s="23">
        <v>0</v>
      </c>
      <c r="DG306" s="23">
        <v>0</v>
      </c>
      <c r="DH306" s="23">
        <v>0</v>
      </c>
      <c r="DI306" s="19">
        <v>0</v>
      </c>
      <c r="DJ306" s="19">
        <v>0</v>
      </c>
      <c r="DK306" s="19">
        <v>0</v>
      </c>
      <c r="DL306" s="19">
        <v>0</v>
      </c>
      <c r="DM306" s="19">
        <v>0</v>
      </c>
      <c r="DN306" s="19">
        <v>0</v>
      </c>
      <c r="DO306" s="19">
        <v>0</v>
      </c>
      <c r="DP306" s="19">
        <v>0</v>
      </c>
      <c r="DQ306" s="19">
        <v>0</v>
      </c>
      <c r="DR306" s="19">
        <v>0</v>
      </c>
      <c r="DS306" s="19">
        <v>0</v>
      </c>
      <c r="DT306" s="19">
        <v>0</v>
      </c>
      <c r="DU306" s="19">
        <v>0</v>
      </c>
      <c r="DV306" s="19">
        <v>0</v>
      </c>
      <c r="DW306" s="17" t="s">
        <v>784</v>
      </c>
      <c r="DX306" s="22" t="s">
        <v>218</v>
      </c>
      <c r="DY306" s="22" t="s">
        <v>218</v>
      </c>
      <c r="DZ306" s="22" t="s">
        <v>218</v>
      </c>
      <c r="EA306" s="22" t="s">
        <v>218</v>
      </c>
      <c r="EB306" s="22" t="s">
        <v>218</v>
      </c>
      <c r="EC306" s="22" t="s">
        <v>218</v>
      </c>
      <c r="ED306" s="22" t="s">
        <v>218</v>
      </c>
      <c r="EE306" s="22" t="s">
        <v>218</v>
      </c>
      <c r="EF306" s="22" t="s">
        <v>218</v>
      </c>
      <c r="EG306" s="22" t="s">
        <v>218</v>
      </c>
      <c r="EH306" s="22" t="s">
        <v>218</v>
      </c>
      <c r="EI306" s="22" t="s">
        <v>218</v>
      </c>
      <c r="EJ306" s="22" t="s">
        <v>218</v>
      </c>
      <c r="EK306" s="22" t="s">
        <v>218</v>
      </c>
      <c r="EL306" s="22" t="s">
        <v>218</v>
      </c>
      <c r="EM306" s="22" t="s">
        <v>218</v>
      </c>
      <c r="EN306" s="22" t="s">
        <v>218</v>
      </c>
      <c r="EO306" s="22" t="s">
        <v>218</v>
      </c>
      <c r="EP306" s="22" t="s">
        <v>218</v>
      </c>
      <c r="EQ306" s="22" t="s">
        <v>218</v>
      </c>
      <c r="ER306" s="22" t="s">
        <v>218</v>
      </c>
      <c r="ES306" s="22" t="s">
        <v>218</v>
      </c>
      <c r="ET306" s="22" t="s">
        <v>218</v>
      </c>
      <c r="EU306" s="22" t="s">
        <v>218</v>
      </c>
      <c r="EV306" s="22" t="s">
        <v>218</v>
      </c>
      <c r="EW306" s="22" t="s">
        <v>218</v>
      </c>
      <c r="EX306" s="22" t="s">
        <v>218</v>
      </c>
      <c r="EY306" s="22" t="s">
        <v>218</v>
      </c>
      <c r="EZ306" s="22" t="s">
        <v>218</v>
      </c>
      <c r="FA306" s="22" t="s">
        <v>218</v>
      </c>
      <c r="FB306" s="22" t="s">
        <v>218</v>
      </c>
      <c r="FC306" s="22" t="s">
        <v>218</v>
      </c>
      <c r="FD306" s="22" t="s">
        <v>218</v>
      </c>
      <c r="FE306" s="22" t="s">
        <v>218</v>
      </c>
      <c r="FF306" s="22" t="s">
        <v>218</v>
      </c>
      <c r="FG306" s="22" t="s">
        <v>218</v>
      </c>
      <c r="FH306" s="22" t="s">
        <v>218</v>
      </c>
      <c r="FI306" s="22" t="s">
        <v>218</v>
      </c>
      <c r="FJ306" s="22" t="s">
        <v>218</v>
      </c>
      <c r="FK306" s="22" t="s">
        <v>218</v>
      </c>
      <c r="FL306" s="22" t="s">
        <v>218</v>
      </c>
      <c r="FM306" s="22" t="s">
        <v>218</v>
      </c>
      <c r="FN306" s="22" t="s">
        <v>218</v>
      </c>
      <c r="FO306" s="22" t="s">
        <v>218</v>
      </c>
      <c r="FP306" s="22" t="s">
        <v>218</v>
      </c>
      <c r="FQ306" s="22" t="s">
        <v>218</v>
      </c>
      <c r="FR306" s="22" t="s">
        <v>218</v>
      </c>
      <c r="FS306" s="22" t="s">
        <v>218</v>
      </c>
      <c r="FT306" s="22" t="s">
        <v>218</v>
      </c>
      <c r="FU306" s="22" t="s">
        <v>218</v>
      </c>
      <c r="FV306" s="22" t="s">
        <v>218</v>
      </c>
      <c r="FW306" s="22" t="s">
        <v>218</v>
      </c>
      <c r="FX306" s="22" t="s">
        <v>218</v>
      </c>
      <c r="FY306" s="22" t="s">
        <v>218</v>
      </c>
      <c r="FZ306" s="22" t="s">
        <v>218</v>
      </c>
      <c r="GA306" s="22" t="s">
        <v>218</v>
      </c>
      <c r="GB306" s="22" t="s">
        <v>218</v>
      </c>
      <c r="GC306" s="22" t="s">
        <v>218</v>
      </c>
      <c r="GD306" s="22" t="s">
        <v>218</v>
      </c>
      <c r="GE306" s="22" t="s">
        <v>218</v>
      </c>
      <c r="GF306" s="22" t="s">
        <v>218</v>
      </c>
      <c r="GG306" s="22" t="s">
        <v>218</v>
      </c>
      <c r="GH306" s="22" t="s">
        <v>218</v>
      </c>
      <c r="GI306" s="22" t="s">
        <v>218</v>
      </c>
      <c r="GJ306" s="22" t="s">
        <v>218</v>
      </c>
      <c r="GK306" s="22" t="s">
        <v>218</v>
      </c>
      <c r="GL306" s="22" t="s">
        <v>218</v>
      </c>
      <c r="GM306" s="22" t="s">
        <v>218</v>
      </c>
      <c r="GN306" s="22" t="s">
        <v>218</v>
      </c>
      <c r="GO306" s="22" t="s">
        <v>218</v>
      </c>
      <c r="GP306" s="22" t="s">
        <v>218</v>
      </c>
      <c r="GQ306" s="22" t="s">
        <v>218</v>
      </c>
      <c r="GR306" s="22" t="s">
        <v>218</v>
      </c>
      <c r="GS306" s="22" t="s">
        <v>218</v>
      </c>
      <c r="GT306" s="22" t="s">
        <v>218</v>
      </c>
      <c r="GU306" s="22" t="s">
        <v>218</v>
      </c>
      <c r="GV306" s="22" t="s">
        <v>218</v>
      </c>
      <c r="GW306" s="22" t="s">
        <v>218</v>
      </c>
      <c r="GX306" s="22" t="s">
        <v>218</v>
      </c>
      <c r="GY306" s="22" t="s">
        <v>218</v>
      </c>
      <c r="GZ306" s="22" t="s">
        <v>218</v>
      </c>
      <c r="HA306" s="22" t="s">
        <v>218</v>
      </c>
      <c r="HB306" s="22" t="s">
        <v>218</v>
      </c>
      <c r="HC306" s="22" t="s">
        <v>218</v>
      </c>
      <c r="HD306" s="22" t="s">
        <v>218</v>
      </c>
      <c r="HE306" s="22" t="s">
        <v>218</v>
      </c>
      <c r="HF306" s="22" t="s">
        <v>218</v>
      </c>
      <c r="HG306" s="22" t="s">
        <v>218</v>
      </c>
      <c r="HH306" s="22" t="s">
        <v>218</v>
      </c>
      <c r="HI306" s="22" t="s">
        <v>218</v>
      </c>
      <c r="HJ306" s="22" t="s">
        <v>218</v>
      </c>
      <c r="HK306" s="22" t="s">
        <v>218</v>
      </c>
      <c r="HL306" s="22" t="s">
        <v>218</v>
      </c>
      <c r="HM306" s="622">
        <f t="shared" ref="HM306:HM309" si="6">1930/2000+1661/2000</f>
        <v>1.7955000000000001</v>
      </c>
      <c r="HN306" s="622">
        <f t="shared" ref="HN306:HN309" si="7">(2645+2131)/2/1000</f>
        <v>2.3879999999999999</v>
      </c>
      <c r="HO306" s="622">
        <f t="shared" ref="HO306:HO309" si="8">(290+234)/2/1000</f>
        <v>0.26200000000000001</v>
      </c>
      <c r="HP306" s="622">
        <f t="shared" ref="HP306:HP309" si="9">(118.5+104.7)/2/1000</f>
        <v>0.11159999999999999</v>
      </c>
      <c r="HQ306" s="622">
        <v>8.9499999999999993</v>
      </c>
      <c r="HR306" s="622"/>
      <c r="HS306" s="622">
        <f t="shared" ref="HS306:HS309" si="10">(2.03+1.63)/2</f>
        <v>1.8299999999999998</v>
      </c>
      <c r="HT306" s="145" t="s">
        <v>1806</v>
      </c>
      <c r="HU306" s="145" t="s">
        <v>1809</v>
      </c>
      <c r="HV306" s="22" t="s">
        <v>1993</v>
      </c>
      <c r="HW306" s="22" t="s">
        <v>315</v>
      </c>
      <c r="HX306" s="22" t="s">
        <v>315</v>
      </c>
      <c r="HY306" s="22" t="s">
        <v>785</v>
      </c>
      <c r="HZ306" s="19"/>
      <c r="IA306" s="19"/>
      <c r="IB306" s="622">
        <f t="shared" ref="IB306:IB309" si="11">1930/2000+1661/2000</f>
        <v>1.7955000000000001</v>
      </c>
      <c r="IC306" s="622">
        <f t="shared" ref="IC306:IC309" si="12">(2645+2131)/2/1000</f>
        <v>2.3879999999999999</v>
      </c>
      <c r="ID306" s="622">
        <f t="shared" ref="ID306:ID309" si="13">(290+234)/2/1000</f>
        <v>0.26200000000000001</v>
      </c>
      <c r="IE306" s="622">
        <f t="shared" ref="IE306:IE309" si="14">(118.5+104.7)/2/1000</f>
        <v>0.11159999999999999</v>
      </c>
      <c r="IF306" s="622">
        <v>8.9499999999999993</v>
      </c>
      <c r="IG306" s="622"/>
      <c r="IH306" s="622">
        <f t="shared" ref="IH306:IH309" si="15">(2.03+1.63)/2</f>
        <v>1.8299999999999998</v>
      </c>
      <c r="II306" s="145" t="s">
        <v>1806</v>
      </c>
      <c r="IJ306" s="145"/>
      <c r="IK306" s="145"/>
      <c r="IL306" s="145"/>
      <c r="IM306" s="145"/>
      <c r="IN306" s="145"/>
      <c r="IO306" s="145"/>
      <c r="IP306" s="145"/>
      <c r="IQ306" s="145"/>
      <c r="IR306" s="145"/>
      <c r="IS306" s="145"/>
      <c r="IT306" s="145"/>
      <c r="IU306" s="145"/>
      <c r="IV306" s="145"/>
      <c r="IW306" s="145"/>
      <c r="IX306" s="145"/>
      <c r="IY306" s="145"/>
      <c r="IZ306" s="145"/>
      <c r="JA306" s="145"/>
      <c r="JB306" s="145"/>
      <c r="JC306" s="145"/>
      <c r="JD306" s="145"/>
      <c r="JE306" s="145"/>
      <c r="JF306" s="145"/>
      <c r="JG306" s="145"/>
      <c r="JH306" s="145"/>
      <c r="JI306" s="145"/>
      <c r="JJ306" s="145"/>
      <c r="JK306" s="145"/>
      <c r="JL306" s="145"/>
      <c r="JM306" s="145"/>
      <c r="JN306" s="145"/>
      <c r="JO306" s="145"/>
      <c r="JP306" s="145"/>
      <c r="JQ306" s="145"/>
      <c r="JR306" s="145"/>
      <c r="JS306" s="145"/>
      <c r="JT306" s="145"/>
      <c r="JU306" s="145"/>
      <c r="JV306" s="145"/>
      <c r="JW306" s="145"/>
      <c r="JX306" s="145"/>
      <c r="JY306" s="145"/>
      <c r="JZ306" s="145"/>
      <c r="KA306" s="145"/>
      <c r="KB306" s="145"/>
      <c r="KC306" s="145"/>
      <c r="KD306" s="145"/>
      <c r="KE306" s="145"/>
      <c r="KF306" s="145"/>
      <c r="KG306" s="145"/>
      <c r="KH306" s="145"/>
      <c r="KI306" s="145"/>
      <c r="KJ306" s="145"/>
      <c r="KK306" s="145"/>
      <c r="KL306" s="145"/>
      <c r="KM306" s="145"/>
      <c r="KN306" s="145"/>
      <c r="KO306" s="145"/>
      <c r="KP306" s="145"/>
      <c r="KQ306" s="145"/>
      <c r="KR306" s="145"/>
      <c r="KS306" s="145"/>
      <c r="KT306" s="145"/>
      <c r="KU306" s="145"/>
      <c r="KV306" s="145"/>
      <c r="KW306" s="145"/>
      <c r="KX306" s="145"/>
      <c r="KY306" s="145"/>
      <c r="KZ306" s="145"/>
      <c r="LA306" s="145"/>
      <c r="LB306" s="145"/>
      <c r="LC306" s="145"/>
      <c r="LD306" s="145"/>
      <c r="LE306" s="145"/>
      <c r="LF306" s="145"/>
      <c r="LG306" s="145"/>
      <c r="LH306" s="145"/>
      <c r="LI306" s="145"/>
      <c r="LJ306" s="145"/>
      <c r="LK306" s="145"/>
      <c r="LL306" s="145"/>
      <c r="LM306" s="145"/>
      <c r="LN306" s="145"/>
      <c r="LO306" s="145"/>
      <c r="LP306" s="145"/>
      <c r="LQ306" s="145"/>
      <c r="LR306" s="145"/>
      <c r="LS306" s="145"/>
      <c r="LT306" s="145"/>
      <c r="LU306" s="145"/>
      <c r="LV306" s="145"/>
      <c r="LW306" s="145"/>
      <c r="LX306" s="145"/>
      <c r="LY306" s="145"/>
      <c r="LZ306" s="145"/>
      <c r="MA306" s="145"/>
      <c r="MB306" s="145"/>
      <c r="MC306" s="145"/>
      <c r="MD306" s="145"/>
      <c r="ME306" s="145"/>
      <c r="MF306" s="145"/>
      <c r="MG306" s="145"/>
      <c r="MH306" s="145"/>
      <c r="MI306" s="145"/>
      <c r="MJ306" s="145"/>
      <c r="MK306" s="145"/>
      <c r="ML306" s="145"/>
      <c r="MM306" s="145"/>
      <c r="MN306" s="145"/>
      <c r="MO306" s="145"/>
      <c r="MP306" s="145"/>
      <c r="MQ306" s="145"/>
      <c r="MR306" s="145"/>
      <c r="MS306" s="145"/>
      <c r="MT306" s="145"/>
      <c r="MU306" s="145"/>
      <c r="MV306" s="145"/>
      <c r="MW306" s="145"/>
      <c r="MX306" s="145"/>
      <c r="MY306" s="145"/>
      <c r="MZ306" s="145"/>
      <c r="NA306" s="145"/>
      <c r="NB306" s="145"/>
      <c r="NC306" s="145"/>
      <c r="ND306" s="145"/>
      <c r="NE306" s="145"/>
      <c r="NF306" s="145"/>
      <c r="NG306" s="145"/>
      <c r="NH306" s="145"/>
      <c r="NI306" s="145"/>
      <c r="NJ306" s="145"/>
      <c r="NK306" s="145"/>
      <c r="NL306" s="145"/>
      <c r="NM306" s="145"/>
      <c r="NN306" s="145"/>
      <c r="NO306" s="145"/>
      <c r="NP306" s="145"/>
      <c r="NQ306" s="145"/>
      <c r="NR306" s="145"/>
      <c r="NS306" s="145"/>
    </row>
    <row r="307" spans="1:383" s="16" customFormat="1" ht="15" customHeight="1" x14ac:dyDescent="0.2">
      <c r="A307" s="15">
        <v>88600</v>
      </c>
      <c r="B307" s="25">
        <v>886</v>
      </c>
      <c r="C307" s="26">
        <v>0</v>
      </c>
      <c r="D307" s="20" t="s">
        <v>786</v>
      </c>
      <c r="E307" s="14">
        <v>40310</v>
      </c>
      <c r="F307" s="18">
        <v>3.8087734898011298</v>
      </c>
      <c r="G307" s="18">
        <v>3.6567669291860199</v>
      </c>
      <c r="H307" s="21">
        <v>97</v>
      </c>
      <c r="I307" s="21">
        <v>97</v>
      </c>
      <c r="J307" s="21">
        <v>90</v>
      </c>
      <c r="K307" s="18">
        <v>1</v>
      </c>
      <c r="L307" s="18">
        <v>99.5</v>
      </c>
      <c r="M307" s="18">
        <v>1.0050505050505E-4</v>
      </c>
      <c r="N307" s="18">
        <v>99.5</v>
      </c>
      <c r="O307" s="18">
        <v>0</v>
      </c>
      <c r="P307" s="18">
        <v>0</v>
      </c>
      <c r="Q307" s="19"/>
      <c r="R307" s="18">
        <v>0</v>
      </c>
      <c r="S307" s="18">
        <v>0</v>
      </c>
      <c r="T307" s="18">
        <v>0</v>
      </c>
      <c r="U307" s="18">
        <v>0</v>
      </c>
      <c r="V307" s="18">
        <v>0</v>
      </c>
      <c r="W307" s="18">
        <v>0</v>
      </c>
      <c r="X307" s="18"/>
      <c r="Y307" s="18">
        <v>0</v>
      </c>
      <c r="Z307" s="18">
        <v>0</v>
      </c>
      <c r="AA307" s="18">
        <v>0</v>
      </c>
      <c r="AB307" s="18">
        <v>0</v>
      </c>
      <c r="AC307" s="18">
        <v>0</v>
      </c>
      <c r="AD307" s="18">
        <v>0</v>
      </c>
      <c r="AE307" s="18">
        <v>0</v>
      </c>
      <c r="AF307" s="18">
        <v>0</v>
      </c>
      <c r="AG307" s="18">
        <v>0</v>
      </c>
      <c r="AH307" s="18">
        <v>0</v>
      </c>
      <c r="AI307" s="18">
        <v>0</v>
      </c>
      <c r="AJ307" s="18">
        <v>0</v>
      </c>
      <c r="AK307" s="18">
        <v>0</v>
      </c>
      <c r="AL307" s="18"/>
      <c r="AM307" s="18">
        <v>0</v>
      </c>
      <c r="AN307" s="18">
        <v>0</v>
      </c>
      <c r="AO307" s="18">
        <v>0</v>
      </c>
      <c r="AP307" s="18">
        <v>0</v>
      </c>
      <c r="AQ307" s="18">
        <v>0</v>
      </c>
      <c r="AR307" s="18">
        <v>0</v>
      </c>
      <c r="AS307" s="18">
        <v>0</v>
      </c>
      <c r="AT307" s="18">
        <v>0</v>
      </c>
      <c r="AU307" s="18">
        <v>0</v>
      </c>
      <c r="AV307" s="18">
        <v>0</v>
      </c>
      <c r="AW307" s="18">
        <v>0</v>
      </c>
      <c r="AX307" s="18"/>
      <c r="AY307" s="18">
        <v>1</v>
      </c>
      <c r="AZ307" s="18">
        <v>1</v>
      </c>
      <c r="BA307" s="18">
        <v>1</v>
      </c>
      <c r="BB307" s="18">
        <v>1</v>
      </c>
      <c r="BC307" s="18">
        <v>1</v>
      </c>
      <c r="BD307" s="18">
        <v>1</v>
      </c>
      <c r="BE307" s="18">
        <v>1</v>
      </c>
      <c r="BF307" s="18">
        <v>1</v>
      </c>
      <c r="BG307" s="18">
        <v>1</v>
      </c>
      <c r="BH307" s="18">
        <v>1</v>
      </c>
      <c r="BI307" s="18">
        <v>1</v>
      </c>
      <c r="BJ307" s="19"/>
      <c r="BK307" s="18">
        <v>1.010101010101005E-4</v>
      </c>
      <c r="BL307" s="18">
        <v>100</v>
      </c>
      <c r="BM307" s="18">
        <v>0</v>
      </c>
      <c r="BN307" s="18">
        <v>0</v>
      </c>
      <c r="BO307" s="18"/>
      <c r="BP307" s="18">
        <v>55</v>
      </c>
      <c r="BQ307" s="18">
        <v>550</v>
      </c>
      <c r="BR307" s="18">
        <v>3.8279130550765124</v>
      </c>
      <c r="BS307" s="18">
        <v>3.67514264239801</v>
      </c>
      <c r="BT307" s="19"/>
      <c r="BU307" s="18">
        <v>1000</v>
      </c>
      <c r="BV307" s="18">
        <v>-9.1919191907823211E-4</v>
      </c>
      <c r="BW307" s="18">
        <v>0</v>
      </c>
      <c r="BX307" s="18">
        <v>0</v>
      </c>
      <c r="BY307" s="18">
        <v>0</v>
      </c>
      <c r="BZ307" s="18">
        <v>0</v>
      </c>
      <c r="CA307" s="18">
        <v>0</v>
      </c>
      <c r="CB307" s="19"/>
      <c r="CC307" s="19">
        <v>0</v>
      </c>
      <c r="CD307" s="19">
        <v>0</v>
      </c>
      <c r="CE307" s="19">
        <v>0</v>
      </c>
      <c r="CF307" s="19">
        <v>0</v>
      </c>
      <c r="CG307" s="19">
        <v>0</v>
      </c>
      <c r="CH307" s="19">
        <v>0</v>
      </c>
      <c r="CI307" s="19">
        <v>0</v>
      </c>
      <c r="CJ307" s="19"/>
      <c r="CK307" s="19">
        <v>0</v>
      </c>
      <c r="CL307" s="19">
        <v>0</v>
      </c>
      <c r="CM307" s="19">
        <v>0</v>
      </c>
      <c r="CN307" s="19">
        <v>0</v>
      </c>
      <c r="CO307" s="19">
        <v>0</v>
      </c>
      <c r="CP307" s="19">
        <v>0</v>
      </c>
      <c r="CQ307" s="19">
        <v>0</v>
      </c>
      <c r="CR307" s="19">
        <v>0</v>
      </c>
      <c r="CS307" s="19">
        <v>0</v>
      </c>
      <c r="CT307" s="19">
        <v>0</v>
      </c>
      <c r="CU307" s="19">
        <v>0</v>
      </c>
      <c r="CV307" s="19">
        <v>0</v>
      </c>
      <c r="CW307" s="19">
        <v>0</v>
      </c>
      <c r="CX307" s="19">
        <v>0</v>
      </c>
      <c r="CY307" s="19">
        <v>0</v>
      </c>
      <c r="CZ307" s="19">
        <v>0</v>
      </c>
      <c r="DA307" s="19">
        <v>0</v>
      </c>
      <c r="DB307" s="19">
        <v>0</v>
      </c>
      <c r="DC307" s="19">
        <v>0</v>
      </c>
      <c r="DD307" s="19">
        <v>0</v>
      </c>
      <c r="DE307" s="19">
        <v>0</v>
      </c>
      <c r="DF307" s="23">
        <v>0</v>
      </c>
      <c r="DG307" s="23">
        <v>0</v>
      </c>
      <c r="DH307" s="23">
        <v>0</v>
      </c>
      <c r="DI307" s="19">
        <v>0</v>
      </c>
      <c r="DJ307" s="19">
        <v>0</v>
      </c>
      <c r="DK307" s="19">
        <v>0</v>
      </c>
      <c r="DL307" s="19">
        <v>0</v>
      </c>
      <c r="DM307" s="19">
        <v>0</v>
      </c>
      <c r="DN307" s="19">
        <v>0</v>
      </c>
      <c r="DO307" s="19">
        <v>0</v>
      </c>
      <c r="DP307" s="19">
        <v>0</v>
      </c>
      <c r="DQ307" s="19">
        <v>0</v>
      </c>
      <c r="DR307" s="19">
        <v>0</v>
      </c>
      <c r="DS307" s="19">
        <v>0</v>
      </c>
      <c r="DT307" s="19">
        <v>0</v>
      </c>
      <c r="DU307" s="19">
        <v>0</v>
      </c>
      <c r="DV307" s="19">
        <v>0</v>
      </c>
      <c r="DW307" s="17" t="s">
        <v>784</v>
      </c>
      <c r="DX307" s="22" t="s">
        <v>218</v>
      </c>
      <c r="DY307" s="22" t="s">
        <v>218</v>
      </c>
      <c r="DZ307" s="22" t="s">
        <v>218</v>
      </c>
      <c r="EA307" s="22" t="s">
        <v>218</v>
      </c>
      <c r="EB307" s="22" t="s">
        <v>218</v>
      </c>
      <c r="EC307" s="22" t="s">
        <v>218</v>
      </c>
      <c r="ED307" s="22" t="s">
        <v>218</v>
      </c>
      <c r="EE307" s="22" t="s">
        <v>218</v>
      </c>
      <c r="EF307" s="22" t="s">
        <v>218</v>
      </c>
      <c r="EG307" s="22" t="s">
        <v>218</v>
      </c>
      <c r="EH307" s="22" t="s">
        <v>218</v>
      </c>
      <c r="EI307" s="22" t="s">
        <v>218</v>
      </c>
      <c r="EJ307" s="22" t="s">
        <v>218</v>
      </c>
      <c r="EK307" s="22" t="s">
        <v>218</v>
      </c>
      <c r="EL307" s="22" t="s">
        <v>218</v>
      </c>
      <c r="EM307" s="22" t="s">
        <v>218</v>
      </c>
      <c r="EN307" s="22" t="s">
        <v>218</v>
      </c>
      <c r="EO307" s="22" t="s">
        <v>218</v>
      </c>
      <c r="EP307" s="22" t="s">
        <v>218</v>
      </c>
      <c r="EQ307" s="22" t="s">
        <v>218</v>
      </c>
      <c r="ER307" s="22" t="s">
        <v>218</v>
      </c>
      <c r="ES307" s="22" t="s">
        <v>218</v>
      </c>
      <c r="ET307" s="22" t="s">
        <v>218</v>
      </c>
      <c r="EU307" s="22" t="s">
        <v>218</v>
      </c>
      <c r="EV307" s="22" t="s">
        <v>218</v>
      </c>
      <c r="EW307" s="22" t="s">
        <v>218</v>
      </c>
      <c r="EX307" s="22" t="s">
        <v>218</v>
      </c>
      <c r="EY307" s="22" t="s">
        <v>218</v>
      </c>
      <c r="EZ307" s="22" t="s">
        <v>218</v>
      </c>
      <c r="FA307" s="22" t="s">
        <v>218</v>
      </c>
      <c r="FB307" s="22" t="s">
        <v>218</v>
      </c>
      <c r="FC307" s="22" t="s">
        <v>218</v>
      </c>
      <c r="FD307" s="22" t="s">
        <v>218</v>
      </c>
      <c r="FE307" s="22" t="s">
        <v>218</v>
      </c>
      <c r="FF307" s="22" t="s">
        <v>218</v>
      </c>
      <c r="FG307" s="22" t="s">
        <v>218</v>
      </c>
      <c r="FH307" s="22" t="s">
        <v>218</v>
      </c>
      <c r="FI307" s="22" t="s">
        <v>218</v>
      </c>
      <c r="FJ307" s="22" t="s">
        <v>218</v>
      </c>
      <c r="FK307" s="22" t="s">
        <v>218</v>
      </c>
      <c r="FL307" s="22" t="s">
        <v>218</v>
      </c>
      <c r="FM307" s="22" t="s">
        <v>218</v>
      </c>
      <c r="FN307" s="22" t="s">
        <v>218</v>
      </c>
      <c r="FO307" s="22" t="s">
        <v>218</v>
      </c>
      <c r="FP307" s="22" t="s">
        <v>218</v>
      </c>
      <c r="FQ307" s="22" t="s">
        <v>218</v>
      </c>
      <c r="FR307" s="22" t="s">
        <v>218</v>
      </c>
      <c r="FS307" s="22" t="s">
        <v>218</v>
      </c>
      <c r="FT307" s="22" t="s">
        <v>218</v>
      </c>
      <c r="FU307" s="22" t="s">
        <v>218</v>
      </c>
      <c r="FV307" s="22" t="s">
        <v>218</v>
      </c>
      <c r="FW307" s="22" t="s">
        <v>218</v>
      </c>
      <c r="FX307" s="22" t="s">
        <v>218</v>
      </c>
      <c r="FY307" s="22" t="s">
        <v>218</v>
      </c>
      <c r="FZ307" s="22" t="s">
        <v>218</v>
      </c>
      <c r="GA307" s="22" t="s">
        <v>218</v>
      </c>
      <c r="GB307" s="22" t="s">
        <v>218</v>
      </c>
      <c r="GC307" s="22" t="s">
        <v>218</v>
      </c>
      <c r="GD307" s="22" t="s">
        <v>218</v>
      </c>
      <c r="GE307" s="22" t="s">
        <v>218</v>
      </c>
      <c r="GF307" s="22" t="s">
        <v>218</v>
      </c>
      <c r="GG307" s="22" t="s">
        <v>218</v>
      </c>
      <c r="GH307" s="22" t="s">
        <v>218</v>
      </c>
      <c r="GI307" s="22" t="s">
        <v>218</v>
      </c>
      <c r="GJ307" s="22" t="s">
        <v>218</v>
      </c>
      <c r="GK307" s="22" t="s">
        <v>218</v>
      </c>
      <c r="GL307" s="22" t="s">
        <v>218</v>
      </c>
      <c r="GM307" s="22" t="s">
        <v>218</v>
      </c>
      <c r="GN307" s="22" t="s">
        <v>218</v>
      </c>
      <c r="GO307" s="22" t="s">
        <v>218</v>
      </c>
      <c r="GP307" s="22" t="s">
        <v>218</v>
      </c>
      <c r="GQ307" s="22" t="s">
        <v>218</v>
      </c>
      <c r="GR307" s="22" t="s">
        <v>218</v>
      </c>
      <c r="GS307" s="22" t="s">
        <v>218</v>
      </c>
      <c r="GT307" s="22" t="s">
        <v>218</v>
      </c>
      <c r="GU307" s="22" t="s">
        <v>218</v>
      </c>
      <c r="GV307" s="22" t="s">
        <v>218</v>
      </c>
      <c r="GW307" s="22" t="s">
        <v>218</v>
      </c>
      <c r="GX307" s="22" t="s">
        <v>218</v>
      </c>
      <c r="GY307" s="22" t="s">
        <v>218</v>
      </c>
      <c r="GZ307" s="22" t="s">
        <v>218</v>
      </c>
      <c r="HA307" s="22" t="s">
        <v>218</v>
      </c>
      <c r="HB307" s="22" t="s">
        <v>218</v>
      </c>
      <c r="HC307" s="22" t="s">
        <v>218</v>
      </c>
      <c r="HD307" s="22" t="s">
        <v>218</v>
      </c>
      <c r="HE307" s="22" t="s">
        <v>218</v>
      </c>
      <c r="HF307" s="22" t="s">
        <v>218</v>
      </c>
      <c r="HG307" s="22" t="s">
        <v>218</v>
      </c>
      <c r="HH307" s="22" t="s">
        <v>218</v>
      </c>
      <c r="HI307" s="22" t="s">
        <v>218</v>
      </c>
      <c r="HJ307" s="22" t="s">
        <v>218</v>
      </c>
      <c r="HK307" s="22" t="s">
        <v>218</v>
      </c>
      <c r="HL307" s="22" t="s">
        <v>218</v>
      </c>
      <c r="HM307" s="622">
        <f t="shared" si="6"/>
        <v>1.7955000000000001</v>
      </c>
      <c r="HN307" s="622">
        <f t="shared" si="7"/>
        <v>2.3879999999999999</v>
      </c>
      <c r="HO307" s="622">
        <f t="shared" si="8"/>
        <v>0.26200000000000001</v>
      </c>
      <c r="HP307" s="622">
        <f t="shared" si="9"/>
        <v>0.11159999999999999</v>
      </c>
      <c r="HQ307" s="622">
        <v>8.9499999999999993</v>
      </c>
      <c r="HR307" s="622"/>
      <c r="HS307" s="622">
        <f t="shared" si="10"/>
        <v>1.8299999999999998</v>
      </c>
      <c r="HT307" s="145" t="s">
        <v>1806</v>
      </c>
      <c r="HU307" s="145" t="s">
        <v>1809</v>
      </c>
      <c r="HV307" s="22" t="s">
        <v>1993</v>
      </c>
      <c r="HW307" s="22" t="s">
        <v>315</v>
      </c>
      <c r="HX307" s="22" t="s">
        <v>315</v>
      </c>
      <c r="HY307" s="22">
        <v>0</v>
      </c>
      <c r="HZ307" s="19"/>
      <c r="IA307" s="19"/>
      <c r="IB307" s="622">
        <f t="shared" si="11"/>
        <v>1.7955000000000001</v>
      </c>
      <c r="IC307" s="622">
        <f t="shared" si="12"/>
        <v>2.3879999999999999</v>
      </c>
      <c r="ID307" s="622">
        <f t="shared" si="13"/>
        <v>0.26200000000000001</v>
      </c>
      <c r="IE307" s="622">
        <f t="shared" si="14"/>
        <v>0.11159999999999999</v>
      </c>
      <c r="IF307" s="622">
        <v>8.9499999999999993</v>
      </c>
      <c r="IG307" s="622"/>
      <c r="IH307" s="622">
        <f t="shared" si="15"/>
        <v>1.8299999999999998</v>
      </c>
      <c r="II307" s="145" t="s">
        <v>1806</v>
      </c>
      <c r="IJ307" s="145"/>
      <c r="IK307" s="145"/>
      <c r="IL307" s="145"/>
      <c r="IM307" s="145"/>
      <c r="IN307" s="145"/>
      <c r="IO307" s="145"/>
      <c r="IP307" s="145"/>
      <c r="IQ307" s="145"/>
      <c r="IR307" s="145"/>
      <c r="IS307" s="145"/>
      <c r="IT307" s="145"/>
      <c r="IU307" s="145"/>
      <c r="IV307" s="145"/>
      <c r="IW307" s="145"/>
      <c r="IX307" s="145"/>
      <c r="IY307" s="145"/>
      <c r="IZ307" s="145"/>
      <c r="JA307" s="145"/>
      <c r="JB307" s="145"/>
      <c r="JC307" s="145"/>
      <c r="JD307" s="145"/>
      <c r="JE307" s="145"/>
      <c r="JF307" s="145"/>
      <c r="JG307" s="145"/>
      <c r="JH307" s="145"/>
      <c r="JI307" s="145"/>
      <c r="JJ307" s="145"/>
      <c r="JK307" s="145"/>
      <c r="JL307" s="145"/>
      <c r="JM307" s="145"/>
      <c r="JN307" s="145"/>
      <c r="JO307" s="145"/>
      <c r="JP307" s="145"/>
      <c r="JQ307" s="145"/>
      <c r="JR307" s="145"/>
      <c r="JS307" s="145"/>
      <c r="JT307" s="145"/>
      <c r="JU307" s="145"/>
      <c r="JV307" s="145"/>
      <c r="JW307" s="145"/>
      <c r="JX307" s="145"/>
      <c r="JY307" s="145"/>
      <c r="JZ307" s="145"/>
      <c r="KA307" s="145"/>
      <c r="KB307" s="145"/>
      <c r="KC307" s="145"/>
      <c r="KD307" s="145"/>
      <c r="KE307" s="145"/>
      <c r="KF307" s="145"/>
      <c r="KG307" s="145"/>
      <c r="KH307" s="145"/>
      <c r="KI307" s="145"/>
      <c r="KJ307" s="145"/>
      <c r="KK307" s="145"/>
      <c r="KL307" s="145"/>
      <c r="KM307" s="145"/>
      <c r="KN307" s="145"/>
      <c r="KO307" s="145"/>
      <c r="KP307" s="145"/>
      <c r="KQ307" s="145"/>
      <c r="KR307" s="145"/>
      <c r="KS307" s="145"/>
      <c r="KT307" s="145"/>
      <c r="KU307" s="145"/>
      <c r="KV307" s="145"/>
      <c r="KW307" s="145"/>
      <c r="KX307" s="145"/>
      <c r="KY307" s="145"/>
      <c r="KZ307" s="145"/>
      <c r="LA307" s="145"/>
      <c r="LB307" s="145"/>
      <c r="LC307" s="145"/>
      <c r="LD307" s="145"/>
      <c r="LE307" s="145"/>
      <c r="LF307" s="145"/>
      <c r="LG307" s="145"/>
      <c r="LH307" s="145"/>
      <c r="LI307" s="145"/>
      <c r="LJ307" s="145"/>
      <c r="LK307" s="145"/>
      <c r="LL307" s="145"/>
      <c r="LM307" s="145"/>
      <c r="LN307" s="145"/>
      <c r="LO307" s="145"/>
      <c r="LP307" s="145"/>
      <c r="LQ307" s="145"/>
      <c r="LR307" s="145"/>
      <c r="LS307" s="145"/>
      <c r="LT307" s="145"/>
      <c r="LU307" s="145"/>
      <c r="LV307" s="145"/>
      <c r="LW307" s="145"/>
      <c r="LX307" s="145"/>
      <c r="LY307" s="145"/>
      <c r="LZ307" s="145"/>
      <c r="MA307" s="145"/>
      <c r="MB307" s="145"/>
      <c r="MC307" s="145"/>
      <c r="MD307" s="145"/>
      <c r="ME307" s="145"/>
      <c r="MF307" s="145"/>
      <c r="MG307" s="145"/>
      <c r="MH307" s="145"/>
      <c r="MI307" s="145"/>
      <c r="MJ307" s="145"/>
      <c r="MK307" s="145"/>
      <c r="ML307" s="145"/>
      <c r="MM307" s="145"/>
      <c r="MN307" s="145"/>
      <c r="MO307" s="145"/>
      <c r="MP307" s="145"/>
      <c r="MQ307" s="145"/>
      <c r="MR307" s="145"/>
      <c r="MS307" s="145"/>
      <c r="MT307" s="145"/>
      <c r="MU307" s="145"/>
      <c r="MV307" s="145"/>
      <c r="MW307" s="145"/>
      <c r="MX307" s="145"/>
      <c r="MY307" s="145"/>
      <c r="MZ307" s="145"/>
      <c r="NA307" s="145"/>
      <c r="NB307" s="145"/>
      <c r="NC307" s="145"/>
      <c r="ND307" s="145"/>
      <c r="NE307" s="145"/>
      <c r="NF307" s="145"/>
      <c r="NG307" s="145"/>
      <c r="NH307" s="145"/>
      <c r="NI307" s="145"/>
      <c r="NJ307" s="145"/>
      <c r="NK307" s="145"/>
      <c r="NL307" s="145"/>
      <c r="NM307" s="145"/>
      <c r="NN307" s="145"/>
      <c r="NO307" s="145"/>
      <c r="NP307" s="145"/>
      <c r="NQ307" s="145"/>
      <c r="NR307" s="145"/>
      <c r="NS307" s="145"/>
    </row>
    <row r="308" spans="1:383" s="16" customFormat="1" ht="15" customHeight="1" x14ac:dyDescent="0.2">
      <c r="A308" s="15">
        <v>88700</v>
      </c>
      <c r="B308" s="25">
        <v>887</v>
      </c>
      <c r="C308" s="26">
        <v>0</v>
      </c>
      <c r="D308" s="20" t="s">
        <v>787</v>
      </c>
      <c r="E308" s="14">
        <v>40310</v>
      </c>
      <c r="F308" s="18">
        <v>4.0372998991892004</v>
      </c>
      <c r="G308" s="18">
        <v>3.87617294493718</v>
      </c>
      <c r="H308" s="21">
        <v>97</v>
      </c>
      <c r="I308" s="21">
        <v>97</v>
      </c>
      <c r="J308" s="21">
        <v>90</v>
      </c>
      <c r="K308" s="18">
        <v>1.06</v>
      </c>
      <c r="L308" s="18">
        <v>99.5</v>
      </c>
      <c r="M308" s="18">
        <v>1.0050505050505E-4</v>
      </c>
      <c r="N308" s="18">
        <v>99.5</v>
      </c>
      <c r="O308" s="18">
        <v>0</v>
      </c>
      <c r="P308" s="18">
        <v>0</v>
      </c>
      <c r="Q308" s="19"/>
      <c r="R308" s="18">
        <v>0</v>
      </c>
      <c r="S308" s="18">
        <v>0</v>
      </c>
      <c r="T308" s="18">
        <v>0</v>
      </c>
      <c r="U308" s="18">
        <v>0</v>
      </c>
      <c r="V308" s="18">
        <v>0</v>
      </c>
      <c r="W308" s="18">
        <v>0</v>
      </c>
      <c r="X308" s="18"/>
      <c r="Y308" s="18">
        <v>0</v>
      </c>
      <c r="Z308" s="18">
        <v>0</v>
      </c>
      <c r="AA308" s="18">
        <v>0</v>
      </c>
      <c r="AB308" s="18">
        <v>0</v>
      </c>
      <c r="AC308" s="18">
        <v>0</v>
      </c>
      <c r="AD308" s="18">
        <v>0</v>
      </c>
      <c r="AE308" s="18">
        <v>0</v>
      </c>
      <c r="AF308" s="18">
        <v>0</v>
      </c>
      <c r="AG308" s="18">
        <v>0</v>
      </c>
      <c r="AH308" s="18">
        <v>0</v>
      </c>
      <c r="AI308" s="18">
        <v>0</v>
      </c>
      <c r="AJ308" s="18">
        <v>0</v>
      </c>
      <c r="AK308" s="18">
        <v>0</v>
      </c>
      <c r="AL308" s="18"/>
      <c r="AM308" s="18">
        <v>0</v>
      </c>
      <c r="AN308" s="18">
        <v>0</v>
      </c>
      <c r="AO308" s="18">
        <v>0</v>
      </c>
      <c r="AP308" s="18">
        <v>0</v>
      </c>
      <c r="AQ308" s="18">
        <v>0</v>
      </c>
      <c r="AR308" s="18">
        <v>0</v>
      </c>
      <c r="AS308" s="18">
        <v>0</v>
      </c>
      <c r="AT308" s="18">
        <v>0</v>
      </c>
      <c r="AU308" s="18">
        <v>0</v>
      </c>
      <c r="AV308" s="18">
        <v>0</v>
      </c>
      <c r="AW308" s="18">
        <v>0</v>
      </c>
      <c r="AX308" s="18"/>
      <c r="AY308" s="18">
        <v>1</v>
      </c>
      <c r="AZ308" s="18">
        <v>1</v>
      </c>
      <c r="BA308" s="18">
        <v>1</v>
      </c>
      <c r="BB308" s="18">
        <v>1</v>
      </c>
      <c r="BC308" s="18">
        <v>1</v>
      </c>
      <c r="BD308" s="18">
        <v>1</v>
      </c>
      <c r="BE308" s="18">
        <v>1</v>
      </c>
      <c r="BF308" s="18">
        <v>1</v>
      </c>
      <c r="BG308" s="18">
        <v>1</v>
      </c>
      <c r="BH308" s="18">
        <v>1</v>
      </c>
      <c r="BI308" s="18">
        <v>1</v>
      </c>
      <c r="BJ308" s="19"/>
      <c r="BK308" s="18">
        <v>1.010101010101005E-4</v>
      </c>
      <c r="BL308" s="18">
        <v>100</v>
      </c>
      <c r="BM308" s="18">
        <v>0</v>
      </c>
      <c r="BN308" s="18">
        <v>0</v>
      </c>
      <c r="BO308" s="18"/>
      <c r="BP308" s="18">
        <v>116</v>
      </c>
      <c r="BQ308" s="18">
        <v>1160</v>
      </c>
      <c r="BR308" s="18">
        <v>4.0575878383811057</v>
      </c>
      <c r="BS308" s="18">
        <v>3.8956512009418893</v>
      </c>
      <c r="BT308" s="19"/>
      <c r="BU308" s="18">
        <v>1000</v>
      </c>
      <c r="BV308" s="18">
        <v>-9.1919191907823211E-4</v>
      </c>
      <c r="BW308" s="18">
        <v>0</v>
      </c>
      <c r="BX308" s="18">
        <v>0</v>
      </c>
      <c r="BY308" s="18">
        <v>0</v>
      </c>
      <c r="BZ308" s="18">
        <v>0</v>
      </c>
      <c r="CA308" s="18">
        <v>0</v>
      </c>
      <c r="CB308" s="19"/>
      <c r="CC308" s="19">
        <v>0</v>
      </c>
      <c r="CD308" s="19">
        <v>0</v>
      </c>
      <c r="CE308" s="19">
        <v>0</v>
      </c>
      <c r="CF308" s="19">
        <v>0</v>
      </c>
      <c r="CG308" s="19">
        <v>0</v>
      </c>
      <c r="CH308" s="19">
        <v>0</v>
      </c>
      <c r="CI308" s="19">
        <v>0</v>
      </c>
      <c r="CJ308" s="19"/>
      <c r="CK308" s="19">
        <v>0</v>
      </c>
      <c r="CL308" s="19">
        <v>0</v>
      </c>
      <c r="CM308" s="19">
        <v>0</v>
      </c>
      <c r="CN308" s="19">
        <v>0</v>
      </c>
      <c r="CO308" s="19">
        <v>0</v>
      </c>
      <c r="CP308" s="19">
        <v>0</v>
      </c>
      <c r="CQ308" s="19">
        <v>0</v>
      </c>
      <c r="CR308" s="19">
        <v>0</v>
      </c>
      <c r="CS308" s="19">
        <v>0</v>
      </c>
      <c r="CT308" s="19">
        <v>0</v>
      </c>
      <c r="CU308" s="19">
        <v>0</v>
      </c>
      <c r="CV308" s="19">
        <v>0</v>
      </c>
      <c r="CW308" s="19">
        <v>0</v>
      </c>
      <c r="CX308" s="19">
        <v>0</v>
      </c>
      <c r="CY308" s="19">
        <v>0</v>
      </c>
      <c r="CZ308" s="19">
        <v>0</v>
      </c>
      <c r="DA308" s="19">
        <v>0</v>
      </c>
      <c r="DB308" s="19">
        <v>0</v>
      </c>
      <c r="DC308" s="19">
        <v>0</v>
      </c>
      <c r="DD308" s="19">
        <v>0</v>
      </c>
      <c r="DE308" s="19">
        <v>0</v>
      </c>
      <c r="DF308" s="23">
        <v>0</v>
      </c>
      <c r="DG308" s="23">
        <v>0</v>
      </c>
      <c r="DH308" s="23">
        <v>0</v>
      </c>
      <c r="DI308" s="19">
        <v>0</v>
      </c>
      <c r="DJ308" s="19">
        <v>0</v>
      </c>
      <c r="DK308" s="19">
        <v>0</v>
      </c>
      <c r="DL308" s="19">
        <v>0</v>
      </c>
      <c r="DM308" s="19">
        <v>0</v>
      </c>
      <c r="DN308" s="19">
        <v>0</v>
      </c>
      <c r="DO308" s="19">
        <v>0</v>
      </c>
      <c r="DP308" s="19">
        <v>0</v>
      </c>
      <c r="DQ308" s="19">
        <v>0</v>
      </c>
      <c r="DR308" s="19">
        <v>0</v>
      </c>
      <c r="DS308" s="19">
        <v>0</v>
      </c>
      <c r="DT308" s="19">
        <v>0</v>
      </c>
      <c r="DU308" s="19">
        <v>0</v>
      </c>
      <c r="DV308" s="19">
        <v>0</v>
      </c>
      <c r="DW308" s="17" t="s">
        <v>784</v>
      </c>
      <c r="DX308" s="22" t="s">
        <v>218</v>
      </c>
      <c r="DY308" s="22" t="s">
        <v>218</v>
      </c>
      <c r="DZ308" s="22" t="s">
        <v>218</v>
      </c>
      <c r="EA308" s="22" t="s">
        <v>218</v>
      </c>
      <c r="EB308" s="22" t="s">
        <v>218</v>
      </c>
      <c r="EC308" s="22" t="s">
        <v>218</v>
      </c>
      <c r="ED308" s="22" t="s">
        <v>218</v>
      </c>
      <c r="EE308" s="22" t="s">
        <v>218</v>
      </c>
      <c r="EF308" s="22" t="s">
        <v>218</v>
      </c>
      <c r="EG308" s="22" t="s">
        <v>218</v>
      </c>
      <c r="EH308" s="22" t="s">
        <v>218</v>
      </c>
      <c r="EI308" s="22" t="s">
        <v>218</v>
      </c>
      <c r="EJ308" s="22" t="s">
        <v>218</v>
      </c>
      <c r="EK308" s="22" t="s">
        <v>218</v>
      </c>
      <c r="EL308" s="22" t="s">
        <v>218</v>
      </c>
      <c r="EM308" s="22" t="s">
        <v>218</v>
      </c>
      <c r="EN308" s="22" t="s">
        <v>218</v>
      </c>
      <c r="EO308" s="22" t="s">
        <v>218</v>
      </c>
      <c r="EP308" s="22" t="s">
        <v>218</v>
      </c>
      <c r="EQ308" s="22" t="s">
        <v>218</v>
      </c>
      <c r="ER308" s="22" t="s">
        <v>218</v>
      </c>
      <c r="ES308" s="22" t="s">
        <v>218</v>
      </c>
      <c r="ET308" s="22" t="s">
        <v>218</v>
      </c>
      <c r="EU308" s="22" t="s">
        <v>218</v>
      </c>
      <c r="EV308" s="22" t="s">
        <v>218</v>
      </c>
      <c r="EW308" s="22" t="s">
        <v>218</v>
      </c>
      <c r="EX308" s="22" t="s">
        <v>218</v>
      </c>
      <c r="EY308" s="22" t="s">
        <v>218</v>
      </c>
      <c r="EZ308" s="22" t="s">
        <v>218</v>
      </c>
      <c r="FA308" s="22" t="s">
        <v>218</v>
      </c>
      <c r="FB308" s="22" t="s">
        <v>218</v>
      </c>
      <c r="FC308" s="22" t="s">
        <v>218</v>
      </c>
      <c r="FD308" s="22" t="s">
        <v>218</v>
      </c>
      <c r="FE308" s="22" t="s">
        <v>218</v>
      </c>
      <c r="FF308" s="22" t="s">
        <v>218</v>
      </c>
      <c r="FG308" s="22" t="s">
        <v>218</v>
      </c>
      <c r="FH308" s="22" t="s">
        <v>218</v>
      </c>
      <c r="FI308" s="22" t="s">
        <v>218</v>
      </c>
      <c r="FJ308" s="22" t="s">
        <v>218</v>
      </c>
      <c r="FK308" s="22" t="s">
        <v>218</v>
      </c>
      <c r="FL308" s="22" t="s">
        <v>218</v>
      </c>
      <c r="FM308" s="22" t="s">
        <v>218</v>
      </c>
      <c r="FN308" s="22" t="s">
        <v>218</v>
      </c>
      <c r="FO308" s="22" t="s">
        <v>218</v>
      </c>
      <c r="FP308" s="22" t="s">
        <v>218</v>
      </c>
      <c r="FQ308" s="22" t="s">
        <v>218</v>
      </c>
      <c r="FR308" s="22" t="s">
        <v>218</v>
      </c>
      <c r="FS308" s="22" t="s">
        <v>218</v>
      </c>
      <c r="FT308" s="22" t="s">
        <v>218</v>
      </c>
      <c r="FU308" s="22" t="s">
        <v>218</v>
      </c>
      <c r="FV308" s="22" t="s">
        <v>218</v>
      </c>
      <c r="FW308" s="22" t="s">
        <v>218</v>
      </c>
      <c r="FX308" s="22" t="s">
        <v>218</v>
      </c>
      <c r="FY308" s="22" t="s">
        <v>218</v>
      </c>
      <c r="FZ308" s="22" t="s">
        <v>218</v>
      </c>
      <c r="GA308" s="22" t="s">
        <v>218</v>
      </c>
      <c r="GB308" s="22" t="s">
        <v>218</v>
      </c>
      <c r="GC308" s="22" t="s">
        <v>218</v>
      </c>
      <c r="GD308" s="22" t="s">
        <v>218</v>
      </c>
      <c r="GE308" s="22" t="s">
        <v>218</v>
      </c>
      <c r="GF308" s="22" t="s">
        <v>218</v>
      </c>
      <c r="GG308" s="22" t="s">
        <v>218</v>
      </c>
      <c r="GH308" s="22" t="s">
        <v>218</v>
      </c>
      <c r="GI308" s="22" t="s">
        <v>218</v>
      </c>
      <c r="GJ308" s="22" t="s">
        <v>218</v>
      </c>
      <c r="GK308" s="22" t="s">
        <v>218</v>
      </c>
      <c r="GL308" s="22" t="s">
        <v>218</v>
      </c>
      <c r="GM308" s="22" t="s">
        <v>218</v>
      </c>
      <c r="GN308" s="22" t="s">
        <v>218</v>
      </c>
      <c r="GO308" s="22" t="s">
        <v>218</v>
      </c>
      <c r="GP308" s="22" t="s">
        <v>218</v>
      </c>
      <c r="GQ308" s="22" t="s">
        <v>218</v>
      </c>
      <c r="GR308" s="22" t="s">
        <v>218</v>
      </c>
      <c r="GS308" s="22" t="s">
        <v>218</v>
      </c>
      <c r="GT308" s="22" t="s">
        <v>218</v>
      </c>
      <c r="GU308" s="22" t="s">
        <v>218</v>
      </c>
      <c r="GV308" s="22" t="s">
        <v>218</v>
      </c>
      <c r="GW308" s="22" t="s">
        <v>218</v>
      </c>
      <c r="GX308" s="22" t="s">
        <v>218</v>
      </c>
      <c r="GY308" s="22" t="s">
        <v>218</v>
      </c>
      <c r="GZ308" s="22" t="s">
        <v>218</v>
      </c>
      <c r="HA308" s="22" t="s">
        <v>218</v>
      </c>
      <c r="HB308" s="22" t="s">
        <v>218</v>
      </c>
      <c r="HC308" s="22" t="s">
        <v>218</v>
      </c>
      <c r="HD308" s="22" t="s">
        <v>218</v>
      </c>
      <c r="HE308" s="22" t="s">
        <v>218</v>
      </c>
      <c r="HF308" s="22" t="s">
        <v>218</v>
      </c>
      <c r="HG308" s="22" t="s">
        <v>218</v>
      </c>
      <c r="HH308" s="22" t="s">
        <v>218</v>
      </c>
      <c r="HI308" s="22" t="s">
        <v>218</v>
      </c>
      <c r="HJ308" s="22" t="s">
        <v>218</v>
      </c>
      <c r="HK308" s="22" t="s">
        <v>218</v>
      </c>
      <c r="HL308" s="22" t="s">
        <v>218</v>
      </c>
      <c r="HM308" s="622">
        <f t="shared" si="6"/>
        <v>1.7955000000000001</v>
      </c>
      <c r="HN308" s="622">
        <f t="shared" si="7"/>
        <v>2.3879999999999999</v>
      </c>
      <c r="HO308" s="622">
        <f t="shared" si="8"/>
        <v>0.26200000000000001</v>
      </c>
      <c r="HP308" s="622">
        <f t="shared" si="9"/>
        <v>0.11159999999999999</v>
      </c>
      <c r="HQ308" s="622">
        <v>8.9499999999999993</v>
      </c>
      <c r="HR308" s="622"/>
      <c r="HS308" s="622">
        <f t="shared" si="10"/>
        <v>1.8299999999999998</v>
      </c>
      <c r="HT308" s="145" t="s">
        <v>1806</v>
      </c>
      <c r="HU308" s="145" t="s">
        <v>1809</v>
      </c>
      <c r="HV308" s="22" t="s">
        <v>1993</v>
      </c>
      <c r="HW308" s="22" t="s">
        <v>315</v>
      </c>
      <c r="HX308" s="22" t="s">
        <v>315</v>
      </c>
      <c r="HY308" s="22">
        <v>0</v>
      </c>
      <c r="HZ308" s="19"/>
      <c r="IA308" s="19"/>
      <c r="IB308" s="622">
        <f t="shared" si="11"/>
        <v>1.7955000000000001</v>
      </c>
      <c r="IC308" s="622">
        <f t="shared" si="12"/>
        <v>2.3879999999999999</v>
      </c>
      <c r="ID308" s="622">
        <f t="shared" si="13"/>
        <v>0.26200000000000001</v>
      </c>
      <c r="IE308" s="622">
        <f t="shared" si="14"/>
        <v>0.11159999999999999</v>
      </c>
      <c r="IF308" s="622">
        <v>8.9499999999999993</v>
      </c>
      <c r="IG308" s="622"/>
      <c r="IH308" s="622">
        <f t="shared" si="15"/>
        <v>1.8299999999999998</v>
      </c>
      <c r="II308" s="145" t="s">
        <v>1806</v>
      </c>
      <c r="IJ308" s="145"/>
      <c r="IK308" s="145"/>
      <c r="IL308" s="145"/>
      <c r="IM308" s="145"/>
      <c r="IN308" s="145"/>
      <c r="IO308" s="145"/>
      <c r="IP308" s="145"/>
      <c r="IQ308" s="145"/>
      <c r="IR308" s="145"/>
      <c r="IS308" s="145"/>
      <c r="IT308" s="145"/>
      <c r="IU308" s="145"/>
      <c r="IV308" s="145"/>
      <c r="IW308" s="145"/>
      <c r="IX308" s="145"/>
      <c r="IY308" s="145"/>
      <c r="IZ308" s="145"/>
      <c r="JA308" s="145"/>
      <c r="JB308" s="145"/>
      <c r="JC308" s="145"/>
      <c r="JD308" s="145"/>
      <c r="JE308" s="145"/>
      <c r="JF308" s="145"/>
      <c r="JG308" s="145"/>
      <c r="JH308" s="145"/>
      <c r="JI308" s="145"/>
      <c r="JJ308" s="145"/>
      <c r="JK308" s="145"/>
      <c r="JL308" s="145"/>
      <c r="JM308" s="145"/>
      <c r="JN308" s="145"/>
      <c r="JO308" s="145"/>
      <c r="JP308" s="145"/>
      <c r="JQ308" s="145"/>
      <c r="JR308" s="145"/>
      <c r="JS308" s="145"/>
      <c r="JT308" s="145"/>
      <c r="JU308" s="145"/>
      <c r="JV308" s="145"/>
      <c r="JW308" s="145"/>
      <c r="JX308" s="145"/>
      <c r="JY308" s="145"/>
      <c r="JZ308" s="145"/>
      <c r="KA308" s="145"/>
      <c r="KB308" s="145"/>
      <c r="KC308" s="145"/>
      <c r="KD308" s="145"/>
      <c r="KE308" s="145"/>
      <c r="KF308" s="145"/>
      <c r="KG308" s="145"/>
      <c r="KH308" s="145"/>
      <c r="KI308" s="145"/>
      <c r="KJ308" s="145"/>
      <c r="KK308" s="145"/>
      <c r="KL308" s="145"/>
      <c r="KM308" s="145"/>
      <c r="KN308" s="145"/>
      <c r="KO308" s="145"/>
      <c r="KP308" s="145"/>
      <c r="KQ308" s="145"/>
      <c r="KR308" s="145"/>
      <c r="KS308" s="145"/>
      <c r="KT308" s="145"/>
      <c r="KU308" s="145"/>
      <c r="KV308" s="145"/>
      <c r="KW308" s="145"/>
      <c r="KX308" s="145"/>
      <c r="KY308" s="145"/>
      <c r="KZ308" s="145"/>
      <c r="LA308" s="145"/>
      <c r="LB308" s="145"/>
      <c r="LC308" s="145"/>
      <c r="LD308" s="145"/>
      <c r="LE308" s="145"/>
      <c r="LF308" s="145"/>
      <c r="LG308" s="145"/>
      <c r="LH308" s="145"/>
      <c r="LI308" s="145"/>
      <c r="LJ308" s="145"/>
      <c r="LK308" s="145"/>
      <c r="LL308" s="145"/>
      <c r="LM308" s="145"/>
      <c r="LN308" s="145"/>
      <c r="LO308" s="145"/>
      <c r="LP308" s="145"/>
      <c r="LQ308" s="145"/>
      <c r="LR308" s="145"/>
      <c r="LS308" s="145"/>
      <c r="LT308" s="145"/>
      <c r="LU308" s="145"/>
      <c r="LV308" s="145"/>
      <c r="LW308" s="145"/>
      <c r="LX308" s="145"/>
      <c r="LY308" s="145"/>
      <c r="LZ308" s="145"/>
      <c r="MA308" s="145"/>
      <c r="MB308" s="145"/>
      <c r="MC308" s="145"/>
      <c r="MD308" s="145"/>
      <c r="ME308" s="145"/>
      <c r="MF308" s="145"/>
      <c r="MG308" s="145"/>
      <c r="MH308" s="145"/>
      <c r="MI308" s="145"/>
      <c r="MJ308" s="145"/>
      <c r="MK308" s="145"/>
      <c r="ML308" s="145"/>
      <c r="MM308" s="145"/>
      <c r="MN308" s="145"/>
      <c r="MO308" s="145"/>
      <c r="MP308" s="145"/>
      <c r="MQ308" s="145"/>
      <c r="MR308" s="145"/>
      <c r="MS308" s="145"/>
      <c r="MT308" s="145"/>
      <c r="MU308" s="145"/>
      <c r="MV308" s="145"/>
      <c r="MW308" s="145"/>
      <c r="MX308" s="145"/>
      <c r="MY308" s="145"/>
      <c r="MZ308" s="145"/>
      <c r="NA308" s="145"/>
      <c r="NB308" s="145"/>
      <c r="NC308" s="145"/>
      <c r="ND308" s="145"/>
      <c r="NE308" s="145"/>
      <c r="NF308" s="145"/>
      <c r="NG308" s="145"/>
      <c r="NH308" s="145"/>
      <c r="NI308" s="145"/>
      <c r="NJ308" s="145"/>
      <c r="NK308" s="145"/>
      <c r="NL308" s="145"/>
      <c r="NM308" s="145"/>
      <c r="NN308" s="145"/>
      <c r="NO308" s="145"/>
      <c r="NP308" s="145"/>
      <c r="NQ308" s="145"/>
      <c r="NR308" s="145"/>
      <c r="NS308" s="145"/>
    </row>
    <row r="309" spans="1:383" s="16" customFormat="1" ht="15" customHeight="1" x14ac:dyDescent="0.2">
      <c r="A309" s="15">
        <v>88500</v>
      </c>
      <c r="B309" s="25">
        <v>885</v>
      </c>
      <c r="C309" s="26">
        <v>0</v>
      </c>
      <c r="D309" s="20" t="s">
        <v>788</v>
      </c>
      <c r="E309" s="14">
        <v>40310</v>
      </c>
      <c r="F309" s="18">
        <v>4.0372998991892004</v>
      </c>
      <c r="G309" s="18">
        <v>3.87617294493718</v>
      </c>
      <c r="H309" s="21">
        <v>97</v>
      </c>
      <c r="I309" s="21">
        <v>97</v>
      </c>
      <c r="J309" s="21">
        <v>90</v>
      </c>
      <c r="K309" s="18">
        <v>1.06</v>
      </c>
      <c r="L309" s="18">
        <v>99.5</v>
      </c>
      <c r="M309" s="18">
        <v>1.0050505050505E-4</v>
      </c>
      <c r="N309" s="18">
        <v>99.5</v>
      </c>
      <c r="O309" s="18">
        <v>0</v>
      </c>
      <c r="P309" s="18">
        <v>0</v>
      </c>
      <c r="Q309" s="19"/>
      <c r="R309" s="18">
        <v>0</v>
      </c>
      <c r="S309" s="18">
        <v>0</v>
      </c>
      <c r="T309" s="18">
        <v>0</v>
      </c>
      <c r="U309" s="18">
        <v>0</v>
      </c>
      <c r="V309" s="18">
        <v>0</v>
      </c>
      <c r="W309" s="18">
        <v>0</v>
      </c>
      <c r="X309" s="18"/>
      <c r="Y309" s="18">
        <v>0</v>
      </c>
      <c r="Z309" s="18">
        <v>0</v>
      </c>
      <c r="AA309" s="18">
        <v>0</v>
      </c>
      <c r="AB309" s="18">
        <v>0</v>
      </c>
      <c r="AC309" s="18">
        <v>0</v>
      </c>
      <c r="AD309" s="18">
        <v>0</v>
      </c>
      <c r="AE309" s="18">
        <v>0</v>
      </c>
      <c r="AF309" s="18">
        <v>0</v>
      </c>
      <c r="AG309" s="18">
        <v>0</v>
      </c>
      <c r="AH309" s="18">
        <v>0</v>
      </c>
      <c r="AI309" s="18">
        <v>0</v>
      </c>
      <c r="AJ309" s="18">
        <v>0</v>
      </c>
      <c r="AK309" s="18">
        <v>0</v>
      </c>
      <c r="AL309" s="18"/>
      <c r="AM309" s="18">
        <v>0</v>
      </c>
      <c r="AN309" s="18">
        <v>0</v>
      </c>
      <c r="AO309" s="18">
        <v>0</v>
      </c>
      <c r="AP309" s="18">
        <v>0</v>
      </c>
      <c r="AQ309" s="18">
        <v>0</v>
      </c>
      <c r="AR309" s="18">
        <v>0</v>
      </c>
      <c r="AS309" s="18">
        <v>0</v>
      </c>
      <c r="AT309" s="18">
        <v>0</v>
      </c>
      <c r="AU309" s="18">
        <v>0</v>
      </c>
      <c r="AV309" s="18">
        <v>0</v>
      </c>
      <c r="AW309" s="18">
        <v>0</v>
      </c>
      <c r="AX309" s="18"/>
      <c r="AY309" s="18">
        <v>1</v>
      </c>
      <c r="AZ309" s="18">
        <v>1</v>
      </c>
      <c r="BA309" s="18">
        <v>1</v>
      </c>
      <c r="BB309" s="18">
        <v>1</v>
      </c>
      <c r="BC309" s="18">
        <v>1</v>
      </c>
      <c r="BD309" s="18">
        <v>1</v>
      </c>
      <c r="BE309" s="18">
        <v>1</v>
      </c>
      <c r="BF309" s="18">
        <v>1</v>
      </c>
      <c r="BG309" s="18">
        <v>1</v>
      </c>
      <c r="BH309" s="18">
        <v>1</v>
      </c>
      <c r="BI309" s="18">
        <v>1</v>
      </c>
      <c r="BJ309" s="19"/>
      <c r="BK309" s="18">
        <v>1.010101010101005E-4</v>
      </c>
      <c r="BL309" s="18">
        <v>100</v>
      </c>
      <c r="BM309" s="18">
        <v>0</v>
      </c>
      <c r="BN309" s="18">
        <v>0</v>
      </c>
      <c r="BO309" s="18"/>
      <c r="BP309" s="18">
        <v>140</v>
      </c>
      <c r="BQ309" s="18">
        <v>1400</v>
      </c>
      <c r="BR309" s="18">
        <v>4.0575878383811057</v>
      </c>
      <c r="BS309" s="18">
        <v>3.8956512009418893</v>
      </c>
      <c r="BT309" s="19"/>
      <c r="BU309" s="18">
        <v>1000</v>
      </c>
      <c r="BV309" s="18">
        <v>-9.1919191907823211E-4</v>
      </c>
      <c r="BW309" s="18">
        <v>0</v>
      </c>
      <c r="BX309" s="18">
        <v>0</v>
      </c>
      <c r="BY309" s="18">
        <v>0</v>
      </c>
      <c r="BZ309" s="18">
        <v>0</v>
      </c>
      <c r="CA309" s="18">
        <v>0</v>
      </c>
      <c r="CB309" s="19"/>
      <c r="CC309" s="19">
        <v>0</v>
      </c>
      <c r="CD309" s="19">
        <v>0</v>
      </c>
      <c r="CE309" s="19">
        <v>0</v>
      </c>
      <c r="CF309" s="19">
        <v>0</v>
      </c>
      <c r="CG309" s="19">
        <v>0</v>
      </c>
      <c r="CH309" s="19">
        <v>0</v>
      </c>
      <c r="CI309" s="19">
        <v>0</v>
      </c>
      <c r="CJ309" s="19"/>
      <c r="CK309" s="19">
        <v>0</v>
      </c>
      <c r="CL309" s="19">
        <v>0</v>
      </c>
      <c r="CM309" s="19">
        <v>0</v>
      </c>
      <c r="CN309" s="19">
        <v>0</v>
      </c>
      <c r="CO309" s="19">
        <v>0</v>
      </c>
      <c r="CP309" s="19">
        <v>0</v>
      </c>
      <c r="CQ309" s="19">
        <v>0</v>
      </c>
      <c r="CR309" s="19">
        <v>0</v>
      </c>
      <c r="CS309" s="19">
        <v>0</v>
      </c>
      <c r="CT309" s="19">
        <v>0</v>
      </c>
      <c r="CU309" s="19">
        <v>0</v>
      </c>
      <c r="CV309" s="19">
        <v>0</v>
      </c>
      <c r="CW309" s="19">
        <v>0</v>
      </c>
      <c r="CX309" s="19">
        <v>0</v>
      </c>
      <c r="CY309" s="19">
        <v>0</v>
      </c>
      <c r="CZ309" s="19">
        <v>0</v>
      </c>
      <c r="DA309" s="19">
        <v>0</v>
      </c>
      <c r="DB309" s="19">
        <v>0</v>
      </c>
      <c r="DC309" s="19">
        <v>0</v>
      </c>
      <c r="DD309" s="19">
        <v>0</v>
      </c>
      <c r="DE309" s="19">
        <v>0</v>
      </c>
      <c r="DF309" s="23">
        <v>0</v>
      </c>
      <c r="DG309" s="23">
        <v>0</v>
      </c>
      <c r="DH309" s="23">
        <v>0</v>
      </c>
      <c r="DI309" s="19">
        <v>0</v>
      </c>
      <c r="DJ309" s="19">
        <v>0</v>
      </c>
      <c r="DK309" s="19">
        <v>0</v>
      </c>
      <c r="DL309" s="19">
        <v>0</v>
      </c>
      <c r="DM309" s="19">
        <v>0</v>
      </c>
      <c r="DN309" s="19">
        <v>0</v>
      </c>
      <c r="DO309" s="19">
        <v>0</v>
      </c>
      <c r="DP309" s="19">
        <v>0</v>
      </c>
      <c r="DQ309" s="19">
        <v>0</v>
      </c>
      <c r="DR309" s="19">
        <v>0</v>
      </c>
      <c r="DS309" s="19">
        <v>0</v>
      </c>
      <c r="DT309" s="19">
        <v>0</v>
      </c>
      <c r="DU309" s="19">
        <v>0</v>
      </c>
      <c r="DV309" s="19">
        <v>0</v>
      </c>
      <c r="DW309" s="17" t="s">
        <v>784</v>
      </c>
      <c r="DX309" s="22" t="s">
        <v>218</v>
      </c>
      <c r="DY309" s="22" t="s">
        <v>218</v>
      </c>
      <c r="DZ309" s="22" t="s">
        <v>218</v>
      </c>
      <c r="EA309" s="22" t="s">
        <v>218</v>
      </c>
      <c r="EB309" s="22" t="s">
        <v>218</v>
      </c>
      <c r="EC309" s="22" t="s">
        <v>218</v>
      </c>
      <c r="ED309" s="22" t="s">
        <v>218</v>
      </c>
      <c r="EE309" s="22" t="s">
        <v>218</v>
      </c>
      <c r="EF309" s="22" t="s">
        <v>218</v>
      </c>
      <c r="EG309" s="22" t="s">
        <v>218</v>
      </c>
      <c r="EH309" s="22" t="s">
        <v>218</v>
      </c>
      <c r="EI309" s="22" t="s">
        <v>218</v>
      </c>
      <c r="EJ309" s="22" t="s">
        <v>218</v>
      </c>
      <c r="EK309" s="22" t="s">
        <v>218</v>
      </c>
      <c r="EL309" s="22" t="s">
        <v>218</v>
      </c>
      <c r="EM309" s="22" t="s">
        <v>218</v>
      </c>
      <c r="EN309" s="22" t="s">
        <v>218</v>
      </c>
      <c r="EO309" s="22" t="s">
        <v>218</v>
      </c>
      <c r="EP309" s="22" t="s">
        <v>218</v>
      </c>
      <c r="EQ309" s="22" t="s">
        <v>218</v>
      </c>
      <c r="ER309" s="22" t="s">
        <v>218</v>
      </c>
      <c r="ES309" s="22" t="s">
        <v>218</v>
      </c>
      <c r="ET309" s="22" t="s">
        <v>218</v>
      </c>
      <c r="EU309" s="22" t="s">
        <v>218</v>
      </c>
      <c r="EV309" s="22" t="s">
        <v>218</v>
      </c>
      <c r="EW309" s="22" t="s">
        <v>218</v>
      </c>
      <c r="EX309" s="22" t="s">
        <v>218</v>
      </c>
      <c r="EY309" s="22" t="s">
        <v>218</v>
      </c>
      <c r="EZ309" s="22" t="s">
        <v>218</v>
      </c>
      <c r="FA309" s="22" t="s">
        <v>218</v>
      </c>
      <c r="FB309" s="22" t="s">
        <v>218</v>
      </c>
      <c r="FC309" s="22" t="s">
        <v>218</v>
      </c>
      <c r="FD309" s="22" t="s">
        <v>218</v>
      </c>
      <c r="FE309" s="22" t="s">
        <v>218</v>
      </c>
      <c r="FF309" s="22" t="s">
        <v>218</v>
      </c>
      <c r="FG309" s="22" t="s">
        <v>218</v>
      </c>
      <c r="FH309" s="22" t="s">
        <v>218</v>
      </c>
      <c r="FI309" s="22" t="s">
        <v>218</v>
      </c>
      <c r="FJ309" s="22" t="s">
        <v>218</v>
      </c>
      <c r="FK309" s="22" t="s">
        <v>218</v>
      </c>
      <c r="FL309" s="22" t="s">
        <v>218</v>
      </c>
      <c r="FM309" s="22" t="s">
        <v>218</v>
      </c>
      <c r="FN309" s="22" t="s">
        <v>218</v>
      </c>
      <c r="FO309" s="22" t="s">
        <v>218</v>
      </c>
      <c r="FP309" s="22" t="s">
        <v>218</v>
      </c>
      <c r="FQ309" s="22" t="s">
        <v>218</v>
      </c>
      <c r="FR309" s="22" t="s">
        <v>218</v>
      </c>
      <c r="FS309" s="22" t="s">
        <v>218</v>
      </c>
      <c r="FT309" s="22" t="s">
        <v>218</v>
      </c>
      <c r="FU309" s="22" t="s">
        <v>218</v>
      </c>
      <c r="FV309" s="22" t="s">
        <v>218</v>
      </c>
      <c r="FW309" s="22" t="s">
        <v>218</v>
      </c>
      <c r="FX309" s="22" t="s">
        <v>218</v>
      </c>
      <c r="FY309" s="22" t="s">
        <v>218</v>
      </c>
      <c r="FZ309" s="22" t="s">
        <v>218</v>
      </c>
      <c r="GA309" s="22" t="s">
        <v>218</v>
      </c>
      <c r="GB309" s="22" t="s">
        <v>218</v>
      </c>
      <c r="GC309" s="22" t="s">
        <v>218</v>
      </c>
      <c r="GD309" s="22" t="s">
        <v>218</v>
      </c>
      <c r="GE309" s="22" t="s">
        <v>218</v>
      </c>
      <c r="GF309" s="22" t="s">
        <v>218</v>
      </c>
      <c r="GG309" s="22" t="s">
        <v>218</v>
      </c>
      <c r="GH309" s="22" t="s">
        <v>218</v>
      </c>
      <c r="GI309" s="22" t="s">
        <v>218</v>
      </c>
      <c r="GJ309" s="22" t="s">
        <v>218</v>
      </c>
      <c r="GK309" s="22" t="s">
        <v>218</v>
      </c>
      <c r="GL309" s="22" t="s">
        <v>218</v>
      </c>
      <c r="GM309" s="22" t="s">
        <v>218</v>
      </c>
      <c r="GN309" s="22" t="s">
        <v>218</v>
      </c>
      <c r="GO309" s="22" t="s">
        <v>218</v>
      </c>
      <c r="GP309" s="22" t="s">
        <v>218</v>
      </c>
      <c r="GQ309" s="22" t="s">
        <v>218</v>
      </c>
      <c r="GR309" s="22" t="s">
        <v>218</v>
      </c>
      <c r="GS309" s="22" t="s">
        <v>218</v>
      </c>
      <c r="GT309" s="22" t="s">
        <v>218</v>
      </c>
      <c r="GU309" s="22" t="s">
        <v>218</v>
      </c>
      <c r="GV309" s="22" t="s">
        <v>218</v>
      </c>
      <c r="GW309" s="22" t="s">
        <v>218</v>
      </c>
      <c r="GX309" s="22" t="s">
        <v>218</v>
      </c>
      <c r="GY309" s="22" t="s">
        <v>218</v>
      </c>
      <c r="GZ309" s="22" t="s">
        <v>218</v>
      </c>
      <c r="HA309" s="22" t="s">
        <v>218</v>
      </c>
      <c r="HB309" s="22" t="s">
        <v>218</v>
      </c>
      <c r="HC309" s="22" t="s">
        <v>218</v>
      </c>
      <c r="HD309" s="22" t="s">
        <v>218</v>
      </c>
      <c r="HE309" s="22" t="s">
        <v>218</v>
      </c>
      <c r="HF309" s="22" t="s">
        <v>218</v>
      </c>
      <c r="HG309" s="22" t="s">
        <v>218</v>
      </c>
      <c r="HH309" s="22" t="s">
        <v>218</v>
      </c>
      <c r="HI309" s="22" t="s">
        <v>218</v>
      </c>
      <c r="HJ309" s="22" t="s">
        <v>218</v>
      </c>
      <c r="HK309" s="22" t="s">
        <v>218</v>
      </c>
      <c r="HL309" s="22" t="s">
        <v>218</v>
      </c>
      <c r="HM309" s="622">
        <f t="shared" si="6"/>
        <v>1.7955000000000001</v>
      </c>
      <c r="HN309" s="622">
        <f t="shared" si="7"/>
        <v>2.3879999999999999</v>
      </c>
      <c r="HO309" s="622">
        <f t="shared" si="8"/>
        <v>0.26200000000000001</v>
      </c>
      <c r="HP309" s="622">
        <f t="shared" si="9"/>
        <v>0.11159999999999999</v>
      </c>
      <c r="HQ309" s="622">
        <v>8.9499999999999993</v>
      </c>
      <c r="HR309" s="622"/>
      <c r="HS309" s="622">
        <f t="shared" si="10"/>
        <v>1.8299999999999998</v>
      </c>
      <c r="HT309" s="145" t="s">
        <v>1806</v>
      </c>
      <c r="HU309" s="145" t="s">
        <v>1809</v>
      </c>
      <c r="HV309" s="22" t="s">
        <v>1993</v>
      </c>
      <c r="HW309" s="22" t="s">
        <v>315</v>
      </c>
      <c r="HX309" s="22" t="s">
        <v>315</v>
      </c>
      <c r="HY309" s="22">
        <v>0</v>
      </c>
      <c r="HZ309" s="19"/>
      <c r="IA309" s="19"/>
      <c r="IB309" s="622">
        <f t="shared" si="11"/>
        <v>1.7955000000000001</v>
      </c>
      <c r="IC309" s="622">
        <f t="shared" si="12"/>
        <v>2.3879999999999999</v>
      </c>
      <c r="ID309" s="622">
        <f t="shared" si="13"/>
        <v>0.26200000000000001</v>
      </c>
      <c r="IE309" s="622">
        <f t="shared" si="14"/>
        <v>0.11159999999999999</v>
      </c>
      <c r="IF309" s="622">
        <v>8.9499999999999993</v>
      </c>
      <c r="IG309" s="622"/>
      <c r="IH309" s="622">
        <f t="shared" si="15"/>
        <v>1.8299999999999998</v>
      </c>
      <c r="II309" s="145" t="s">
        <v>1806</v>
      </c>
      <c r="IJ309" s="145"/>
      <c r="IK309" s="145"/>
      <c r="IL309" s="145"/>
      <c r="IM309" s="145"/>
      <c r="IN309" s="145"/>
      <c r="IO309" s="145"/>
      <c r="IP309" s="145"/>
      <c r="IQ309" s="145"/>
      <c r="IR309" s="145"/>
      <c r="IS309" s="145"/>
      <c r="IT309" s="145"/>
      <c r="IU309" s="145"/>
      <c r="IV309" s="145"/>
      <c r="IW309" s="145"/>
      <c r="IX309" s="145"/>
      <c r="IY309" s="145"/>
      <c r="IZ309" s="145"/>
      <c r="JA309" s="145"/>
      <c r="JB309" s="145"/>
      <c r="JC309" s="145"/>
      <c r="JD309" s="145"/>
      <c r="JE309" s="145"/>
      <c r="JF309" s="145"/>
      <c r="JG309" s="145"/>
      <c r="JH309" s="145"/>
      <c r="JI309" s="145"/>
      <c r="JJ309" s="145"/>
      <c r="JK309" s="145"/>
      <c r="JL309" s="145"/>
      <c r="JM309" s="145"/>
      <c r="JN309" s="145"/>
      <c r="JO309" s="145"/>
      <c r="JP309" s="145"/>
      <c r="JQ309" s="145"/>
      <c r="JR309" s="145"/>
      <c r="JS309" s="145"/>
      <c r="JT309" s="145"/>
      <c r="JU309" s="145"/>
      <c r="JV309" s="145"/>
      <c r="JW309" s="145"/>
      <c r="JX309" s="145"/>
      <c r="JY309" s="145"/>
      <c r="JZ309" s="145"/>
      <c r="KA309" s="145"/>
      <c r="KB309" s="145"/>
      <c r="KC309" s="145"/>
      <c r="KD309" s="145"/>
      <c r="KE309" s="145"/>
      <c r="KF309" s="145"/>
      <c r="KG309" s="145"/>
      <c r="KH309" s="145"/>
      <c r="KI309" s="145"/>
      <c r="KJ309" s="145"/>
      <c r="KK309" s="145"/>
      <c r="KL309" s="145"/>
      <c r="KM309" s="145"/>
      <c r="KN309" s="145"/>
      <c r="KO309" s="145"/>
      <c r="KP309" s="145"/>
      <c r="KQ309" s="145"/>
      <c r="KR309" s="145"/>
      <c r="KS309" s="145"/>
      <c r="KT309" s="145"/>
      <c r="KU309" s="145"/>
      <c r="KV309" s="145"/>
      <c r="KW309" s="145"/>
      <c r="KX309" s="145"/>
      <c r="KY309" s="145"/>
      <c r="KZ309" s="145"/>
      <c r="LA309" s="145"/>
      <c r="LB309" s="145"/>
      <c r="LC309" s="145"/>
      <c r="LD309" s="145"/>
      <c r="LE309" s="145"/>
      <c r="LF309" s="145"/>
      <c r="LG309" s="145"/>
      <c r="LH309" s="145"/>
      <c r="LI309" s="145"/>
      <c r="LJ309" s="145"/>
      <c r="LK309" s="145"/>
      <c r="LL309" s="145"/>
      <c r="LM309" s="145"/>
      <c r="LN309" s="145"/>
      <c r="LO309" s="145"/>
      <c r="LP309" s="145"/>
      <c r="LQ309" s="145"/>
      <c r="LR309" s="145"/>
      <c r="LS309" s="145"/>
      <c r="LT309" s="145"/>
      <c r="LU309" s="145"/>
      <c r="LV309" s="145"/>
      <c r="LW309" s="145"/>
      <c r="LX309" s="145"/>
      <c r="LY309" s="145"/>
      <c r="LZ309" s="145"/>
      <c r="MA309" s="145"/>
      <c r="MB309" s="145"/>
      <c r="MC309" s="145"/>
      <c r="MD309" s="145"/>
      <c r="ME309" s="145"/>
      <c r="MF309" s="145"/>
      <c r="MG309" s="145"/>
      <c r="MH309" s="145"/>
      <c r="MI309" s="145"/>
      <c r="MJ309" s="145"/>
      <c r="MK309" s="145"/>
      <c r="ML309" s="145"/>
      <c r="MM309" s="145"/>
      <c r="MN309" s="145"/>
      <c r="MO309" s="145"/>
      <c r="MP309" s="145"/>
      <c r="MQ309" s="145"/>
      <c r="MR309" s="145"/>
      <c r="MS309" s="145"/>
      <c r="MT309" s="145"/>
      <c r="MU309" s="145"/>
      <c r="MV309" s="145"/>
      <c r="MW309" s="145"/>
      <c r="MX309" s="145"/>
      <c r="MY309" s="145"/>
      <c r="MZ309" s="145"/>
      <c r="NA309" s="145"/>
      <c r="NB309" s="145"/>
      <c r="NC309" s="145"/>
      <c r="ND309" s="145"/>
      <c r="NE309" s="145"/>
      <c r="NF309" s="145"/>
      <c r="NG309" s="145"/>
      <c r="NH309" s="145"/>
      <c r="NI309" s="145"/>
      <c r="NJ309" s="145"/>
      <c r="NK309" s="145"/>
      <c r="NL309" s="145"/>
      <c r="NM309" s="145"/>
      <c r="NN309" s="145"/>
      <c r="NO309" s="145"/>
      <c r="NP309" s="145"/>
      <c r="NQ309" s="145"/>
      <c r="NR309" s="145"/>
      <c r="NS309" s="145"/>
    </row>
    <row r="310" spans="1:383" s="16" customFormat="1" ht="15" customHeight="1" x14ac:dyDescent="0.2">
      <c r="A310" s="15">
        <v>65300</v>
      </c>
      <c r="B310" s="25">
        <v>653</v>
      </c>
      <c r="C310" s="26">
        <v>0</v>
      </c>
      <c r="D310" s="20" t="s">
        <v>789</v>
      </c>
      <c r="E310" s="14">
        <v>40310</v>
      </c>
      <c r="F310" s="18" t="s">
        <v>217</v>
      </c>
      <c r="G310" s="18" t="s">
        <v>217</v>
      </c>
      <c r="H310" s="21" t="s">
        <v>217</v>
      </c>
      <c r="I310" s="21" t="s">
        <v>217</v>
      </c>
      <c r="J310" s="21">
        <v>91</v>
      </c>
      <c r="K310" s="18">
        <v>1</v>
      </c>
      <c r="L310" s="18">
        <v>88</v>
      </c>
      <c r="M310" s="18">
        <v>0.88</v>
      </c>
      <c r="N310" s="18" t="s">
        <v>217</v>
      </c>
      <c r="O310" s="18" t="s">
        <v>217</v>
      </c>
      <c r="P310" s="18" t="s">
        <v>217</v>
      </c>
      <c r="Q310" s="19"/>
      <c r="R310" s="18" t="s">
        <v>217</v>
      </c>
      <c r="S310" s="18" t="s">
        <v>217</v>
      </c>
      <c r="T310" s="18" t="s">
        <v>217</v>
      </c>
      <c r="U310" s="18" t="s">
        <v>217</v>
      </c>
      <c r="V310" s="18" t="s">
        <v>217</v>
      </c>
      <c r="W310" s="18" t="s">
        <v>217</v>
      </c>
      <c r="X310" s="18"/>
      <c r="Y310" s="18" t="s">
        <v>217</v>
      </c>
      <c r="Z310" s="18" t="s">
        <v>217</v>
      </c>
      <c r="AA310" s="18" t="s">
        <v>217</v>
      </c>
      <c r="AB310" s="18" t="s">
        <v>217</v>
      </c>
      <c r="AC310" s="18" t="s">
        <v>217</v>
      </c>
      <c r="AD310" s="18" t="s">
        <v>217</v>
      </c>
      <c r="AE310" s="18">
        <v>0</v>
      </c>
      <c r="AF310" s="18">
        <v>0</v>
      </c>
      <c r="AG310" s="18">
        <v>0</v>
      </c>
      <c r="AH310" s="18">
        <v>0</v>
      </c>
      <c r="AI310" s="18">
        <v>0</v>
      </c>
      <c r="AJ310" s="18">
        <v>0</v>
      </c>
      <c r="AK310" s="18">
        <v>0</v>
      </c>
      <c r="AL310" s="18"/>
      <c r="AM310" s="18" t="s">
        <v>217</v>
      </c>
      <c r="AN310" s="18" t="s">
        <v>217</v>
      </c>
      <c r="AO310" s="18" t="s">
        <v>217</v>
      </c>
      <c r="AP310" s="18" t="s">
        <v>217</v>
      </c>
      <c r="AQ310" s="18" t="s">
        <v>217</v>
      </c>
      <c r="AR310" s="18" t="s">
        <v>217</v>
      </c>
      <c r="AS310" s="18" t="s">
        <v>217</v>
      </c>
      <c r="AT310" s="18" t="s">
        <v>217</v>
      </c>
      <c r="AU310" s="18" t="s">
        <v>217</v>
      </c>
      <c r="AV310" s="18" t="s">
        <v>217</v>
      </c>
      <c r="AW310" s="18" t="s">
        <v>217</v>
      </c>
      <c r="AX310" s="18"/>
      <c r="AY310" s="18">
        <v>1</v>
      </c>
      <c r="AZ310" s="18">
        <v>1</v>
      </c>
      <c r="BA310" s="18">
        <v>1</v>
      </c>
      <c r="BB310" s="18">
        <v>1</v>
      </c>
      <c r="BC310" s="18">
        <v>1</v>
      </c>
      <c r="BD310" s="18">
        <v>1</v>
      </c>
      <c r="BE310" s="18">
        <v>1</v>
      </c>
      <c r="BF310" s="18">
        <v>1</v>
      </c>
      <c r="BG310" s="18">
        <v>1</v>
      </c>
      <c r="BH310" s="18">
        <v>1</v>
      </c>
      <c r="BI310" s="18">
        <v>1</v>
      </c>
      <c r="BJ310" s="19"/>
      <c r="BK310" s="18">
        <v>1</v>
      </c>
      <c r="BL310" s="18" t="s">
        <v>217</v>
      </c>
      <c r="BM310" s="18" t="s">
        <v>217</v>
      </c>
      <c r="BN310" s="18" t="s">
        <v>217</v>
      </c>
      <c r="BO310" s="18"/>
      <c r="BP310" s="18">
        <v>0</v>
      </c>
      <c r="BQ310" s="18" t="s">
        <v>217</v>
      </c>
      <c r="BR310" s="18" t="s">
        <v>217</v>
      </c>
      <c r="BS310" s="18" t="s">
        <v>217</v>
      </c>
      <c r="BT310" s="19"/>
      <c r="BU310" s="18" t="s">
        <v>217</v>
      </c>
      <c r="BV310" s="18" t="s">
        <v>217</v>
      </c>
      <c r="BW310" s="18" t="s">
        <v>217</v>
      </c>
      <c r="BX310" s="18" t="s">
        <v>217</v>
      </c>
      <c r="BY310" s="18" t="s">
        <v>217</v>
      </c>
      <c r="BZ310" s="18" t="s">
        <v>217</v>
      </c>
      <c r="CA310" s="18" t="s">
        <v>217</v>
      </c>
      <c r="CB310" s="19"/>
      <c r="CC310" s="19" t="s">
        <v>217</v>
      </c>
      <c r="CD310" s="19" t="s">
        <v>217</v>
      </c>
      <c r="CE310" s="19" t="s">
        <v>217</v>
      </c>
      <c r="CF310" s="19" t="s">
        <v>217</v>
      </c>
      <c r="CG310" s="19" t="s">
        <v>217</v>
      </c>
      <c r="CH310" s="19" t="s">
        <v>217</v>
      </c>
      <c r="CI310" s="19">
        <v>0</v>
      </c>
      <c r="CJ310" s="19"/>
      <c r="CK310" s="19">
        <v>0</v>
      </c>
      <c r="CL310" s="19">
        <v>0</v>
      </c>
      <c r="CM310" s="19">
        <v>0</v>
      </c>
      <c r="CN310" s="19">
        <v>0</v>
      </c>
      <c r="CO310" s="19">
        <v>0</v>
      </c>
      <c r="CP310" s="19">
        <v>0</v>
      </c>
      <c r="CQ310" s="19">
        <v>0</v>
      </c>
      <c r="CR310" s="19" t="s">
        <v>217</v>
      </c>
      <c r="CS310" s="19" t="s">
        <v>217</v>
      </c>
      <c r="CT310" s="19" t="s">
        <v>217</v>
      </c>
      <c r="CU310" s="19" t="s">
        <v>217</v>
      </c>
      <c r="CV310" s="19" t="s">
        <v>217</v>
      </c>
      <c r="CW310" s="19" t="s">
        <v>217</v>
      </c>
      <c r="CX310" s="19" t="s">
        <v>217</v>
      </c>
      <c r="CY310" s="19" t="s">
        <v>217</v>
      </c>
      <c r="CZ310" s="19" t="s">
        <v>217</v>
      </c>
      <c r="DA310" s="19" t="s">
        <v>217</v>
      </c>
      <c r="DB310" s="19" t="s">
        <v>217</v>
      </c>
      <c r="DC310" s="19" t="s">
        <v>217</v>
      </c>
      <c r="DD310" s="19" t="s">
        <v>217</v>
      </c>
      <c r="DE310" s="19" t="s">
        <v>217</v>
      </c>
      <c r="DF310" s="23">
        <v>0</v>
      </c>
      <c r="DG310" s="23" t="s">
        <v>217</v>
      </c>
      <c r="DH310" s="23" t="s">
        <v>217</v>
      </c>
      <c r="DI310" s="19">
        <v>0</v>
      </c>
      <c r="DJ310" s="19">
        <v>0</v>
      </c>
      <c r="DK310" s="19">
        <v>0</v>
      </c>
      <c r="DL310" s="19">
        <v>0</v>
      </c>
      <c r="DM310" s="19">
        <v>0</v>
      </c>
      <c r="DN310" s="19">
        <v>0</v>
      </c>
      <c r="DO310" s="19">
        <v>0</v>
      </c>
      <c r="DP310" s="19">
        <v>0</v>
      </c>
      <c r="DQ310" s="19">
        <v>0</v>
      </c>
      <c r="DR310" s="19">
        <v>0</v>
      </c>
      <c r="DS310" s="19">
        <v>0</v>
      </c>
      <c r="DT310" s="19">
        <v>0</v>
      </c>
      <c r="DU310" s="19">
        <v>0</v>
      </c>
      <c r="DV310" s="19">
        <v>0</v>
      </c>
      <c r="DW310" s="17" t="s">
        <v>790</v>
      </c>
      <c r="DX310" s="22" t="s">
        <v>218</v>
      </c>
      <c r="DY310" s="22" t="s">
        <v>218</v>
      </c>
      <c r="DZ310" s="22" t="s">
        <v>218</v>
      </c>
      <c r="EA310" s="22" t="s">
        <v>218</v>
      </c>
      <c r="EB310" s="22" t="s">
        <v>218</v>
      </c>
      <c r="EC310" s="22" t="s">
        <v>218</v>
      </c>
      <c r="ED310" s="22" t="s">
        <v>218</v>
      </c>
      <c r="EE310" s="22" t="s">
        <v>218</v>
      </c>
      <c r="EF310" s="22" t="s">
        <v>218</v>
      </c>
      <c r="EG310" s="22" t="s">
        <v>218</v>
      </c>
      <c r="EH310" s="22" t="s">
        <v>218</v>
      </c>
      <c r="EI310" s="22" t="s">
        <v>218</v>
      </c>
      <c r="EJ310" s="22" t="s">
        <v>218</v>
      </c>
      <c r="EK310" s="22" t="s">
        <v>218</v>
      </c>
      <c r="EL310" s="22" t="s">
        <v>218</v>
      </c>
      <c r="EM310" s="22" t="s">
        <v>218</v>
      </c>
      <c r="EN310" s="22" t="s">
        <v>218</v>
      </c>
      <c r="EO310" s="22" t="s">
        <v>218</v>
      </c>
      <c r="EP310" s="22" t="s">
        <v>218</v>
      </c>
      <c r="EQ310" s="22" t="s">
        <v>218</v>
      </c>
      <c r="ER310" s="22" t="s">
        <v>218</v>
      </c>
      <c r="ES310" s="22" t="s">
        <v>218</v>
      </c>
      <c r="ET310" s="22" t="s">
        <v>218</v>
      </c>
      <c r="EU310" s="22" t="s">
        <v>218</v>
      </c>
      <c r="EV310" s="22" t="s">
        <v>218</v>
      </c>
      <c r="EW310" s="22" t="s">
        <v>218</v>
      </c>
      <c r="EX310" s="22" t="s">
        <v>218</v>
      </c>
      <c r="EY310" s="22" t="s">
        <v>218</v>
      </c>
      <c r="EZ310" s="22" t="s">
        <v>218</v>
      </c>
      <c r="FA310" s="22" t="s">
        <v>218</v>
      </c>
      <c r="FB310" s="22" t="s">
        <v>218</v>
      </c>
      <c r="FC310" s="22" t="s">
        <v>218</v>
      </c>
      <c r="FD310" s="22" t="s">
        <v>218</v>
      </c>
      <c r="FE310" s="22" t="s">
        <v>218</v>
      </c>
      <c r="FF310" s="22" t="s">
        <v>218</v>
      </c>
      <c r="FG310" s="22" t="s">
        <v>218</v>
      </c>
      <c r="FH310" s="22" t="s">
        <v>218</v>
      </c>
      <c r="FI310" s="22" t="s">
        <v>218</v>
      </c>
      <c r="FJ310" s="22" t="s">
        <v>218</v>
      </c>
      <c r="FK310" s="22" t="s">
        <v>218</v>
      </c>
      <c r="FL310" s="22" t="s">
        <v>218</v>
      </c>
      <c r="FM310" s="22" t="s">
        <v>218</v>
      </c>
      <c r="FN310" s="22" t="s">
        <v>218</v>
      </c>
      <c r="FO310" s="22" t="s">
        <v>218</v>
      </c>
      <c r="FP310" s="22" t="s">
        <v>218</v>
      </c>
      <c r="FQ310" s="22" t="s">
        <v>218</v>
      </c>
      <c r="FR310" s="22" t="s">
        <v>218</v>
      </c>
      <c r="FS310" s="22" t="s">
        <v>218</v>
      </c>
      <c r="FT310" s="22" t="s">
        <v>218</v>
      </c>
      <c r="FU310" s="22" t="s">
        <v>218</v>
      </c>
      <c r="FV310" s="22" t="s">
        <v>218</v>
      </c>
      <c r="FW310" s="22" t="s">
        <v>218</v>
      </c>
      <c r="FX310" s="22" t="s">
        <v>218</v>
      </c>
      <c r="FY310" s="22" t="s">
        <v>218</v>
      </c>
      <c r="FZ310" s="22" t="s">
        <v>218</v>
      </c>
      <c r="GA310" s="22" t="s">
        <v>218</v>
      </c>
      <c r="GB310" s="22" t="s">
        <v>218</v>
      </c>
      <c r="GC310" s="22" t="s">
        <v>218</v>
      </c>
      <c r="GD310" s="22" t="s">
        <v>218</v>
      </c>
      <c r="GE310" s="22" t="s">
        <v>218</v>
      </c>
      <c r="GF310" s="22" t="s">
        <v>218</v>
      </c>
      <c r="GG310" s="22" t="s">
        <v>218</v>
      </c>
      <c r="GH310" s="22" t="s">
        <v>218</v>
      </c>
      <c r="GI310" s="22" t="s">
        <v>218</v>
      </c>
      <c r="GJ310" s="22" t="s">
        <v>218</v>
      </c>
      <c r="GK310" s="22" t="s">
        <v>218</v>
      </c>
      <c r="GL310" s="22" t="s">
        <v>218</v>
      </c>
      <c r="GM310" s="22" t="s">
        <v>218</v>
      </c>
      <c r="GN310" s="22" t="s">
        <v>218</v>
      </c>
      <c r="GO310" s="22" t="s">
        <v>218</v>
      </c>
      <c r="GP310" s="22" t="s">
        <v>218</v>
      </c>
      <c r="GQ310" s="22" t="s">
        <v>218</v>
      </c>
      <c r="GR310" s="22" t="s">
        <v>218</v>
      </c>
      <c r="GS310" s="22" t="s">
        <v>218</v>
      </c>
      <c r="GT310" s="22" t="s">
        <v>218</v>
      </c>
      <c r="GU310" s="22" t="s">
        <v>218</v>
      </c>
      <c r="GV310" s="22" t="s">
        <v>218</v>
      </c>
      <c r="GW310" s="22" t="s">
        <v>218</v>
      </c>
      <c r="GX310" s="22" t="s">
        <v>218</v>
      </c>
      <c r="GY310" s="22" t="s">
        <v>218</v>
      </c>
      <c r="GZ310" s="22" t="s">
        <v>218</v>
      </c>
      <c r="HA310" s="22" t="s">
        <v>218</v>
      </c>
      <c r="HB310" s="22" t="s">
        <v>218</v>
      </c>
      <c r="HC310" s="22" t="s">
        <v>218</v>
      </c>
      <c r="HD310" s="22" t="s">
        <v>218</v>
      </c>
      <c r="HE310" s="22" t="s">
        <v>218</v>
      </c>
      <c r="HF310" s="22" t="s">
        <v>218</v>
      </c>
      <c r="HG310" s="22" t="s">
        <v>218</v>
      </c>
      <c r="HH310" s="22" t="s">
        <v>218</v>
      </c>
      <c r="HI310" s="22" t="s">
        <v>218</v>
      </c>
      <c r="HJ310" s="22" t="s">
        <v>218</v>
      </c>
      <c r="HK310" s="22" t="s">
        <v>218</v>
      </c>
      <c r="HL310" s="22" t="s">
        <v>218</v>
      </c>
      <c r="HM310" s="860"/>
      <c r="HN310" s="860"/>
      <c r="HO310" s="860"/>
      <c r="HP310" s="860"/>
      <c r="HQ310" s="860"/>
      <c r="HR310" s="860"/>
      <c r="HS310" s="860"/>
      <c r="HT310" s="145"/>
      <c r="HU310" s="145" t="s">
        <v>1809</v>
      </c>
      <c r="HV310" s="22" t="s">
        <v>1926</v>
      </c>
      <c r="HW310" s="22" t="s">
        <v>791</v>
      </c>
      <c r="HX310" s="22">
        <v>0</v>
      </c>
      <c r="HY310" s="22">
        <v>0</v>
      </c>
      <c r="HZ310" s="19"/>
      <c r="IA310" s="19"/>
      <c r="IB310" s="621">
        <f>'background data'!$G$10</f>
        <v>0.47300000000000003</v>
      </c>
      <c r="IC310" s="621">
        <f>'background data'!$H$10</f>
        <v>0.13</v>
      </c>
      <c r="ID310" s="621">
        <f>'background data'!$J$10</f>
        <v>0.39100000000000001</v>
      </c>
      <c r="IE310" s="621">
        <f>'background data'!$L$10</f>
        <v>5.5E-2</v>
      </c>
      <c r="IF310" s="621">
        <f>'background data'!$M$10</f>
        <v>3.97</v>
      </c>
      <c r="IG310" s="621">
        <f>'background data'!$N$10</f>
        <v>4.5999999999999999E-3</v>
      </c>
      <c r="IH310" s="621">
        <f>'background data'!$O$10</f>
        <v>2.73</v>
      </c>
      <c r="II310" s="145"/>
      <c r="IJ310" s="145"/>
      <c r="IK310" s="145"/>
      <c r="IL310" s="145"/>
      <c r="IM310" s="145"/>
      <c r="IN310" s="145"/>
      <c r="IO310" s="145"/>
      <c r="IP310" s="145"/>
      <c r="IQ310" s="145"/>
      <c r="IR310" s="145"/>
      <c r="IS310" s="145"/>
      <c r="IT310" s="145"/>
      <c r="IU310" s="145"/>
      <c r="IV310" s="145"/>
      <c r="IW310" s="145"/>
      <c r="IX310" s="145"/>
      <c r="IY310" s="145"/>
      <c r="IZ310" s="145"/>
      <c r="JA310" s="145"/>
      <c r="JB310" s="145"/>
      <c r="JC310" s="145"/>
      <c r="JD310" s="145"/>
      <c r="JE310" s="145"/>
      <c r="JF310" s="145"/>
      <c r="JG310" s="145"/>
      <c r="JH310" s="145"/>
      <c r="JI310" s="145"/>
      <c r="JJ310" s="145"/>
      <c r="JK310" s="145"/>
      <c r="JL310" s="145"/>
      <c r="JM310" s="145"/>
      <c r="JN310" s="145"/>
      <c r="JO310" s="145"/>
      <c r="JP310" s="145"/>
      <c r="JQ310" s="145"/>
      <c r="JR310" s="145"/>
      <c r="JS310" s="145"/>
      <c r="JT310" s="145"/>
      <c r="JU310" s="145"/>
      <c r="JV310" s="145"/>
      <c r="JW310" s="145"/>
      <c r="JX310" s="145"/>
      <c r="JY310" s="145"/>
      <c r="JZ310" s="145"/>
      <c r="KA310" s="145"/>
      <c r="KB310" s="145"/>
      <c r="KC310" s="145"/>
      <c r="KD310" s="145"/>
      <c r="KE310" s="145"/>
      <c r="KF310" s="145"/>
      <c r="KG310" s="145"/>
      <c r="KH310" s="145"/>
      <c r="KI310" s="145"/>
      <c r="KJ310" s="145"/>
      <c r="KK310" s="145"/>
      <c r="KL310" s="145"/>
      <c r="KM310" s="145"/>
      <c r="KN310" s="145"/>
      <c r="KO310" s="145"/>
      <c r="KP310" s="145"/>
      <c r="KQ310" s="145"/>
      <c r="KR310" s="145"/>
      <c r="KS310" s="145"/>
      <c r="KT310" s="145"/>
      <c r="KU310" s="145"/>
      <c r="KV310" s="145"/>
      <c r="KW310" s="145"/>
      <c r="KX310" s="145"/>
      <c r="KY310" s="145"/>
      <c r="KZ310" s="145"/>
      <c r="LA310" s="145"/>
      <c r="LB310" s="145"/>
      <c r="LC310" s="145"/>
      <c r="LD310" s="145"/>
      <c r="LE310" s="145"/>
      <c r="LF310" s="145"/>
      <c r="LG310" s="145"/>
      <c r="LH310" s="145"/>
      <c r="LI310" s="145"/>
      <c r="LJ310" s="145"/>
      <c r="LK310" s="145"/>
      <c r="LL310" s="145"/>
      <c r="LM310" s="145"/>
      <c r="LN310" s="145"/>
      <c r="LO310" s="145"/>
      <c r="LP310" s="145"/>
      <c r="LQ310" s="145"/>
      <c r="LR310" s="145"/>
      <c r="LS310" s="145"/>
      <c r="LT310" s="145"/>
      <c r="LU310" s="145"/>
      <c r="LV310" s="145"/>
      <c r="LW310" s="145"/>
      <c r="LX310" s="145"/>
      <c r="LY310" s="145"/>
      <c r="LZ310" s="145"/>
      <c r="MA310" s="145"/>
      <c r="MB310" s="145"/>
      <c r="MC310" s="145"/>
      <c r="MD310" s="145"/>
      <c r="ME310" s="145"/>
      <c r="MF310" s="145"/>
      <c r="MG310" s="145"/>
      <c r="MH310" s="145"/>
      <c r="MI310" s="145"/>
      <c r="MJ310" s="145"/>
      <c r="MK310" s="145"/>
      <c r="ML310" s="145"/>
      <c r="MM310" s="145"/>
      <c r="MN310" s="145"/>
      <c r="MO310" s="145"/>
      <c r="MP310" s="145"/>
      <c r="MQ310" s="145"/>
      <c r="MR310" s="145"/>
      <c r="MS310" s="145"/>
      <c r="MT310" s="145"/>
      <c r="MU310" s="145"/>
      <c r="MV310" s="145"/>
      <c r="MW310" s="145"/>
      <c r="MX310" s="145"/>
      <c r="MY310" s="145"/>
      <c r="MZ310" s="145"/>
      <c r="NA310" s="145"/>
      <c r="NB310" s="145"/>
      <c r="NC310" s="145"/>
      <c r="ND310" s="145"/>
      <c r="NE310" s="145"/>
      <c r="NF310" s="145"/>
      <c r="NG310" s="145"/>
      <c r="NH310" s="145"/>
      <c r="NI310" s="145"/>
      <c r="NJ310" s="145"/>
      <c r="NK310" s="145"/>
      <c r="NL310" s="145"/>
      <c r="NM310" s="145"/>
      <c r="NN310" s="145"/>
      <c r="NO310" s="145"/>
      <c r="NP310" s="145"/>
      <c r="NQ310" s="145"/>
      <c r="NR310" s="145"/>
      <c r="NS310" s="145"/>
    </row>
    <row r="311" spans="1:383" s="16" customFormat="1" ht="15" customHeight="1" x14ac:dyDescent="0.2">
      <c r="A311" s="15">
        <v>99525</v>
      </c>
      <c r="B311" s="25">
        <v>995</v>
      </c>
      <c r="C311" s="26">
        <v>25</v>
      </c>
      <c r="D311" s="20" t="s">
        <v>792</v>
      </c>
      <c r="E311" s="14">
        <v>40310</v>
      </c>
      <c r="F311" s="18">
        <v>1.1453137804878</v>
      </c>
      <c r="G311" s="18">
        <v>1.1150750454545399</v>
      </c>
      <c r="H311" s="21">
        <v>91</v>
      </c>
      <c r="I311" s="21">
        <v>91</v>
      </c>
      <c r="J311" s="21">
        <v>92</v>
      </c>
      <c r="K311" s="18">
        <v>1</v>
      </c>
      <c r="L311" s="18">
        <v>96.5</v>
      </c>
      <c r="M311" s="18">
        <v>73.34</v>
      </c>
      <c r="N311" s="18">
        <v>0.96499999999999997</v>
      </c>
      <c r="O311" s="18">
        <v>4.8250000000000002</v>
      </c>
      <c r="P311" s="18">
        <v>0.193</v>
      </c>
      <c r="Q311" s="19"/>
      <c r="R311" s="18">
        <v>100</v>
      </c>
      <c r="S311" s="18">
        <v>50</v>
      </c>
      <c r="T311" s="18">
        <v>50</v>
      </c>
      <c r="U311" s="18">
        <v>50</v>
      </c>
      <c r="V311" s="18">
        <v>50</v>
      </c>
      <c r="W311" s="18">
        <v>50</v>
      </c>
      <c r="X311" s="18"/>
      <c r="Y311" s="18">
        <v>0.9</v>
      </c>
      <c r="Z311" s="18">
        <v>2.2999999999999998</v>
      </c>
      <c r="AA311" s="18">
        <v>1.4</v>
      </c>
      <c r="AB311" s="18">
        <v>0</v>
      </c>
      <c r="AC311" s="18">
        <v>12.399999999999999</v>
      </c>
      <c r="AD311" s="18">
        <v>0.8</v>
      </c>
      <c r="AE311" s="18">
        <v>0</v>
      </c>
      <c r="AF311" s="18">
        <v>47</v>
      </c>
      <c r="AG311" s="18">
        <v>5</v>
      </c>
      <c r="AH311" s="18">
        <v>16</v>
      </c>
      <c r="AI311" s="18">
        <v>23</v>
      </c>
      <c r="AJ311" s="18">
        <v>0</v>
      </c>
      <c r="AK311" s="18">
        <v>0</v>
      </c>
      <c r="AL311" s="18"/>
      <c r="AM311" s="18">
        <v>68.421052631578902</v>
      </c>
      <c r="AN311" s="18">
        <v>0.22368421052631601</v>
      </c>
      <c r="AO311" s="18">
        <v>0.144736842105263</v>
      </c>
      <c r="AP311" s="18">
        <v>0.69736842105263197</v>
      </c>
      <c r="AQ311" s="18">
        <v>0.197368421052632</v>
      </c>
      <c r="AR311" s="18">
        <v>0.68421052631578905</v>
      </c>
      <c r="AS311" s="18">
        <v>1.0526315789473699</v>
      </c>
      <c r="AT311" s="18">
        <v>0.32894736842105299</v>
      </c>
      <c r="AU311" s="18">
        <v>0.53947368421052599</v>
      </c>
      <c r="AV311" s="18">
        <v>0.394736842105263</v>
      </c>
      <c r="AW311" s="18">
        <v>0.90789473684210498</v>
      </c>
      <c r="AX311" s="18"/>
      <c r="AY311" s="18">
        <v>1</v>
      </c>
      <c r="AZ311" s="18">
        <v>0.85</v>
      </c>
      <c r="BA311" s="18">
        <v>0.85</v>
      </c>
      <c r="BB311" s="18">
        <v>0.85</v>
      </c>
      <c r="BC311" s="18">
        <v>0.85</v>
      </c>
      <c r="BD311" s="18">
        <v>0.85</v>
      </c>
      <c r="BE311" s="18">
        <v>0.85</v>
      </c>
      <c r="BF311" s="18">
        <v>0.85</v>
      </c>
      <c r="BG311" s="18">
        <v>0.85</v>
      </c>
      <c r="BH311" s="18">
        <v>0.85</v>
      </c>
      <c r="BI311" s="18">
        <v>0.85</v>
      </c>
      <c r="BJ311" s="19"/>
      <c r="BK311" s="18">
        <v>76</v>
      </c>
      <c r="BL311" s="18">
        <v>1</v>
      </c>
      <c r="BM311" s="18">
        <v>5</v>
      </c>
      <c r="BN311" s="18">
        <v>0.2</v>
      </c>
      <c r="BO311" s="18"/>
      <c r="BP311" s="18">
        <v>0</v>
      </c>
      <c r="BQ311" s="18">
        <v>0</v>
      </c>
      <c r="BR311" s="18">
        <v>1.1868536585365803</v>
      </c>
      <c r="BS311" s="18">
        <v>1.1555181818181761</v>
      </c>
      <c r="BT311" s="19"/>
      <c r="BU311" s="18">
        <v>950</v>
      </c>
      <c r="BV311" s="18">
        <v>163.19999999999999</v>
      </c>
      <c r="BW311" s="18">
        <v>0</v>
      </c>
      <c r="BX311" s="18" t="s">
        <v>217</v>
      </c>
      <c r="BY311" s="18" t="s">
        <v>217</v>
      </c>
      <c r="BZ311" s="18" t="s">
        <v>217</v>
      </c>
      <c r="CA311" s="18" t="s">
        <v>217</v>
      </c>
      <c r="CB311" s="19"/>
      <c r="CC311" s="19">
        <v>0.86849999999999994</v>
      </c>
      <c r="CD311" s="19">
        <v>2.2194999999999996</v>
      </c>
      <c r="CE311" s="19">
        <v>1.351</v>
      </c>
      <c r="CF311" s="19">
        <v>0</v>
      </c>
      <c r="CG311" s="19">
        <v>11.965999999999998</v>
      </c>
      <c r="CH311" s="19">
        <v>0.77200000000000002</v>
      </c>
      <c r="CI311" s="19">
        <v>0</v>
      </c>
      <c r="CJ311" s="19"/>
      <c r="CK311" s="19">
        <v>45.354999999999997</v>
      </c>
      <c r="CL311" s="19">
        <v>4.8250000000000002</v>
      </c>
      <c r="CM311" s="19">
        <v>15.44</v>
      </c>
      <c r="CN311" s="19">
        <v>22.195</v>
      </c>
      <c r="CO311" s="19">
        <v>0</v>
      </c>
      <c r="CP311" s="19">
        <v>0</v>
      </c>
      <c r="CQ311" s="19">
        <v>733.4</v>
      </c>
      <c r="CR311" s="19">
        <v>640.34853373338262</v>
      </c>
      <c r="CS311" s="19">
        <v>438.13320729126184</v>
      </c>
      <c r="CT311" s="19">
        <v>1.2175047779536026</v>
      </c>
      <c r="CU311" s="19">
        <v>0.78779720926409758</v>
      </c>
      <c r="CV311" s="19">
        <v>2.0053019872176985</v>
      </c>
      <c r="CW311" s="19">
        <v>3.7957501900906427</v>
      </c>
      <c r="CX311" s="19">
        <v>1.0742689217237669</v>
      </c>
      <c r="CY311" s="19">
        <v>3.7241322619757256</v>
      </c>
      <c r="CZ311" s="19">
        <v>5.7294342491934325</v>
      </c>
      <c r="DA311" s="19">
        <v>1.7904482028729451</v>
      </c>
      <c r="DB311" s="19">
        <v>2.9363350527116294</v>
      </c>
      <c r="DC311" s="19">
        <v>2.1485378434475337</v>
      </c>
      <c r="DD311" s="19">
        <v>5.0848728961591636</v>
      </c>
      <c r="DE311" s="19">
        <v>4.9416370399293283</v>
      </c>
      <c r="DF311" s="23">
        <v>0</v>
      </c>
      <c r="DG311" s="23">
        <v>0</v>
      </c>
      <c r="DH311" s="23">
        <v>0</v>
      </c>
      <c r="DI311" s="19">
        <v>0</v>
      </c>
      <c r="DJ311" s="19">
        <v>0</v>
      </c>
      <c r="DK311" s="19">
        <v>0</v>
      </c>
      <c r="DL311" s="19">
        <v>0</v>
      </c>
      <c r="DM311" s="19">
        <v>0</v>
      </c>
      <c r="DN311" s="19">
        <v>0</v>
      </c>
      <c r="DO311" s="19">
        <v>0</v>
      </c>
      <c r="DP311" s="19">
        <v>0</v>
      </c>
      <c r="DQ311" s="19">
        <v>0</v>
      </c>
      <c r="DR311" s="19">
        <v>0</v>
      </c>
      <c r="DS311" s="19">
        <v>0</v>
      </c>
      <c r="DT311" s="19">
        <v>0</v>
      </c>
      <c r="DU311" s="19">
        <v>0</v>
      </c>
      <c r="DV311" s="19">
        <v>0</v>
      </c>
      <c r="DW311" s="17" t="s">
        <v>218</v>
      </c>
      <c r="DX311" s="22" t="s">
        <v>218</v>
      </c>
      <c r="DY311" s="22" t="s">
        <v>218</v>
      </c>
      <c r="DZ311" s="22" t="s">
        <v>218</v>
      </c>
      <c r="EA311" s="22" t="s">
        <v>218</v>
      </c>
      <c r="EB311" s="22" t="s">
        <v>218</v>
      </c>
      <c r="EC311" s="22" t="s">
        <v>218</v>
      </c>
      <c r="ED311" s="22" t="s">
        <v>218</v>
      </c>
      <c r="EE311" s="22" t="s">
        <v>218</v>
      </c>
      <c r="EF311" s="22" t="s">
        <v>218</v>
      </c>
      <c r="EG311" s="22" t="s">
        <v>218</v>
      </c>
      <c r="EH311" s="22" t="s">
        <v>218</v>
      </c>
      <c r="EI311" s="22" t="s">
        <v>218</v>
      </c>
      <c r="EJ311" s="22" t="s">
        <v>218</v>
      </c>
      <c r="EK311" s="22" t="s">
        <v>218</v>
      </c>
      <c r="EL311" s="22" t="s">
        <v>218</v>
      </c>
      <c r="EM311" s="22" t="s">
        <v>218</v>
      </c>
      <c r="EN311" s="22" t="s">
        <v>218</v>
      </c>
      <c r="EO311" s="22" t="s">
        <v>218</v>
      </c>
      <c r="EP311" s="22" t="s">
        <v>218</v>
      </c>
      <c r="EQ311" s="22" t="s">
        <v>218</v>
      </c>
      <c r="ER311" s="22" t="s">
        <v>218</v>
      </c>
      <c r="ES311" s="22" t="s">
        <v>218</v>
      </c>
      <c r="ET311" s="22" t="s">
        <v>218</v>
      </c>
      <c r="EU311" s="22" t="s">
        <v>218</v>
      </c>
      <c r="EV311" s="22" t="s">
        <v>218</v>
      </c>
      <c r="EW311" s="22" t="s">
        <v>218</v>
      </c>
      <c r="EX311" s="22" t="s">
        <v>218</v>
      </c>
      <c r="EY311" s="22" t="s">
        <v>218</v>
      </c>
      <c r="EZ311" s="22" t="s">
        <v>218</v>
      </c>
      <c r="FA311" s="22" t="s">
        <v>218</v>
      </c>
      <c r="FB311" s="22" t="s">
        <v>218</v>
      </c>
      <c r="FC311" s="22" t="s">
        <v>218</v>
      </c>
      <c r="FD311" s="22" t="s">
        <v>218</v>
      </c>
      <c r="FE311" s="22" t="s">
        <v>218</v>
      </c>
      <c r="FF311" s="22" t="s">
        <v>218</v>
      </c>
      <c r="FG311" s="22" t="s">
        <v>218</v>
      </c>
      <c r="FH311" s="22" t="s">
        <v>218</v>
      </c>
      <c r="FI311" s="22" t="s">
        <v>218</v>
      </c>
      <c r="FJ311" s="22" t="s">
        <v>218</v>
      </c>
      <c r="FK311" s="22" t="s">
        <v>218</v>
      </c>
      <c r="FL311" s="22" t="s">
        <v>218</v>
      </c>
      <c r="FM311" s="22" t="s">
        <v>218</v>
      </c>
      <c r="FN311" s="22" t="s">
        <v>218</v>
      </c>
      <c r="FO311" s="22" t="s">
        <v>218</v>
      </c>
      <c r="FP311" s="22" t="s">
        <v>218</v>
      </c>
      <c r="FQ311" s="22" t="s">
        <v>218</v>
      </c>
      <c r="FR311" s="22" t="s">
        <v>218</v>
      </c>
      <c r="FS311" s="22" t="s">
        <v>218</v>
      </c>
      <c r="FT311" s="22" t="s">
        <v>218</v>
      </c>
      <c r="FU311" s="22" t="s">
        <v>218</v>
      </c>
      <c r="FV311" s="22" t="s">
        <v>218</v>
      </c>
      <c r="FW311" s="22" t="s">
        <v>218</v>
      </c>
      <c r="FX311" s="22" t="s">
        <v>218</v>
      </c>
      <c r="FY311" s="22" t="s">
        <v>218</v>
      </c>
      <c r="FZ311" s="22" t="s">
        <v>218</v>
      </c>
      <c r="GA311" s="22" t="s">
        <v>218</v>
      </c>
      <c r="GB311" s="22" t="s">
        <v>218</v>
      </c>
      <c r="GC311" s="22" t="s">
        <v>218</v>
      </c>
      <c r="GD311" s="22" t="s">
        <v>218</v>
      </c>
      <c r="GE311" s="22" t="s">
        <v>218</v>
      </c>
      <c r="GF311" s="22" t="s">
        <v>218</v>
      </c>
      <c r="GG311" s="22" t="s">
        <v>218</v>
      </c>
      <c r="GH311" s="22" t="s">
        <v>218</v>
      </c>
      <c r="GI311" s="22" t="s">
        <v>218</v>
      </c>
      <c r="GJ311" s="22" t="s">
        <v>218</v>
      </c>
      <c r="GK311" s="22" t="s">
        <v>218</v>
      </c>
      <c r="GL311" s="22" t="s">
        <v>218</v>
      </c>
      <c r="GM311" s="22" t="s">
        <v>218</v>
      </c>
      <c r="GN311" s="22" t="s">
        <v>218</v>
      </c>
      <c r="GO311" s="22" t="s">
        <v>218</v>
      </c>
      <c r="GP311" s="22" t="s">
        <v>218</v>
      </c>
      <c r="GQ311" s="22" t="s">
        <v>218</v>
      </c>
      <c r="GR311" s="22" t="s">
        <v>218</v>
      </c>
      <c r="GS311" s="22" t="s">
        <v>218</v>
      </c>
      <c r="GT311" s="22" t="s">
        <v>218</v>
      </c>
      <c r="GU311" s="22" t="s">
        <v>218</v>
      </c>
      <c r="GV311" s="22" t="s">
        <v>218</v>
      </c>
      <c r="GW311" s="22" t="s">
        <v>218</v>
      </c>
      <c r="GX311" s="22" t="s">
        <v>218</v>
      </c>
      <c r="GY311" s="22" t="s">
        <v>218</v>
      </c>
      <c r="GZ311" s="22" t="s">
        <v>218</v>
      </c>
      <c r="HA311" s="22" t="s">
        <v>218</v>
      </c>
      <c r="HB311" s="22" t="s">
        <v>218</v>
      </c>
      <c r="HC311" s="22" t="s">
        <v>218</v>
      </c>
      <c r="HD311" s="22" t="s">
        <v>218</v>
      </c>
      <c r="HE311" s="22" t="s">
        <v>218</v>
      </c>
      <c r="HF311" s="22" t="s">
        <v>218</v>
      </c>
      <c r="HG311" s="22" t="s">
        <v>218</v>
      </c>
      <c r="HH311" s="22" t="s">
        <v>218</v>
      </c>
      <c r="HI311" s="22" t="s">
        <v>218</v>
      </c>
      <c r="HJ311" s="22" t="s">
        <v>218</v>
      </c>
      <c r="HK311" s="22" t="s">
        <v>218</v>
      </c>
      <c r="HL311" s="22" t="s">
        <v>218</v>
      </c>
      <c r="HM311" s="860"/>
      <c r="HN311" s="860"/>
      <c r="HO311" s="860"/>
      <c r="HP311" s="860"/>
      <c r="HQ311" s="860"/>
      <c r="HR311" s="860"/>
      <c r="HS311" s="860"/>
      <c r="HT311" s="145"/>
      <c r="HU311" s="145" t="s">
        <v>1809</v>
      </c>
      <c r="HV311" s="22" t="s">
        <v>1926</v>
      </c>
      <c r="HW311" s="22" t="s">
        <v>218</v>
      </c>
      <c r="HX311" s="22" t="s">
        <v>218</v>
      </c>
      <c r="HY311" s="22" t="s">
        <v>218</v>
      </c>
      <c r="HZ311" s="19"/>
      <c r="IA311" s="19"/>
      <c r="IB311" s="621">
        <f>'background data'!$G$10</f>
        <v>0.47300000000000003</v>
      </c>
      <c r="IC311" s="621">
        <f>'background data'!$H$10</f>
        <v>0.13</v>
      </c>
      <c r="ID311" s="621">
        <f>'background data'!$J$10</f>
        <v>0.39100000000000001</v>
      </c>
      <c r="IE311" s="621">
        <f>'background data'!$L$10</f>
        <v>5.5E-2</v>
      </c>
      <c r="IF311" s="621">
        <f>'background data'!$M$10</f>
        <v>3.97</v>
      </c>
      <c r="IG311" s="621">
        <f>'background data'!$N$10</f>
        <v>4.5999999999999999E-3</v>
      </c>
      <c r="IH311" s="621">
        <f>'background data'!$O$10</f>
        <v>2.73</v>
      </c>
      <c r="II311" s="145"/>
      <c r="IJ311" s="145"/>
      <c r="IK311" s="145"/>
      <c r="IL311" s="145"/>
      <c r="IM311" s="145"/>
      <c r="IN311" s="145"/>
      <c r="IO311" s="145"/>
      <c r="IP311" s="145"/>
      <c r="IQ311" s="145"/>
      <c r="IR311" s="145"/>
      <c r="IS311" s="145"/>
      <c r="IT311" s="145"/>
      <c r="IU311" s="145"/>
      <c r="IV311" s="145"/>
      <c r="IW311" s="145"/>
      <c r="IX311" s="145"/>
      <c r="IY311" s="145"/>
      <c r="IZ311" s="145"/>
      <c r="JA311" s="145"/>
      <c r="JB311" s="145"/>
      <c r="JC311" s="145"/>
      <c r="JD311" s="145"/>
      <c r="JE311" s="145"/>
      <c r="JF311" s="145"/>
      <c r="JG311" s="145"/>
      <c r="JH311" s="145"/>
      <c r="JI311" s="145"/>
      <c r="JJ311" s="145"/>
      <c r="JK311" s="145"/>
      <c r="JL311" s="145"/>
      <c r="JM311" s="145"/>
      <c r="JN311" s="145"/>
      <c r="JO311" s="145"/>
      <c r="JP311" s="145"/>
      <c r="JQ311" s="145"/>
      <c r="JR311" s="145"/>
      <c r="JS311" s="145"/>
      <c r="JT311" s="145"/>
      <c r="JU311" s="145"/>
      <c r="JV311" s="145"/>
      <c r="JW311" s="145"/>
      <c r="JX311" s="145"/>
      <c r="JY311" s="145"/>
      <c r="JZ311" s="145"/>
      <c r="KA311" s="145"/>
      <c r="KB311" s="145"/>
      <c r="KC311" s="145"/>
      <c r="KD311" s="145"/>
      <c r="KE311" s="145"/>
      <c r="KF311" s="145"/>
      <c r="KG311" s="145"/>
      <c r="KH311" s="145"/>
      <c r="KI311" s="145"/>
      <c r="KJ311" s="145"/>
      <c r="KK311" s="145"/>
      <c r="KL311" s="145"/>
      <c r="KM311" s="145"/>
      <c r="KN311" s="145"/>
      <c r="KO311" s="145"/>
      <c r="KP311" s="145"/>
      <c r="KQ311" s="145"/>
      <c r="KR311" s="145"/>
      <c r="KS311" s="145"/>
      <c r="KT311" s="145"/>
      <c r="KU311" s="145"/>
      <c r="KV311" s="145"/>
      <c r="KW311" s="145"/>
      <c r="KX311" s="145"/>
      <c r="KY311" s="145"/>
      <c r="KZ311" s="145"/>
      <c r="LA311" s="145"/>
      <c r="LB311" s="145"/>
      <c r="LC311" s="145"/>
      <c r="LD311" s="145"/>
      <c r="LE311" s="145"/>
      <c r="LF311" s="145"/>
      <c r="LG311" s="145"/>
      <c r="LH311" s="145"/>
      <c r="LI311" s="145"/>
      <c r="LJ311" s="145"/>
      <c r="LK311" s="145"/>
      <c r="LL311" s="145"/>
      <c r="LM311" s="145"/>
      <c r="LN311" s="145"/>
      <c r="LO311" s="145"/>
      <c r="LP311" s="145"/>
      <c r="LQ311" s="145"/>
      <c r="LR311" s="145"/>
      <c r="LS311" s="145"/>
      <c r="LT311" s="145"/>
      <c r="LU311" s="145"/>
      <c r="LV311" s="145"/>
      <c r="LW311" s="145"/>
      <c r="LX311" s="145"/>
      <c r="LY311" s="145"/>
      <c r="LZ311" s="145"/>
      <c r="MA311" s="145"/>
      <c r="MB311" s="145"/>
      <c r="MC311" s="145"/>
      <c r="MD311" s="145"/>
      <c r="ME311" s="145"/>
      <c r="MF311" s="145"/>
      <c r="MG311" s="145"/>
      <c r="MH311" s="145"/>
      <c r="MI311" s="145"/>
      <c r="MJ311" s="145"/>
      <c r="MK311" s="145"/>
      <c r="ML311" s="145"/>
      <c r="MM311" s="145"/>
      <c r="MN311" s="145"/>
      <c r="MO311" s="145"/>
      <c r="MP311" s="145"/>
      <c r="MQ311" s="145"/>
      <c r="MR311" s="145"/>
      <c r="MS311" s="145"/>
      <c r="MT311" s="145"/>
      <c r="MU311" s="145"/>
      <c r="MV311" s="145"/>
      <c r="MW311" s="145"/>
      <c r="MX311" s="145"/>
      <c r="MY311" s="145"/>
      <c r="MZ311" s="145"/>
      <c r="NA311" s="145"/>
      <c r="NB311" s="145"/>
      <c r="NC311" s="145"/>
      <c r="ND311" s="145"/>
      <c r="NE311" s="145"/>
      <c r="NF311" s="145"/>
      <c r="NG311" s="145"/>
      <c r="NH311" s="145"/>
      <c r="NI311" s="145"/>
      <c r="NJ311" s="145"/>
      <c r="NK311" s="145"/>
      <c r="NL311" s="145"/>
      <c r="NM311" s="145"/>
      <c r="NN311" s="145"/>
      <c r="NO311" s="145"/>
      <c r="NP311" s="145"/>
      <c r="NQ311" s="145"/>
      <c r="NR311" s="145"/>
      <c r="NS311" s="145"/>
    </row>
    <row r="312" spans="1:383" s="16" customFormat="1" ht="15" customHeight="1" x14ac:dyDescent="0.2">
      <c r="A312" s="15">
        <v>99526</v>
      </c>
      <c r="B312" s="25">
        <v>995</v>
      </c>
      <c r="C312" s="26">
        <v>26</v>
      </c>
      <c r="D312" s="20" t="s">
        <v>793</v>
      </c>
      <c r="E312" s="14">
        <v>40310</v>
      </c>
      <c r="F312" s="18">
        <v>1.1453137804878</v>
      </c>
      <c r="G312" s="18">
        <v>1.1150750454545399</v>
      </c>
      <c r="H312" s="21">
        <v>91</v>
      </c>
      <c r="I312" s="21">
        <v>91</v>
      </c>
      <c r="J312" s="21">
        <v>92</v>
      </c>
      <c r="K312" s="18">
        <v>1</v>
      </c>
      <c r="L312" s="18">
        <v>96.5</v>
      </c>
      <c r="M312" s="18">
        <v>73.34</v>
      </c>
      <c r="N312" s="18">
        <v>0.96499999999999997</v>
      </c>
      <c r="O312" s="18">
        <v>4.8250000000000002</v>
      </c>
      <c r="P312" s="18">
        <v>0.193</v>
      </c>
      <c r="Q312" s="19"/>
      <c r="R312" s="18">
        <v>75</v>
      </c>
      <c r="S312" s="18">
        <v>50</v>
      </c>
      <c r="T312" s="18">
        <v>50</v>
      </c>
      <c r="U312" s="18">
        <v>50</v>
      </c>
      <c r="V312" s="18">
        <v>50</v>
      </c>
      <c r="W312" s="18">
        <v>50</v>
      </c>
      <c r="X312" s="18"/>
      <c r="Y312" s="18">
        <v>0.9</v>
      </c>
      <c r="Z312" s="18">
        <v>2.2999999999999998</v>
      </c>
      <c r="AA312" s="18">
        <v>1.4</v>
      </c>
      <c r="AB312" s="18">
        <v>0</v>
      </c>
      <c r="AC312" s="18">
        <v>12.399999999999999</v>
      </c>
      <c r="AD312" s="18">
        <v>0.8</v>
      </c>
      <c r="AE312" s="18">
        <v>0</v>
      </c>
      <c r="AF312" s="18">
        <v>47</v>
      </c>
      <c r="AG312" s="18">
        <v>5</v>
      </c>
      <c r="AH312" s="18">
        <v>16</v>
      </c>
      <c r="AI312" s="18">
        <v>23</v>
      </c>
      <c r="AJ312" s="18">
        <v>0</v>
      </c>
      <c r="AK312" s="18">
        <v>0</v>
      </c>
      <c r="AL312" s="18"/>
      <c r="AM312" s="18">
        <v>68.421052631578902</v>
      </c>
      <c r="AN312" s="18">
        <v>0.22368421052631601</v>
      </c>
      <c r="AO312" s="18">
        <v>0.144736842105263</v>
      </c>
      <c r="AP312" s="18">
        <v>0.69736842105263197</v>
      </c>
      <c r="AQ312" s="18">
        <v>0.197368421052632</v>
      </c>
      <c r="AR312" s="18">
        <v>0.68421052631578905</v>
      </c>
      <c r="AS312" s="18">
        <v>1.0526315789473699</v>
      </c>
      <c r="AT312" s="18">
        <v>0.32894736842105299</v>
      </c>
      <c r="AU312" s="18">
        <v>0.53947368421052599</v>
      </c>
      <c r="AV312" s="18">
        <v>0.394736842105263</v>
      </c>
      <c r="AW312" s="18">
        <v>0.90789473684210498</v>
      </c>
      <c r="AX312" s="18"/>
      <c r="AY312" s="18">
        <v>1</v>
      </c>
      <c r="AZ312" s="18">
        <v>0.85</v>
      </c>
      <c r="BA312" s="18">
        <v>0.85</v>
      </c>
      <c r="BB312" s="18">
        <v>0.85</v>
      </c>
      <c r="BC312" s="18">
        <v>0.85</v>
      </c>
      <c r="BD312" s="18">
        <v>0.85</v>
      </c>
      <c r="BE312" s="18">
        <v>0.85</v>
      </c>
      <c r="BF312" s="18">
        <v>0.85</v>
      </c>
      <c r="BG312" s="18">
        <v>0.85</v>
      </c>
      <c r="BH312" s="18">
        <v>0.85</v>
      </c>
      <c r="BI312" s="18">
        <v>0.85</v>
      </c>
      <c r="BJ312" s="19"/>
      <c r="BK312" s="18">
        <v>76</v>
      </c>
      <c r="BL312" s="18">
        <v>1</v>
      </c>
      <c r="BM312" s="18">
        <v>5</v>
      </c>
      <c r="BN312" s="18">
        <v>0.2</v>
      </c>
      <c r="BO312" s="18"/>
      <c r="BP312" s="18">
        <v>0</v>
      </c>
      <c r="BQ312" s="18">
        <v>0</v>
      </c>
      <c r="BR312" s="18">
        <v>1.1868536585365803</v>
      </c>
      <c r="BS312" s="18">
        <v>1.1555181818181761</v>
      </c>
      <c r="BT312" s="19"/>
      <c r="BU312" s="18">
        <v>950</v>
      </c>
      <c r="BV312" s="18">
        <v>163.19999999999999</v>
      </c>
      <c r="BW312" s="18">
        <v>0</v>
      </c>
      <c r="BX312" s="18" t="s">
        <v>217</v>
      </c>
      <c r="BY312" s="18" t="s">
        <v>217</v>
      </c>
      <c r="BZ312" s="18" t="s">
        <v>217</v>
      </c>
      <c r="CA312" s="18" t="s">
        <v>217</v>
      </c>
      <c r="CB312" s="19"/>
      <c r="CC312" s="19">
        <v>0.86849999999999994</v>
      </c>
      <c r="CD312" s="19">
        <v>2.2194999999999996</v>
      </c>
      <c r="CE312" s="19">
        <v>1.351</v>
      </c>
      <c r="CF312" s="19">
        <v>0</v>
      </c>
      <c r="CG312" s="19">
        <v>11.965999999999998</v>
      </c>
      <c r="CH312" s="19">
        <v>0.77200000000000002</v>
      </c>
      <c r="CI312" s="19">
        <v>0</v>
      </c>
      <c r="CJ312" s="19"/>
      <c r="CK312" s="19">
        <v>45.354999999999997</v>
      </c>
      <c r="CL312" s="19">
        <v>4.8250000000000002</v>
      </c>
      <c r="CM312" s="19">
        <v>15.44</v>
      </c>
      <c r="CN312" s="19">
        <v>22.195</v>
      </c>
      <c r="CO312" s="19">
        <v>0</v>
      </c>
      <c r="CP312" s="19">
        <v>0</v>
      </c>
      <c r="CQ312" s="19">
        <v>550.04999999999995</v>
      </c>
      <c r="CR312" s="19">
        <v>480.26140030003694</v>
      </c>
      <c r="CS312" s="19">
        <v>328.59990546844637</v>
      </c>
      <c r="CT312" s="19">
        <v>0.91312858346520198</v>
      </c>
      <c r="CU312" s="19">
        <v>0.59084790694807177</v>
      </c>
      <c r="CV312" s="19">
        <v>1.5039764904132737</v>
      </c>
      <c r="CW312" s="19">
        <v>2.8468126425679827</v>
      </c>
      <c r="CX312" s="19">
        <v>0.80570169129282787</v>
      </c>
      <c r="CY312" s="19">
        <v>2.7930991964817942</v>
      </c>
      <c r="CZ312" s="19">
        <v>4.2970756868950675</v>
      </c>
      <c r="DA312" s="19">
        <v>1.3428361521547088</v>
      </c>
      <c r="DB312" s="19">
        <v>2.2022512895337223</v>
      </c>
      <c r="DC312" s="19">
        <v>1.6114033825856504</v>
      </c>
      <c r="DD312" s="19">
        <v>3.8136546721193727</v>
      </c>
      <c r="DE312" s="19">
        <v>3.7062277799469965</v>
      </c>
      <c r="DF312" s="23">
        <v>0</v>
      </c>
      <c r="DG312" s="23">
        <v>0</v>
      </c>
      <c r="DH312" s="23">
        <v>0</v>
      </c>
      <c r="DI312" s="19">
        <v>0</v>
      </c>
      <c r="DJ312" s="19">
        <v>0</v>
      </c>
      <c r="DK312" s="19">
        <v>0</v>
      </c>
      <c r="DL312" s="19">
        <v>0</v>
      </c>
      <c r="DM312" s="19">
        <v>0</v>
      </c>
      <c r="DN312" s="19">
        <v>0</v>
      </c>
      <c r="DO312" s="19">
        <v>0</v>
      </c>
      <c r="DP312" s="19">
        <v>0</v>
      </c>
      <c r="DQ312" s="19">
        <v>0</v>
      </c>
      <c r="DR312" s="19">
        <v>0</v>
      </c>
      <c r="DS312" s="19">
        <v>0</v>
      </c>
      <c r="DT312" s="19">
        <v>0</v>
      </c>
      <c r="DU312" s="19">
        <v>0</v>
      </c>
      <c r="DV312" s="19">
        <v>0</v>
      </c>
      <c r="DW312" s="17" t="s">
        <v>218</v>
      </c>
      <c r="DX312" s="22" t="s">
        <v>218</v>
      </c>
      <c r="DY312" s="22" t="s">
        <v>218</v>
      </c>
      <c r="DZ312" s="22" t="s">
        <v>218</v>
      </c>
      <c r="EA312" s="22" t="s">
        <v>218</v>
      </c>
      <c r="EB312" s="22" t="s">
        <v>218</v>
      </c>
      <c r="EC312" s="22" t="s">
        <v>218</v>
      </c>
      <c r="ED312" s="22" t="s">
        <v>218</v>
      </c>
      <c r="EE312" s="22" t="s">
        <v>218</v>
      </c>
      <c r="EF312" s="22" t="s">
        <v>218</v>
      </c>
      <c r="EG312" s="22" t="s">
        <v>218</v>
      </c>
      <c r="EH312" s="22" t="s">
        <v>218</v>
      </c>
      <c r="EI312" s="22" t="s">
        <v>218</v>
      </c>
      <c r="EJ312" s="22" t="s">
        <v>218</v>
      </c>
      <c r="EK312" s="22" t="s">
        <v>218</v>
      </c>
      <c r="EL312" s="22" t="s">
        <v>218</v>
      </c>
      <c r="EM312" s="22" t="s">
        <v>218</v>
      </c>
      <c r="EN312" s="22" t="s">
        <v>218</v>
      </c>
      <c r="EO312" s="22" t="s">
        <v>218</v>
      </c>
      <c r="EP312" s="22" t="s">
        <v>218</v>
      </c>
      <c r="EQ312" s="22" t="s">
        <v>218</v>
      </c>
      <c r="ER312" s="22" t="s">
        <v>218</v>
      </c>
      <c r="ES312" s="22" t="s">
        <v>218</v>
      </c>
      <c r="ET312" s="22" t="s">
        <v>218</v>
      </c>
      <c r="EU312" s="22" t="s">
        <v>218</v>
      </c>
      <c r="EV312" s="22" t="s">
        <v>218</v>
      </c>
      <c r="EW312" s="22" t="s">
        <v>218</v>
      </c>
      <c r="EX312" s="22" t="s">
        <v>218</v>
      </c>
      <c r="EY312" s="22" t="s">
        <v>218</v>
      </c>
      <c r="EZ312" s="22" t="s">
        <v>218</v>
      </c>
      <c r="FA312" s="22" t="s">
        <v>218</v>
      </c>
      <c r="FB312" s="22" t="s">
        <v>218</v>
      </c>
      <c r="FC312" s="22" t="s">
        <v>218</v>
      </c>
      <c r="FD312" s="22" t="s">
        <v>218</v>
      </c>
      <c r="FE312" s="22" t="s">
        <v>218</v>
      </c>
      <c r="FF312" s="22" t="s">
        <v>218</v>
      </c>
      <c r="FG312" s="22" t="s">
        <v>218</v>
      </c>
      <c r="FH312" s="22" t="s">
        <v>218</v>
      </c>
      <c r="FI312" s="22" t="s">
        <v>218</v>
      </c>
      <c r="FJ312" s="22" t="s">
        <v>218</v>
      </c>
      <c r="FK312" s="22" t="s">
        <v>218</v>
      </c>
      <c r="FL312" s="22" t="s">
        <v>218</v>
      </c>
      <c r="FM312" s="22" t="s">
        <v>218</v>
      </c>
      <c r="FN312" s="22" t="s">
        <v>218</v>
      </c>
      <c r="FO312" s="22" t="s">
        <v>218</v>
      </c>
      <c r="FP312" s="22" t="s">
        <v>218</v>
      </c>
      <c r="FQ312" s="22" t="s">
        <v>218</v>
      </c>
      <c r="FR312" s="22" t="s">
        <v>218</v>
      </c>
      <c r="FS312" s="22" t="s">
        <v>218</v>
      </c>
      <c r="FT312" s="22" t="s">
        <v>218</v>
      </c>
      <c r="FU312" s="22" t="s">
        <v>218</v>
      </c>
      <c r="FV312" s="22" t="s">
        <v>218</v>
      </c>
      <c r="FW312" s="22" t="s">
        <v>218</v>
      </c>
      <c r="FX312" s="22" t="s">
        <v>218</v>
      </c>
      <c r="FY312" s="22" t="s">
        <v>218</v>
      </c>
      <c r="FZ312" s="22" t="s">
        <v>218</v>
      </c>
      <c r="GA312" s="22" t="s">
        <v>218</v>
      </c>
      <c r="GB312" s="22" t="s">
        <v>218</v>
      </c>
      <c r="GC312" s="22" t="s">
        <v>218</v>
      </c>
      <c r="GD312" s="22" t="s">
        <v>218</v>
      </c>
      <c r="GE312" s="22" t="s">
        <v>218</v>
      </c>
      <c r="GF312" s="22" t="s">
        <v>218</v>
      </c>
      <c r="GG312" s="22" t="s">
        <v>218</v>
      </c>
      <c r="GH312" s="22" t="s">
        <v>218</v>
      </c>
      <c r="GI312" s="22" t="s">
        <v>218</v>
      </c>
      <c r="GJ312" s="22" t="s">
        <v>218</v>
      </c>
      <c r="GK312" s="22" t="s">
        <v>218</v>
      </c>
      <c r="GL312" s="22" t="s">
        <v>218</v>
      </c>
      <c r="GM312" s="22" t="s">
        <v>218</v>
      </c>
      <c r="GN312" s="22" t="s">
        <v>218</v>
      </c>
      <c r="GO312" s="22" t="s">
        <v>218</v>
      </c>
      <c r="GP312" s="22" t="s">
        <v>218</v>
      </c>
      <c r="GQ312" s="22" t="s">
        <v>218</v>
      </c>
      <c r="GR312" s="22" t="s">
        <v>218</v>
      </c>
      <c r="GS312" s="22" t="s">
        <v>218</v>
      </c>
      <c r="GT312" s="22" t="s">
        <v>218</v>
      </c>
      <c r="GU312" s="22" t="s">
        <v>218</v>
      </c>
      <c r="GV312" s="22" t="s">
        <v>218</v>
      </c>
      <c r="GW312" s="22" t="s">
        <v>218</v>
      </c>
      <c r="GX312" s="22" t="s">
        <v>218</v>
      </c>
      <c r="GY312" s="22" t="s">
        <v>218</v>
      </c>
      <c r="GZ312" s="22" t="s">
        <v>218</v>
      </c>
      <c r="HA312" s="22" t="s">
        <v>218</v>
      </c>
      <c r="HB312" s="22" t="s">
        <v>218</v>
      </c>
      <c r="HC312" s="22" t="s">
        <v>218</v>
      </c>
      <c r="HD312" s="22" t="s">
        <v>218</v>
      </c>
      <c r="HE312" s="22" t="s">
        <v>218</v>
      </c>
      <c r="HF312" s="22" t="s">
        <v>218</v>
      </c>
      <c r="HG312" s="22" t="s">
        <v>218</v>
      </c>
      <c r="HH312" s="22" t="s">
        <v>218</v>
      </c>
      <c r="HI312" s="22" t="s">
        <v>218</v>
      </c>
      <c r="HJ312" s="22" t="s">
        <v>218</v>
      </c>
      <c r="HK312" s="22" t="s">
        <v>218</v>
      </c>
      <c r="HL312" s="22" t="s">
        <v>218</v>
      </c>
      <c r="HM312" s="860"/>
      <c r="HN312" s="860"/>
      <c r="HO312" s="860"/>
      <c r="HP312" s="860"/>
      <c r="HQ312" s="860"/>
      <c r="HR312" s="860"/>
      <c r="HS312" s="860"/>
      <c r="HT312" s="145"/>
      <c r="HU312" s="145" t="s">
        <v>1809</v>
      </c>
      <c r="HV312" s="22" t="s">
        <v>1926</v>
      </c>
      <c r="HW312" s="22" t="s">
        <v>218</v>
      </c>
      <c r="HX312" s="22" t="s">
        <v>218</v>
      </c>
      <c r="HY312" s="22" t="s">
        <v>218</v>
      </c>
      <c r="HZ312" s="19"/>
      <c r="IA312" s="19"/>
      <c r="IB312" s="621">
        <f>'background data'!$G$10</f>
        <v>0.47300000000000003</v>
      </c>
      <c r="IC312" s="621">
        <f>'background data'!$H$10</f>
        <v>0.13</v>
      </c>
      <c r="ID312" s="621">
        <f>'background data'!$J$10</f>
        <v>0.39100000000000001</v>
      </c>
      <c r="IE312" s="621">
        <f>'background data'!$L$10</f>
        <v>5.5E-2</v>
      </c>
      <c r="IF312" s="621">
        <f>'background data'!$M$10</f>
        <v>3.97</v>
      </c>
      <c r="IG312" s="621">
        <f>'background data'!$N$10</f>
        <v>4.5999999999999999E-3</v>
      </c>
      <c r="IH312" s="621">
        <f>'background data'!$O$10</f>
        <v>2.73</v>
      </c>
      <c r="II312" s="145"/>
      <c r="IJ312" s="145"/>
      <c r="IK312" s="145"/>
      <c r="IL312" s="145"/>
      <c r="IM312" s="145"/>
      <c r="IN312" s="145"/>
      <c r="IO312" s="145"/>
      <c r="IP312" s="145"/>
      <c r="IQ312" s="145"/>
      <c r="IR312" s="145"/>
      <c r="IS312" s="145"/>
      <c r="IT312" s="145"/>
      <c r="IU312" s="145"/>
      <c r="IV312" s="145"/>
      <c r="IW312" s="145"/>
      <c r="IX312" s="145"/>
      <c r="IY312" s="145"/>
      <c r="IZ312" s="145"/>
      <c r="JA312" s="145"/>
      <c r="JB312" s="145"/>
      <c r="JC312" s="145"/>
      <c r="JD312" s="145"/>
      <c r="JE312" s="145"/>
      <c r="JF312" s="145"/>
      <c r="JG312" s="145"/>
      <c r="JH312" s="145"/>
      <c r="JI312" s="145"/>
      <c r="JJ312" s="145"/>
      <c r="JK312" s="145"/>
      <c r="JL312" s="145"/>
      <c r="JM312" s="145"/>
      <c r="JN312" s="145"/>
      <c r="JO312" s="145"/>
      <c r="JP312" s="145"/>
      <c r="JQ312" s="145"/>
      <c r="JR312" s="145"/>
      <c r="JS312" s="145"/>
      <c r="JT312" s="145"/>
      <c r="JU312" s="145"/>
      <c r="JV312" s="145"/>
      <c r="JW312" s="145"/>
      <c r="JX312" s="145"/>
      <c r="JY312" s="145"/>
      <c r="JZ312" s="145"/>
      <c r="KA312" s="145"/>
      <c r="KB312" s="145"/>
      <c r="KC312" s="145"/>
      <c r="KD312" s="145"/>
      <c r="KE312" s="145"/>
      <c r="KF312" s="145"/>
      <c r="KG312" s="145"/>
      <c r="KH312" s="145"/>
      <c r="KI312" s="145"/>
      <c r="KJ312" s="145"/>
      <c r="KK312" s="145"/>
      <c r="KL312" s="145"/>
      <c r="KM312" s="145"/>
      <c r="KN312" s="145"/>
      <c r="KO312" s="145"/>
      <c r="KP312" s="145"/>
      <c r="KQ312" s="145"/>
      <c r="KR312" s="145"/>
      <c r="KS312" s="145"/>
      <c r="KT312" s="145"/>
      <c r="KU312" s="145"/>
      <c r="KV312" s="145"/>
      <c r="KW312" s="145"/>
      <c r="KX312" s="145"/>
      <c r="KY312" s="145"/>
      <c r="KZ312" s="145"/>
      <c r="LA312" s="145"/>
      <c r="LB312" s="145"/>
      <c r="LC312" s="145"/>
      <c r="LD312" s="145"/>
      <c r="LE312" s="145"/>
      <c r="LF312" s="145"/>
      <c r="LG312" s="145"/>
      <c r="LH312" s="145"/>
      <c r="LI312" s="145"/>
      <c r="LJ312" s="145"/>
      <c r="LK312" s="145"/>
      <c r="LL312" s="145"/>
      <c r="LM312" s="145"/>
      <c r="LN312" s="145"/>
      <c r="LO312" s="145"/>
      <c r="LP312" s="145"/>
      <c r="LQ312" s="145"/>
      <c r="LR312" s="145"/>
      <c r="LS312" s="145"/>
      <c r="LT312" s="145"/>
      <c r="LU312" s="145"/>
      <c r="LV312" s="145"/>
      <c r="LW312" s="145"/>
      <c r="LX312" s="145"/>
      <c r="LY312" s="145"/>
      <c r="LZ312" s="145"/>
      <c r="MA312" s="145"/>
      <c r="MB312" s="145"/>
      <c r="MC312" s="145"/>
      <c r="MD312" s="145"/>
      <c r="ME312" s="145"/>
      <c r="MF312" s="145"/>
      <c r="MG312" s="145"/>
      <c r="MH312" s="145"/>
      <c r="MI312" s="145"/>
      <c r="MJ312" s="145"/>
      <c r="MK312" s="145"/>
      <c r="ML312" s="145"/>
      <c r="MM312" s="145"/>
      <c r="MN312" s="145"/>
      <c r="MO312" s="145"/>
      <c r="MP312" s="145"/>
      <c r="MQ312" s="145"/>
      <c r="MR312" s="145"/>
      <c r="MS312" s="145"/>
      <c r="MT312" s="145"/>
      <c r="MU312" s="145"/>
      <c r="MV312" s="145"/>
      <c r="MW312" s="145"/>
      <c r="MX312" s="145"/>
      <c r="MY312" s="145"/>
      <c r="MZ312" s="145"/>
      <c r="NA312" s="145"/>
      <c r="NB312" s="145"/>
      <c r="NC312" s="145"/>
      <c r="ND312" s="145"/>
      <c r="NE312" s="145"/>
      <c r="NF312" s="145"/>
      <c r="NG312" s="145"/>
      <c r="NH312" s="145"/>
      <c r="NI312" s="145"/>
      <c r="NJ312" s="145"/>
      <c r="NK312" s="145"/>
      <c r="NL312" s="145"/>
      <c r="NM312" s="145"/>
      <c r="NN312" s="145"/>
      <c r="NO312" s="145"/>
      <c r="NP312" s="145"/>
      <c r="NQ312" s="145"/>
      <c r="NR312" s="145"/>
      <c r="NS312" s="145"/>
    </row>
    <row r="313" spans="1:383" s="16" customFormat="1" ht="15" customHeight="1" x14ac:dyDescent="0.2">
      <c r="A313" s="15">
        <v>97020</v>
      </c>
      <c r="B313" s="25">
        <v>970</v>
      </c>
      <c r="C313" s="26">
        <v>20</v>
      </c>
      <c r="D313" s="20" t="s">
        <v>794</v>
      </c>
      <c r="E313" s="14">
        <v>41501</v>
      </c>
      <c r="F313" s="18">
        <v>1.3951217540499901</v>
      </c>
      <c r="G313" s="18">
        <v>1.3371426681673899</v>
      </c>
      <c r="H313" s="21">
        <v>100</v>
      </c>
      <c r="I313" s="21">
        <v>100</v>
      </c>
      <c r="J313" s="21">
        <v>100</v>
      </c>
      <c r="K313" s="18">
        <v>1</v>
      </c>
      <c r="L313" s="18">
        <v>88</v>
      </c>
      <c r="M313" s="18">
        <v>8.8888888888888907E-5</v>
      </c>
      <c r="N313" s="18">
        <v>0</v>
      </c>
      <c r="O313" s="18">
        <v>0</v>
      </c>
      <c r="P313" s="18">
        <v>0</v>
      </c>
      <c r="Q313" s="19"/>
      <c r="R313" s="18">
        <v>0</v>
      </c>
      <c r="S313" s="18">
        <v>0</v>
      </c>
      <c r="T313" s="18">
        <v>0</v>
      </c>
      <c r="U313" s="18">
        <v>0</v>
      </c>
      <c r="V313" s="18">
        <v>0</v>
      </c>
      <c r="W313" s="18">
        <v>0</v>
      </c>
      <c r="X313" s="18"/>
      <c r="Y313" s="18">
        <v>0</v>
      </c>
      <c r="Z313" s="18">
        <v>0</v>
      </c>
      <c r="AA313" s="18">
        <v>0</v>
      </c>
      <c r="AB313" s="18">
        <v>0</v>
      </c>
      <c r="AC313" s="18">
        <v>0</v>
      </c>
      <c r="AD313" s="18">
        <v>0</v>
      </c>
      <c r="AE313" s="18">
        <v>0</v>
      </c>
      <c r="AF313" s="18">
        <v>0</v>
      </c>
      <c r="AG313" s="18">
        <v>0</v>
      </c>
      <c r="AH313" s="18">
        <v>0</v>
      </c>
      <c r="AI313" s="18">
        <v>0</v>
      </c>
      <c r="AJ313" s="18">
        <v>0</v>
      </c>
      <c r="AK313" s="18">
        <v>0</v>
      </c>
      <c r="AL313" s="18"/>
      <c r="AM313" s="18">
        <v>0</v>
      </c>
      <c r="AN313" s="18">
        <v>0</v>
      </c>
      <c r="AO313" s="18">
        <v>0</v>
      </c>
      <c r="AP313" s="18">
        <v>0</v>
      </c>
      <c r="AQ313" s="18">
        <v>0</v>
      </c>
      <c r="AR313" s="18">
        <v>0</v>
      </c>
      <c r="AS313" s="18">
        <v>0</v>
      </c>
      <c r="AT313" s="18">
        <v>0</v>
      </c>
      <c r="AU313" s="18">
        <v>0</v>
      </c>
      <c r="AV313" s="18">
        <v>0</v>
      </c>
      <c r="AW313" s="18">
        <v>0</v>
      </c>
      <c r="AX313" s="18"/>
      <c r="AY313" s="18">
        <v>1</v>
      </c>
      <c r="AZ313" s="18">
        <v>1</v>
      </c>
      <c r="BA313" s="18">
        <v>1</v>
      </c>
      <c r="BB313" s="18">
        <v>1</v>
      </c>
      <c r="BC313" s="18">
        <v>1</v>
      </c>
      <c r="BD313" s="18">
        <v>1</v>
      </c>
      <c r="BE313" s="18">
        <v>1</v>
      </c>
      <c r="BF313" s="18">
        <v>1</v>
      </c>
      <c r="BG313" s="18">
        <v>1</v>
      </c>
      <c r="BH313" s="18">
        <v>1</v>
      </c>
      <c r="BI313" s="18">
        <v>1</v>
      </c>
      <c r="BJ313" s="19"/>
      <c r="BK313" s="18">
        <v>1.0101010101010104E-4</v>
      </c>
      <c r="BL313" s="18">
        <v>0</v>
      </c>
      <c r="BM313" s="18">
        <v>0</v>
      </c>
      <c r="BN313" s="18">
        <v>0</v>
      </c>
      <c r="BO313" s="18"/>
      <c r="BP313" s="18">
        <v>0</v>
      </c>
      <c r="BQ313" s="18">
        <v>0</v>
      </c>
      <c r="BR313" s="18">
        <v>1.5853656296022614</v>
      </c>
      <c r="BS313" s="18">
        <v>1.5194803047356704</v>
      </c>
      <c r="BT313" s="19"/>
      <c r="BU313" s="18">
        <v>1000</v>
      </c>
      <c r="BV313" s="18">
        <v>999.99908080808075</v>
      </c>
      <c r="BW313" s="18">
        <v>0</v>
      </c>
      <c r="BX313" s="18" t="s">
        <v>217</v>
      </c>
      <c r="BY313" s="18" t="s">
        <v>217</v>
      </c>
      <c r="BZ313" s="18" t="s">
        <v>217</v>
      </c>
      <c r="CA313" s="18" t="s">
        <v>217</v>
      </c>
      <c r="CB313" s="19"/>
      <c r="CC313" s="19">
        <v>0</v>
      </c>
      <c r="CD313" s="19">
        <v>0</v>
      </c>
      <c r="CE313" s="19">
        <v>0</v>
      </c>
      <c r="CF313" s="19">
        <v>0</v>
      </c>
      <c r="CG313" s="19">
        <v>0</v>
      </c>
      <c r="CH313" s="19">
        <v>0</v>
      </c>
      <c r="CI313" s="19">
        <v>0</v>
      </c>
      <c r="CJ313" s="19"/>
      <c r="CK313" s="19">
        <v>0</v>
      </c>
      <c r="CL313" s="19">
        <v>0</v>
      </c>
      <c r="CM313" s="19">
        <v>0</v>
      </c>
      <c r="CN313" s="19">
        <v>0</v>
      </c>
      <c r="CO313" s="19">
        <v>0</v>
      </c>
      <c r="CP313" s="19">
        <v>0</v>
      </c>
      <c r="CQ313" s="19">
        <v>0</v>
      </c>
      <c r="CR313" s="19">
        <v>0</v>
      </c>
      <c r="CS313" s="19">
        <v>0</v>
      </c>
      <c r="CT313" s="19">
        <v>0</v>
      </c>
      <c r="CU313" s="19">
        <v>0</v>
      </c>
      <c r="CV313" s="19">
        <v>0</v>
      </c>
      <c r="CW313" s="19">
        <v>0</v>
      </c>
      <c r="CX313" s="19">
        <v>0</v>
      </c>
      <c r="CY313" s="19">
        <v>0</v>
      </c>
      <c r="CZ313" s="19">
        <v>0</v>
      </c>
      <c r="DA313" s="19">
        <v>0</v>
      </c>
      <c r="DB313" s="19">
        <v>0</v>
      </c>
      <c r="DC313" s="19">
        <v>0</v>
      </c>
      <c r="DD313" s="19">
        <v>0</v>
      </c>
      <c r="DE313" s="19">
        <v>0</v>
      </c>
      <c r="DF313" s="23">
        <v>0</v>
      </c>
      <c r="DG313" s="23">
        <v>0</v>
      </c>
      <c r="DH313" s="23">
        <v>8000000</v>
      </c>
      <c r="DI313" s="19">
        <v>0</v>
      </c>
      <c r="DJ313" s="19">
        <v>0</v>
      </c>
      <c r="DK313" s="19">
        <v>0</v>
      </c>
      <c r="DL313" s="19">
        <v>0</v>
      </c>
      <c r="DM313" s="19">
        <v>0</v>
      </c>
      <c r="DN313" s="19">
        <v>0</v>
      </c>
      <c r="DO313" s="19">
        <v>0</v>
      </c>
      <c r="DP313" s="19">
        <v>0</v>
      </c>
      <c r="DQ313" s="19">
        <v>0</v>
      </c>
      <c r="DR313" s="19">
        <v>0</v>
      </c>
      <c r="DS313" s="19">
        <v>0</v>
      </c>
      <c r="DT313" s="19">
        <v>0</v>
      </c>
      <c r="DU313" s="19">
        <v>0</v>
      </c>
      <c r="DV313" s="19">
        <v>0</v>
      </c>
      <c r="DW313" s="17" t="s">
        <v>218</v>
      </c>
      <c r="DX313" s="22" t="s">
        <v>218</v>
      </c>
      <c r="DY313" s="22" t="s">
        <v>218</v>
      </c>
      <c r="DZ313" s="22" t="s">
        <v>218</v>
      </c>
      <c r="EA313" s="22" t="s">
        <v>218</v>
      </c>
      <c r="EB313" s="22" t="s">
        <v>218</v>
      </c>
      <c r="EC313" s="22" t="s">
        <v>218</v>
      </c>
      <c r="ED313" s="22" t="s">
        <v>218</v>
      </c>
      <c r="EE313" s="22" t="s">
        <v>218</v>
      </c>
      <c r="EF313" s="22" t="s">
        <v>218</v>
      </c>
      <c r="EG313" s="22" t="s">
        <v>218</v>
      </c>
      <c r="EH313" s="22" t="s">
        <v>218</v>
      </c>
      <c r="EI313" s="22" t="s">
        <v>218</v>
      </c>
      <c r="EJ313" s="22" t="s">
        <v>218</v>
      </c>
      <c r="EK313" s="22" t="s">
        <v>218</v>
      </c>
      <c r="EL313" s="22" t="s">
        <v>218</v>
      </c>
      <c r="EM313" s="22" t="s">
        <v>218</v>
      </c>
      <c r="EN313" s="22" t="s">
        <v>218</v>
      </c>
      <c r="EO313" s="22" t="s">
        <v>218</v>
      </c>
      <c r="EP313" s="22" t="s">
        <v>218</v>
      </c>
      <c r="EQ313" s="22" t="s">
        <v>218</v>
      </c>
      <c r="ER313" s="22" t="s">
        <v>218</v>
      </c>
      <c r="ES313" s="22" t="s">
        <v>218</v>
      </c>
      <c r="ET313" s="22" t="s">
        <v>218</v>
      </c>
      <c r="EU313" s="22" t="s">
        <v>218</v>
      </c>
      <c r="EV313" s="22" t="s">
        <v>218</v>
      </c>
      <c r="EW313" s="22" t="s">
        <v>218</v>
      </c>
      <c r="EX313" s="22" t="s">
        <v>218</v>
      </c>
      <c r="EY313" s="22" t="s">
        <v>218</v>
      </c>
      <c r="EZ313" s="22" t="s">
        <v>218</v>
      </c>
      <c r="FA313" s="22" t="s">
        <v>218</v>
      </c>
      <c r="FB313" s="22" t="s">
        <v>218</v>
      </c>
      <c r="FC313" s="22" t="s">
        <v>218</v>
      </c>
      <c r="FD313" s="22" t="s">
        <v>218</v>
      </c>
      <c r="FE313" s="22" t="s">
        <v>218</v>
      </c>
      <c r="FF313" s="22" t="s">
        <v>218</v>
      </c>
      <c r="FG313" s="22" t="s">
        <v>218</v>
      </c>
      <c r="FH313" s="22" t="s">
        <v>218</v>
      </c>
      <c r="FI313" s="22" t="s">
        <v>218</v>
      </c>
      <c r="FJ313" s="22" t="s">
        <v>218</v>
      </c>
      <c r="FK313" s="22" t="s">
        <v>218</v>
      </c>
      <c r="FL313" s="22" t="s">
        <v>218</v>
      </c>
      <c r="FM313" s="22" t="s">
        <v>218</v>
      </c>
      <c r="FN313" s="22" t="s">
        <v>218</v>
      </c>
      <c r="FO313" s="22" t="s">
        <v>218</v>
      </c>
      <c r="FP313" s="22" t="s">
        <v>218</v>
      </c>
      <c r="FQ313" s="22" t="s">
        <v>218</v>
      </c>
      <c r="FR313" s="22" t="s">
        <v>218</v>
      </c>
      <c r="FS313" s="22" t="s">
        <v>218</v>
      </c>
      <c r="FT313" s="22" t="s">
        <v>218</v>
      </c>
      <c r="FU313" s="22" t="s">
        <v>218</v>
      </c>
      <c r="FV313" s="22" t="s">
        <v>218</v>
      </c>
      <c r="FW313" s="22" t="s">
        <v>218</v>
      </c>
      <c r="FX313" s="22" t="s">
        <v>218</v>
      </c>
      <c r="FY313" s="22" t="s">
        <v>218</v>
      </c>
      <c r="FZ313" s="22" t="s">
        <v>218</v>
      </c>
      <c r="GA313" s="22" t="s">
        <v>218</v>
      </c>
      <c r="GB313" s="22" t="s">
        <v>218</v>
      </c>
      <c r="GC313" s="22" t="s">
        <v>218</v>
      </c>
      <c r="GD313" s="22" t="s">
        <v>218</v>
      </c>
      <c r="GE313" s="22" t="s">
        <v>218</v>
      </c>
      <c r="GF313" s="22" t="s">
        <v>218</v>
      </c>
      <c r="GG313" s="22" t="s">
        <v>218</v>
      </c>
      <c r="GH313" s="22" t="s">
        <v>218</v>
      </c>
      <c r="GI313" s="22" t="s">
        <v>218</v>
      </c>
      <c r="GJ313" s="22" t="s">
        <v>218</v>
      </c>
      <c r="GK313" s="22" t="s">
        <v>218</v>
      </c>
      <c r="GL313" s="22" t="s">
        <v>218</v>
      </c>
      <c r="GM313" s="22" t="s">
        <v>218</v>
      </c>
      <c r="GN313" s="22" t="s">
        <v>218</v>
      </c>
      <c r="GO313" s="22" t="s">
        <v>218</v>
      </c>
      <c r="GP313" s="22" t="s">
        <v>218</v>
      </c>
      <c r="GQ313" s="22" t="s">
        <v>218</v>
      </c>
      <c r="GR313" s="22" t="s">
        <v>218</v>
      </c>
      <c r="GS313" s="22" t="s">
        <v>218</v>
      </c>
      <c r="GT313" s="22" t="s">
        <v>218</v>
      </c>
      <c r="GU313" s="22" t="s">
        <v>218</v>
      </c>
      <c r="GV313" s="22" t="s">
        <v>218</v>
      </c>
      <c r="GW313" s="22" t="s">
        <v>218</v>
      </c>
      <c r="GX313" s="22" t="s">
        <v>218</v>
      </c>
      <c r="GY313" s="22" t="s">
        <v>218</v>
      </c>
      <c r="GZ313" s="22" t="s">
        <v>218</v>
      </c>
      <c r="HA313" s="22" t="s">
        <v>218</v>
      </c>
      <c r="HB313" s="22" t="s">
        <v>218</v>
      </c>
      <c r="HC313" s="22" t="s">
        <v>218</v>
      </c>
      <c r="HD313" s="22" t="s">
        <v>218</v>
      </c>
      <c r="HE313" s="22" t="s">
        <v>218</v>
      </c>
      <c r="HF313" s="22" t="s">
        <v>218</v>
      </c>
      <c r="HG313" s="22" t="s">
        <v>218</v>
      </c>
      <c r="HH313" s="22" t="s">
        <v>218</v>
      </c>
      <c r="HI313" s="22" t="s">
        <v>218</v>
      </c>
      <c r="HJ313" s="22" t="s">
        <v>218</v>
      </c>
      <c r="HK313" s="22" t="s">
        <v>218</v>
      </c>
      <c r="HL313" s="22" t="s">
        <v>218</v>
      </c>
      <c r="HM313" s="860"/>
      <c r="HN313" s="860"/>
      <c r="HO313" s="860"/>
      <c r="HP313" s="860"/>
      <c r="HQ313" s="860"/>
      <c r="HR313" s="860"/>
      <c r="HS313" s="860"/>
      <c r="HT313" s="145"/>
      <c r="HU313" s="145" t="s">
        <v>1809</v>
      </c>
      <c r="HV313" s="22" t="s">
        <v>1926</v>
      </c>
      <c r="HW313" s="22" t="s">
        <v>795</v>
      </c>
      <c r="HX313" s="22">
        <v>0</v>
      </c>
      <c r="HY313" s="22">
        <v>0</v>
      </c>
      <c r="HZ313" s="19"/>
      <c r="IA313" s="19"/>
      <c r="IB313" s="621">
        <f>'background data'!$G$10</f>
        <v>0.47300000000000003</v>
      </c>
      <c r="IC313" s="621">
        <f>'background data'!$H$10</f>
        <v>0.13</v>
      </c>
      <c r="ID313" s="621">
        <f>'background data'!$J$10</f>
        <v>0.39100000000000001</v>
      </c>
      <c r="IE313" s="621">
        <f>'background data'!$L$10</f>
        <v>5.5E-2</v>
      </c>
      <c r="IF313" s="621">
        <f>'background data'!$M$10</f>
        <v>3.97</v>
      </c>
      <c r="IG313" s="621">
        <f>'background data'!$N$10</f>
        <v>4.5999999999999999E-3</v>
      </c>
      <c r="IH313" s="621">
        <f>'background data'!$O$10</f>
        <v>2.73</v>
      </c>
      <c r="II313" s="145"/>
      <c r="IJ313" s="145"/>
      <c r="IK313" s="145"/>
      <c r="IL313" s="145"/>
      <c r="IM313" s="145"/>
      <c r="IN313" s="145"/>
      <c r="IO313" s="145"/>
      <c r="IP313" s="145"/>
      <c r="IQ313" s="145"/>
      <c r="IR313" s="145"/>
      <c r="IS313" s="145"/>
      <c r="IT313" s="145"/>
      <c r="IU313" s="145"/>
      <c r="IV313" s="145"/>
      <c r="IW313" s="145"/>
      <c r="IX313" s="145"/>
      <c r="IY313" s="145"/>
      <c r="IZ313" s="145"/>
      <c r="JA313" s="145"/>
      <c r="JB313" s="145"/>
      <c r="JC313" s="145"/>
      <c r="JD313" s="145"/>
      <c r="JE313" s="145"/>
      <c r="JF313" s="145"/>
      <c r="JG313" s="145"/>
      <c r="JH313" s="145"/>
      <c r="JI313" s="145"/>
      <c r="JJ313" s="145"/>
      <c r="JK313" s="145"/>
      <c r="JL313" s="145"/>
      <c r="JM313" s="145"/>
      <c r="JN313" s="145"/>
      <c r="JO313" s="145"/>
      <c r="JP313" s="145"/>
      <c r="JQ313" s="145"/>
      <c r="JR313" s="145"/>
      <c r="JS313" s="145"/>
      <c r="JT313" s="145"/>
      <c r="JU313" s="145"/>
      <c r="JV313" s="145"/>
      <c r="JW313" s="145"/>
      <c r="JX313" s="145"/>
      <c r="JY313" s="145"/>
      <c r="JZ313" s="145"/>
      <c r="KA313" s="145"/>
      <c r="KB313" s="145"/>
      <c r="KC313" s="145"/>
      <c r="KD313" s="145"/>
      <c r="KE313" s="145"/>
      <c r="KF313" s="145"/>
      <c r="KG313" s="145"/>
      <c r="KH313" s="145"/>
      <c r="KI313" s="145"/>
      <c r="KJ313" s="145"/>
      <c r="KK313" s="145"/>
      <c r="KL313" s="145"/>
      <c r="KM313" s="145"/>
      <c r="KN313" s="145"/>
      <c r="KO313" s="145"/>
      <c r="KP313" s="145"/>
      <c r="KQ313" s="145"/>
      <c r="KR313" s="145"/>
      <c r="KS313" s="145"/>
      <c r="KT313" s="145"/>
      <c r="KU313" s="145"/>
      <c r="KV313" s="145"/>
      <c r="KW313" s="145"/>
      <c r="KX313" s="145"/>
      <c r="KY313" s="145"/>
      <c r="KZ313" s="145"/>
      <c r="LA313" s="145"/>
      <c r="LB313" s="145"/>
      <c r="LC313" s="145"/>
      <c r="LD313" s="145"/>
      <c r="LE313" s="145"/>
      <c r="LF313" s="145"/>
      <c r="LG313" s="145"/>
      <c r="LH313" s="145"/>
      <c r="LI313" s="145"/>
      <c r="LJ313" s="145"/>
      <c r="LK313" s="145"/>
      <c r="LL313" s="145"/>
      <c r="LM313" s="145"/>
      <c r="LN313" s="145"/>
      <c r="LO313" s="145"/>
      <c r="LP313" s="145"/>
      <c r="LQ313" s="145"/>
      <c r="LR313" s="145"/>
      <c r="LS313" s="145"/>
      <c r="LT313" s="145"/>
      <c r="LU313" s="145"/>
      <c r="LV313" s="145"/>
      <c r="LW313" s="145"/>
      <c r="LX313" s="145"/>
      <c r="LY313" s="145"/>
      <c r="LZ313" s="145"/>
      <c r="MA313" s="145"/>
      <c r="MB313" s="145"/>
      <c r="MC313" s="145"/>
      <c r="MD313" s="145"/>
      <c r="ME313" s="145"/>
      <c r="MF313" s="145"/>
      <c r="MG313" s="145"/>
      <c r="MH313" s="145"/>
      <c r="MI313" s="145"/>
      <c r="MJ313" s="145"/>
      <c r="MK313" s="145"/>
      <c r="ML313" s="145"/>
      <c r="MM313" s="145"/>
      <c r="MN313" s="145"/>
      <c r="MO313" s="145"/>
      <c r="MP313" s="145"/>
      <c r="MQ313" s="145"/>
      <c r="MR313" s="145"/>
      <c r="MS313" s="145"/>
      <c r="MT313" s="145"/>
      <c r="MU313" s="145"/>
      <c r="MV313" s="145"/>
      <c r="MW313" s="145"/>
      <c r="MX313" s="145"/>
      <c r="MY313" s="145"/>
      <c r="MZ313" s="145"/>
      <c r="NA313" s="145"/>
      <c r="NB313" s="145"/>
      <c r="NC313" s="145"/>
      <c r="ND313" s="145"/>
      <c r="NE313" s="145"/>
      <c r="NF313" s="145"/>
      <c r="NG313" s="145"/>
      <c r="NH313" s="145"/>
      <c r="NI313" s="145"/>
      <c r="NJ313" s="145"/>
      <c r="NK313" s="145"/>
      <c r="NL313" s="145"/>
      <c r="NM313" s="145"/>
      <c r="NN313" s="145"/>
      <c r="NO313" s="145"/>
      <c r="NP313" s="145"/>
      <c r="NQ313" s="145"/>
      <c r="NR313" s="145"/>
      <c r="NS313" s="145"/>
    </row>
    <row r="314" spans="1:383" s="16" customFormat="1" ht="15" customHeight="1" x14ac:dyDescent="0.2">
      <c r="A314" s="15">
        <v>97030</v>
      </c>
      <c r="B314" s="25">
        <v>970</v>
      </c>
      <c r="C314" s="26">
        <v>30</v>
      </c>
      <c r="D314" s="20" t="s">
        <v>796</v>
      </c>
      <c r="E314" s="14">
        <v>42695</v>
      </c>
      <c r="F314" s="18">
        <v>1.3951217540499901</v>
      </c>
      <c r="G314" s="18">
        <v>1.3371426681673899</v>
      </c>
      <c r="H314" s="21">
        <v>100</v>
      </c>
      <c r="I314" s="21">
        <v>100</v>
      </c>
      <c r="J314" s="21">
        <v>100</v>
      </c>
      <c r="K314" s="18">
        <v>1</v>
      </c>
      <c r="L314" s="18">
        <v>88</v>
      </c>
      <c r="M314" s="18">
        <v>8.8888888888888893E-5</v>
      </c>
      <c r="N314" s="18">
        <v>0</v>
      </c>
      <c r="O314" s="18">
        <v>0</v>
      </c>
      <c r="P314" s="18">
        <v>0</v>
      </c>
      <c r="Q314" s="19"/>
      <c r="R314" s="18">
        <v>0</v>
      </c>
      <c r="S314" s="18">
        <v>0</v>
      </c>
      <c r="T314" s="18">
        <v>0</v>
      </c>
      <c r="U314" s="18">
        <v>0</v>
      </c>
      <c r="V314" s="18">
        <v>0</v>
      </c>
      <c r="W314" s="18">
        <v>0</v>
      </c>
      <c r="X314" s="18"/>
      <c r="Y314" s="18">
        <v>0</v>
      </c>
      <c r="Z314" s="18">
        <v>0</v>
      </c>
      <c r="AA314" s="18">
        <v>0</v>
      </c>
      <c r="AB314" s="18">
        <v>0</v>
      </c>
      <c r="AC314" s="18">
        <v>0</v>
      </c>
      <c r="AD314" s="18">
        <v>0</v>
      </c>
      <c r="AE314" s="18">
        <v>0</v>
      </c>
      <c r="AF314" s="18">
        <v>0</v>
      </c>
      <c r="AG314" s="18">
        <v>0</v>
      </c>
      <c r="AH314" s="18">
        <v>0</v>
      </c>
      <c r="AI314" s="18">
        <v>0</v>
      </c>
      <c r="AJ314" s="18">
        <v>0</v>
      </c>
      <c r="AK314" s="18">
        <v>0</v>
      </c>
      <c r="AL314" s="18"/>
      <c r="AM314" s="18">
        <v>0</v>
      </c>
      <c r="AN314" s="18">
        <v>0</v>
      </c>
      <c r="AO314" s="18">
        <v>0</v>
      </c>
      <c r="AP314" s="18">
        <v>0</v>
      </c>
      <c r="AQ314" s="18">
        <v>0</v>
      </c>
      <c r="AR314" s="18">
        <v>0</v>
      </c>
      <c r="AS314" s="18">
        <v>0</v>
      </c>
      <c r="AT314" s="18">
        <v>0</v>
      </c>
      <c r="AU314" s="18">
        <v>0</v>
      </c>
      <c r="AV314" s="18">
        <v>0</v>
      </c>
      <c r="AW314" s="18">
        <v>0</v>
      </c>
      <c r="AX314" s="18"/>
      <c r="AY314" s="18">
        <v>1</v>
      </c>
      <c r="AZ314" s="18">
        <v>1</v>
      </c>
      <c r="BA314" s="18">
        <v>1</v>
      </c>
      <c r="BB314" s="18">
        <v>1</v>
      </c>
      <c r="BC314" s="18">
        <v>1</v>
      </c>
      <c r="BD314" s="18">
        <v>1</v>
      </c>
      <c r="BE314" s="18">
        <v>1</v>
      </c>
      <c r="BF314" s="18">
        <v>1</v>
      </c>
      <c r="BG314" s="18">
        <v>1</v>
      </c>
      <c r="BH314" s="18">
        <v>1</v>
      </c>
      <c r="BI314" s="18">
        <v>1</v>
      </c>
      <c r="BJ314" s="19"/>
      <c r="BK314" s="18">
        <v>1.0101010101010101E-4</v>
      </c>
      <c r="BL314" s="18">
        <v>0</v>
      </c>
      <c r="BM314" s="18">
        <v>0</v>
      </c>
      <c r="BN314" s="18">
        <v>0</v>
      </c>
      <c r="BO314" s="18"/>
      <c r="BP314" s="18">
        <v>0</v>
      </c>
      <c r="BQ314" s="18">
        <v>0</v>
      </c>
      <c r="BR314" s="18">
        <v>1.5853656296022614</v>
      </c>
      <c r="BS314" s="18">
        <v>1.5194803047356702</v>
      </c>
      <c r="BT314" s="19"/>
      <c r="BU314" s="18">
        <v>1000</v>
      </c>
      <c r="BV314" s="18">
        <v>999.99908080808063</v>
      </c>
      <c r="BW314" s="18">
        <v>0</v>
      </c>
      <c r="BX314" s="18" t="s">
        <v>217</v>
      </c>
      <c r="BY314" s="18" t="s">
        <v>217</v>
      </c>
      <c r="BZ314" s="18" t="s">
        <v>217</v>
      </c>
      <c r="CA314" s="18" t="s">
        <v>217</v>
      </c>
      <c r="CB314" s="19"/>
      <c r="CC314" s="19">
        <v>0</v>
      </c>
      <c r="CD314" s="19">
        <v>0</v>
      </c>
      <c r="CE314" s="19">
        <v>0</v>
      </c>
      <c r="CF314" s="19">
        <v>0</v>
      </c>
      <c r="CG314" s="19">
        <v>0</v>
      </c>
      <c r="CH314" s="19">
        <v>0</v>
      </c>
      <c r="CI314" s="19">
        <v>0</v>
      </c>
      <c r="CJ314" s="19"/>
      <c r="CK314" s="19">
        <v>0</v>
      </c>
      <c r="CL314" s="19">
        <v>0</v>
      </c>
      <c r="CM314" s="19">
        <v>0</v>
      </c>
      <c r="CN314" s="19">
        <v>0</v>
      </c>
      <c r="CO314" s="19">
        <v>0</v>
      </c>
      <c r="CP314" s="19">
        <v>0</v>
      </c>
      <c r="CQ314" s="19">
        <v>0</v>
      </c>
      <c r="CR314" s="19">
        <v>0</v>
      </c>
      <c r="CS314" s="19">
        <v>0</v>
      </c>
      <c r="CT314" s="19">
        <v>0</v>
      </c>
      <c r="CU314" s="19">
        <v>0</v>
      </c>
      <c r="CV314" s="19">
        <v>0</v>
      </c>
      <c r="CW314" s="19">
        <v>0</v>
      </c>
      <c r="CX314" s="19">
        <v>0</v>
      </c>
      <c r="CY314" s="19">
        <v>0</v>
      </c>
      <c r="CZ314" s="19">
        <v>0</v>
      </c>
      <c r="DA314" s="19">
        <v>0</v>
      </c>
      <c r="DB314" s="19">
        <v>0</v>
      </c>
      <c r="DC314" s="19">
        <v>0</v>
      </c>
      <c r="DD314" s="19">
        <v>0</v>
      </c>
      <c r="DE314" s="19">
        <v>0</v>
      </c>
      <c r="DF314" s="23">
        <v>0</v>
      </c>
      <c r="DG314" s="23">
        <v>0</v>
      </c>
      <c r="DH314" s="23">
        <v>160000000</v>
      </c>
      <c r="DI314" s="19">
        <v>0</v>
      </c>
      <c r="DJ314" s="19">
        <v>0</v>
      </c>
      <c r="DK314" s="19">
        <v>0</v>
      </c>
      <c r="DL314" s="19">
        <v>0</v>
      </c>
      <c r="DM314" s="19">
        <v>0</v>
      </c>
      <c r="DN314" s="19">
        <v>0</v>
      </c>
      <c r="DO314" s="19">
        <v>0</v>
      </c>
      <c r="DP314" s="19">
        <v>0</v>
      </c>
      <c r="DQ314" s="19">
        <v>0</v>
      </c>
      <c r="DR314" s="19">
        <v>0</v>
      </c>
      <c r="DS314" s="19">
        <v>0</v>
      </c>
      <c r="DT314" s="19">
        <v>0</v>
      </c>
      <c r="DU314" s="19">
        <v>0</v>
      </c>
      <c r="DV314" s="19">
        <v>0</v>
      </c>
      <c r="DW314" s="17" t="s">
        <v>218</v>
      </c>
      <c r="DX314" s="22" t="s">
        <v>218</v>
      </c>
      <c r="DY314" s="22" t="s">
        <v>218</v>
      </c>
      <c r="DZ314" s="22" t="s">
        <v>218</v>
      </c>
      <c r="EA314" s="22" t="s">
        <v>218</v>
      </c>
      <c r="EB314" s="22" t="s">
        <v>218</v>
      </c>
      <c r="EC314" s="22" t="s">
        <v>218</v>
      </c>
      <c r="ED314" s="22" t="s">
        <v>218</v>
      </c>
      <c r="EE314" s="22" t="s">
        <v>218</v>
      </c>
      <c r="EF314" s="22" t="s">
        <v>218</v>
      </c>
      <c r="EG314" s="22" t="s">
        <v>218</v>
      </c>
      <c r="EH314" s="22" t="s">
        <v>218</v>
      </c>
      <c r="EI314" s="22" t="s">
        <v>218</v>
      </c>
      <c r="EJ314" s="22" t="s">
        <v>218</v>
      </c>
      <c r="EK314" s="22" t="s">
        <v>218</v>
      </c>
      <c r="EL314" s="22" t="s">
        <v>218</v>
      </c>
      <c r="EM314" s="22" t="s">
        <v>218</v>
      </c>
      <c r="EN314" s="22" t="s">
        <v>218</v>
      </c>
      <c r="EO314" s="22" t="s">
        <v>218</v>
      </c>
      <c r="EP314" s="22" t="s">
        <v>218</v>
      </c>
      <c r="EQ314" s="22" t="s">
        <v>218</v>
      </c>
      <c r="ER314" s="22" t="s">
        <v>218</v>
      </c>
      <c r="ES314" s="22" t="s">
        <v>218</v>
      </c>
      <c r="ET314" s="22" t="s">
        <v>218</v>
      </c>
      <c r="EU314" s="22" t="s">
        <v>218</v>
      </c>
      <c r="EV314" s="22" t="s">
        <v>218</v>
      </c>
      <c r="EW314" s="22" t="s">
        <v>218</v>
      </c>
      <c r="EX314" s="22" t="s">
        <v>218</v>
      </c>
      <c r="EY314" s="22" t="s">
        <v>218</v>
      </c>
      <c r="EZ314" s="22" t="s">
        <v>218</v>
      </c>
      <c r="FA314" s="22" t="s">
        <v>218</v>
      </c>
      <c r="FB314" s="22" t="s">
        <v>218</v>
      </c>
      <c r="FC314" s="22" t="s">
        <v>218</v>
      </c>
      <c r="FD314" s="22" t="s">
        <v>218</v>
      </c>
      <c r="FE314" s="22" t="s">
        <v>218</v>
      </c>
      <c r="FF314" s="22" t="s">
        <v>218</v>
      </c>
      <c r="FG314" s="22" t="s">
        <v>218</v>
      </c>
      <c r="FH314" s="22" t="s">
        <v>218</v>
      </c>
      <c r="FI314" s="22" t="s">
        <v>218</v>
      </c>
      <c r="FJ314" s="22" t="s">
        <v>218</v>
      </c>
      <c r="FK314" s="22" t="s">
        <v>218</v>
      </c>
      <c r="FL314" s="22" t="s">
        <v>218</v>
      </c>
      <c r="FM314" s="22" t="s">
        <v>218</v>
      </c>
      <c r="FN314" s="22" t="s">
        <v>218</v>
      </c>
      <c r="FO314" s="22" t="s">
        <v>218</v>
      </c>
      <c r="FP314" s="22" t="s">
        <v>218</v>
      </c>
      <c r="FQ314" s="22" t="s">
        <v>218</v>
      </c>
      <c r="FR314" s="22" t="s">
        <v>218</v>
      </c>
      <c r="FS314" s="22" t="s">
        <v>218</v>
      </c>
      <c r="FT314" s="22" t="s">
        <v>218</v>
      </c>
      <c r="FU314" s="22" t="s">
        <v>218</v>
      </c>
      <c r="FV314" s="22" t="s">
        <v>218</v>
      </c>
      <c r="FW314" s="22" t="s">
        <v>218</v>
      </c>
      <c r="FX314" s="22" t="s">
        <v>218</v>
      </c>
      <c r="FY314" s="22" t="s">
        <v>218</v>
      </c>
      <c r="FZ314" s="22" t="s">
        <v>218</v>
      </c>
      <c r="GA314" s="22" t="s">
        <v>218</v>
      </c>
      <c r="GB314" s="22" t="s">
        <v>218</v>
      </c>
      <c r="GC314" s="22" t="s">
        <v>218</v>
      </c>
      <c r="GD314" s="22" t="s">
        <v>218</v>
      </c>
      <c r="GE314" s="22" t="s">
        <v>218</v>
      </c>
      <c r="GF314" s="22" t="s">
        <v>218</v>
      </c>
      <c r="GG314" s="22" t="s">
        <v>218</v>
      </c>
      <c r="GH314" s="22" t="s">
        <v>218</v>
      </c>
      <c r="GI314" s="22" t="s">
        <v>218</v>
      </c>
      <c r="GJ314" s="22" t="s">
        <v>218</v>
      </c>
      <c r="GK314" s="22" t="s">
        <v>218</v>
      </c>
      <c r="GL314" s="22" t="s">
        <v>218</v>
      </c>
      <c r="GM314" s="22" t="s">
        <v>218</v>
      </c>
      <c r="GN314" s="22" t="s">
        <v>218</v>
      </c>
      <c r="GO314" s="22" t="s">
        <v>218</v>
      </c>
      <c r="GP314" s="22" t="s">
        <v>218</v>
      </c>
      <c r="GQ314" s="22" t="s">
        <v>218</v>
      </c>
      <c r="GR314" s="22" t="s">
        <v>218</v>
      </c>
      <c r="GS314" s="22" t="s">
        <v>218</v>
      </c>
      <c r="GT314" s="22" t="s">
        <v>218</v>
      </c>
      <c r="GU314" s="22" t="s">
        <v>218</v>
      </c>
      <c r="GV314" s="22" t="s">
        <v>218</v>
      </c>
      <c r="GW314" s="22" t="s">
        <v>218</v>
      </c>
      <c r="GX314" s="22" t="s">
        <v>218</v>
      </c>
      <c r="GY314" s="22" t="s">
        <v>218</v>
      </c>
      <c r="GZ314" s="22" t="s">
        <v>218</v>
      </c>
      <c r="HA314" s="22" t="s">
        <v>218</v>
      </c>
      <c r="HB314" s="22" t="s">
        <v>218</v>
      </c>
      <c r="HC314" s="22" t="s">
        <v>218</v>
      </c>
      <c r="HD314" s="22" t="s">
        <v>218</v>
      </c>
      <c r="HE314" s="22" t="s">
        <v>218</v>
      </c>
      <c r="HF314" s="22" t="s">
        <v>218</v>
      </c>
      <c r="HG314" s="22" t="s">
        <v>218</v>
      </c>
      <c r="HH314" s="22" t="s">
        <v>218</v>
      </c>
      <c r="HI314" s="22" t="s">
        <v>218</v>
      </c>
      <c r="HJ314" s="22" t="s">
        <v>218</v>
      </c>
      <c r="HK314" s="22" t="s">
        <v>218</v>
      </c>
      <c r="HL314" s="22" t="s">
        <v>218</v>
      </c>
      <c r="HM314" s="860"/>
      <c r="HN314" s="860"/>
      <c r="HO314" s="860"/>
      <c r="HP314" s="860"/>
      <c r="HQ314" s="860"/>
      <c r="HR314" s="860"/>
      <c r="HS314" s="860"/>
      <c r="HT314" s="145"/>
      <c r="HU314" s="145" t="s">
        <v>1809</v>
      </c>
      <c r="HV314" s="22" t="s">
        <v>1926</v>
      </c>
      <c r="HW314" s="22" t="s">
        <v>797</v>
      </c>
      <c r="HX314" s="22">
        <v>0</v>
      </c>
      <c r="HY314" s="22">
        <v>0</v>
      </c>
      <c r="HZ314" s="19"/>
      <c r="IA314" s="19"/>
      <c r="IB314" s="621">
        <f>'background data'!$G$10</f>
        <v>0.47300000000000003</v>
      </c>
      <c r="IC314" s="621">
        <f>'background data'!$H$10</f>
        <v>0.13</v>
      </c>
      <c r="ID314" s="621">
        <f>'background data'!$J$10</f>
        <v>0.39100000000000001</v>
      </c>
      <c r="IE314" s="621">
        <f>'background data'!$L$10</f>
        <v>5.5E-2</v>
      </c>
      <c r="IF314" s="621">
        <f>'background data'!$M$10</f>
        <v>3.97</v>
      </c>
      <c r="IG314" s="621">
        <f>'background data'!$N$10</f>
        <v>4.5999999999999999E-3</v>
      </c>
      <c r="IH314" s="621">
        <f>'background data'!$O$10</f>
        <v>2.73</v>
      </c>
      <c r="II314" s="145"/>
      <c r="IJ314" s="145"/>
      <c r="IK314" s="145"/>
      <c r="IL314" s="145"/>
      <c r="IM314" s="145"/>
      <c r="IN314" s="145"/>
      <c r="IO314" s="145"/>
      <c r="IP314" s="145"/>
      <c r="IQ314" s="145"/>
      <c r="IR314" s="145"/>
      <c r="IS314" s="145"/>
      <c r="IT314" s="145"/>
      <c r="IU314" s="145"/>
      <c r="IV314" s="145"/>
      <c r="IW314" s="145"/>
      <c r="IX314" s="145"/>
      <c r="IY314" s="145"/>
      <c r="IZ314" s="145"/>
      <c r="JA314" s="145"/>
      <c r="JB314" s="145"/>
      <c r="JC314" s="145"/>
      <c r="JD314" s="145"/>
      <c r="JE314" s="145"/>
      <c r="JF314" s="145"/>
      <c r="JG314" s="145"/>
      <c r="JH314" s="145"/>
      <c r="JI314" s="145"/>
      <c r="JJ314" s="145"/>
      <c r="JK314" s="145"/>
      <c r="JL314" s="145"/>
      <c r="JM314" s="145"/>
      <c r="JN314" s="145"/>
      <c r="JO314" s="145"/>
      <c r="JP314" s="145"/>
      <c r="JQ314" s="145"/>
      <c r="JR314" s="145"/>
      <c r="JS314" s="145"/>
      <c r="JT314" s="145"/>
      <c r="JU314" s="145"/>
      <c r="JV314" s="145"/>
      <c r="JW314" s="145"/>
      <c r="JX314" s="145"/>
      <c r="JY314" s="145"/>
      <c r="JZ314" s="145"/>
      <c r="KA314" s="145"/>
      <c r="KB314" s="145"/>
      <c r="KC314" s="145"/>
      <c r="KD314" s="145"/>
      <c r="KE314" s="145"/>
      <c r="KF314" s="145"/>
      <c r="KG314" s="145"/>
      <c r="KH314" s="145"/>
      <c r="KI314" s="145"/>
      <c r="KJ314" s="145"/>
      <c r="KK314" s="145"/>
      <c r="KL314" s="145"/>
      <c r="KM314" s="145"/>
      <c r="KN314" s="145"/>
      <c r="KO314" s="145"/>
      <c r="KP314" s="145"/>
      <c r="KQ314" s="145"/>
      <c r="KR314" s="145"/>
      <c r="KS314" s="145"/>
      <c r="KT314" s="145"/>
      <c r="KU314" s="145"/>
      <c r="KV314" s="145"/>
      <c r="KW314" s="145"/>
      <c r="KX314" s="145"/>
      <c r="KY314" s="145"/>
      <c r="KZ314" s="145"/>
      <c r="LA314" s="145"/>
      <c r="LB314" s="145"/>
      <c r="LC314" s="145"/>
      <c r="LD314" s="145"/>
      <c r="LE314" s="145"/>
      <c r="LF314" s="145"/>
      <c r="LG314" s="145"/>
      <c r="LH314" s="145"/>
      <c r="LI314" s="145"/>
      <c r="LJ314" s="145"/>
      <c r="LK314" s="145"/>
      <c r="LL314" s="145"/>
      <c r="LM314" s="145"/>
      <c r="LN314" s="145"/>
      <c r="LO314" s="145"/>
      <c r="LP314" s="145"/>
      <c r="LQ314" s="145"/>
      <c r="LR314" s="145"/>
      <c r="LS314" s="145"/>
      <c r="LT314" s="145"/>
      <c r="LU314" s="145"/>
      <c r="LV314" s="145"/>
      <c r="LW314" s="145"/>
      <c r="LX314" s="145"/>
      <c r="LY314" s="145"/>
      <c r="LZ314" s="145"/>
      <c r="MA314" s="145"/>
      <c r="MB314" s="145"/>
      <c r="MC314" s="145"/>
      <c r="MD314" s="145"/>
      <c r="ME314" s="145"/>
      <c r="MF314" s="145"/>
      <c r="MG314" s="145"/>
      <c r="MH314" s="145"/>
      <c r="MI314" s="145"/>
      <c r="MJ314" s="145"/>
      <c r="MK314" s="145"/>
      <c r="ML314" s="145"/>
      <c r="MM314" s="145"/>
      <c r="MN314" s="145"/>
      <c r="MO314" s="145"/>
      <c r="MP314" s="145"/>
      <c r="MQ314" s="145"/>
      <c r="MR314" s="145"/>
      <c r="MS314" s="145"/>
      <c r="MT314" s="145"/>
      <c r="MU314" s="145"/>
      <c r="MV314" s="145"/>
      <c r="MW314" s="145"/>
      <c r="MX314" s="145"/>
      <c r="MY314" s="145"/>
      <c r="MZ314" s="145"/>
      <c r="NA314" s="145"/>
      <c r="NB314" s="145"/>
      <c r="NC314" s="145"/>
      <c r="ND314" s="145"/>
      <c r="NE314" s="145"/>
      <c r="NF314" s="145"/>
      <c r="NG314" s="145"/>
      <c r="NH314" s="145"/>
      <c r="NI314" s="145"/>
      <c r="NJ314" s="145"/>
      <c r="NK314" s="145"/>
      <c r="NL314" s="145"/>
      <c r="NM314" s="145"/>
      <c r="NN314" s="145"/>
      <c r="NO314" s="145"/>
      <c r="NP314" s="145"/>
      <c r="NQ314" s="145"/>
      <c r="NR314" s="145"/>
      <c r="NS314" s="145"/>
    </row>
    <row r="315" spans="1:383" s="16" customFormat="1" ht="15" customHeight="1" x14ac:dyDescent="0.2">
      <c r="A315" s="15">
        <v>97000</v>
      </c>
      <c r="B315" s="25">
        <v>970</v>
      </c>
      <c r="C315" s="26">
        <v>0</v>
      </c>
      <c r="D315" s="20" t="s">
        <v>798</v>
      </c>
      <c r="E315" s="14">
        <v>41501</v>
      </c>
      <c r="F315" s="18">
        <v>1.3951217540499901</v>
      </c>
      <c r="G315" s="18">
        <v>1.3371426681673899</v>
      </c>
      <c r="H315" s="21">
        <v>100</v>
      </c>
      <c r="I315" s="21">
        <v>100</v>
      </c>
      <c r="J315" s="21">
        <v>100</v>
      </c>
      <c r="K315" s="18">
        <v>1</v>
      </c>
      <c r="L315" s="18">
        <v>88</v>
      </c>
      <c r="M315" s="18">
        <v>8.8888888888888907E-5</v>
      </c>
      <c r="N315" s="18">
        <v>0</v>
      </c>
      <c r="O315" s="18">
        <v>0</v>
      </c>
      <c r="P315" s="18">
        <v>0</v>
      </c>
      <c r="Q315" s="19"/>
      <c r="R315" s="18">
        <v>0</v>
      </c>
      <c r="S315" s="18">
        <v>0</v>
      </c>
      <c r="T315" s="18">
        <v>0</v>
      </c>
      <c r="U315" s="18">
        <v>0</v>
      </c>
      <c r="V315" s="18">
        <v>0</v>
      </c>
      <c r="W315" s="18">
        <v>0</v>
      </c>
      <c r="X315" s="18"/>
      <c r="Y315" s="18">
        <v>0</v>
      </c>
      <c r="Z315" s="18">
        <v>0</v>
      </c>
      <c r="AA315" s="18">
        <v>0</v>
      </c>
      <c r="AB315" s="18">
        <v>0</v>
      </c>
      <c r="AC315" s="18">
        <v>0</v>
      </c>
      <c r="AD315" s="18">
        <v>0</v>
      </c>
      <c r="AE315" s="18">
        <v>0</v>
      </c>
      <c r="AF315" s="18">
        <v>0</v>
      </c>
      <c r="AG315" s="18">
        <v>0</v>
      </c>
      <c r="AH315" s="18">
        <v>0</v>
      </c>
      <c r="AI315" s="18">
        <v>0</v>
      </c>
      <c r="AJ315" s="18">
        <v>0</v>
      </c>
      <c r="AK315" s="18">
        <v>0</v>
      </c>
      <c r="AL315" s="18"/>
      <c r="AM315" s="18">
        <v>0</v>
      </c>
      <c r="AN315" s="18">
        <v>0</v>
      </c>
      <c r="AO315" s="18">
        <v>0</v>
      </c>
      <c r="AP315" s="18">
        <v>0</v>
      </c>
      <c r="AQ315" s="18">
        <v>0</v>
      </c>
      <c r="AR315" s="18">
        <v>0</v>
      </c>
      <c r="AS315" s="18">
        <v>0</v>
      </c>
      <c r="AT315" s="18">
        <v>0</v>
      </c>
      <c r="AU315" s="18">
        <v>0</v>
      </c>
      <c r="AV315" s="18">
        <v>0</v>
      </c>
      <c r="AW315" s="18">
        <v>0</v>
      </c>
      <c r="AX315" s="18"/>
      <c r="AY315" s="18">
        <v>1</v>
      </c>
      <c r="AZ315" s="18">
        <v>1</v>
      </c>
      <c r="BA315" s="18">
        <v>1</v>
      </c>
      <c r="BB315" s="18">
        <v>1</v>
      </c>
      <c r="BC315" s="18">
        <v>1</v>
      </c>
      <c r="BD315" s="18">
        <v>1</v>
      </c>
      <c r="BE315" s="18">
        <v>1</v>
      </c>
      <c r="BF315" s="18">
        <v>1</v>
      </c>
      <c r="BG315" s="18">
        <v>1</v>
      </c>
      <c r="BH315" s="18">
        <v>1</v>
      </c>
      <c r="BI315" s="18">
        <v>1</v>
      </c>
      <c r="BJ315" s="19"/>
      <c r="BK315" s="18">
        <v>1.0101010101010104E-4</v>
      </c>
      <c r="BL315" s="18">
        <v>0</v>
      </c>
      <c r="BM315" s="18">
        <v>0</v>
      </c>
      <c r="BN315" s="18">
        <v>0</v>
      </c>
      <c r="BO315" s="18"/>
      <c r="BP315" s="18">
        <v>0</v>
      </c>
      <c r="BQ315" s="18">
        <v>0</v>
      </c>
      <c r="BR315" s="18">
        <v>1.5853656296022614</v>
      </c>
      <c r="BS315" s="18">
        <v>1.5194803047356704</v>
      </c>
      <c r="BT315" s="19"/>
      <c r="BU315" s="18">
        <v>1000</v>
      </c>
      <c r="BV315" s="18">
        <v>999.99908080808075</v>
      </c>
      <c r="BW315" s="18">
        <v>0</v>
      </c>
      <c r="BX315" s="18" t="s">
        <v>217</v>
      </c>
      <c r="BY315" s="18" t="s">
        <v>217</v>
      </c>
      <c r="BZ315" s="18" t="s">
        <v>217</v>
      </c>
      <c r="CA315" s="18" t="s">
        <v>217</v>
      </c>
      <c r="CB315" s="19"/>
      <c r="CC315" s="19">
        <v>0</v>
      </c>
      <c r="CD315" s="19">
        <v>0</v>
      </c>
      <c r="CE315" s="19">
        <v>0</v>
      </c>
      <c r="CF315" s="19">
        <v>0</v>
      </c>
      <c r="CG315" s="19">
        <v>0</v>
      </c>
      <c r="CH315" s="19">
        <v>0</v>
      </c>
      <c r="CI315" s="19">
        <v>0</v>
      </c>
      <c r="CJ315" s="19"/>
      <c r="CK315" s="19">
        <v>0</v>
      </c>
      <c r="CL315" s="19">
        <v>0</v>
      </c>
      <c r="CM315" s="19">
        <v>0</v>
      </c>
      <c r="CN315" s="19">
        <v>0</v>
      </c>
      <c r="CO315" s="19">
        <v>0</v>
      </c>
      <c r="CP315" s="19">
        <v>0</v>
      </c>
      <c r="CQ315" s="19">
        <v>0</v>
      </c>
      <c r="CR315" s="19">
        <v>0</v>
      </c>
      <c r="CS315" s="19">
        <v>0</v>
      </c>
      <c r="CT315" s="19">
        <v>0</v>
      </c>
      <c r="CU315" s="19">
        <v>0</v>
      </c>
      <c r="CV315" s="19">
        <v>0</v>
      </c>
      <c r="CW315" s="19">
        <v>0</v>
      </c>
      <c r="CX315" s="19">
        <v>0</v>
      </c>
      <c r="CY315" s="19">
        <v>0</v>
      </c>
      <c r="CZ315" s="19">
        <v>0</v>
      </c>
      <c r="DA315" s="19">
        <v>0</v>
      </c>
      <c r="DB315" s="19">
        <v>0</v>
      </c>
      <c r="DC315" s="19">
        <v>0</v>
      </c>
      <c r="DD315" s="19">
        <v>0</v>
      </c>
      <c r="DE315" s="19">
        <v>0</v>
      </c>
      <c r="DF315" s="23">
        <v>0</v>
      </c>
      <c r="DG315" s="23">
        <v>0</v>
      </c>
      <c r="DH315" s="23">
        <v>8000000</v>
      </c>
      <c r="DI315" s="19">
        <v>0</v>
      </c>
      <c r="DJ315" s="19">
        <v>0</v>
      </c>
      <c r="DK315" s="19">
        <v>0</v>
      </c>
      <c r="DL315" s="19">
        <v>0</v>
      </c>
      <c r="DM315" s="19">
        <v>0</v>
      </c>
      <c r="DN315" s="19">
        <v>0</v>
      </c>
      <c r="DO315" s="19">
        <v>0</v>
      </c>
      <c r="DP315" s="19">
        <v>0</v>
      </c>
      <c r="DQ315" s="19">
        <v>0</v>
      </c>
      <c r="DR315" s="19">
        <v>0</v>
      </c>
      <c r="DS315" s="19">
        <v>0</v>
      </c>
      <c r="DT315" s="19">
        <v>0</v>
      </c>
      <c r="DU315" s="19">
        <v>0</v>
      </c>
      <c r="DV315" s="19">
        <v>0</v>
      </c>
      <c r="DW315" s="17" t="s">
        <v>218</v>
      </c>
      <c r="DX315" s="22" t="s">
        <v>218</v>
      </c>
      <c r="DY315" s="22" t="s">
        <v>218</v>
      </c>
      <c r="DZ315" s="22" t="s">
        <v>218</v>
      </c>
      <c r="EA315" s="22" t="s">
        <v>218</v>
      </c>
      <c r="EB315" s="22" t="s">
        <v>218</v>
      </c>
      <c r="EC315" s="22" t="s">
        <v>218</v>
      </c>
      <c r="ED315" s="22" t="s">
        <v>218</v>
      </c>
      <c r="EE315" s="22" t="s">
        <v>218</v>
      </c>
      <c r="EF315" s="22" t="s">
        <v>218</v>
      </c>
      <c r="EG315" s="22" t="s">
        <v>218</v>
      </c>
      <c r="EH315" s="22" t="s">
        <v>218</v>
      </c>
      <c r="EI315" s="22" t="s">
        <v>218</v>
      </c>
      <c r="EJ315" s="22" t="s">
        <v>218</v>
      </c>
      <c r="EK315" s="22" t="s">
        <v>218</v>
      </c>
      <c r="EL315" s="22" t="s">
        <v>218</v>
      </c>
      <c r="EM315" s="22" t="s">
        <v>218</v>
      </c>
      <c r="EN315" s="22" t="s">
        <v>218</v>
      </c>
      <c r="EO315" s="22" t="s">
        <v>218</v>
      </c>
      <c r="EP315" s="22" t="s">
        <v>218</v>
      </c>
      <c r="EQ315" s="22" t="s">
        <v>218</v>
      </c>
      <c r="ER315" s="22" t="s">
        <v>218</v>
      </c>
      <c r="ES315" s="22" t="s">
        <v>218</v>
      </c>
      <c r="ET315" s="22" t="s">
        <v>218</v>
      </c>
      <c r="EU315" s="22" t="s">
        <v>218</v>
      </c>
      <c r="EV315" s="22" t="s">
        <v>218</v>
      </c>
      <c r="EW315" s="22" t="s">
        <v>218</v>
      </c>
      <c r="EX315" s="22" t="s">
        <v>218</v>
      </c>
      <c r="EY315" s="22" t="s">
        <v>218</v>
      </c>
      <c r="EZ315" s="22" t="s">
        <v>218</v>
      </c>
      <c r="FA315" s="22" t="s">
        <v>218</v>
      </c>
      <c r="FB315" s="22" t="s">
        <v>218</v>
      </c>
      <c r="FC315" s="22" t="s">
        <v>218</v>
      </c>
      <c r="FD315" s="22" t="s">
        <v>218</v>
      </c>
      <c r="FE315" s="22" t="s">
        <v>218</v>
      </c>
      <c r="FF315" s="22" t="s">
        <v>218</v>
      </c>
      <c r="FG315" s="22" t="s">
        <v>218</v>
      </c>
      <c r="FH315" s="22" t="s">
        <v>218</v>
      </c>
      <c r="FI315" s="22" t="s">
        <v>218</v>
      </c>
      <c r="FJ315" s="22" t="s">
        <v>218</v>
      </c>
      <c r="FK315" s="22" t="s">
        <v>218</v>
      </c>
      <c r="FL315" s="22" t="s">
        <v>218</v>
      </c>
      <c r="FM315" s="22" t="s">
        <v>218</v>
      </c>
      <c r="FN315" s="22" t="s">
        <v>218</v>
      </c>
      <c r="FO315" s="22" t="s">
        <v>218</v>
      </c>
      <c r="FP315" s="22" t="s">
        <v>218</v>
      </c>
      <c r="FQ315" s="22" t="s">
        <v>218</v>
      </c>
      <c r="FR315" s="22" t="s">
        <v>218</v>
      </c>
      <c r="FS315" s="22" t="s">
        <v>218</v>
      </c>
      <c r="FT315" s="22" t="s">
        <v>218</v>
      </c>
      <c r="FU315" s="22" t="s">
        <v>218</v>
      </c>
      <c r="FV315" s="22" t="s">
        <v>218</v>
      </c>
      <c r="FW315" s="22" t="s">
        <v>218</v>
      </c>
      <c r="FX315" s="22" t="s">
        <v>218</v>
      </c>
      <c r="FY315" s="22" t="s">
        <v>218</v>
      </c>
      <c r="FZ315" s="22" t="s">
        <v>218</v>
      </c>
      <c r="GA315" s="22" t="s">
        <v>218</v>
      </c>
      <c r="GB315" s="22" t="s">
        <v>218</v>
      </c>
      <c r="GC315" s="22" t="s">
        <v>218</v>
      </c>
      <c r="GD315" s="22" t="s">
        <v>218</v>
      </c>
      <c r="GE315" s="22" t="s">
        <v>218</v>
      </c>
      <c r="GF315" s="22" t="s">
        <v>218</v>
      </c>
      <c r="GG315" s="22" t="s">
        <v>218</v>
      </c>
      <c r="GH315" s="22" t="s">
        <v>218</v>
      </c>
      <c r="GI315" s="22" t="s">
        <v>218</v>
      </c>
      <c r="GJ315" s="22" t="s">
        <v>218</v>
      </c>
      <c r="GK315" s="22" t="s">
        <v>218</v>
      </c>
      <c r="GL315" s="22" t="s">
        <v>218</v>
      </c>
      <c r="GM315" s="22" t="s">
        <v>218</v>
      </c>
      <c r="GN315" s="22" t="s">
        <v>218</v>
      </c>
      <c r="GO315" s="22" t="s">
        <v>218</v>
      </c>
      <c r="GP315" s="22" t="s">
        <v>218</v>
      </c>
      <c r="GQ315" s="22" t="s">
        <v>218</v>
      </c>
      <c r="GR315" s="22" t="s">
        <v>218</v>
      </c>
      <c r="GS315" s="22" t="s">
        <v>218</v>
      </c>
      <c r="GT315" s="22" t="s">
        <v>218</v>
      </c>
      <c r="GU315" s="22" t="s">
        <v>218</v>
      </c>
      <c r="GV315" s="22" t="s">
        <v>218</v>
      </c>
      <c r="GW315" s="22" t="s">
        <v>218</v>
      </c>
      <c r="GX315" s="22" t="s">
        <v>218</v>
      </c>
      <c r="GY315" s="22" t="s">
        <v>218</v>
      </c>
      <c r="GZ315" s="22" t="s">
        <v>218</v>
      </c>
      <c r="HA315" s="22" t="s">
        <v>218</v>
      </c>
      <c r="HB315" s="22" t="s">
        <v>218</v>
      </c>
      <c r="HC315" s="22" t="s">
        <v>218</v>
      </c>
      <c r="HD315" s="22" t="s">
        <v>218</v>
      </c>
      <c r="HE315" s="22" t="s">
        <v>218</v>
      </c>
      <c r="HF315" s="22" t="s">
        <v>218</v>
      </c>
      <c r="HG315" s="22" t="s">
        <v>218</v>
      </c>
      <c r="HH315" s="22" t="s">
        <v>218</v>
      </c>
      <c r="HI315" s="22" t="s">
        <v>218</v>
      </c>
      <c r="HJ315" s="22" t="s">
        <v>218</v>
      </c>
      <c r="HK315" s="22" t="s">
        <v>218</v>
      </c>
      <c r="HL315" s="22" t="s">
        <v>218</v>
      </c>
      <c r="HM315" s="860"/>
      <c r="HN315" s="860"/>
      <c r="HO315" s="860"/>
      <c r="HP315" s="860"/>
      <c r="HQ315" s="860"/>
      <c r="HR315" s="860"/>
      <c r="HS315" s="860"/>
      <c r="HT315" s="145"/>
      <c r="HU315" s="145" t="s">
        <v>1809</v>
      </c>
      <c r="HV315" s="22" t="s">
        <v>1926</v>
      </c>
      <c r="HW315" s="22" t="s">
        <v>799</v>
      </c>
      <c r="HX315" s="22">
        <v>0</v>
      </c>
      <c r="HY315" s="22">
        <v>0</v>
      </c>
      <c r="HZ315" s="19"/>
      <c r="IA315" s="19"/>
      <c r="IB315" s="621">
        <f>'background data'!$G$10</f>
        <v>0.47300000000000003</v>
      </c>
      <c r="IC315" s="621">
        <f>'background data'!$H$10</f>
        <v>0.13</v>
      </c>
      <c r="ID315" s="621">
        <f>'background data'!$J$10</f>
        <v>0.39100000000000001</v>
      </c>
      <c r="IE315" s="621">
        <f>'background data'!$L$10</f>
        <v>5.5E-2</v>
      </c>
      <c r="IF315" s="621">
        <f>'background data'!$M$10</f>
        <v>3.97</v>
      </c>
      <c r="IG315" s="621">
        <f>'background data'!$N$10</f>
        <v>4.5999999999999999E-3</v>
      </c>
      <c r="IH315" s="621">
        <f>'background data'!$O$10</f>
        <v>2.73</v>
      </c>
      <c r="II315" s="145"/>
      <c r="IJ315" s="145"/>
      <c r="IK315" s="145"/>
      <c r="IL315" s="145"/>
      <c r="IM315" s="145"/>
      <c r="IN315" s="145"/>
      <c r="IO315" s="145"/>
      <c r="IP315" s="145"/>
      <c r="IQ315" s="145"/>
      <c r="IR315" s="145"/>
      <c r="IS315" s="145"/>
      <c r="IT315" s="145"/>
      <c r="IU315" s="145"/>
      <c r="IV315" s="145"/>
      <c r="IW315" s="145"/>
      <c r="IX315" s="145"/>
      <c r="IY315" s="145"/>
      <c r="IZ315" s="145"/>
      <c r="JA315" s="145"/>
      <c r="JB315" s="145"/>
      <c r="JC315" s="145"/>
      <c r="JD315" s="145"/>
      <c r="JE315" s="145"/>
      <c r="JF315" s="145"/>
      <c r="JG315" s="145"/>
      <c r="JH315" s="145"/>
      <c r="JI315" s="145"/>
      <c r="JJ315" s="145"/>
      <c r="JK315" s="145"/>
      <c r="JL315" s="145"/>
      <c r="JM315" s="145"/>
      <c r="JN315" s="145"/>
      <c r="JO315" s="145"/>
      <c r="JP315" s="145"/>
      <c r="JQ315" s="145"/>
      <c r="JR315" s="145"/>
      <c r="JS315" s="145"/>
      <c r="JT315" s="145"/>
      <c r="JU315" s="145"/>
      <c r="JV315" s="145"/>
      <c r="JW315" s="145"/>
      <c r="JX315" s="145"/>
      <c r="JY315" s="145"/>
      <c r="JZ315" s="145"/>
      <c r="KA315" s="145"/>
      <c r="KB315" s="145"/>
      <c r="KC315" s="145"/>
      <c r="KD315" s="145"/>
      <c r="KE315" s="145"/>
      <c r="KF315" s="145"/>
      <c r="KG315" s="145"/>
      <c r="KH315" s="145"/>
      <c r="KI315" s="145"/>
      <c r="KJ315" s="145"/>
      <c r="KK315" s="145"/>
      <c r="KL315" s="145"/>
      <c r="KM315" s="145"/>
      <c r="KN315" s="145"/>
      <c r="KO315" s="145"/>
      <c r="KP315" s="145"/>
      <c r="KQ315" s="145"/>
      <c r="KR315" s="145"/>
      <c r="KS315" s="145"/>
      <c r="KT315" s="145"/>
      <c r="KU315" s="145"/>
      <c r="KV315" s="145"/>
      <c r="KW315" s="145"/>
      <c r="KX315" s="145"/>
      <c r="KY315" s="145"/>
      <c r="KZ315" s="145"/>
      <c r="LA315" s="145"/>
      <c r="LB315" s="145"/>
      <c r="LC315" s="145"/>
      <c r="LD315" s="145"/>
      <c r="LE315" s="145"/>
      <c r="LF315" s="145"/>
      <c r="LG315" s="145"/>
      <c r="LH315" s="145"/>
      <c r="LI315" s="145"/>
      <c r="LJ315" s="145"/>
      <c r="LK315" s="145"/>
      <c r="LL315" s="145"/>
      <c r="LM315" s="145"/>
      <c r="LN315" s="145"/>
      <c r="LO315" s="145"/>
      <c r="LP315" s="145"/>
      <c r="LQ315" s="145"/>
      <c r="LR315" s="145"/>
      <c r="LS315" s="145"/>
      <c r="LT315" s="145"/>
      <c r="LU315" s="145"/>
      <c r="LV315" s="145"/>
      <c r="LW315" s="145"/>
      <c r="LX315" s="145"/>
      <c r="LY315" s="145"/>
      <c r="LZ315" s="145"/>
      <c r="MA315" s="145"/>
      <c r="MB315" s="145"/>
      <c r="MC315" s="145"/>
      <c r="MD315" s="145"/>
      <c r="ME315" s="145"/>
      <c r="MF315" s="145"/>
      <c r="MG315" s="145"/>
      <c r="MH315" s="145"/>
      <c r="MI315" s="145"/>
      <c r="MJ315" s="145"/>
      <c r="MK315" s="145"/>
      <c r="ML315" s="145"/>
      <c r="MM315" s="145"/>
      <c r="MN315" s="145"/>
      <c r="MO315" s="145"/>
      <c r="MP315" s="145"/>
      <c r="MQ315" s="145"/>
      <c r="MR315" s="145"/>
      <c r="MS315" s="145"/>
      <c r="MT315" s="145"/>
      <c r="MU315" s="145"/>
      <c r="MV315" s="145"/>
      <c r="MW315" s="145"/>
      <c r="MX315" s="145"/>
      <c r="MY315" s="145"/>
      <c r="MZ315" s="145"/>
      <c r="NA315" s="145"/>
      <c r="NB315" s="145"/>
      <c r="NC315" s="145"/>
      <c r="ND315" s="145"/>
      <c r="NE315" s="145"/>
      <c r="NF315" s="145"/>
      <c r="NG315" s="145"/>
      <c r="NH315" s="145"/>
      <c r="NI315" s="145"/>
      <c r="NJ315" s="145"/>
      <c r="NK315" s="145"/>
      <c r="NL315" s="145"/>
      <c r="NM315" s="145"/>
      <c r="NN315" s="145"/>
      <c r="NO315" s="145"/>
      <c r="NP315" s="145"/>
      <c r="NQ315" s="145"/>
      <c r="NR315" s="145"/>
      <c r="NS315" s="145"/>
    </row>
    <row r="316" spans="1:383" s="16" customFormat="1" ht="15" customHeight="1" x14ac:dyDescent="0.2">
      <c r="A316" s="15">
        <v>97010</v>
      </c>
      <c r="B316" s="25">
        <v>970</v>
      </c>
      <c r="C316" s="26">
        <v>10</v>
      </c>
      <c r="D316" s="20" t="s">
        <v>800</v>
      </c>
      <c r="E316" s="14">
        <v>42695</v>
      </c>
      <c r="F316" s="18">
        <v>1.3951217294037901</v>
      </c>
      <c r="G316" s="18">
        <v>1.33714264454545</v>
      </c>
      <c r="H316" s="21">
        <v>100</v>
      </c>
      <c r="I316" s="21">
        <v>100</v>
      </c>
      <c r="J316" s="21">
        <v>90</v>
      </c>
      <c r="K316" s="18">
        <v>1</v>
      </c>
      <c r="L316" s="18">
        <v>88</v>
      </c>
      <c r="M316" s="18">
        <v>1E-4</v>
      </c>
      <c r="N316" s="18">
        <v>0</v>
      </c>
      <c r="O316" s="18">
        <v>0</v>
      </c>
      <c r="P316" s="18">
        <v>0</v>
      </c>
      <c r="Q316" s="19"/>
      <c r="R316" s="18">
        <v>0</v>
      </c>
      <c r="S316" s="18">
        <v>0</v>
      </c>
      <c r="T316" s="18">
        <v>0</v>
      </c>
      <c r="U316" s="18">
        <v>0</v>
      </c>
      <c r="V316" s="18">
        <v>0</v>
      </c>
      <c r="W316" s="18">
        <v>0</v>
      </c>
      <c r="X316" s="18"/>
      <c r="Y316" s="18">
        <v>35.343357265540341</v>
      </c>
      <c r="Z316" s="18">
        <v>0</v>
      </c>
      <c r="AA316" s="18">
        <v>18.849790730119434</v>
      </c>
      <c r="AB316" s="18">
        <v>0</v>
      </c>
      <c r="AC316" s="18">
        <v>0</v>
      </c>
      <c r="AD316" s="18">
        <v>0</v>
      </c>
      <c r="AE316" s="18">
        <v>13.548287087273296</v>
      </c>
      <c r="AF316" s="18">
        <v>0</v>
      </c>
      <c r="AG316" s="18">
        <v>0</v>
      </c>
      <c r="AH316" s="18">
        <v>0</v>
      </c>
      <c r="AI316" s="18">
        <v>0</v>
      </c>
      <c r="AJ316" s="18">
        <v>0</v>
      </c>
      <c r="AK316" s="18">
        <v>0</v>
      </c>
      <c r="AL316" s="18"/>
      <c r="AM316" s="18">
        <v>0</v>
      </c>
      <c r="AN316" s="18">
        <v>0</v>
      </c>
      <c r="AO316" s="18">
        <v>0</v>
      </c>
      <c r="AP316" s="18">
        <v>0</v>
      </c>
      <c r="AQ316" s="18">
        <v>0</v>
      </c>
      <c r="AR316" s="18">
        <v>0</v>
      </c>
      <c r="AS316" s="18">
        <v>0</v>
      </c>
      <c r="AT316" s="18">
        <v>0</v>
      </c>
      <c r="AU316" s="18">
        <v>0</v>
      </c>
      <c r="AV316" s="18">
        <v>0</v>
      </c>
      <c r="AW316" s="18">
        <v>0</v>
      </c>
      <c r="AX316" s="18"/>
      <c r="AY316" s="18">
        <v>0</v>
      </c>
      <c r="AZ316" s="18">
        <v>0</v>
      </c>
      <c r="BA316" s="18">
        <v>0</v>
      </c>
      <c r="BB316" s="18">
        <v>0</v>
      </c>
      <c r="BC316" s="18">
        <v>0</v>
      </c>
      <c r="BD316" s="18">
        <v>0</v>
      </c>
      <c r="BE316" s="18">
        <v>0</v>
      </c>
      <c r="BF316" s="18">
        <v>0</v>
      </c>
      <c r="BG316" s="18">
        <v>0</v>
      </c>
      <c r="BH316" s="18">
        <v>0</v>
      </c>
      <c r="BI316" s="18">
        <v>0</v>
      </c>
      <c r="BJ316" s="19"/>
      <c r="BK316" s="18">
        <v>1.1363636363636364E-4</v>
      </c>
      <c r="BL316" s="18">
        <v>0</v>
      </c>
      <c r="BM316" s="18">
        <v>0</v>
      </c>
      <c r="BN316" s="18">
        <v>0</v>
      </c>
      <c r="BO316" s="18"/>
      <c r="BP316" s="18">
        <v>0</v>
      </c>
      <c r="BQ316" s="18">
        <v>0</v>
      </c>
      <c r="BR316" s="18">
        <v>1.585365601595216</v>
      </c>
      <c r="BS316" s="18">
        <v>1.5194802778925569</v>
      </c>
      <c r="BT316" s="19"/>
      <c r="BU316" s="18">
        <v>1000</v>
      </c>
      <c r="BV316" s="18">
        <v>999.99896590909088</v>
      </c>
      <c r="BW316" s="18">
        <v>0</v>
      </c>
      <c r="BX316" s="18">
        <v>0</v>
      </c>
      <c r="BY316" s="18">
        <v>0</v>
      </c>
      <c r="BZ316" s="18">
        <v>0</v>
      </c>
      <c r="CA316" s="18">
        <v>0</v>
      </c>
      <c r="CB316" s="19"/>
      <c r="CC316" s="19">
        <v>31.102154393675502</v>
      </c>
      <c r="CD316" s="19">
        <v>0</v>
      </c>
      <c r="CE316" s="19">
        <v>16.587815842505101</v>
      </c>
      <c r="CF316" s="19">
        <v>0</v>
      </c>
      <c r="CG316" s="19">
        <v>0</v>
      </c>
      <c r="CH316" s="19">
        <v>0</v>
      </c>
      <c r="CI316" s="19">
        <v>11.9224926368005</v>
      </c>
      <c r="CJ316" s="19"/>
      <c r="CK316" s="19">
        <v>0</v>
      </c>
      <c r="CL316" s="19">
        <v>0</v>
      </c>
      <c r="CM316" s="19">
        <v>0</v>
      </c>
      <c r="CN316" s="19">
        <v>0</v>
      </c>
      <c r="CO316" s="19">
        <v>0</v>
      </c>
      <c r="CP316" s="19">
        <v>0</v>
      </c>
      <c r="CQ316" s="19">
        <v>0</v>
      </c>
      <c r="CR316" s="19">
        <v>0</v>
      </c>
      <c r="CS316" s="19">
        <v>0</v>
      </c>
      <c r="CT316" s="19">
        <v>0</v>
      </c>
      <c r="CU316" s="19">
        <v>0</v>
      </c>
      <c r="CV316" s="19">
        <v>0</v>
      </c>
      <c r="CW316" s="19">
        <v>0</v>
      </c>
      <c r="CX316" s="19">
        <v>0</v>
      </c>
      <c r="CY316" s="19">
        <v>0</v>
      </c>
      <c r="CZ316" s="19">
        <v>0</v>
      </c>
      <c r="DA316" s="19">
        <v>0</v>
      </c>
      <c r="DB316" s="19">
        <v>0</v>
      </c>
      <c r="DC316" s="19">
        <v>0</v>
      </c>
      <c r="DD316" s="19">
        <v>0</v>
      </c>
      <c r="DE316" s="19">
        <v>0</v>
      </c>
      <c r="DF316" s="23">
        <v>0</v>
      </c>
      <c r="DG316" s="23">
        <v>0</v>
      </c>
      <c r="DH316" s="23">
        <v>1000000</v>
      </c>
      <c r="DI316" s="19">
        <v>0</v>
      </c>
      <c r="DJ316" s="19">
        <v>0</v>
      </c>
      <c r="DK316" s="19">
        <v>0</v>
      </c>
      <c r="DL316" s="19">
        <v>0</v>
      </c>
      <c r="DM316" s="19">
        <v>0</v>
      </c>
      <c r="DN316" s="19">
        <v>0</v>
      </c>
      <c r="DO316" s="19">
        <v>0</v>
      </c>
      <c r="DP316" s="19">
        <v>0</v>
      </c>
      <c r="DQ316" s="19">
        <v>0</v>
      </c>
      <c r="DR316" s="19">
        <v>0</v>
      </c>
      <c r="DS316" s="19">
        <v>0</v>
      </c>
      <c r="DT316" s="19">
        <v>0</v>
      </c>
      <c r="DU316" s="19">
        <v>0</v>
      </c>
      <c r="DV316" s="19">
        <v>0</v>
      </c>
      <c r="DW316" s="17" t="s">
        <v>218</v>
      </c>
      <c r="DX316" s="22" t="s">
        <v>218</v>
      </c>
      <c r="DY316" s="22" t="s">
        <v>218</v>
      </c>
      <c r="DZ316" s="22" t="s">
        <v>218</v>
      </c>
      <c r="EA316" s="22" t="s">
        <v>218</v>
      </c>
      <c r="EB316" s="22" t="s">
        <v>218</v>
      </c>
      <c r="EC316" s="22" t="s">
        <v>218</v>
      </c>
      <c r="ED316" s="22" t="s">
        <v>218</v>
      </c>
      <c r="EE316" s="22" t="s">
        <v>218</v>
      </c>
      <c r="EF316" s="22" t="s">
        <v>218</v>
      </c>
      <c r="EG316" s="22" t="s">
        <v>218</v>
      </c>
      <c r="EH316" s="22" t="s">
        <v>218</v>
      </c>
      <c r="EI316" s="22" t="s">
        <v>218</v>
      </c>
      <c r="EJ316" s="22" t="s">
        <v>218</v>
      </c>
      <c r="EK316" s="22" t="s">
        <v>218</v>
      </c>
      <c r="EL316" s="22" t="s">
        <v>218</v>
      </c>
      <c r="EM316" s="22" t="s">
        <v>218</v>
      </c>
      <c r="EN316" s="22" t="s">
        <v>218</v>
      </c>
      <c r="EO316" s="22" t="s">
        <v>218</v>
      </c>
      <c r="EP316" s="22" t="s">
        <v>218</v>
      </c>
      <c r="EQ316" s="22" t="s">
        <v>218</v>
      </c>
      <c r="ER316" s="22" t="s">
        <v>218</v>
      </c>
      <c r="ES316" s="22" t="s">
        <v>218</v>
      </c>
      <c r="ET316" s="22" t="s">
        <v>218</v>
      </c>
      <c r="EU316" s="22" t="s">
        <v>218</v>
      </c>
      <c r="EV316" s="22" t="s">
        <v>218</v>
      </c>
      <c r="EW316" s="22" t="s">
        <v>218</v>
      </c>
      <c r="EX316" s="22" t="s">
        <v>218</v>
      </c>
      <c r="EY316" s="22" t="s">
        <v>218</v>
      </c>
      <c r="EZ316" s="22" t="s">
        <v>218</v>
      </c>
      <c r="FA316" s="22" t="s">
        <v>218</v>
      </c>
      <c r="FB316" s="22" t="s">
        <v>218</v>
      </c>
      <c r="FC316" s="22" t="s">
        <v>218</v>
      </c>
      <c r="FD316" s="22" t="s">
        <v>218</v>
      </c>
      <c r="FE316" s="22" t="s">
        <v>218</v>
      </c>
      <c r="FF316" s="22" t="s">
        <v>218</v>
      </c>
      <c r="FG316" s="22" t="s">
        <v>218</v>
      </c>
      <c r="FH316" s="22" t="s">
        <v>218</v>
      </c>
      <c r="FI316" s="22" t="s">
        <v>218</v>
      </c>
      <c r="FJ316" s="22" t="s">
        <v>218</v>
      </c>
      <c r="FK316" s="22" t="s">
        <v>218</v>
      </c>
      <c r="FL316" s="22" t="s">
        <v>218</v>
      </c>
      <c r="FM316" s="22" t="s">
        <v>218</v>
      </c>
      <c r="FN316" s="22" t="s">
        <v>218</v>
      </c>
      <c r="FO316" s="22" t="s">
        <v>218</v>
      </c>
      <c r="FP316" s="22" t="s">
        <v>218</v>
      </c>
      <c r="FQ316" s="22" t="s">
        <v>218</v>
      </c>
      <c r="FR316" s="22" t="s">
        <v>218</v>
      </c>
      <c r="FS316" s="22" t="s">
        <v>218</v>
      </c>
      <c r="FT316" s="22" t="s">
        <v>218</v>
      </c>
      <c r="FU316" s="22" t="s">
        <v>218</v>
      </c>
      <c r="FV316" s="22" t="s">
        <v>218</v>
      </c>
      <c r="FW316" s="22" t="s">
        <v>218</v>
      </c>
      <c r="FX316" s="22" t="s">
        <v>218</v>
      </c>
      <c r="FY316" s="22" t="s">
        <v>218</v>
      </c>
      <c r="FZ316" s="22" t="s">
        <v>218</v>
      </c>
      <c r="GA316" s="22" t="s">
        <v>218</v>
      </c>
      <c r="GB316" s="22" t="s">
        <v>218</v>
      </c>
      <c r="GC316" s="22" t="s">
        <v>218</v>
      </c>
      <c r="GD316" s="22" t="s">
        <v>218</v>
      </c>
      <c r="GE316" s="22" t="s">
        <v>218</v>
      </c>
      <c r="GF316" s="22" t="s">
        <v>218</v>
      </c>
      <c r="GG316" s="22" t="s">
        <v>218</v>
      </c>
      <c r="GH316" s="22" t="s">
        <v>218</v>
      </c>
      <c r="GI316" s="22" t="s">
        <v>218</v>
      </c>
      <c r="GJ316" s="22" t="s">
        <v>218</v>
      </c>
      <c r="GK316" s="22" t="s">
        <v>218</v>
      </c>
      <c r="GL316" s="22" t="s">
        <v>218</v>
      </c>
      <c r="GM316" s="22" t="s">
        <v>218</v>
      </c>
      <c r="GN316" s="22" t="s">
        <v>218</v>
      </c>
      <c r="GO316" s="22" t="s">
        <v>218</v>
      </c>
      <c r="GP316" s="22" t="s">
        <v>218</v>
      </c>
      <c r="GQ316" s="22" t="s">
        <v>218</v>
      </c>
      <c r="GR316" s="22" t="s">
        <v>218</v>
      </c>
      <c r="GS316" s="22" t="s">
        <v>218</v>
      </c>
      <c r="GT316" s="22" t="s">
        <v>218</v>
      </c>
      <c r="GU316" s="22" t="s">
        <v>218</v>
      </c>
      <c r="GV316" s="22" t="s">
        <v>218</v>
      </c>
      <c r="GW316" s="22" t="s">
        <v>218</v>
      </c>
      <c r="GX316" s="22" t="s">
        <v>218</v>
      </c>
      <c r="GY316" s="22" t="s">
        <v>218</v>
      </c>
      <c r="GZ316" s="22" t="s">
        <v>218</v>
      </c>
      <c r="HA316" s="22" t="s">
        <v>218</v>
      </c>
      <c r="HB316" s="22" t="s">
        <v>218</v>
      </c>
      <c r="HC316" s="22" t="s">
        <v>218</v>
      </c>
      <c r="HD316" s="22" t="s">
        <v>218</v>
      </c>
      <c r="HE316" s="22" t="s">
        <v>218</v>
      </c>
      <c r="HF316" s="22" t="s">
        <v>218</v>
      </c>
      <c r="HG316" s="22" t="s">
        <v>218</v>
      </c>
      <c r="HH316" s="22" t="s">
        <v>218</v>
      </c>
      <c r="HI316" s="22" t="s">
        <v>218</v>
      </c>
      <c r="HJ316" s="22" t="s">
        <v>218</v>
      </c>
      <c r="HK316" s="22" t="s">
        <v>218</v>
      </c>
      <c r="HL316" s="22" t="s">
        <v>218</v>
      </c>
      <c r="HM316" s="860"/>
      <c r="HN316" s="860"/>
      <c r="HO316" s="860"/>
      <c r="HP316" s="860"/>
      <c r="HQ316" s="860"/>
      <c r="HR316" s="860"/>
      <c r="HS316" s="860"/>
      <c r="HT316" s="145"/>
      <c r="HU316" s="145" t="s">
        <v>1809</v>
      </c>
      <c r="HV316" s="22" t="s">
        <v>1926</v>
      </c>
      <c r="HW316" s="22" t="s">
        <v>801</v>
      </c>
      <c r="HX316" s="22">
        <v>0</v>
      </c>
      <c r="HY316" s="22">
        <v>0</v>
      </c>
      <c r="HZ316" s="19"/>
      <c r="IA316" s="19"/>
      <c r="IB316" s="621">
        <f>'background data'!$G$10</f>
        <v>0.47300000000000003</v>
      </c>
      <c r="IC316" s="621">
        <f>'background data'!$H$10</f>
        <v>0.13</v>
      </c>
      <c r="ID316" s="621">
        <f>'background data'!$J$10</f>
        <v>0.39100000000000001</v>
      </c>
      <c r="IE316" s="621">
        <f>'background data'!$L$10</f>
        <v>5.5E-2</v>
      </c>
      <c r="IF316" s="621">
        <f>'background data'!$M$10</f>
        <v>3.97</v>
      </c>
      <c r="IG316" s="621">
        <f>'background data'!$N$10</f>
        <v>4.5999999999999999E-3</v>
      </c>
      <c r="IH316" s="621">
        <f>'background data'!$O$10</f>
        <v>2.73</v>
      </c>
      <c r="II316" s="145"/>
      <c r="IJ316" s="145"/>
      <c r="IK316" s="145"/>
      <c r="IL316" s="145"/>
      <c r="IM316" s="145"/>
      <c r="IN316" s="145"/>
      <c r="IO316" s="145"/>
      <c r="IP316" s="145"/>
      <c r="IQ316" s="145"/>
      <c r="IR316" s="145"/>
      <c r="IS316" s="145"/>
      <c r="IT316" s="145"/>
      <c r="IU316" s="145"/>
      <c r="IV316" s="145"/>
      <c r="IW316" s="145"/>
      <c r="IX316" s="145"/>
      <c r="IY316" s="145"/>
      <c r="IZ316" s="145"/>
      <c r="JA316" s="145"/>
      <c r="JB316" s="145"/>
      <c r="JC316" s="145"/>
      <c r="JD316" s="145"/>
      <c r="JE316" s="145"/>
      <c r="JF316" s="145"/>
      <c r="JG316" s="145"/>
      <c r="JH316" s="145"/>
      <c r="JI316" s="145"/>
      <c r="JJ316" s="145"/>
      <c r="JK316" s="145"/>
      <c r="JL316" s="145"/>
      <c r="JM316" s="145"/>
      <c r="JN316" s="145"/>
      <c r="JO316" s="145"/>
      <c r="JP316" s="145"/>
      <c r="JQ316" s="145"/>
      <c r="JR316" s="145"/>
      <c r="JS316" s="145"/>
      <c r="JT316" s="145"/>
      <c r="JU316" s="145"/>
      <c r="JV316" s="145"/>
      <c r="JW316" s="145"/>
      <c r="JX316" s="145"/>
      <c r="JY316" s="145"/>
      <c r="JZ316" s="145"/>
      <c r="KA316" s="145"/>
      <c r="KB316" s="145"/>
      <c r="KC316" s="145"/>
      <c r="KD316" s="145"/>
      <c r="KE316" s="145"/>
      <c r="KF316" s="145"/>
      <c r="KG316" s="145"/>
      <c r="KH316" s="145"/>
      <c r="KI316" s="145"/>
      <c r="KJ316" s="145"/>
      <c r="KK316" s="145"/>
      <c r="KL316" s="145"/>
      <c r="KM316" s="145"/>
      <c r="KN316" s="145"/>
      <c r="KO316" s="145"/>
      <c r="KP316" s="145"/>
      <c r="KQ316" s="145"/>
      <c r="KR316" s="145"/>
      <c r="KS316" s="145"/>
      <c r="KT316" s="145"/>
      <c r="KU316" s="145"/>
      <c r="KV316" s="145"/>
      <c r="KW316" s="145"/>
      <c r="KX316" s="145"/>
      <c r="KY316" s="145"/>
      <c r="KZ316" s="145"/>
      <c r="LA316" s="145"/>
      <c r="LB316" s="145"/>
      <c r="LC316" s="145"/>
      <c r="LD316" s="145"/>
      <c r="LE316" s="145"/>
      <c r="LF316" s="145"/>
      <c r="LG316" s="145"/>
      <c r="LH316" s="145"/>
      <c r="LI316" s="145"/>
      <c r="LJ316" s="145"/>
      <c r="LK316" s="145"/>
      <c r="LL316" s="145"/>
      <c r="LM316" s="145"/>
      <c r="LN316" s="145"/>
      <c r="LO316" s="145"/>
      <c r="LP316" s="145"/>
      <c r="LQ316" s="145"/>
      <c r="LR316" s="145"/>
      <c r="LS316" s="145"/>
      <c r="LT316" s="145"/>
      <c r="LU316" s="145"/>
      <c r="LV316" s="145"/>
      <c r="LW316" s="145"/>
      <c r="LX316" s="145"/>
      <c r="LY316" s="145"/>
      <c r="LZ316" s="145"/>
      <c r="MA316" s="145"/>
      <c r="MB316" s="145"/>
      <c r="MC316" s="145"/>
      <c r="MD316" s="145"/>
      <c r="ME316" s="145"/>
      <c r="MF316" s="145"/>
      <c r="MG316" s="145"/>
      <c r="MH316" s="145"/>
      <c r="MI316" s="145"/>
      <c r="MJ316" s="145"/>
      <c r="MK316" s="145"/>
      <c r="ML316" s="145"/>
      <c r="MM316" s="145"/>
      <c r="MN316" s="145"/>
      <c r="MO316" s="145"/>
      <c r="MP316" s="145"/>
      <c r="MQ316" s="145"/>
      <c r="MR316" s="145"/>
      <c r="MS316" s="145"/>
      <c r="MT316" s="145"/>
      <c r="MU316" s="145"/>
      <c r="MV316" s="145"/>
      <c r="MW316" s="145"/>
      <c r="MX316" s="145"/>
      <c r="MY316" s="145"/>
      <c r="MZ316" s="145"/>
      <c r="NA316" s="145"/>
      <c r="NB316" s="145"/>
      <c r="NC316" s="145"/>
      <c r="ND316" s="145"/>
      <c r="NE316" s="145"/>
      <c r="NF316" s="145"/>
      <c r="NG316" s="145"/>
      <c r="NH316" s="145"/>
      <c r="NI316" s="145"/>
      <c r="NJ316" s="145"/>
      <c r="NK316" s="145"/>
      <c r="NL316" s="145"/>
      <c r="NM316" s="145"/>
      <c r="NN316" s="145"/>
      <c r="NO316" s="145"/>
      <c r="NP316" s="145"/>
      <c r="NQ316" s="145"/>
      <c r="NR316" s="145"/>
      <c r="NS316" s="145"/>
    </row>
    <row r="317" spans="1:383" s="16" customFormat="1" ht="15" customHeight="1" x14ac:dyDescent="0.2">
      <c r="A317" s="15">
        <v>47000</v>
      </c>
      <c r="B317" s="25">
        <v>470</v>
      </c>
      <c r="C317" s="26">
        <v>0</v>
      </c>
      <c r="D317" s="20" t="s">
        <v>802</v>
      </c>
      <c r="E317" s="14">
        <v>40310</v>
      </c>
      <c r="F317" s="18">
        <v>-0.112682926829268</v>
      </c>
      <c r="G317" s="18">
        <v>-0.108</v>
      </c>
      <c r="H317" s="21">
        <v>70</v>
      </c>
      <c r="I317" s="21">
        <v>70</v>
      </c>
      <c r="J317" s="21">
        <v>0</v>
      </c>
      <c r="K317" s="18">
        <v>1</v>
      </c>
      <c r="L317" s="18">
        <v>99</v>
      </c>
      <c r="M317" s="18">
        <v>0</v>
      </c>
      <c r="N317" s="18">
        <v>0</v>
      </c>
      <c r="O317" s="18">
        <v>99</v>
      </c>
      <c r="P317" s="18">
        <v>0</v>
      </c>
      <c r="Q317" s="19"/>
      <c r="R317" s="18">
        <v>0</v>
      </c>
      <c r="S317" s="18">
        <v>0</v>
      </c>
      <c r="T317" s="18">
        <v>0</v>
      </c>
      <c r="U317" s="18">
        <v>0</v>
      </c>
      <c r="V317" s="18">
        <v>0</v>
      </c>
      <c r="W317" s="18">
        <v>0</v>
      </c>
      <c r="X317" s="18"/>
      <c r="Y317" s="18">
        <v>0</v>
      </c>
      <c r="Z317" s="18">
        <v>0</v>
      </c>
      <c r="AA317" s="18">
        <v>0</v>
      </c>
      <c r="AB317" s="18">
        <v>0</v>
      </c>
      <c r="AC317" s="18">
        <v>0</v>
      </c>
      <c r="AD317" s="18">
        <v>0</v>
      </c>
      <c r="AE317" s="18">
        <v>0</v>
      </c>
      <c r="AF317" s="18">
        <v>0</v>
      </c>
      <c r="AG317" s="18">
        <v>0</v>
      </c>
      <c r="AH317" s="18">
        <v>0</v>
      </c>
      <c r="AI317" s="18">
        <v>8080.8080808080804</v>
      </c>
      <c r="AJ317" s="18">
        <v>0</v>
      </c>
      <c r="AK317" s="18">
        <v>0</v>
      </c>
      <c r="AL317" s="18"/>
      <c r="AM317" s="18">
        <v>0</v>
      </c>
      <c r="AN317" s="18">
        <v>0</v>
      </c>
      <c r="AO317" s="18">
        <v>0</v>
      </c>
      <c r="AP317" s="18">
        <v>0</v>
      </c>
      <c r="AQ317" s="18">
        <v>0</v>
      </c>
      <c r="AR317" s="18">
        <v>0</v>
      </c>
      <c r="AS317" s="18">
        <v>0</v>
      </c>
      <c r="AT317" s="18">
        <v>0</v>
      </c>
      <c r="AU317" s="18">
        <v>0</v>
      </c>
      <c r="AV317" s="18">
        <v>0</v>
      </c>
      <c r="AW317" s="18">
        <v>0</v>
      </c>
      <c r="AX317" s="18"/>
      <c r="AY317" s="18">
        <v>1</v>
      </c>
      <c r="AZ317" s="18">
        <v>1</v>
      </c>
      <c r="BA317" s="18">
        <v>1</v>
      </c>
      <c r="BB317" s="18">
        <v>1</v>
      </c>
      <c r="BC317" s="18">
        <v>1</v>
      </c>
      <c r="BD317" s="18">
        <v>1</v>
      </c>
      <c r="BE317" s="18">
        <v>1</v>
      </c>
      <c r="BF317" s="18">
        <v>1</v>
      </c>
      <c r="BG317" s="18">
        <v>1</v>
      </c>
      <c r="BH317" s="18">
        <v>1</v>
      </c>
      <c r="BI317" s="18">
        <v>1</v>
      </c>
      <c r="BJ317" s="19"/>
      <c r="BK317" s="18">
        <v>0</v>
      </c>
      <c r="BL317" s="18">
        <v>0</v>
      </c>
      <c r="BM317" s="18">
        <v>100</v>
      </c>
      <c r="BN317" s="18">
        <v>0</v>
      </c>
      <c r="BO317" s="18"/>
      <c r="BP317" s="18">
        <v>0</v>
      </c>
      <c r="BQ317" s="18">
        <v>0</v>
      </c>
      <c r="BR317" s="18">
        <v>-0.11382113821138182</v>
      </c>
      <c r="BS317" s="18">
        <v>-0.10909090909090909</v>
      </c>
      <c r="BT317" s="19"/>
      <c r="BU317" s="18">
        <v>0</v>
      </c>
      <c r="BV317" s="18">
        <v>0</v>
      </c>
      <c r="BW317" s="18">
        <v>0</v>
      </c>
      <c r="BX317" s="18" t="s">
        <v>217</v>
      </c>
      <c r="BY317" s="18" t="s">
        <v>217</v>
      </c>
      <c r="BZ317" s="18" t="s">
        <v>217</v>
      </c>
      <c r="CA317" s="18" t="s">
        <v>217</v>
      </c>
      <c r="CB317" s="19"/>
      <c r="CC317" s="19">
        <v>0</v>
      </c>
      <c r="CD317" s="19">
        <v>0</v>
      </c>
      <c r="CE317" s="19">
        <v>0</v>
      </c>
      <c r="CF317" s="19">
        <v>0</v>
      </c>
      <c r="CG317" s="19">
        <v>0</v>
      </c>
      <c r="CH317" s="19">
        <v>0</v>
      </c>
      <c r="CI317" s="19">
        <v>0</v>
      </c>
      <c r="CJ317" s="19"/>
      <c r="CK317" s="19">
        <v>0</v>
      </c>
      <c r="CL317" s="19">
        <v>0</v>
      </c>
      <c r="CM317" s="19">
        <v>0</v>
      </c>
      <c r="CN317" s="19">
        <v>7999.9999999999991</v>
      </c>
      <c r="CO317" s="19">
        <v>0</v>
      </c>
      <c r="CP317" s="19">
        <v>0</v>
      </c>
      <c r="CQ317" s="19">
        <v>0</v>
      </c>
      <c r="CR317" s="19">
        <v>0</v>
      </c>
      <c r="CS317" s="19">
        <v>0</v>
      </c>
      <c r="CT317" s="19">
        <v>0</v>
      </c>
      <c r="CU317" s="19">
        <v>0</v>
      </c>
      <c r="CV317" s="19">
        <v>0</v>
      </c>
      <c r="CW317" s="19">
        <v>0</v>
      </c>
      <c r="CX317" s="19">
        <v>0</v>
      </c>
      <c r="CY317" s="19">
        <v>0</v>
      </c>
      <c r="CZ317" s="19">
        <v>0</v>
      </c>
      <c r="DA317" s="19">
        <v>0</v>
      </c>
      <c r="DB317" s="19">
        <v>0</v>
      </c>
      <c r="DC317" s="19">
        <v>0</v>
      </c>
      <c r="DD317" s="19">
        <v>0</v>
      </c>
      <c r="DE317" s="19">
        <v>0</v>
      </c>
      <c r="DF317" s="23">
        <v>0</v>
      </c>
      <c r="DG317" s="23">
        <v>0</v>
      </c>
      <c r="DH317" s="23">
        <v>0</v>
      </c>
      <c r="DI317" s="19">
        <v>0</v>
      </c>
      <c r="DJ317" s="19">
        <v>0</v>
      </c>
      <c r="DK317" s="19">
        <v>0</v>
      </c>
      <c r="DL317" s="19">
        <v>0</v>
      </c>
      <c r="DM317" s="19">
        <v>0</v>
      </c>
      <c r="DN317" s="19">
        <v>0</v>
      </c>
      <c r="DO317" s="19">
        <v>0</v>
      </c>
      <c r="DP317" s="19">
        <v>0</v>
      </c>
      <c r="DQ317" s="19">
        <v>0</v>
      </c>
      <c r="DR317" s="19">
        <v>0</v>
      </c>
      <c r="DS317" s="19">
        <v>0</v>
      </c>
      <c r="DT317" s="19">
        <v>0</v>
      </c>
      <c r="DU317" s="19">
        <v>0</v>
      </c>
      <c r="DV317" s="19">
        <v>0</v>
      </c>
      <c r="DW317" s="17" t="s">
        <v>218</v>
      </c>
      <c r="DX317" s="22" t="s">
        <v>218</v>
      </c>
      <c r="DY317" s="22" t="s">
        <v>218</v>
      </c>
      <c r="DZ317" s="22" t="s">
        <v>218</v>
      </c>
      <c r="EA317" s="22" t="s">
        <v>218</v>
      </c>
      <c r="EB317" s="22" t="s">
        <v>218</v>
      </c>
      <c r="EC317" s="22" t="s">
        <v>218</v>
      </c>
      <c r="ED317" s="22" t="s">
        <v>218</v>
      </c>
      <c r="EE317" s="22" t="s">
        <v>218</v>
      </c>
      <c r="EF317" s="22" t="s">
        <v>218</v>
      </c>
      <c r="EG317" s="22" t="s">
        <v>218</v>
      </c>
      <c r="EH317" s="22" t="s">
        <v>218</v>
      </c>
      <c r="EI317" s="22" t="s">
        <v>218</v>
      </c>
      <c r="EJ317" s="22" t="s">
        <v>218</v>
      </c>
      <c r="EK317" s="22" t="s">
        <v>218</v>
      </c>
      <c r="EL317" s="22" t="s">
        <v>218</v>
      </c>
      <c r="EM317" s="22" t="s">
        <v>218</v>
      </c>
      <c r="EN317" s="22" t="s">
        <v>218</v>
      </c>
      <c r="EO317" s="22" t="s">
        <v>218</v>
      </c>
      <c r="EP317" s="22" t="s">
        <v>218</v>
      </c>
      <c r="EQ317" s="22" t="s">
        <v>218</v>
      </c>
      <c r="ER317" s="22" t="s">
        <v>218</v>
      </c>
      <c r="ES317" s="22" t="s">
        <v>218</v>
      </c>
      <c r="ET317" s="22" t="s">
        <v>218</v>
      </c>
      <c r="EU317" s="22" t="s">
        <v>218</v>
      </c>
      <c r="EV317" s="22" t="s">
        <v>218</v>
      </c>
      <c r="EW317" s="22" t="s">
        <v>218</v>
      </c>
      <c r="EX317" s="22" t="s">
        <v>218</v>
      </c>
      <c r="EY317" s="22" t="s">
        <v>218</v>
      </c>
      <c r="EZ317" s="22" t="s">
        <v>218</v>
      </c>
      <c r="FA317" s="22" t="s">
        <v>218</v>
      </c>
      <c r="FB317" s="22" t="s">
        <v>218</v>
      </c>
      <c r="FC317" s="22" t="s">
        <v>218</v>
      </c>
      <c r="FD317" s="22" t="s">
        <v>218</v>
      </c>
      <c r="FE317" s="22" t="s">
        <v>218</v>
      </c>
      <c r="FF317" s="22" t="s">
        <v>218</v>
      </c>
      <c r="FG317" s="22" t="s">
        <v>218</v>
      </c>
      <c r="FH317" s="22" t="s">
        <v>218</v>
      </c>
      <c r="FI317" s="22" t="s">
        <v>218</v>
      </c>
      <c r="FJ317" s="22" t="s">
        <v>218</v>
      </c>
      <c r="FK317" s="22" t="s">
        <v>218</v>
      </c>
      <c r="FL317" s="22" t="s">
        <v>218</v>
      </c>
      <c r="FM317" s="22" t="s">
        <v>218</v>
      </c>
      <c r="FN317" s="22" t="s">
        <v>218</v>
      </c>
      <c r="FO317" s="22" t="s">
        <v>218</v>
      </c>
      <c r="FP317" s="22" t="s">
        <v>218</v>
      </c>
      <c r="FQ317" s="22" t="s">
        <v>218</v>
      </c>
      <c r="FR317" s="22" t="s">
        <v>218</v>
      </c>
      <c r="FS317" s="22" t="s">
        <v>218</v>
      </c>
      <c r="FT317" s="22" t="s">
        <v>218</v>
      </c>
      <c r="FU317" s="22" t="s">
        <v>218</v>
      </c>
      <c r="FV317" s="22" t="s">
        <v>218</v>
      </c>
      <c r="FW317" s="22" t="s">
        <v>218</v>
      </c>
      <c r="FX317" s="22" t="s">
        <v>218</v>
      </c>
      <c r="FY317" s="22" t="s">
        <v>218</v>
      </c>
      <c r="FZ317" s="22" t="s">
        <v>218</v>
      </c>
      <c r="GA317" s="22" t="s">
        <v>218</v>
      </c>
      <c r="GB317" s="22" t="s">
        <v>218</v>
      </c>
      <c r="GC317" s="22" t="s">
        <v>218</v>
      </c>
      <c r="GD317" s="22" t="s">
        <v>218</v>
      </c>
      <c r="GE317" s="22" t="s">
        <v>218</v>
      </c>
      <c r="GF317" s="22" t="s">
        <v>218</v>
      </c>
      <c r="GG317" s="22" t="s">
        <v>218</v>
      </c>
      <c r="GH317" s="22" t="s">
        <v>218</v>
      </c>
      <c r="GI317" s="22" t="s">
        <v>218</v>
      </c>
      <c r="GJ317" s="22" t="s">
        <v>218</v>
      </c>
      <c r="GK317" s="22" t="s">
        <v>218</v>
      </c>
      <c r="GL317" s="22" t="s">
        <v>218</v>
      </c>
      <c r="GM317" s="22" t="s">
        <v>218</v>
      </c>
      <c r="GN317" s="22" t="s">
        <v>218</v>
      </c>
      <c r="GO317" s="22" t="s">
        <v>218</v>
      </c>
      <c r="GP317" s="22" t="s">
        <v>218</v>
      </c>
      <c r="GQ317" s="22" t="s">
        <v>218</v>
      </c>
      <c r="GR317" s="22" t="s">
        <v>218</v>
      </c>
      <c r="GS317" s="22" t="s">
        <v>218</v>
      </c>
      <c r="GT317" s="22" t="s">
        <v>218</v>
      </c>
      <c r="GU317" s="22" t="s">
        <v>218</v>
      </c>
      <c r="GV317" s="22" t="s">
        <v>218</v>
      </c>
      <c r="GW317" s="22" t="s">
        <v>218</v>
      </c>
      <c r="GX317" s="22" t="s">
        <v>218</v>
      </c>
      <c r="GY317" s="22" t="s">
        <v>218</v>
      </c>
      <c r="GZ317" s="22" t="s">
        <v>218</v>
      </c>
      <c r="HA317" s="22" t="s">
        <v>218</v>
      </c>
      <c r="HB317" s="22" t="s">
        <v>218</v>
      </c>
      <c r="HC317" s="22" t="s">
        <v>218</v>
      </c>
      <c r="HD317" s="22" t="s">
        <v>218</v>
      </c>
      <c r="HE317" s="22" t="s">
        <v>218</v>
      </c>
      <c r="HF317" s="22" t="s">
        <v>218</v>
      </c>
      <c r="HG317" s="22" t="s">
        <v>218</v>
      </c>
      <c r="HH317" s="22" t="s">
        <v>218</v>
      </c>
      <c r="HI317" s="22" t="s">
        <v>218</v>
      </c>
      <c r="HJ317" s="22" t="s">
        <v>218</v>
      </c>
      <c r="HK317" s="22" t="s">
        <v>218</v>
      </c>
      <c r="HL317" s="22" t="s">
        <v>218</v>
      </c>
      <c r="HM317" s="860"/>
      <c r="HN317" s="860"/>
      <c r="HO317" s="860"/>
      <c r="HP317" s="860"/>
      <c r="HQ317" s="860"/>
      <c r="HR317" s="860"/>
      <c r="HS317" s="860"/>
      <c r="HT317" s="145"/>
      <c r="HU317" s="145" t="s">
        <v>1809</v>
      </c>
      <c r="HV317" s="22" t="s">
        <v>1926</v>
      </c>
      <c r="HW317" s="22">
        <v>0</v>
      </c>
      <c r="HX317" s="22">
        <v>0</v>
      </c>
      <c r="HY317" s="22">
        <v>0</v>
      </c>
      <c r="HZ317" s="19"/>
      <c r="IA317" s="19"/>
      <c r="IB317" s="621">
        <f>'background data'!$G$10</f>
        <v>0.47300000000000003</v>
      </c>
      <c r="IC317" s="621">
        <f>'background data'!$H$10</f>
        <v>0.13</v>
      </c>
      <c r="ID317" s="621">
        <f>'background data'!$J$10</f>
        <v>0.39100000000000001</v>
      </c>
      <c r="IE317" s="621">
        <f>'background data'!$L$10</f>
        <v>5.5E-2</v>
      </c>
      <c r="IF317" s="621">
        <f>'background data'!$M$10</f>
        <v>3.97</v>
      </c>
      <c r="IG317" s="621">
        <f>'background data'!$N$10</f>
        <v>4.5999999999999999E-3</v>
      </c>
      <c r="IH317" s="621">
        <f>'background data'!$O$10</f>
        <v>2.73</v>
      </c>
      <c r="II317" s="145"/>
      <c r="IJ317" s="145"/>
      <c r="IK317" s="145"/>
      <c r="IL317" s="145"/>
      <c r="IM317" s="145"/>
      <c r="IN317" s="145"/>
      <c r="IO317" s="145"/>
      <c r="IP317" s="145"/>
      <c r="IQ317" s="145"/>
      <c r="IR317" s="145"/>
      <c r="IS317" s="145"/>
      <c r="IT317" s="145"/>
      <c r="IU317" s="145"/>
      <c r="IV317" s="145"/>
      <c r="IW317" s="145"/>
      <c r="IX317" s="145"/>
      <c r="IY317" s="145"/>
      <c r="IZ317" s="145"/>
      <c r="JA317" s="145"/>
      <c r="JB317" s="145"/>
      <c r="JC317" s="145"/>
      <c r="JD317" s="145"/>
      <c r="JE317" s="145"/>
      <c r="JF317" s="145"/>
      <c r="JG317" s="145"/>
      <c r="JH317" s="145"/>
      <c r="JI317" s="145"/>
      <c r="JJ317" s="145"/>
      <c r="JK317" s="145"/>
      <c r="JL317" s="145"/>
      <c r="JM317" s="145"/>
      <c r="JN317" s="145"/>
      <c r="JO317" s="145"/>
      <c r="JP317" s="145"/>
      <c r="JQ317" s="145"/>
      <c r="JR317" s="145"/>
      <c r="JS317" s="145"/>
      <c r="JT317" s="145"/>
      <c r="JU317" s="145"/>
      <c r="JV317" s="145"/>
      <c r="JW317" s="145"/>
      <c r="JX317" s="145"/>
      <c r="JY317" s="145"/>
      <c r="JZ317" s="145"/>
      <c r="KA317" s="145"/>
      <c r="KB317" s="145"/>
      <c r="KC317" s="145"/>
      <c r="KD317" s="145"/>
      <c r="KE317" s="145"/>
      <c r="KF317" s="145"/>
      <c r="KG317" s="145"/>
      <c r="KH317" s="145"/>
      <c r="KI317" s="145"/>
      <c r="KJ317" s="145"/>
      <c r="KK317" s="145"/>
      <c r="KL317" s="145"/>
      <c r="KM317" s="145"/>
      <c r="KN317" s="145"/>
      <c r="KO317" s="145"/>
      <c r="KP317" s="145"/>
      <c r="KQ317" s="145"/>
      <c r="KR317" s="145"/>
      <c r="KS317" s="145"/>
      <c r="KT317" s="145"/>
      <c r="KU317" s="145"/>
      <c r="KV317" s="145"/>
      <c r="KW317" s="145"/>
      <c r="KX317" s="145"/>
      <c r="KY317" s="145"/>
      <c r="KZ317" s="145"/>
      <c r="LA317" s="145"/>
      <c r="LB317" s="145"/>
      <c r="LC317" s="145"/>
      <c r="LD317" s="145"/>
      <c r="LE317" s="145"/>
      <c r="LF317" s="145"/>
      <c r="LG317" s="145"/>
      <c r="LH317" s="145"/>
      <c r="LI317" s="145"/>
      <c r="LJ317" s="145"/>
      <c r="LK317" s="145"/>
      <c r="LL317" s="145"/>
      <c r="LM317" s="145"/>
      <c r="LN317" s="145"/>
      <c r="LO317" s="145"/>
      <c r="LP317" s="145"/>
      <c r="LQ317" s="145"/>
      <c r="LR317" s="145"/>
      <c r="LS317" s="145"/>
      <c r="LT317" s="145"/>
      <c r="LU317" s="145"/>
      <c r="LV317" s="145"/>
      <c r="LW317" s="145"/>
      <c r="LX317" s="145"/>
      <c r="LY317" s="145"/>
      <c r="LZ317" s="145"/>
      <c r="MA317" s="145"/>
      <c r="MB317" s="145"/>
      <c r="MC317" s="145"/>
      <c r="MD317" s="145"/>
      <c r="ME317" s="145"/>
      <c r="MF317" s="145"/>
      <c r="MG317" s="145"/>
      <c r="MH317" s="145"/>
      <c r="MI317" s="145"/>
      <c r="MJ317" s="145"/>
      <c r="MK317" s="145"/>
      <c r="ML317" s="145"/>
      <c r="MM317" s="145"/>
      <c r="MN317" s="145"/>
      <c r="MO317" s="145"/>
      <c r="MP317" s="145"/>
      <c r="MQ317" s="145"/>
      <c r="MR317" s="145"/>
      <c r="MS317" s="145"/>
      <c r="MT317" s="145"/>
      <c r="MU317" s="145"/>
      <c r="MV317" s="145"/>
      <c r="MW317" s="145"/>
      <c r="MX317" s="145"/>
      <c r="MY317" s="145"/>
      <c r="MZ317" s="145"/>
      <c r="NA317" s="145"/>
      <c r="NB317" s="145"/>
      <c r="NC317" s="145"/>
      <c r="ND317" s="145"/>
      <c r="NE317" s="145"/>
      <c r="NF317" s="145"/>
      <c r="NG317" s="145"/>
      <c r="NH317" s="145"/>
      <c r="NI317" s="145"/>
      <c r="NJ317" s="145"/>
      <c r="NK317" s="145"/>
      <c r="NL317" s="145"/>
      <c r="NM317" s="145"/>
      <c r="NN317" s="145"/>
      <c r="NO317" s="145"/>
      <c r="NP317" s="145"/>
      <c r="NQ317" s="145"/>
      <c r="NR317" s="145"/>
      <c r="NS317" s="145"/>
    </row>
    <row r="318" spans="1:383" s="16" customFormat="1" ht="15" customHeight="1" x14ac:dyDescent="0.2">
      <c r="A318" s="15">
        <v>65100</v>
      </c>
      <c r="B318" s="25">
        <v>651</v>
      </c>
      <c r="C318" s="26">
        <v>0</v>
      </c>
      <c r="D318" s="20" t="s">
        <v>803</v>
      </c>
      <c r="E318" s="14">
        <v>42695</v>
      </c>
      <c r="F318" s="18">
        <v>1.00958482984901</v>
      </c>
      <c r="G318" s="18">
        <v>1.01782018227829</v>
      </c>
      <c r="H318" s="21">
        <v>90.5</v>
      </c>
      <c r="I318" s="21">
        <v>79.400000000000006</v>
      </c>
      <c r="J318" s="21">
        <v>96</v>
      </c>
      <c r="K318" s="18">
        <v>1</v>
      </c>
      <c r="L318" s="18">
        <v>85.2</v>
      </c>
      <c r="M318" s="18">
        <v>20.448</v>
      </c>
      <c r="N318" s="18">
        <v>1.8744000000000001</v>
      </c>
      <c r="O318" s="18">
        <v>3.1524000000000001</v>
      </c>
      <c r="P318" s="18">
        <v>5.3676000000000004</v>
      </c>
      <c r="Q318" s="19"/>
      <c r="R318" s="18">
        <v>82</v>
      </c>
      <c r="S318" s="18">
        <v>45</v>
      </c>
      <c r="T318" s="18">
        <v>53</v>
      </c>
      <c r="U318" s="18">
        <v>56</v>
      </c>
      <c r="V318" s="18">
        <v>59</v>
      </c>
      <c r="W318" s="18">
        <v>60</v>
      </c>
      <c r="X318" s="18"/>
      <c r="Y318" s="18">
        <v>0.9</v>
      </c>
      <c r="Z318" s="18">
        <v>4.5999999999999996</v>
      </c>
      <c r="AA318" s="18">
        <v>9.9999999999999992E-2</v>
      </c>
      <c r="AB318" s="18">
        <v>0</v>
      </c>
      <c r="AC318" s="18">
        <v>12</v>
      </c>
      <c r="AD318" s="18">
        <v>1.3000000000000116</v>
      </c>
      <c r="AE318" s="18">
        <v>1.7</v>
      </c>
      <c r="AF318" s="18">
        <v>77</v>
      </c>
      <c r="AG318" s="18">
        <v>6.7</v>
      </c>
      <c r="AH318" s="18">
        <v>16</v>
      </c>
      <c r="AI318" s="18">
        <v>39</v>
      </c>
      <c r="AJ318" s="18">
        <v>0</v>
      </c>
      <c r="AK318" s="18">
        <v>0.02</v>
      </c>
      <c r="AL318" s="18"/>
      <c r="AM318" s="18">
        <v>6.99</v>
      </c>
      <c r="AN318" s="18">
        <v>0.98</v>
      </c>
      <c r="AO318" s="18">
        <v>1.44</v>
      </c>
      <c r="AP318" s="18">
        <v>3.72</v>
      </c>
      <c r="AQ318" s="18">
        <v>0.88999999999999702</v>
      </c>
      <c r="AR318" s="18">
        <v>4.04</v>
      </c>
      <c r="AS318" s="18">
        <v>7.03</v>
      </c>
      <c r="AT318" s="18">
        <v>2.5099999999999998</v>
      </c>
      <c r="AU318" s="18">
        <v>4.59</v>
      </c>
      <c r="AV318" s="18">
        <v>3.25</v>
      </c>
      <c r="AW318" s="18">
        <v>4.6299999999999901</v>
      </c>
      <c r="AX318" s="18"/>
      <c r="AY318" s="18">
        <v>1.02</v>
      </c>
      <c r="AZ318" s="18">
        <v>0.98</v>
      </c>
      <c r="BA318" s="18">
        <v>0.85</v>
      </c>
      <c r="BB318" s="18">
        <v>0.93</v>
      </c>
      <c r="BC318" s="18">
        <v>0.89</v>
      </c>
      <c r="BD318" s="18">
        <v>0.98</v>
      </c>
      <c r="BE318" s="18">
        <v>0.95</v>
      </c>
      <c r="BF318" s="18">
        <v>1.01</v>
      </c>
      <c r="BG318" s="18">
        <v>1</v>
      </c>
      <c r="BH318" s="18">
        <v>0.95</v>
      </c>
      <c r="BI318" s="18">
        <v>0.94</v>
      </c>
      <c r="BJ318" s="19"/>
      <c r="BK318" s="18">
        <v>24</v>
      </c>
      <c r="BL318" s="18">
        <v>2.1999999999999997</v>
      </c>
      <c r="BM318" s="18">
        <v>3.7</v>
      </c>
      <c r="BN318" s="18">
        <v>6.3</v>
      </c>
      <c r="BO318" s="18"/>
      <c r="BP318" s="18">
        <v>130</v>
      </c>
      <c r="BQ318" s="18">
        <v>28.6</v>
      </c>
      <c r="BR318" s="18">
        <v>1.1849587204800587</v>
      </c>
      <c r="BS318" s="18">
        <v>1.1946246270871947</v>
      </c>
      <c r="BT318" s="19"/>
      <c r="BU318" s="18">
        <v>963</v>
      </c>
      <c r="BV318" s="18">
        <v>479.07071428571368</v>
      </c>
      <c r="BW318" s="18">
        <v>152.70428571428639</v>
      </c>
      <c r="BX318" s="18">
        <v>432</v>
      </c>
      <c r="BY318" s="18">
        <v>39</v>
      </c>
      <c r="BZ318" s="18">
        <v>91.23242142857147</v>
      </c>
      <c r="CA318" s="18">
        <v>142.69686428571362</v>
      </c>
      <c r="CB318" s="19"/>
      <c r="CC318" s="19">
        <v>0.76680000000000004</v>
      </c>
      <c r="CD318" s="19">
        <v>3.9191999999999996</v>
      </c>
      <c r="CE318" s="19">
        <v>8.5199999999999984E-2</v>
      </c>
      <c r="CF318" s="19">
        <v>0</v>
      </c>
      <c r="CG318" s="19">
        <v>10.224</v>
      </c>
      <c r="CH318" s="19">
        <v>1.1076000000000099</v>
      </c>
      <c r="CI318" s="19">
        <v>1.4483999999999999</v>
      </c>
      <c r="CJ318" s="19"/>
      <c r="CK318" s="19">
        <v>65.603999999999999</v>
      </c>
      <c r="CL318" s="19">
        <v>5.7084000000000001</v>
      </c>
      <c r="CM318" s="19">
        <v>13.632</v>
      </c>
      <c r="CN318" s="19">
        <v>33.228000000000002</v>
      </c>
      <c r="CO318" s="19">
        <v>0</v>
      </c>
      <c r="CP318" s="19">
        <v>1.704E-2</v>
      </c>
      <c r="CQ318" s="19">
        <v>167.67359999999999</v>
      </c>
      <c r="CR318" s="19">
        <v>166.08173483062009</v>
      </c>
      <c r="CS318" s="19">
        <v>11.841295529953554</v>
      </c>
      <c r="CT318" s="19">
        <v>1.5950489813132755</v>
      </c>
      <c r="CU318" s="19">
        <v>2.0328404343267903</v>
      </c>
      <c r="CV318" s="19">
        <v>3.6278894156400656</v>
      </c>
      <c r="CW318" s="19">
        <v>5.7457636982001334</v>
      </c>
      <c r="CX318" s="19">
        <v>1.3155334215933419</v>
      </c>
      <c r="CY318" s="19">
        <v>6.575508045413911</v>
      </c>
      <c r="CZ318" s="19">
        <v>11.091768660662963</v>
      </c>
      <c r="DA318" s="19">
        <v>4.2103380596910505</v>
      </c>
      <c r="DB318" s="19">
        <v>7.6231516287254637</v>
      </c>
      <c r="DC318" s="19">
        <v>5.1277735628953955</v>
      </c>
      <c r="DD318" s="19">
        <v>12.75092519162086</v>
      </c>
      <c r="DE318" s="19">
        <v>7.2282092632982291</v>
      </c>
      <c r="DF318" s="23">
        <v>0</v>
      </c>
      <c r="DG318" s="23">
        <v>0</v>
      </c>
      <c r="DH318" s="23">
        <v>0</v>
      </c>
      <c r="DI318" s="19">
        <v>0</v>
      </c>
      <c r="DJ318" s="19">
        <v>0</v>
      </c>
      <c r="DK318" s="19">
        <v>0</v>
      </c>
      <c r="DL318" s="19">
        <v>0</v>
      </c>
      <c r="DM318" s="19">
        <v>0</v>
      </c>
      <c r="DN318" s="19">
        <v>0</v>
      </c>
      <c r="DO318" s="19">
        <v>0</v>
      </c>
      <c r="DP318" s="19">
        <v>0</v>
      </c>
      <c r="DQ318" s="19">
        <v>0</v>
      </c>
      <c r="DR318" s="19">
        <v>0</v>
      </c>
      <c r="DS318" s="19">
        <v>0</v>
      </c>
      <c r="DT318" s="19">
        <v>0</v>
      </c>
      <c r="DU318" s="19">
        <v>0</v>
      </c>
      <c r="DV318" s="19">
        <v>0</v>
      </c>
      <c r="DW318" s="17" t="s">
        <v>804</v>
      </c>
      <c r="DX318" s="22" t="s">
        <v>218</v>
      </c>
      <c r="DY318" s="22" t="s">
        <v>218</v>
      </c>
      <c r="DZ318" s="22">
        <v>4</v>
      </c>
      <c r="EA318" s="22">
        <v>4</v>
      </c>
      <c r="EB318" s="22" t="s">
        <v>218</v>
      </c>
      <c r="EC318" s="22">
        <v>4</v>
      </c>
      <c r="ED318" s="22">
        <v>4</v>
      </c>
      <c r="EE318" s="22" t="s">
        <v>218</v>
      </c>
      <c r="EF318" s="22">
        <v>4</v>
      </c>
      <c r="EG318" s="22" t="s">
        <v>218</v>
      </c>
      <c r="EH318" s="22" t="s">
        <v>218</v>
      </c>
      <c r="EI318" s="22" t="s">
        <v>218</v>
      </c>
      <c r="EJ318" s="22" t="s">
        <v>218</v>
      </c>
      <c r="EK318" s="22" t="s">
        <v>218</v>
      </c>
      <c r="EL318" s="22" t="s">
        <v>218</v>
      </c>
      <c r="EM318" s="22" t="s">
        <v>218</v>
      </c>
      <c r="EN318" s="22" t="s">
        <v>218</v>
      </c>
      <c r="EO318" s="22" t="s">
        <v>218</v>
      </c>
      <c r="EP318" s="22" t="s">
        <v>218</v>
      </c>
      <c r="EQ318" s="22" t="s">
        <v>218</v>
      </c>
      <c r="ER318" s="22" t="s">
        <v>218</v>
      </c>
      <c r="ES318" s="22">
        <v>4</v>
      </c>
      <c r="ET318" s="22">
        <v>5</v>
      </c>
      <c r="EU318" s="22" t="s">
        <v>218</v>
      </c>
      <c r="EV318" s="22" t="s">
        <v>218</v>
      </c>
      <c r="EW318" s="22">
        <v>4</v>
      </c>
      <c r="EX318" s="22">
        <v>4</v>
      </c>
      <c r="EY318" s="22">
        <v>4</v>
      </c>
      <c r="EZ318" s="22">
        <v>4</v>
      </c>
      <c r="FA318" s="22">
        <v>4</v>
      </c>
      <c r="FB318" s="22">
        <v>4</v>
      </c>
      <c r="FC318" s="22">
        <v>4</v>
      </c>
      <c r="FD318" s="22" t="s">
        <v>218</v>
      </c>
      <c r="FE318" s="22" t="s">
        <v>218</v>
      </c>
      <c r="FF318" s="22" t="s">
        <v>218</v>
      </c>
      <c r="FG318" s="22" t="s">
        <v>218</v>
      </c>
      <c r="FH318" s="22">
        <v>0.4</v>
      </c>
      <c r="FI318" s="22">
        <v>0.7</v>
      </c>
      <c r="FJ318" s="22" t="s">
        <v>218</v>
      </c>
      <c r="FK318" s="22">
        <v>2.5</v>
      </c>
      <c r="FL318" s="22">
        <v>1.5</v>
      </c>
      <c r="FM318" s="22" t="s">
        <v>218</v>
      </c>
      <c r="FN318" s="22">
        <v>3.5</v>
      </c>
      <c r="FO318" s="22" t="s">
        <v>218</v>
      </c>
      <c r="FP318" s="22" t="s">
        <v>218</v>
      </c>
      <c r="FQ318" s="22" t="s">
        <v>218</v>
      </c>
      <c r="FR318" s="22" t="s">
        <v>218</v>
      </c>
      <c r="FS318" s="22" t="s">
        <v>218</v>
      </c>
      <c r="FT318" s="22" t="s">
        <v>218</v>
      </c>
      <c r="FU318" s="22" t="s">
        <v>218</v>
      </c>
      <c r="FV318" s="22" t="s">
        <v>218</v>
      </c>
      <c r="FW318" s="22" t="s">
        <v>218</v>
      </c>
      <c r="FX318" s="22" t="s">
        <v>218</v>
      </c>
      <c r="FY318" s="22" t="s">
        <v>218</v>
      </c>
      <c r="FZ318" s="22" t="s">
        <v>218</v>
      </c>
      <c r="GA318" s="22">
        <v>0.19</v>
      </c>
      <c r="GB318" s="22">
        <v>0.8</v>
      </c>
      <c r="GC318" s="22" t="s">
        <v>218</v>
      </c>
      <c r="GD318" s="22" t="s">
        <v>218</v>
      </c>
      <c r="GE318" s="22">
        <v>1.7</v>
      </c>
      <c r="GF318" s="22">
        <v>0.17</v>
      </c>
      <c r="GG318" s="22">
        <v>0.18</v>
      </c>
      <c r="GH318" s="22">
        <v>36.1</v>
      </c>
      <c r="GI318" s="22">
        <v>2.77</v>
      </c>
      <c r="GJ318" s="22">
        <v>3.55</v>
      </c>
      <c r="GK318" s="22">
        <v>5.39</v>
      </c>
      <c r="GL318" s="22" t="s">
        <v>218</v>
      </c>
      <c r="GM318" s="22" t="s">
        <v>218</v>
      </c>
      <c r="GN318" s="22" t="s">
        <v>218</v>
      </c>
      <c r="GO318" s="22" t="s">
        <v>218</v>
      </c>
      <c r="GP318" s="22">
        <v>2005</v>
      </c>
      <c r="GQ318" s="22">
        <v>2005</v>
      </c>
      <c r="GR318" s="22" t="s">
        <v>218</v>
      </c>
      <c r="GS318" s="22">
        <v>2005</v>
      </c>
      <c r="GT318" s="22">
        <v>2005</v>
      </c>
      <c r="GU318" s="22" t="s">
        <v>218</v>
      </c>
      <c r="GV318" s="22">
        <v>2005</v>
      </c>
      <c r="GW318" s="22" t="s">
        <v>218</v>
      </c>
      <c r="GX318" s="22" t="s">
        <v>218</v>
      </c>
      <c r="GY318" s="22" t="s">
        <v>218</v>
      </c>
      <c r="GZ318" s="22" t="s">
        <v>218</v>
      </c>
      <c r="HA318" s="22" t="s">
        <v>218</v>
      </c>
      <c r="HB318" s="22" t="s">
        <v>218</v>
      </c>
      <c r="HC318" s="22" t="s">
        <v>218</v>
      </c>
      <c r="HD318" s="22" t="s">
        <v>218</v>
      </c>
      <c r="HE318" s="22" t="s">
        <v>218</v>
      </c>
      <c r="HF318" s="22" t="s">
        <v>218</v>
      </c>
      <c r="HG318" s="22" t="s">
        <v>218</v>
      </c>
      <c r="HH318" s="22" t="s">
        <v>218</v>
      </c>
      <c r="HI318" s="22">
        <v>2005</v>
      </c>
      <c r="HJ318" s="22">
        <v>2005</v>
      </c>
      <c r="HK318" s="22" t="s">
        <v>218</v>
      </c>
      <c r="HL318" s="22" t="s">
        <v>218</v>
      </c>
      <c r="HM318" s="620">
        <f>'background data'!$G$19</f>
        <v>0.38400000000000001</v>
      </c>
      <c r="HN318" s="620">
        <f>'background data'!$H$19</f>
        <v>0.16300000000000001</v>
      </c>
      <c r="HO318" s="620">
        <f>'background data'!$J$19</f>
        <v>0.79118999999999995</v>
      </c>
      <c r="HP318" s="620">
        <f>'background data'!$L$19</f>
        <v>5.2999999999999999E-2</v>
      </c>
      <c r="HQ318" s="620">
        <f>'background data'!$M$19</f>
        <v>0.97</v>
      </c>
      <c r="HR318" s="620">
        <f>'background data'!$N$19</f>
        <v>1.6999999999999999E-3</v>
      </c>
      <c r="HS318" s="620">
        <f>'background data'!$O$19</f>
        <v>5.31</v>
      </c>
      <c r="HT318" s="145"/>
      <c r="HU318" s="145" t="s">
        <v>1809</v>
      </c>
      <c r="HV318" s="22" t="s">
        <v>1399</v>
      </c>
      <c r="HW318" s="22" t="s">
        <v>805</v>
      </c>
      <c r="HX318" s="22" t="s">
        <v>806</v>
      </c>
      <c r="HY318" s="22" t="s">
        <v>807</v>
      </c>
      <c r="HZ318" s="19"/>
      <c r="IA318" s="19"/>
      <c r="IB318" s="620">
        <f>'background data'!$G$19</f>
        <v>0.38400000000000001</v>
      </c>
      <c r="IC318" s="620">
        <f>'background data'!$H$19</f>
        <v>0.16300000000000001</v>
      </c>
      <c r="ID318" s="620">
        <f>'background data'!$J$19</f>
        <v>0.79118999999999995</v>
      </c>
      <c r="IE318" s="620">
        <f>'background data'!$L$19</f>
        <v>5.2999999999999999E-2</v>
      </c>
      <c r="IF318" s="620">
        <f>'background data'!$M$19</f>
        <v>0.97</v>
      </c>
      <c r="IG318" s="620">
        <f>'background data'!$N$19</f>
        <v>1.6999999999999999E-3</v>
      </c>
      <c r="IH318" s="620">
        <f>'background data'!$O$19</f>
        <v>5.31</v>
      </c>
      <c r="II318" s="145"/>
      <c r="IJ318" s="145" t="s">
        <v>1399</v>
      </c>
      <c r="IK318" s="145"/>
      <c r="IL318" s="145"/>
      <c r="IM318" s="145"/>
      <c r="IN318" s="145"/>
      <c r="IO318" s="145"/>
      <c r="IP318" s="145"/>
      <c r="IQ318" s="145"/>
      <c r="IR318" s="145"/>
      <c r="IS318" s="145"/>
      <c r="IT318" s="145"/>
      <c r="IU318" s="145"/>
      <c r="IV318" s="145"/>
      <c r="IW318" s="145"/>
      <c r="IX318" s="145"/>
      <c r="IY318" s="145"/>
      <c r="IZ318" s="145"/>
      <c r="JA318" s="145"/>
      <c r="JB318" s="145"/>
      <c r="JC318" s="145"/>
      <c r="JD318" s="145"/>
      <c r="JE318" s="145"/>
      <c r="JF318" s="145"/>
      <c r="JG318" s="145"/>
      <c r="JH318" s="145"/>
      <c r="JI318" s="145"/>
      <c r="JJ318" s="145"/>
      <c r="JK318" s="145"/>
      <c r="JL318" s="145"/>
      <c r="JM318" s="145"/>
      <c r="JN318" s="145"/>
      <c r="JO318" s="145"/>
      <c r="JP318" s="145"/>
      <c r="JQ318" s="145"/>
      <c r="JR318" s="145"/>
      <c r="JS318" s="145"/>
      <c r="JT318" s="145"/>
      <c r="JU318" s="145"/>
      <c r="JV318" s="145"/>
      <c r="JW318" s="145"/>
      <c r="JX318" s="145"/>
      <c r="JY318" s="145"/>
      <c r="JZ318" s="145"/>
      <c r="KA318" s="145"/>
      <c r="KB318" s="145"/>
      <c r="KC318" s="145"/>
      <c r="KD318" s="145"/>
      <c r="KE318" s="145"/>
      <c r="KF318" s="145"/>
      <c r="KG318" s="145"/>
      <c r="KH318" s="145"/>
      <c r="KI318" s="145"/>
      <c r="KJ318" s="145"/>
      <c r="KK318" s="145"/>
      <c r="KL318" s="145"/>
      <c r="KM318" s="145"/>
      <c r="KN318" s="145"/>
      <c r="KO318" s="145"/>
      <c r="KP318" s="145"/>
      <c r="KQ318" s="145"/>
      <c r="KR318" s="145"/>
      <c r="KS318" s="145"/>
      <c r="KT318" s="145"/>
      <c r="KU318" s="145"/>
      <c r="KV318" s="145"/>
      <c r="KW318" s="145"/>
      <c r="KX318" s="145"/>
      <c r="KY318" s="145"/>
      <c r="KZ318" s="145"/>
      <c r="LA318" s="145"/>
      <c r="LB318" s="145"/>
      <c r="LC318" s="145"/>
      <c r="LD318" s="145"/>
      <c r="LE318" s="145"/>
      <c r="LF318" s="145"/>
      <c r="LG318" s="145"/>
      <c r="LH318" s="145"/>
      <c r="LI318" s="145"/>
      <c r="LJ318" s="145"/>
      <c r="LK318" s="145"/>
      <c r="LL318" s="145"/>
      <c r="LM318" s="145"/>
      <c r="LN318" s="145"/>
      <c r="LO318" s="145"/>
      <c r="LP318" s="145"/>
      <c r="LQ318" s="145"/>
      <c r="LR318" s="145"/>
      <c r="LS318" s="145"/>
      <c r="LT318" s="145"/>
      <c r="LU318" s="145"/>
      <c r="LV318" s="145"/>
      <c r="LW318" s="145"/>
      <c r="LX318" s="145"/>
      <c r="LY318" s="145"/>
      <c r="LZ318" s="145"/>
      <c r="MA318" s="145"/>
      <c r="MB318" s="145"/>
      <c r="MC318" s="145"/>
      <c r="MD318" s="145"/>
      <c r="ME318" s="145"/>
      <c r="MF318" s="145"/>
      <c r="MG318" s="145"/>
      <c r="MH318" s="145"/>
      <c r="MI318" s="145"/>
      <c r="MJ318" s="145"/>
      <c r="MK318" s="145"/>
      <c r="ML318" s="145"/>
      <c r="MM318" s="145"/>
      <c r="MN318" s="145"/>
      <c r="MO318" s="145"/>
      <c r="MP318" s="145"/>
      <c r="MQ318" s="145"/>
      <c r="MR318" s="145"/>
      <c r="MS318" s="145"/>
      <c r="MT318" s="145"/>
      <c r="MU318" s="145"/>
      <c r="MV318" s="145"/>
      <c r="MW318" s="145"/>
      <c r="MX318" s="145"/>
      <c r="MY318" s="145"/>
      <c r="MZ318" s="145"/>
      <c r="NA318" s="145"/>
      <c r="NB318" s="145"/>
      <c r="NC318" s="145"/>
      <c r="ND318" s="145"/>
      <c r="NE318" s="145"/>
      <c r="NF318" s="145"/>
      <c r="NG318" s="145"/>
      <c r="NH318" s="145"/>
      <c r="NI318" s="145"/>
      <c r="NJ318" s="145"/>
      <c r="NK318" s="145"/>
      <c r="NL318" s="145"/>
      <c r="NM318" s="145"/>
      <c r="NN318" s="145"/>
      <c r="NO318" s="145"/>
      <c r="NP318" s="145"/>
      <c r="NQ318" s="145"/>
      <c r="NR318" s="145"/>
      <c r="NS318" s="145"/>
    </row>
    <row r="319" spans="1:383" x14ac:dyDescent="0.25">
      <c r="D319" s="27" t="str">
        <f>'input-data'!E406</f>
        <v xml:space="preserve">kløvergræs </v>
      </c>
      <c r="E319" s="27" t="str">
        <f>'input-data'!B406</f>
        <v>farefolde</v>
      </c>
      <c r="F319" s="18">
        <f>L319/100*BR319</f>
        <v>0.11899999999999999</v>
      </c>
      <c r="G319" s="629">
        <f>L319/100*BS319</f>
        <v>0.11899999999999999</v>
      </c>
      <c r="L319" s="629">
        <v>17</v>
      </c>
      <c r="Z319" s="629">
        <v>3.5</v>
      </c>
      <c r="BK319" s="629">
        <v>17.8</v>
      </c>
      <c r="BR319" s="629">
        <v>0.7</v>
      </c>
      <c r="BS319" s="629">
        <v>0.7</v>
      </c>
      <c r="CD319" s="825">
        <v>1.1100000000000001</v>
      </c>
      <c r="HM319" s="630">
        <f>'Mark-Fields'!C140</f>
        <v>0</v>
      </c>
      <c r="HN319" s="630">
        <f>'Mark-Fields'!C143</f>
        <v>0</v>
      </c>
      <c r="HO319" s="630">
        <f>'Mark-Fields'!C146</f>
        <v>0</v>
      </c>
      <c r="HP319" s="631">
        <f>'Mark-Fields'!C166</f>
        <v>0</v>
      </c>
      <c r="HQ319" s="630">
        <f>'Mark-Fields'!C200</f>
        <v>0</v>
      </c>
      <c r="HR319" s="631">
        <f>'Mark-Fields'!C184</f>
        <v>0</v>
      </c>
      <c r="HS319" s="630">
        <f>'Mark-Fields'!C208</f>
        <v>0</v>
      </c>
      <c r="HT319" s="11"/>
      <c r="HU319" s="145" t="s">
        <v>1812</v>
      </c>
      <c r="HV319" s="827" t="s">
        <v>1994</v>
      </c>
      <c r="IB319" s="620"/>
      <c r="IC319" s="620"/>
      <c r="ID319" s="620"/>
      <c r="IE319" s="620"/>
      <c r="IF319" s="620"/>
      <c r="IG319" s="620"/>
      <c r="IH319" s="620"/>
    </row>
    <row r="320" spans="1:383" x14ac:dyDescent="0.25">
      <c r="D320" s="27" t="str">
        <f>'input-data'!E411</f>
        <v xml:space="preserve">kløvergræs </v>
      </c>
      <c r="E320" s="27" t="str">
        <f>'input-data'!B411</f>
        <v>drægtighedsfolde</v>
      </c>
      <c r="F320" s="18">
        <f>F319</f>
        <v>0.11899999999999999</v>
      </c>
      <c r="G320" s="18">
        <f t="shared" ref="G320:BR322" si="16">G319</f>
        <v>0.11899999999999999</v>
      </c>
      <c r="H320" s="18">
        <f t="shared" si="16"/>
        <v>0</v>
      </c>
      <c r="I320" s="18">
        <f t="shared" si="16"/>
        <v>0</v>
      </c>
      <c r="J320" s="18">
        <f t="shared" si="16"/>
        <v>0</v>
      </c>
      <c r="K320" s="18">
        <f t="shared" si="16"/>
        <v>0</v>
      </c>
      <c r="L320" s="18">
        <f t="shared" si="16"/>
        <v>17</v>
      </c>
      <c r="M320" s="18">
        <f t="shared" si="16"/>
        <v>0</v>
      </c>
      <c r="N320" s="18">
        <f t="shared" si="16"/>
        <v>0</v>
      </c>
      <c r="O320" s="18">
        <f t="shared" si="16"/>
        <v>0</v>
      </c>
      <c r="P320" s="18">
        <f t="shared" si="16"/>
        <v>0</v>
      </c>
      <c r="Q320" s="18">
        <f t="shared" si="16"/>
        <v>0</v>
      </c>
      <c r="R320" s="18">
        <f t="shared" si="16"/>
        <v>0</v>
      </c>
      <c r="S320" s="18">
        <f t="shared" si="16"/>
        <v>0</v>
      </c>
      <c r="T320" s="18">
        <f t="shared" si="16"/>
        <v>0</v>
      </c>
      <c r="U320" s="18">
        <f t="shared" si="16"/>
        <v>0</v>
      </c>
      <c r="V320" s="18">
        <f t="shared" si="16"/>
        <v>0</v>
      </c>
      <c r="W320" s="18">
        <f t="shared" si="16"/>
        <v>0</v>
      </c>
      <c r="X320" s="18">
        <f t="shared" si="16"/>
        <v>0</v>
      </c>
      <c r="Y320" s="18">
        <f t="shared" si="16"/>
        <v>0</v>
      </c>
      <c r="Z320" s="18">
        <f t="shared" si="16"/>
        <v>3.5</v>
      </c>
      <c r="AA320" s="18">
        <f t="shared" si="16"/>
        <v>0</v>
      </c>
      <c r="AB320" s="18">
        <f t="shared" si="16"/>
        <v>0</v>
      </c>
      <c r="AC320" s="18">
        <f t="shared" si="16"/>
        <v>0</v>
      </c>
      <c r="AD320" s="18">
        <f t="shared" si="16"/>
        <v>0</v>
      </c>
      <c r="AE320" s="18">
        <f t="shared" si="16"/>
        <v>0</v>
      </c>
      <c r="AF320" s="18">
        <f t="shared" si="16"/>
        <v>0</v>
      </c>
      <c r="AG320" s="18">
        <f t="shared" si="16"/>
        <v>0</v>
      </c>
      <c r="AH320" s="18">
        <f t="shared" si="16"/>
        <v>0</v>
      </c>
      <c r="AI320" s="18">
        <f t="shared" si="16"/>
        <v>0</v>
      </c>
      <c r="AJ320" s="18">
        <f t="shared" si="16"/>
        <v>0</v>
      </c>
      <c r="AK320" s="18">
        <f t="shared" si="16"/>
        <v>0</v>
      </c>
      <c r="AL320" s="18">
        <f t="shared" si="16"/>
        <v>0</v>
      </c>
      <c r="AM320" s="18">
        <f t="shared" si="16"/>
        <v>0</v>
      </c>
      <c r="AN320" s="18">
        <f t="shared" si="16"/>
        <v>0</v>
      </c>
      <c r="AO320" s="18">
        <f t="shared" si="16"/>
        <v>0</v>
      </c>
      <c r="AP320" s="18">
        <f t="shared" si="16"/>
        <v>0</v>
      </c>
      <c r="AQ320" s="18">
        <f t="shared" si="16"/>
        <v>0</v>
      </c>
      <c r="AR320" s="18">
        <f t="shared" si="16"/>
        <v>0</v>
      </c>
      <c r="AS320" s="18">
        <f t="shared" si="16"/>
        <v>0</v>
      </c>
      <c r="AT320" s="18">
        <f t="shared" si="16"/>
        <v>0</v>
      </c>
      <c r="AU320" s="18">
        <f t="shared" si="16"/>
        <v>0</v>
      </c>
      <c r="AV320" s="18">
        <f t="shared" si="16"/>
        <v>0</v>
      </c>
      <c r="AW320" s="18">
        <f t="shared" si="16"/>
        <v>0</v>
      </c>
      <c r="AX320" s="18">
        <f t="shared" si="16"/>
        <v>0</v>
      </c>
      <c r="AY320" s="18">
        <f t="shared" si="16"/>
        <v>0</v>
      </c>
      <c r="AZ320" s="18">
        <f t="shared" si="16"/>
        <v>0</v>
      </c>
      <c r="BA320" s="18">
        <f t="shared" si="16"/>
        <v>0</v>
      </c>
      <c r="BB320" s="18">
        <f t="shared" si="16"/>
        <v>0</v>
      </c>
      <c r="BC320" s="18">
        <f t="shared" si="16"/>
        <v>0</v>
      </c>
      <c r="BD320" s="18">
        <f t="shared" si="16"/>
        <v>0</v>
      </c>
      <c r="BE320" s="18">
        <f t="shared" si="16"/>
        <v>0</v>
      </c>
      <c r="BF320" s="18">
        <f t="shared" si="16"/>
        <v>0</v>
      </c>
      <c r="BG320" s="18">
        <f t="shared" si="16"/>
        <v>0</v>
      </c>
      <c r="BH320" s="18">
        <f t="shared" si="16"/>
        <v>0</v>
      </c>
      <c r="BI320" s="18">
        <f t="shared" si="16"/>
        <v>0</v>
      </c>
      <c r="BJ320" s="18">
        <f t="shared" si="16"/>
        <v>0</v>
      </c>
      <c r="BK320" s="18">
        <f t="shared" si="16"/>
        <v>17.8</v>
      </c>
      <c r="BL320" s="18">
        <f t="shared" si="16"/>
        <v>0</v>
      </c>
      <c r="BM320" s="18">
        <f t="shared" si="16"/>
        <v>0</v>
      </c>
      <c r="BN320" s="18">
        <f t="shared" si="16"/>
        <v>0</v>
      </c>
      <c r="BO320" s="18">
        <f t="shared" si="16"/>
        <v>0</v>
      </c>
      <c r="BP320" s="18">
        <f t="shared" si="16"/>
        <v>0</v>
      </c>
      <c r="BQ320" s="18">
        <f t="shared" si="16"/>
        <v>0</v>
      </c>
      <c r="BR320" s="18">
        <f t="shared" si="16"/>
        <v>0.7</v>
      </c>
      <c r="BS320" s="18">
        <f t="shared" ref="BS320:DX322" si="17">BS319</f>
        <v>0.7</v>
      </c>
      <c r="BT320" s="18">
        <f t="shared" si="17"/>
        <v>0</v>
      </c>
      <c r="BU320" s="18">
        <f t="shared" si="17"/>
        <v>0</v>
      </c>
      <c r="BV320" s="18">
        <f t="shared" si="17"/>
        <v>0</v>
      </c>
      <c r="BW320" s="18">
        <f t="shared" si="17"/>
        <v>0</v>
      </c>
      <c r="BX320" s="18">
        <f t="shared" si="17"/>
        <v>0</v>
      </c>
      <c r="BY320" s="18">
        <f t="shared" si="17"/>
        <v>0</v>
      </c>
      <c r="BZ320" s="18">
        <f t="shared" si="17"/>
        <v>0</v>
      </c>
      <c r="CA320" s="18">
        <f t="shared" si="17"/>
        <v>0</v>
      </c>
      <c r="CB320" s="18">
        <f t="shared" si="17"/>
        <v>0</v>
      </c>
      <c r="CC320" s="18">
        <f t="shared" si="17"/>
        <v>0</v>
      </c>
      <c r="CD320" s="18">
        <f t="shared" si="17"/>
        <v>1.1100000000000001</v>
      </c>
      <c r="CE320" s="18">
        <f t="shared" si="17"/>
        <v>0</v>
      </c>
      <c r="CF320" s="18">
        <f t="shared" si="17"/>
        <v>0</v>
      </c>
      <c r="CG320" s="18">
        <f t="shared" si="17"/>
        <v>0</v>
      </c>
      <c r="CH320" s="18">
        <f t="shared" si="17"/>
        <v>0</v>
      </c>
      <c r="CI320" s="18">
        <f t="shared" si="17"/>
        <v>0</v>
      </c>
      <c r="CJ320" s="18">
        <f t="shared" si="17"/>
        <v>0</v>
      </c>
      <c r="CK320" s="18">
        <f t="shared" si="17"/>
        <v>0</v>
      </c>
      <c r="CL320" s="18">
        <f t="shared" si="17"/>
        <v>0</v>
      </c>
      <c r="CM320" s="18">
        <f t="shared" si="17"/>
        <v>0</v>
      </c>
      <c r="CN320" s="18">
        <f t="shared" si="17"/>
        <v>0</v>
      </c>
      <c r="CO320" s="18">
        <f t="shared" si="17"/>
        <v>0</v>
      </c>
      <c r="CP320" s="18">
        <f t="shared" si="17"/>
        <v>0</v>
      </c>
      <c r="CQ320" s="18">
        <f t="shared" si="17"/>
        <v>0</v>
      </c>
      <c r="CR320" s="18">
        <f t="shared" si="17"/>
        <v>0</v>
      </c>
      <c r="CS320" s="18">
        <f t="shared" si="17"/>
        <v>0</v>
      </c>
      <c r="CT320" s="18">
        <f t="shared" si="17"/>
        <v>0</v>
      </c>
      <c r="CU320" s="18">
        <f t="shared" si="17"/>
        <v>0</v>
      </c>
      <c r="CV320" s="18">
        <f t="shared" si="17"/>
        <v>0</v>
      </c>
      <c r="CW320" s="18">
        <f t="shared" si="17"/>
        <v>0</v>
      </c>
      <c r="CX320" s="18">
        <f t="shared" si="17"/>
        <v>0</v>
      </c>
      <c r="CY320" s="18">
        <f t="shared" si="17"/>
        <v>0</v>
      </c>
      <c r="CZ320" s="18">
        <f t="shared" si="17"/>
        <v>0</v>
      </c>
      <c r="DA320" s="18">
        <f t="shared" si="17"/>
        <v>0</v>
      </c>
      <c r="DB320" s="18">
        <f t="shared" si="17"/>
        <v>0</v>
      </c>
      <c r="DC320" s="18">
        <f t="shared" si="17"/>
        <v>0</v>
      </c>
      <c r="DD320" s="18">
        <f t="shared" si="17"/>
        <v>0</v>
      </c>
      <c r="DE320" s="18">
        <f t="shared" si="17"/>
        <v>0</v>
      </c>
      <c r="DF320" s="18">
        <f t="shared" si="17"/>
        <v>0</v>
      </c>
      <c r="DG320" s="18">
        <f t="shared" si="17"/>
        <v>0</v>
      </c>
      <c r="DH320" s="18">
        <f t="shared" si="17"/>
        <v>0</v>
      </c>
      <c r="DI320" s="18">
        <f t="shared" si="17"/>
        <v>0</v>
      </c>
      <c r="DJ320" s="18">
        <f t="shared" si="17"/>
        <v>0</v>
      </c>
      <c r="DK320" s="18">
        <f t="shared" si="17"/>
        <v>0</v>
      </c>
      <c r="DL320" s="18">
        <f t="shared" si="17"/>
        <v>0</v>
      </c>
      <c r="DM320" s="18">
        <f t="shared" si="17"/>
        <v>0</v>
      </c>
      <c r="DN320" s="18">
        <f t="shared" si="17"/>
        <v>0</v>
      </c>
      <c r="DO320" s="18">
        <f t="shared" si="17"/>
        <v>0</v>
      </c>
      <c r="DP320" s="18">
        <f t="shared" si="17"/>
        <v>0</v>
      </c>
      <c r="DQ320" s="18">
        <f t="shared" si="17"/>
        <v>0</v>
      </c>
      <c r="DR320" s="18">
        <f t="shared" si="17"/>
        <v>0</v>
      </c>
      <c r="DS320" s="18">
        <f t="shared" si="17"/>
        <v>0</v>
      </c>
      <c r="DT320" s="18">
        <f t="shared" si="17"/>
        <v>0</v>
      </c>
      <c r="DU320" s="18">
        <f t="shared" si="17"/>
        <v>0</v>
      </c>
      <c r="DV320" s="18">
        <f t="shared" si="17"/>
        <v>0</v>
      </c>
      <c r="DW320" s="18">
        <f t="shared" si="17"/>
        <v>0</v>
      </c>
      <c r="DX320" s="18">
        <f t="shared" si="17"/>
        <v>0</v>
      </c>
      <c r="DY320" s="18">
        <f>DY319</f>
        <v>0</v>
      </c>
      <c r="DZ320" s="18">
        <f t="shared" ref="DZ320:DZ322" si="18">DZ319</f>
        <v>0</v>
      </c>
      <c r="EA320" s="18">
        <f t="shared" ref="EA320:EA322" si="19">EA319</f>
        <v>0</v>
      </c>
      <c r="EB320" s="18">
        <f t="shared" ref="EB320:EB322" si="20">EB319</f>
        <v>0</v>
      </c>
      <c r="EC320" s="18">
        <f t="shared" ref="EC320:EC322" si="21">EC319</f>
        <v>0</v>
      </c>
      <c r="ED320" s="18">
        <f t="shared" ref="ED320:ED322" si="22">ED319</f>
        <v>0</v>
      </c>
      <c r="EE320" s="18">
        <f t="shared" ref="EE320:EE322" si="23">EE319</f>
        <v>0</v>
      </c>
      <c r="EF320" s="18">
        <f t="shared" ref="EF320:EF322" si="24">EF319</f>
        <v>0</v>
      </c>
      <c r="EG320" s="18">
        <f t="shared" ref="EG320:EG322" si="25">EG319</f>
        <v>0</v>
      </c>
      <c r="EH320" s="18">
        <f t="shared" ref="EH320:EH322" si="26">EH319</f>
        <v>0</v>
      </c>
      <c r="EI320" s="18">
        <f t="shared" ref="EI320:EI322" si="27">EI319</f>
        <v>0</v>
      </c>
      <c r="EJ320" s="18">
        <f t="shared" ref="EJ320:EJ322" si="28">EJ319</f>
        <v>0</v>
      </c>
      <c r="EK320" s="18">
        <f t="shared" ref="EK320:EK322" si="29">EK319</f>
        <v>0</v>
      </c>
      <c r="EL320" s="18">
        <f t="shared" ref="EL320:EL322" si="30">EL319</f>
        <v>0</v>
      </c>
      <c r="EM320" s="18">
        <f t="shared" ref="EM320:EM322" si="31">EM319</f>
        <v>0</v>
      </c>
      <c r="EN320" s="18">
        <f t="shared" ref="EN320:EN322" si="32">EN319</f>
        <v>0</v>
      </c>
      <c r="EO320" s="18">
        <f t="shared" ref="EO320:EO322" si="33">EO319</f>
        <v>0</v>
      </c>
      <c r="EP320" s="18">
        <f t="shared" ref="EP320:EP322" si="34">EP319</f>
        <v>0</v>
      </c>
      <c r="EQ320" s="18">
        <f t="shared" ref="EQ320:EQ322" si="35">EQ319</f>
        <v>0</v>
      </c>
      <c r="ER320" s="18">
        <f t="shared" ref="ER320:ER322" si="36">ER319</f>
        <v>0</v>
      </c>
      <c r="ES320" s="18">
        <f t="shared" ref="ES320:ES322" si="37">ES319</f>
        <v>0</v>
      </c>
      <c r="ET320" s="18">
        <f t="shared" ref="ET320:ET322" si="38">ET319</f>
        <v>0</v>
      </c>
      <c r="EU320" s="18">
        <f t="shared" ref="EU320:EU322" si="39">EU319</f>
        <v>0</v>
      </c>
      <c r="EV320" s="18">
        <f t="shared" ref="EV320:EV322" si="40">EV319</f>
        <v>0</v>
      </c>
      <c r="EW320" s="18">
        <f t="shared" ref="EW320:EW322" si="41">EW319</f>
        <v>0</v>
      </c>
      <c r="EX320" s="18">
        <f t="shared" ref="EX320:EX322" si="42">EX319</f>
        <v>0</v>
      </c>
      <c r="EY320" s="18">
        <f t="shared" ref="EY320:EY322" si="43">EY319</f>
        <v>0</v>
      </c>
      <c r="EZ320" s="18">
        <f t="shared" ref="EZ320:EZ322" si="44">EZ319</f>
        <v>0</v>
      </c>
      <c r="FA320" s="18">
        <f t="shared" ref="FA320:FA322" si="45">FA319</f>
        <v>0</v>
      </c>
      <c r="FB320" s="18">
        <f t="shared" ref="FB320:FB322" si="46">FB319</f>
        <v>0</v>
      </c>
      <c r="FC320" s="18">
        <f t="shared" ref="FC320:FC322" si="47">FC319</f>
        <v>0</v>
      </c>
      <c r="FD320" s="18">
        <f t="shared" ref="FD320:FD322" si="48">FD319</f>
        <v>0</v>
      </c>
      <c r="FE320" s="18">
        <f t="shared" ref="FE320:FE322" si="49">FE319</f>
        <v>0</v>
      </c>
      <c r="FF320" s="18">
        <f t="shared" ref="FF320:FF322" si="50">FF319</f>
        <v>0</v>
      </c>
      <c r="FG320" s="18">
        <f t="shared" ref="FG320:FG322" si="51">FG319</f>
        <v>0</v>
      </c>
      <c r="FH320" s="18">
        <f t="shared" ref="FH320:FH322" si="52">FH319</f>
        <v>0</v>
      </c>
      <c r="FI320" s="18">
        <f t="shared" ref="FI320:FI322" si="53">FI319</f>
        <v>0</v>
      </c>
      <c r="FJ320" s="18">
        <f t="shared" ref="FJ320:FJ322" si="54">FJ319</f>
        <v>0</v>
      </c>
      <c r="FK320" s="18">
        <f t="shared" ref="FK320:FK322" si="55">FK319</f>
        <v>0</v>
      </c>
      <c r="FL320" s="18">
        <f t="shared" ref="FL320:FL322" si="56">FL319</f>
        <v>0</v>
      </c>
      <c r="FM320" s="18">
        <f t="shared" ref="FM320:FM322" si="57">FM319</f>
        <v>0</v>
      </c>
      <c r="FN320" s="18">
        <f t="shared" ref="FN320:FN322" si="58">FN319</f>
        <v>0</v>
      </c>
      <c r="FO320" s="18">
        <f t="shared" ref="FO320:FO322" si="59">FO319</f>
        <v>0</v>
      </c>
      <c r="FP320" s="18">
        <f t="shared" ref="FP320:FP322" si="60">FP319</f>
        <v>0</v>
      </c>
      <c r="FQ320" s="18">
        <f t="shared" ref="FQ320:FQ322" si="61">FQ319</f>
        <v>0</v>
      </c>
      <c r="FR320" s="18">
        <f t="shared" ref="FR320:FR322" si="62">FR319</f>
        <v>0</v>
      </c>
      <c r="FS320" s="18">
        <f t="shared" ref="FS320:FS322" si="63">FS319</f>
        <v>0</v>
      </c>
      <c r="FT320" s="18">
        <f t="shared" ref="FT320:FT322" si="64">FT319</f>
        <v>0</v>
      </c>
      <c r="FU320" s="18">
        <f t="shared" ref="FU320:FU322" si="65">FU319</f>
        <v>0</v>
      </c>
      <c r="FV320" s="18">
        <f t="shared" ref="FV320:FV322" si="66">FV319</f>
        <v>0</v>
      </c>
      <c r="FW320" s="18">
        <f t="shared" ref="FW320:FW322" si="67">FW319</f>
        <v>0</v>
      </c>
      <c r="FX320" s="18">
        <f t="shared" ref="FX320:FX322" si="68">FX319</f>
        <v>0</v>
      </c>
      <c r="FY320" s="18">
        <f t="shared" ref="FY320:FY322" si="69">FY319</f>
        <v>0</v>
      </c>
      <c r="FZ320" s="18">
        <f t="shared" ref="FZ320:FZ322" si="70">FZ319</f>
        <v>0</v>
      </c>
      <c r="GA320" s="18">
        <f t="shared" ref="GA320:GA322" si="71">GA319</f>
        <v>0</v>
      </c>
      <c r="GB320" s="18">
        <f t="shared" ref="GB320:GB322" si="72">GB319</f>
        <v>0</v>
      </c>
      <c r="GC320" s="18">
        <f t="shared" ref="GC320:GC322" si="73">GC319</f>
        <v>0</v>
      </c>
      <c r="GD320" s="18">
        <f t="shared" ref="GD320:GD322" si="74">GD319</f>
        <v>0</v>
      </c>
      <c r="GE320" s="18">
        <f t="shared" ref="GE320:GE322" si="75">GE319</f>
        <v>0</v>
      </c>
      <c r="GF320" s="18">
        <f t="shared" ref="GF320:GF322" si="76">GF319</f>
        <v>0</v>
      </c>
      <c r="GG320" s="18">
        <f t="shared" ref="GG320:GG322" si="77">GG319</f>
        <v>0</v>
      </c>
      <c r="GH320" s="18">
        <f t="shared" ref="GH320:GH322" si="78">GH319</f>
        <v>0</v>
      </c>
      <c r="GI320" s="18">
        <f t="shared" ref="GI320:GI322" si="79">GI319</f>
        <v>0</v>
      </c>
      <c r="GJ320" s="18">
        <f t="shared" ref="GJ320:GJ322" si="80">GJ319</f>
        <v>0</v>
      </c>
      <c r="GK320" s="18">
        <f t="shared" ref="GK320:GK322" si="81">GK319</f>
        <v>0</v>
      </c>
      <c r="GL320" s="18">
        <f t="shared" ref="GL320:GL322" si="82">GL319</f>
        <v>0</v>
      </c>
      <c r="GM320" s="18">
        <f t="shared" ref="GM320:GM322" si="83">GM319</f>
        <v>0</v>
      </c>
      <c r="GN320" s="18">
        <f t="shared" ref="GN320:GN322" si="84">GN319</f>
        <v>0</v>
      </c>
      <c r="GO320" s="18">
        <f t="shared" ref="GO320:GO322" si="85">GO319</f>
        <v>0</v>
      </c>
      <c r="GP320" s="18">
        <f t="shared" ref="GP320:GP322" si="86">GP319</f>
        <v>0</v>
      </c>
      <c r="GQ320" s="18">
        <f t="shared" ref="GQ320:GQ322" si="87">GQ319</f>
        <v>0</v>
      </c>
      <c r="GR320" s="18">
        <f t="shared" ref="GR320:GR322" si="88">GR319</f>
        <v>0</v>
      </c>
      <c r="GS320" s="18">
        <f t="shared" ref="GS320:GS322" si="89">GS319</f>
        <v>0</v>
      </c>
      <c r="GT320" s="18">
        <f t="shared" ref="GT320:GT322" si="90">GT319</f>
        <v>0</v>
      </c>
      <c r="GU320" s="18">
        <f t="shared" ref="GU320:GU322" si="91">GU319</f>
        <v>0</v>
      </c>
      <c r="GV320" s="18">
        <f t="shared" ref="GV320:GV322" si="92">GV319</f>
        <v>0</v>
      </c>
      <c r="GW320" s="18">
        <f t="shared" ref="GW320:GW322" si="93">GW319</f>
        <v>0</v>
      </c>
      <c r="GX320" s="18">
        <f t="shared" ref="GX320:GX322" si="94">GX319</f>
        <v>0</v>
      </c>
      <c r="GY320" s="18">
        <f t="shared" ref="GY320:GY322" si="95">GY319</f>
        <v>0</v>
      </c>
      <c r="GZ320" s="18">
        <f t="shared" ref="GZ320:GZ322" si="96">GZ319</f>
        <v>0</v>
      </c>
      <c r="HA320" s="18">
        <f t="shared" ref="HA320:HA322" si="97">HA319</f>
        <v>0</v>
      </c>
      <c r="HB320" s="18">
        <f t="shared" ref="HB320:HB322" si="98">HB319</f>
        <v>0</v>
      </c>
      <c r="HC320" s="18">
        <f t="shared" ref="HC320:HC322" si="99">HC319</f>
        <v>0</v>
      </c>
      <c r="HD320" s="18">
        <f t="shared" ref="HD320:HD322" si="100">HD319</f>
        <v>0</v>
      </c>
      <c r="HE320" s="18">
        <f t="shared" ref="HE320:HE322" si="101">HE319</f>
        <v>0</v>
      </c>
      <c r="HF320" s="18">
        <f t="shared" ref="HF320:HF322" si="102">HF319</f>
        <v>0</v>
      </c>
      <c r="HG320" s="18">
        <f t="shared" ref="HG320:HG322" si="103">HG319</f>
        <v>0</v>
      </c>
      <c r="HH320" s="18">
        <f t="shared" ref="HH320:HH322" si="104">HH319</f>
        <v>0</v>
      </c>
      <c r="HI320" s="18">
        <f t="shared" ref="HI320:HI322" si="105">HI319</f>
        <v>0</v>
      </c>
      <c r="HJ320" s="18">
        <f t="shared" ref="HJ320:HJ322" si="106">HJ319</f>
        <v>0</v>
      </c>
      <c r="HK320" s="18">
        <f t="shared" ref="HK320:HK322" si="107">HK319</f>
        <v>0</v>
      </c>
      <c r="HL320" s="18">
        <f t="shared" ref="HL320:HL322" si="108">HL319</f>
        <v>0</v>
      </c>
      <c r="HM320" s="630">
        <f>'Mark-Fields'!D140</f>
        <v>0</v>
      </c>
      <c r="HN320" s="630">
        <f>'Mark-Fields'!D143</f>
        <v>0</v>
      </c>
      <c r="HO320" s="630">
        <f>'Mark-Fields'!D146</f>
        <v>0</v>
      </c>
      <c r="HP320" s="630">
        <f>'Mark-Fields'!D166</f>
        <v>0</v>
      </c>
      <c r="HQ320" s="630">
        <f>'Mark-Fields'!D200</f>
        <v>0</v>
      </c>
      <c r="HR320" s="630">
        <f>'Mark-Fields'!D184</f>
        <v>0</v>
      </c>
      <c r="HS320" s="630">
        <f>'Mark-Fields'!D208</f>
        <v>0</v>
      </c>
      <c r="HT320" s="11"/>
      <c r="HU320" s="145" t="s">
        <v>1812</v>
      </c>
      <c r="HV320" s="827" t="s">
        <v>1994</v>
      </c>
      <c r="IB320" s="620"/>
      <c r="IC320" s="620"/>
      <c r="ID320" s="620"/>
      <c r="IE320" s="620"/>
      <c r="IF320" s="620"/>
      <c r="IG320" s="620"/>
      <c r="IH320" s="620"/>
    </row>
    <row r="321" spans="4:242" x14ac:dyDescent="0.25">
      <c r="D321" s="27" t="str">
        <f>'input-data'!E416</f>
        <v xml:space="preserve">kløvergræs </v>
      </c>
      <c r="E321" s="27" t="str">
        <f>'input-data'!B416</f>
        <v>smågrisefolde</v>
      </c>
      <c r="F321" s="18">
        <f t="shared" ref="F321:F322" si="109">F320</f>
        <v>0.11899999999999999</v>
      </c>
      <c r="G321" s="18">
        <f t="shared" si="16"/>
        <v>0.11899999999999999</v>
      </c>
      <c r="H321" s="18">
        <f t="shared" si="16"/>
        <v>0</v>
      </c>
      <c r="I321" s="18">
        <f t="shared" si="16"/>
        <v>0</v>
      </c>
      <c r="J321" s="18">
        <f t="shared" si="16"/>
        <v>0</v>
      </c>
      <c r="K321" s="18">
        <f t="shared" si="16"/>
        <v>0</v>
      </c>
      <c r="L321" s="18">
        <f t="shared" si="16"/>
        <v>17</v>
      </c>
      <c r="M321" s="18">
        <f t="shared" si="16"/>
        <v>0</v>
      </c>
      <c r="N321" s="18">
        <f t="shared" si="16"/>
        <v>0</v>
      </c>
      <c r="O321" s="18">
        <f t="shared" si="16"/>
        <v>0</v>
      </c>
      <c r="P321" s="18">
        <f t="shared" si="16"/>
        <v>0</v>
      </c>
      <c r="Q321" s="18">
        <f t="shared" si="16"/>
        <v>0</v>
      </c>
      <c r="R321" s="18">
        <f t="shared" si="16"/>
        <v>0</v>
      </c>
      <c r="S321" s="18">
        <f t="shared" si="16"/>
        <v>0</v>
      </c>
      <c r="T321" s="18">
        <f t="shared" si="16"/>
        <v>0</v>
      </c>
      <c r="U321" s="18">
        <f t="shared" si="16"/>
        <v>0</v>
      </c>
      <c r="V321" s="18">
        <f t="shared" si="16"/>
        <v>0</v>
      </c>
      <c r="W321" s="18">
        <f t="shared" si="16"/>
        <v>0</v>
      </c>
      <c r="X321" s="18">
        <f t="shared" si="16"/>
        <v>0</v>
      </c>
      <c r="Y321" s="18">
        <f t="shared" si="16"/>
        <v>0</v>
      </c>
      <c r="Z321" s="18">
        <f t="shared" si="16"/>
        <v>3.5</v>
      </c>
      <c r="AA321" s="18">
        <f t="shared" si="16"/>
        <v>0</v>
      </c>
      <c r="AB321" s="18">
        <f t="shared" si="16"/>
        <v>0</v>
      </c>
      <c r="AC321" s="18">
        <f t="shared" si="16"/>
        <v>0</v>
      </c>
      <c r="AD321" s="18">
        <f t="shared" si="16"/>
        <v>0</v>
      </c>
      <c r="AE321" s="18">
        <f t="shared" si="16"/>
        <v>0</v>
      </c>
      <c r="AF321" s="18">
        <f t="shared" si="16"/>
        <v>0</v>
      </c>
      <c r="AG321" s="18">
        <f t="shared" si="16"/>
        <v>0</v>
      </c>
      <c r="AH321" s="18">
        <f t="shared" si="16"/>
        <v>0</v>
      </c>
      <c r="AI321" s="18">
        <f t="shared" si="16"/>
        <v>0</v>
      </c>
      <c r="AJ321" s="18">
        <f t="shared" si="16"/>
        <v>0</v>
      </c>
      <c r="AK321" s="18">
        <f t="shared" si="16"/>
        <v>0</v>
      </c>
      <c r="AL321" s="18">
        <f t="shared" si="16"/>
        <v>0</v>
      </c>
      <c r="AM321" s="18">
        <f t="shared" si="16"/>
        <v>0</v>
      </c>
      <c r="AN321" s="18">
        <f t="shared" si="16"/>
        <v>0</v>
      </c>
      <c r="AO321" s="18">
        <f t="shared" si="16"/>
        <v>0</v>
      </c>
      <c r="AP321" s="18">
        <f t="shared" si="16"/>
        <v>0</v>
      </c>
      <c r="AQ321" s="18">
        <f t="shared" si="16"/>
        <v>0</v>
      </c>
      <c r="AR321" s="18">
        <f t="shared" si="16"/>
        <v>0</v>
      </c>
      <c r="AS321" s="18">
        <f t="shared" si="16"/>
        <v>0</v>
      </c>
      <c r="AT321" s="18">
        <f t="shared" si="16"/>
        <v>0</v>
      </c>
      <c r="AU321" s="18">
        <f t="shared" si="16"/>
        <v>0</v>
      </c>
      <c r="AV321" s="18">
        <f t="shared" si="16"/>
        <v>0</v>
      </c>
      <c r="AW321" s="18">
        <f t="shared" si="16"/>
        <v>0</v>
      </c>
      <c r="AX321" s="18">
        <f t="shared" si="16"/>
        <v>0</v>
      </c>
      <c r="AY321" s="18">
        <f t="shared" si="16"/>
        <v>0</v>
      </c>
      <c r="AZ321" s="18">
        <f t="shared" si="16"/>
        <v>0</v>
      </c>
      <c r="BA321" s="18">
        <f t="shared" si="16"/>
        <v>0</v>
      </c>
      <c r="BB321" s="18">
        <f t="shared" si="16"/>
        <v>0</v>
      </c>
      <c r="BC321" s="18">
        <f t="shared" si="16"/>
        <v>0</v>
      </c>
      <c r="BD321" s="18">
        <f t="shared" si="16"/>
        <v>0</v>
      </c>
      <c r="BE321" s="18">
        <f t="shared" si="16"/>
        <v>0</v>
      </c>
      <c r="BF321" s="18">
        <f t="shared" si="16"/>
        <v>0</v>
      </c>
      <c r="BG321" s="18">
        <f t="shared" si="16"/>
        <v>0</v>
      </c>
      <c r="BH321" s="18">
        <f t="shared" si="16"/>
        <v>0</v>
      </c>
      <c r="BI321" s="18">
        <f t="shared" si="16"/>
        <v>0</v>
      </c>
      <c r="BJ321" s="18">
        <f t="shared" si="16"/>
        <v>0</v>
      </c>
      <c r="BK321" s="18">
        <f t="shared" si="16"/>
        <v>17.8</v>
      </c>
      <c r="BL321" s="18">
        <f t="shared" si="16"/>
        <v>0</v>
      </c>
      <c r="BM321" s="18">
        <f t="shared" si="16"/>
        <v>0</v>
      </c>
      <c r="BN321" s="18">
        <f t="shared" si="16"/>
        <v>0</v>
      </c>
      <c r="BO321" s="18">
        <f t="shared" si="16"/>
        <v>0</v>
      </c>
      <c r="BP321" s="18">
        <f t="shared" si="16"/>
        <v>0</v>
      </c>
      <c r="BQ321" s="18">
        <f t="shared" si="16"/>
        <v>0</v>
      </c>
      <c r="BR321" s="18">
        <f t="shared" si="16"/>
        <v>0.7</v>
      </c>
      <c r="BS321" s="18">
        <f t="shared" si="17"/>
        <v>0.7</v>
      </c>
      <c r="BT321" s="18">
        <f t="shared" si="17"/>
        <v>0</v>
      </c>
      <c r="BU321" s="18">
        <f t="shared" si="17"/>
        <v>0</v>
      </c>
      <c r="BV321" s="18">
        <f t="shared" si="17"/>
        <v>0</v>
      </c>
      <c r="BW321" s="18">
        <f t="shared" si="17"/>
        <v>0</v>
      </c>
      <c r="BX321" s="18">
        <f t="shared" si="17"/>
        <v>0</v>
      </c>
      <c r="BY321" s="18">
        <f t="shared" si="17"/>
        <v>0</v>
      </c>
      <c r="BZ321" s="18">
        <f t="shared" si="17"/>
        <v>0</v>
      </c>
      <c r="CA321" s="18">
        <f t="shared" si="17"/>
        <v>0</v>
      </c>
      <c r="CB321" s="18">
        <f t="shared" si="17"/>
        <v>0</v>
      </c>
      <c r="CC321" s="18">
        <f t="shared" si="17"/>
        <v>0</v>
      </c>
      <c r="CD321" s="18">
        <f t="shared" si="17"/>
        <v>1.1100000000000001</v>
      </c>
      <c r="CE321" s="18">
        <f t="shared" si="17"/>
        <v>0</v>
      </c>
      <c r="CF321" s="18">
        <f t="shared" si="17"/>
        <v>0</v>
      </c>
      <c r="CG321" s="18">
        <f t="shared" si="17"/>
        <v>0</v>
      </c>
      <c r="CH321" s="18">
        <f t="shared" si="17"/>
        <v>0</v>
      </c>
      <c r="CI321" s="18">
        <f t="shared" si="17"/>
        <v>0</v>
      </c>
      <c r="CJ321" s="18">
        <f t="shared" si="17"/>
        <v>0</v>
      </c>
      <c r="CK321" s="18">
        <f t="shared" si="17"/>
        <v>0</v>
      </c>
      <c r="CL321" s="18">
        <f t="shared" si="17"/>
        <v>0</v>
      </c>
      <c r="CM321" s="18">
        <f t="shared" si="17"/>
        <v>0</v>
      </c>
      <c r="CN321" s="18">
        <f t="shared" si="17"/>
        <v>0</v>
      </c>
      <c r="CO321" s="18">
        <f t="shared" si="17"/>
        <v>0</v>
      </c>
      <c r="CP321" s="18">
        <f t="shared" si="17"/>
        <v>0</v>
      </c>
      <c r="CQ321" s="18">
        <f t="shared" si="17"/>
        <v>0</v>
      </c>
      <c r="CR321" s="18">
        <f t="shared" si="17"/>
        <v>0</v>
      </c>
      <c r="CS321" s="18">
        <f t="shared" si="17"/>
        <v>0</v>
      </c>
      <c r="CT321" s="18">
        <f t="shared" si="17"/>
        <v>0</v>
      </c>
      <c r="CU321" s="18">
        <f t="shared" si="17"/>
        <v>0</v>
      </c>
      <c r="CV321" s="18">
        <f t="shared" si="17"/>
        <v>0</v>
      </c>
      <c r="CW321" s="18">
        <f t="shared" si="17"/>
        <v>0</v>
      </c>
      <c r="CX321" s="18">
        <f t="shared" si="17"/>
        <v>0</v>
      </c>
      <c r="CY321" s="18">
        <f t="shared" si="17"/>
        <v>0</v>
      </c>
      <c r="CZ321" s="18">
        <f t="shared" si="17"/>
        <v>0</v>
      </c>
      <c r="DA321" s="18">
        <f t="shared" si="17"/>
        <v>0</v>
      </c>
      <c r="DB321" s="18">
        <f t="shared" si="17"/>
        <v>0</v>
      </c>
      <c r="DC321" s="18">
        <f t="shared" si="17"/>
        <v>0</v>
      </c>
      <c r="DD321" s="18">
        <f t="shared" si="17"/>
        <v>0</v>
      </c>
      <c r="DE321" s="18">
        <f t="shared" si="17"/>
        <v>0</v>
      </c>
      <c r="DF321" s="18">
        <f t="shared" si="17"/>
        <v>0</v>
      </c>
      <c r="DG321" s="18">
        <f t="shared" si="17"/>
        <v>0</v>
      </c>
      <c r="DH321" s="18">
        <f t="shared" si="17"/>
        <v>0</v>
      </c>
      <c r="DI321" s="18">
        <f t="shared" si="17"/>
        <v>0</v>
      </c>
      <c r="DJ321" s="18">
        <f t="shared" si="17"/>
        <v>0</v>
      </c>
      <c r="DK321" s="18">
        <f t="shared" si="17"/>
        <v>0</v>
      </c>
      <c r="DL321" s="18">
        <f t="shared" si="17"/>
        <v>0</v>
      </c>
      <c r="DM321" s="18">
        <f t="shared" si="17"/>
        <v>0</v>
      </c>
      <c r="DN321" s="18">
        <f t="shared" si="17"/>
        <v>0</v>
      </c>
      <c r="DO321" s="18">
        <f t="shared" si="17"/>
        <v>0</v>
      </c>
      <c r="DP321" s="18">
        <f t="shared" si="17"/>
        <v>0</v>
      </c>
      <c r="DQ321" s="18">
        <f t="shared" si="17"/>
        <v>0</v>
      </c>
      <c r="DR321" s="18">
        <f t="shared" si="17"/>
        <v>0</v>
      </c>
      <c r="DS321" s="18">
        <f t="shared" si="17"/>
        <v>0</v>
      </c>
      <c r="DT321" s="18">
        <f t="shared" si="17"/>
        <v>0</v>
      </c>
      <c r="DU321" s="18">
        <f t="shared" si="17"/>
        <v>0</v>
      </c>
      <c r="DV321" s="18">
        <f t="shared" si="17"/>
        <v>0</v>
      </c>
      <c r="DW321" s="18">
        <f t="shared" si="17"/>
        <v>0</v>
      </c>
      <c r="DX321" s="18">
        <f t="shared" si="17"/>
        <v>0</v>
      </c>
      <c r="DY321" s="18">
        <f t="shared" ref="DY321:DY322" si="110">DY320</f>
        <v>0</v>
      </c>
      <c r="DZ321" s="18">
        <f t="shared" si="18"/>
        <v>0</v>
      </c>
      <c r="EA321" s="18">
        <f t="shared" si="19"/>
        <v>0</v>
      </c>
      <c r="EB321" s="18">
        <f t="shared" si="20"/>
        <v>0</v>
      </c>
      <c r="EC321" s="18">
        <f t="shared" si="21"/>
        <v>0</v>
      </c>
      <c r="ED321" s="18">
        <f t="shared" si="22"/>
        <v>0</v>
      </c>
      <c r="EE321" s="18">
        <f t="shared" si="23"/>
        <v>0</v>
      </c>
      <c r="EF321" s="18">
        <f t="shared" si="24"/>
        <v>0</v>
      </c>
      <c r="EG321" s="18">
        <f t="shared" si="25"/>
        <v>0</v>
      </c>
      <c r="EH321" s="18">
        <f t="shared" si="26"/>
        <v>0</v>
      </c>
      <c r="EI321" s="18">
        <f t="shared" si="27"/>
        <v>0</v>
      </c>
      <c r="EJ321" s="18">
        <f t="shared" si="28"/>
        <v>0</v>
      </c>
      <c r="EK321" s="18">
        <f t="shared" si="29"/>
        <v>0</v>
      </c>
      <c r="EL321" s="18">
        <f t="shared" si="30"/>
        <v>0</v>
      </c>
      <c r="EM321" s="18">
        <f t="shared" si="31"/>
        <v>0</v>
      </c>
      <c r="EN321" s="18">
        <f t="shared" si="32"/>
        <v>0</v>
      </c>
      <c r="EO321" s="18">
        <f t="shared" si="33"/>
        <v>0</v>
      </c>
      <c r="EP321" s="18">
        <f t="shared" si="34"/>
        <v>0</v>
      </c>
      <c r="EQ321" s="18">
        <f t="shared" si="35"/>
        <v>0</v>
      </c>
      <c r="ER321" s="18">
        <f t="shared" si="36"/>
        <v>0</v>
      </c>
      <c r="ES321" s="18">
        <f t="shared" si="37"/>
        <v>0</v>
      </c>
      <c r="ET321" s="18">
        <f t="shared" si="38"/>
        <v>0</v>
      </c>
      <c r="EU321" s="18">
        <f t="shared" si="39"/>
        <v>0</v>
      </c>
      <c r="EV321" s="18">
        <f t="shared" si="40"/>
        <v>0</v>
      </c>
      <c r="EW321" s="18">
        <f t="shared" si="41"/>
        <v>0</v>
      </c>
      <c r="EX321" s="18">
        <f t="shared" si="42"/>
        <v>0</v>
      </c>
      <c r="EY321" s="18">
        <f t="shared" si="43"/>
        <v>0</v>
      </c>
      <c r="EZ321" s="18">
        <f t="shared" si="44"/>
        <v>0</v>
      </c>
      <c r="FA321" s="18">
        <f t="shared" si="45"/>
        <v>0</v>
      </c>
      <c r="FB321" s="18">
        <f t="shared" si="46"/>
        <v>0</v>
      </c>
      <c r="FC321" s="18">
        <f t="shared" si="47"/>
        <v>0</v>
      </c>
      <c r="FD321" s="18">
        <f t="shared" si="48"/>
        <v>0</v>
      </c>
      <c r="FE321" s="18">
        <f t="shared" si="49"/>
        <v>0</v>
      </c>
      <c r="FF321" s="18">
        <f t="shared" si="50"/>
        <v>0</v>
      </c>
      <c r="FG321" s="18">
        <f t="shared" si="51"/>
        <v>0</v>
      </c>
      <c r="FH321" s="18">
        <f t="shared" si="52"/>
        <v>0</v>
      </c>
      <c r="FI321" s="18">
        <f t="shared" si="53"/>
        <v>0</v>
      </c>
      <c r="FJ321" s="18">
        <f t="shared" si="54"/>
        <v>0</v>
      </c>
      <c r="FK321" s="18">
        <f t="shared" si="55"/>
        <v>0</v>
      </c>
      <c r="FL321" s="18">
        <f t="shared" si="56"/>
        <v>0</v>
      </c>
      <c r="FM321" s="18">
        <f t="shared" si="57"/>
        <v>0</v>
      </c>
      <c r="FN321" s="18">
        <f t="shared" si="58"/>
        <v>0</v>
      </c>
      <c r="FO321" s="18">
        <f t="shared" si="59"/>
        <v>0</v>
      </c>
      <c r="FP321" s="18">
        <f t="shared" si="60"/>
        <v>0</v>
      </c>
      <c r="FQ321" s="18">
        <f t="shared" si="61"/>
        <v>0</v>
      </c>
      <c r="FR321" s="18">
        <f t="shared" si="62"/>
        <v>0</v>
      </c>
      <c r="FS321" s="18">
        <f t="shared" si="63"/>
        <v>0</v>
      </c>
      <c r="FT321" s="18">
        <f t="shared" si="64"/>
        <v>0</v>
      </c>
      <c r="FU321" s="18">
        <f t="shared" si="65"/>
        <v>0</v>
      </c>
      <c r="FV321" s="18">
        <f t="shared" si="66"/>
        <v>0</v>
      </c>
      <c r="FW321" s="18">
        <f t="shared" si="67"/>
        <v>0</v>
      </c>
      <c r="FX321" s="18">
        <f t="shared" si="68"/>
        <v>0</v>
      </c>
      <c r="FY321" s="18">
        <f t="shared" si="69"/>
        <v>0</v>
      </c>
      <c r="FZ321" s="18">
        <f t="shared" si="70"/>
        <v>0</v>
      </c>
      <c r="GA321" s="18">
        <f t="shared" si="71"/>
        <v>0</v>
      </c>
      <c r="GB321" s="18">
        <f t="shared" si="72"/>
        <v>0</v>
      </c>
      <c r="GC321" s="18">
        <f t="shared" si="73"/>
        <v>0</v>
      </c>
      <c r="GD321" s="18">
        <f t="shared" si="74"/>
        <v>0</v>
      </c>
      <c r="GE321" s="18">
        <f t="shared" si="75"/>
        <v>0</v>
      </c>
      <c r="GF321" s="18">
        <f t="shared" si="76"/>
        <v>0</v>
      </c>
      <c r="GG321" s="18">
        <f t="shared" si="77"/>
        <v>0</v>
      </c>
      <c r="GH321" s="18">
        <f t="shared" si="78"/>
        <v>0</v>
      </c>
      <c r="GI321" s="18">
        <f t="shared" si="79"/>
        <v>0</v>
      </c>
      <c r="GJ321" s="18">
        <f t="shared" si="80"/>
        <v>0</v>
      </c>
      <c r="GK321" s="18">
        <f t="shared" si="81"/>
        <v>0</v>
      </c>
      <c r="GL321" s="18">
        <f t="shared" si="82"/>
        <v>0</v>
      </c>
      <c r="GM321" s="18">
        <f t="shared" si="83"/>
        <v>0</v>
      </c>
      <c r="GN321" s="18">
        <f t="shared" si="84"/>
        <v>0</v>
      </c>
      <c r="GO321" s="18">
        <f t="shared" si="85"/>
        <v>0</v>
      </c>
      <c r="GP321" s="18">
        <f t="shared" si="86"/>
        <v>0</v>
      </c>
      <c r="GQ321" s="18">
        <f t="shared" si="87"/>
        <v>0</v>
      </c>
      <c r="GR321" s="18">
        <f t="shared" si="88"/>
        <v>0</v>
      </c>
      <c r="GS321" s="18">
        <f t="shared" si="89"/>
        <v>0</v>
      </c>
      <c r="GT321" s="18">
        <f t="shared" si="90"/>
        <v>0</v>
      </c>
      <c r="GU321" s="18">
        <f t="shared" si="91"/>
        <v>0</v>
      </c>
      <c r="GV321" s="18">
        <f t="shared" si="92"/>
        <v>0</v>
      </c>
      <c r="GW321" s="18">
        <f t="shared" si="93"/>
        <v>0</v>
      </c>
      <c r="GX321" s="18">
        <f t="shared" si="94"/>
        <v>0</v>
      </c>
      <c r="GY321" s="18">
        <f t="shared" si="95"/>
        <v>0</v>
      </c>
      <c r="GZ321" s="18">
        <f t="shared" si="96"/>
        <v>0</v>
      </c>
      <c r="HA321" s="18">
        <f t="shared" si="97"/>
        <v>0</v>
      </c>
      <c r="HB321" s="18">
        <f t="shared" si="98"/>
        <v>0</v>
      </c>
      <c r="HC321" s="18">
        <f t="shared" si="99"/>
        <v>0</v>
      </c>
      <c r="HD321" s="18">
        <f t="shared" si="100"/>
        <v>0</v>
      </c>
      <c r="HE321" s="18">
        <f t="shared" si="101"/>
        <v>0</v>
      </c>
      <c r="HF321" s="18">
        <f t="shared" si="102"/>
        <v>0</v>
      </c>
      <c r="HG321" s="18">
        <f t="shared" si="103"/>
        <v>0</v>
      </c>
      <c r="HH321" s="18">
        <f t="shared" si="104"/>
        <v>0</v>
      </c>
      <c r="HI321" s="18">
        <f t="shared" si="105"/>
        <v>0</v>
      </c>
      <c r="HJ321" s="18">
        <f t="shared" si="106"/>
        <v>0</v>
      </c>
      <c r="HK321" s="18">
        <f t="shared" si="107"/>
        <v>0</v>
      </c>
      <c r="HL321" s="18">
        <f t="shared" si="108"/>
        <v>0</v>
      </c>
      <c r="HM321" s="630">
        <f>'Mark-Fields'!E140</f>
        <v>0</v>
      </c>
      <c r="HN321" s="630">
        <f>'Mark-Fields'!E143</f>
        <v>0</v>
      </c>
      <c r="HO321" s="630">
        <f>'Mark-Fields'!E146</f>
        <v>0</v>
      </c>
      <c r="HP321" s="630">
        <f>'Mark-Fields'!E166</f>
        <v>0</v>
      </c>
      <c r="HQ321" s="630">
        <f>'Mark-Fields'!E200</f>
        <v>0</v>
      </c>
      <c r="HR321" s="630">
        <f>'Mark-Fields'!E184</f>
        <v>0</v>
      </c>
      <c r="HS321" s="630">
        <f>'Mark-Fields'!E208</f>
        <v>0</v>
      </c>
      <c r="HT321" s="11"/>
      <c r="HU321" s="145" t="s">
        <v>1812</v>
      </c>
      <c r="HV321" s="827" t="s">
        <v>1994</v>
      </c>
      <c r="IB321" s="620"/>
      <c r="IC321" s="620"/>
      <c r="ID321" s="620"/>
      <c r="IE321" s="620"/>
      <c r="IF321" s="620"/>
      <c r="IG321" s="620"/>
      <c r="IH321" s="620"/>
    </row>
    <row r="322" spans="4:242" x14ac:dyDescent="0.25">
      <c r="D322" s="27" t="str">
        <f>'input-data'!E421</f>
        <v>Vælg……………………………..</v>
      </c>
      <c r="E322" s="27" t="str">
        <f>'input-data'!B421</f>
        <v>slagtesvinefolde</v>
      </c>
      <c r="F322" s="18">
        <f t="shared" si="109"/>
        <v>0.11899999999999999</v>
      </c>
      <c r="G322" s="18">
        <f t="shared" si="16"/>
        <v>0.11899999999999999</v>
      </c>
      <c r="H322" s="18">
        <f t="shared" si="16"/>
        <v>0</v>
      </c>
      <c r="I322" s="18">
        <f t="shared" si="16"/>
        <v>0</v>
      </c>
      <c r="J322" s="18">
        <f t="shared" si="16"/>
        <v>0</v>
      </c>
      <c r="K322" s="18">
        <f t="shared" si="16"/>
        <v>0</v>
      </c>
      <c r="L322" s="18">
        <f t="shared" si="16"/>
        <v>17</v>
      </c>
      <c r="M322" s="18">
        <f t="shared" si="16"/>
        <v>0</v>
      </c>
      <c r="N322" s="18">
        <f t="shared" si="16"/>
        <v>0</v>
      </c>
      <c r="O322" s="18">
        <f t="shared" si="16"/>
        <v>0</v>
      </c>
      <c r="P322" s="18">
        <f t="shared" si="16"/>
        <v>0</v>
      </c>
      <c r="Q322" s="18">
        <f t="shared" si="16"/>
        <v>0</v>
      </c>
      <c r="R322" s="18">
        <f t="shared" si="16"/>
        <v>0</v>
      </c>
      <c r="S322" s="18">
        <f t="shared" si="16"/>
        <v>0</v>
      </c>
      <c r="T322" s="18">
        <f t="shared" si="16"/>
        <v>0</v>
      </c>
      <c r="U322" s="18">
        <f t="shared" si="16"/>
        <v>0</v>
      </c>
      <c r="V322" s="18">
        <f t="shared" si="16"/>
        <v>0</v>
      </c>
      <c r="W322" s="18">
        <f t="shared" si="16"/>
        <v>0</v>
      </c>
      <c r="X322" s="18">
        <f t="shared" si="16"/>
        <v>0</v>
      </c>
      <c r="Y322" s="18">
        <f t="shared" si="16"/>
        <v>0</v>
      </c>
      <c r="Z322" s="18">
        <f t="shared" si="16"/>
        <v>3.5</v>
      </c>
      <c r="AA322" s="18">
        <f t="shared" si="16"/>
        <v>0</v>
      </c>
      <c r="AB322" s="18">
        <f t="shared" si="16"/>
        <v>0</v>
      </c>
      <c r="AC322" s="18">
        <f t="shared" si="16"/>
        <v>0</v>
      </c>
      <c r="AD322" s="18">
        <f t="shared" si="16"/>
        <v>0</v>
      </c>
      <c r="AE322" s="18">
        <f t="shared" si="16"/>
        <v>0</v>
      </c>
      <c r="AF322" s="18">
        <f t="shared" si="16"/>
        <v>0</v>
      </c>
      <c r="AG322" s="18">
        <f t="shared" si="16"/>
        <v>0</v>
      </c>
      <c r="AH322" s="18">
        <f t="shared" si="16"/>
        <v>0</v>
      </c>
      <c r="AI322" s="18">
        <f t="shared" si="16"/>
        <v>0</v>
      </c>
      <c r="AJ322" s="18">
        <f t="shared" si="16"/>
        <v>0</v>
      </c>
      <c r="AK322" s="18">
        <f t="shared" si="16"/>
        <v>0</v>
      </c>
      <c r="AL322" s="18">
        <f t="shared" si="16"/>
        <v>0</v>
      </c>
      <c r="AM322" s="18">
        <f t="shared" si="16"/>
        <v>0</v>
      </c>
      <c r="AN322" s="18">
        <f t="shared" si="16"/>
        <v>0</v>
      </c>
      <c r="AO322" s="18">
        <f t="shared" si="16"/>
        <v>0</v>
      </c>
      <c r="AP322" s="18">
        <f t="shared" si="16"/>
        <v>0</v>
      </c>
      <c r="AQ322" s="18">
        <f t="shared" si="16"/>
        <v>0</v>
      </c>
      <c r="AR322" s="18">
        <f t="shared" si="16"/>
        <v>0</v>
      </c>
      <c r="AS322" s="18">
        <f t="shared" si="16"/>
        <v>0</v>
      </c>
      <c r="AT322" s="18">
        <f t="shared" si="16"/>
        <v>0</v>
      </c>
      <c r="AU322" s="18">
        <f t="shared" si="16"/>
        <v>0</v>
      </c>
      <c r="AV322" s="18">
        <f t="shared" si="16"/>
        <v>0</v>
      </c>
      <c r="AW322" s="18">
        <f t="shared" si="16"/>
        <v>0</v>
      </c>
      <c r="AX322" s="18">
        <f t="shared" si="16"/>
        <v>0</v>
      </c>
      <c r="AY322" s="18">
        <f t="shared" si="16"/>
        <v>0</v>
      </c>
      <c r="AZ322" s="18">
        <f t="shared" si="16"/>
        <v>0</v>
      </c>
      <c r="BA322" s="18">
        <f t="shared" si="16"/>
        <v>0</v>
      </c>
      <c r="BB322" s="18">
        <f t="shared" si="16"/>
        <v>0</v>
      </c>
      <c r="BC322" s="18">
        <f t="shared" si="16"/>
        <v>0</v>
      </c>
      <c r="BD322" s="18">
        <f t="shared" si="16"/>
        <v>0</v>
      </c>
      <c r="BE322" s="18">
        <f t="shared" si="16"/>
        <v>0</v>
      </c>
      <c r="BF322" s="18">
        <f t="shared" si="16"/>
        <v>0</v>
      </c>
      <c r="BG322" s="18">
        <f t="shared" si="16"/>
        <v>0</v>
      </c>
      <c r="BH322" s="18">
        <f t="shared" si="16"/>
        <v>0</v>
      </c>
      <c r="BI322" s="18">
        <f t="shared" si="16"/>
        <v>0</v>
      </c>
      <c r="BJ322" s="18">
        <f t="shared" si="16"/>
        <v>0</v>
      </c>
      <c r="BK322" s="18">
        <f t="shared" si="16"/>
        <v>17.8</v>
      </c>
      <c r="BL322" s="18">
        <f t="shared" si="16"/>
        <v>0</v>
      </c>
      <c r="BM322" s="18">
        <f t="shared" si="16"/>
        <v>0</v>
      </c>
      <c r="BN322" s="18">
        <f t="shared" si="16"/>
        <v>0</v>
      </c>
      <c r="BO322" s="18">
        <f t="shared" si="16"/>
        <v>0</v>
      </c>
      <c r="BP322" s="18">
        <f t="shared" si="16"/>
        <v>0</v>
      </c>
      <c r="BQ322" s="18">
        <f t="shared" si="16"/>
        <v>0</v>
      </c>
      <c r="BR322" s="18">
        <f t="shared" si="16"/>
        <v>0.7</v>
      </c>
      <c r="BS322" s="18">
        <f t="shared" si="17"/>
        <v>0.7</v>
      </c>
      <c r="BT322" s="18">
        <f t="shared" si="17"/>
        <v>0</v>
      </c>
      <c r="BU322" s="18">
        <f t="shared" si="17"/>
        <v>0</v>
      </c>
      <c r="BV322" s="18">
        <f t="shared" si="17"/>
        <v>0</v>
      </c>
      <c r="BW322" s="18">
        <f t="shared" si="17"/>
        <v>0</v>
      </c>
      <c r="BX322" s="18">
        <f t="shared" si="17"/>
        <v>0</v>
      </c>
      <c r="BY322" s="18">
        <f t="shared" si="17"/>
        <v>0</v>
      </c>
      <c r="BZ322" s="18">
        <f t="shared" si="17"/>
        <v>0</v>
      </c>
      <c r="CA322" s="18">
        <f t="shared" si="17"/>
        <v>0</v>
      </c>
      <c r="CB322" s="18">
        <f t="shared" si="17"/>
        <v>0</v>
      </c>
      <c r="CC322" s="18">
        <f t="shared" si="17"/>
        <v>0</v>
      </c>
      <c r="CD322" s="18">
        <f t="shared" si="17"/>
        <v>1.1100000000000001</v>
      </c>
      <c r="CE322" s="18">
        <f t="shared" si="17"/>
        <v>0</v>
      </c>
      <c r="CF322" s="18">
        <f t="shared" si="17"/>
        <v>0</v>
      </c>
      <c r="CG322" s="18">
        <f t="shared" si="17"/>
        <v>0</v>
      </c>
      <c r="CH322" s="18">
        <f t="shared" si="17"/>
        <v>0</v>
      </c>
      <c r="CI322" s="18">
        <f t="shared" si="17"/>
        <v>0</v>
      </c>
      <c r="CJ322" s="18">
        <f t="shared" si="17"/>
        <v>0</v>
      </c>
      <c r="CK322" s="18">
        <f t="shared" si="17"/>
        <v>0</v>
      </c>
      <c r="CL322" s="18">
        <f t="shared" si="17"/>
        <v>0</v>
      </c>
      <c r="CM322" s="18">
        <f t="shared" si="17"/>
        <v>0</v>
      </c>
      <c r="CN322" s="18">
        <f t="shared" si="17"/>
        <v>0</v>
      </c>
      <c r="CO322" s="18">
        <f t="shared" si="17"/>
        <v>0</v>
      </c>
      <c r="CP322" s="18">
        <f t="shared" si="17"/>
        <v>0</v>
      </c>
      <c r="CQ322" s="18">
        <f t="shared" si="17"/>
        <v>0</v>
      </c>
      <c r="CR322" s="18">
        <f t="shared" si="17"/>
        <v>0</v>
      </c>
      <c r="CS322" s="18">
        <f t="shared" si="17"/>
        <v>0</v>
      </c>
      <c r="CT322" s="18">
        <f t="shared" si="17"/>
        <v>0</v>
      </c>
      <c r="CU322" s="18">
        <f t="shared" si="17"/>
        <v>0</v>
      </c>
      <c r="CV322" s="18">
        <f t="shared" si="17"/>
        <v>0</v>
      </c>
      <c r="CW322" s="18">
        <f t="shared" si="17"/>
        <v>0</v>
      </c>
      <c r="CX322" s="18">
        <f t="shared" si="17"/>
        <v>0</v>
      </c>
      <c r="CY322" s="18">
        <f t="shared" si="17"/>
        <v>0</v>
      </c>
      <c r="CZ322" s="18">
        <f t="shared" si="17"/>
        <v>0</v>
      </c>
      <c r="DA322" s="18">
        <f t="shared" si="17"/>
        <v>0</v>
      </c>
      <c r="DB322" s="18">
        <f t="shared" si="17"/>
        <v>0</v>
      </c>
      <c r="DC322" s="18">
        <f t="shared" si="17"/>
        <v>0</v>
      </c>
      <c r="DD322" s="18">
        <f t="shared" si="17"/>
        <v>0</v>
      </c>
      <c r="DE322" s="18">
        <f t="shared" si="17"/>
        <v>0</v>
      </c>
      <c r="DF322" s="18">
        <f t="shared" si="17"/>
        <v>0</v>
      </c>
      <c r="DG322" s="18">
        <f t="shared" si="17"/>
        <v>0</v>
      </c>
      <c r="DH322" s="18">
        <f t="shared" si="17"/>
        <v>0</v>
      </c>
      <c r="DI322" s="18">
        <f t="shared" si="17"/>
        <v>0</v>
      </c>
      <c r="DJ322" s="18">
        <f t="shared" si="17"/>
        <v>0</v>
      </c>
      <c r="DK322" s="18">
        <f t="shared" si="17"/>
        <v>0</v>
      </c>
      <c r="DL322" s="18">
        <f t="shared" si="17"/>
        <v>0</v>
      </c>
      <c r="DM322" s="18">
        <f t="shared" si="17"/>
        <v>0</v>
      </c>
      <c r="DN322" s="18">
        <f t="shared" si="17"/>
        <v>0</v>
      </c>
      <c r="DO322" s="18">
        <f t="shared" si="17"/>
        <v>0</v>
      </c>
      <c r="DP322" s="18">
        <f t="shared" si="17"/>
        <v>0</v>
      </c>
      <c r="DQ322" s="18">
        <f t="shared" si="17"/>
        <v>0</v>
      </c>
      <c r="DR322" s="18">
        <f t="shared" si="17"/>
        <v>0</v>
      </c>
      <c r="DS322" s="18">
        <f t="shared" si="17"/>
        <v>0</v>
      </c>
      <c r="DT322" s="18">
        <f t="shared" si="17"/>
        <v>0</v>
      </c>
      <c r="DU322" s="18">
        <f t="shared" si="17"/>
        <v>0</v>
      </c>
      <c r="DV322" s="18">
        <f t="shared" si="17"/>
        <v>0</v>
      </c>
      <c r="DW322" s="18">
        <f t="shared" si="17"/>
        <v>0</v>
      </c>
      <c r="DX322" s="18">
        <f t="shared" si="17"/>
        <v>0</v>
      </c>
      <c r="DY322" s="18">
        <f t="shared" si="110"/>
        <v>0</v>
      </c>
      <c r="DZ322" s="18">
        <f t="shared" si="18"/>
        <v>0</v>
      </c>
      <c r="EA322" s="18">
        <f t="shared" si="19"/>
        <v>0</v>
      </c>
      <c r="EB322" s="18">
        <f t="shared" si="20"/>
        <v>0</v>
      </c>
      <c r="EC322" s="18">
        <f t="shared" si="21"/>
        <v>0</v>
      </c>
      <c r="ED322" s="18">
        <f t="shared" si="22"/>
        <v>0</v>
      </c>
      <c r="EE322" s="18">
        <f t="shared" si="23"/>
        <v>0</v>
      </c>
      <c r="EF322" s="18">
        <f t="shared" si="24"/>
        <v>0</v>
      </c>
      <c r="EG322" s="18">
        <f t="shared" si="25"/>
        <v>0</v>
      </c>
      <c r="EH322" s="18">
        <f t="shared" si="26"/>
        <v>0</v>
      </c>
      <c r="EI322" s="18">
        <f t="shared" si="27"/>
        <v>0</v>
      </c>
      <c r="EJ322" s="18">
        <f t="shared" si="28"/>
        <v>0</v>
      </c>
      <c r="EK322" s="18">
        <f t="shared" si="29"/>
        <v>0</v>
      </c>
      <c r="EL322" s="18">
        <f t="shared" si="30"/>
        <v>0</v>
      </c>
      <c r="EM322" s="18">
        <f t="shared" si="31"/>
        <v>0</v>
      </c>
      <c r="EN322" s="18">
        <f t="shared" si="32"/>
        <v>0</v>
      </c>
      <c r="EO322" s="18">
        <f t="shared" si="33"/>
        <v>0</v>
      </c>
      <c r="EP322" s="18">
        <f t="shared" si="34"/>
        <v>0</v>
      </c>
      <c r="EQ322" s="18">
        <f t="shared" si="35"/>
        <v>0</v>
      </c>
      <c r="ER322" s="18">
        <f t="shared" si="36"/>
        <v>0</v>
      </c>
      <c r="ES322" s="18">
        <f t="shared" si="37"/>
        <v>0</v>
      </c>
      <c r="ET322" s="18">
        <f t="shared" si="38"/>
        <v>0</v>
      </c>
      <c r="EU322" s="18">
        <f t="shared" si="39"/>
        <v>0</v>
      </c>
      <c r="EV322" s="18">
        <f t="shared" si="40"/>
        <v>0</v>
      </c>
      <c r="EW322" s="18">
        <f t="shared" si="41"/>
        <v>0</v>
      </c>
      <c r="EX322" s="18">
        <f t="shared" si="42"/>
        <v>0</v>
      </c>
      <c r="EY322" s="18">
        <f t="shared" si="43"/>
        <v>0</v>
      </c>
      <c r="EZ322" s="18">
        <f t="shared" si="44"/>
        <v>0</v>
      </c>
      <c r="FA322" s="18">
        <f t="shared" si="45"/>
        <v>0</v>
      </c>
      <c r="FB322" s="18">
        <f t="shared" si="46"/>
        <v>0</v>
      </c>
      <c r="FC322" s="18">
        <f t="shared" si="47"/>
        <v>0</v>
      </c>
      <c r="FD322" s="18">
        <f t="shared" si="48"/>
        <v>0</v>
      </c>
      <c r="FE322" s="18">
        <f t="shared" si="49"/>
        <v>0</v>
      </c>
      <c r="FF322" s="18">
        <f t="shared" si="50"/>
        <v>0</v>
      </c>
      <c r="FG322" s="18">
        <f t="shared" si="51"/>
        <v>0</v>
      </c>
      <c r="FH322" s="18">
        <f t="shared" si="52"/>
        <v>0</v>
      </c>
      <c r="FI322" s="18">
        <f t="shared" si="53"/>
        <v>0</v>
      </c>
      <c r="FJ322" s="18">
        <f t="shared" si="54"/>
        <v>0</v>
      </c>
      <c r="FK322" s="18">
        <f t="shared" si="55"/>
        <v>0</v>
      </c>
      <c r="FL322" s="18">
        <f t="shared" si="56"/>
        <v>0</v>
      </c>
      <c r="FM322" s="18">
        <f t="shared" si="57"/>
        <v>0</v>
      </c>
      <c r="FN322" s="18">
        <f t="shared" si="58"/>
        <v>0</v>
      </c>
      <c r="FO322" s="18">
        <f t="shared" si="59"/>
        <v>0</v>
      </c>
      <c r="FP322" s="18">
        <f t="shared" si="60"/>
        <v>0</v>
      </c>
      <c r="FQ322" s="18">
        <f t="shared" si="61"/>
        <v>0</v>
      </c>
      <c r="FR322" s="18">
        <f t="shared" si="62"/>
        <v>0</v>
      </c>
      <c r="FS322" s="18">
        <f t="shared" si="63"/>
        <v>0</v>
      </c>
      <c r="FT322" s="18">
        <f t="shared" si="64"/>
        <v>0</v>
      </c>
      <c r="FU322" s="18">
        <f t="shared" si="65"/>
        <v>0</v>
      </c>
      <c r="FV322" s="18">
        <f t="shared" si="66"/>
        <v>0</v>
      </c>
      <c r="FW322" s="18">
        <f t="shared" si="67"/>
        <v>0</v>
      </c>
      <c r="FX322" s="18">
        <f t="shared" si="68"/>
        <v>0</v>
      </c>
      <c r="FY322" s="18">
        <f t="shared" si="69"/>
        <v>0</v>
      </c>
      <c r="FZ322" s="18">
        <f t="shared" si="70"/>
        <v>0</v>
      </c>
      <c r="GA322" s="18">
        <f t="shared" si="71"/>
        <v>0</v>
      </c>
      <c r="GB322" s="18">
        <f t="shared" si="72"/>
        <v>0</v>
      </c>
      <c r="GC322" s="18">
        <f t="shared" si="73"/>
        <v>0</v>
      </c>
      <c r="GD322" s="18">
        <f t="shared" si="74"/>
        <v>0</v>
      </c>
      <c r="GE322" s="18">
        <f t="shared" si="75"/>
        <v>0</v>
      </c>
      <c r="GF322" s="18">
        <f t="shared" si="76"/>
        <v>0</v>
      </c>
      <c r="GG322" s="18">
        <f t="shared" si="77"/>
        <v>0</v>
      </c>
      <c r="GH322" s="18">
        <f t="shared" si="78"/>
        <v>0</v>
      </c>
      <c r="GI322" s="18">
        <f t="shared" si="79"/>
        <v>0</v>
      </c>
      <c r="GJ322" s="18">
        <f t="shared" si="80"/>
        <v>0</v>
      </c>
      <c r="GK322" s="18">
        <f t="shared" si="81"/>
        <v>0</v>
      </c>
      <c r="GL322" s="18">
        <f t="shared" si="82"/>
        <v>0</v>
      </c>
      <c r="GM322" s="18">
        <f t="shared" si="83"/>
        <v>0</v>
      </c>
      <c r="GN322" s="18">
        <f t="shared" si="84"/>
        <v>0</v>
      </c>
      <c r="GO322" s="18">
        <f t="shared" si="85"/>
        <v>0</v>
      </c>
      <c r="GP322" s="18">
        <f t="shared" si="86"/>
        <v>0</v>
      </c>
      <c r="GQ322" s="18">
        <f t="shared" si="87"/>
        <v>0</v>
      </c>
      <c r="GR322" s="18">
        <f t="shared" si="88"/>
        <v>0</v>
      </c>
      <c r="GS322" s="18">
        <f t="shared" si="89"/>
        <v>0</v>
      </c>
      <c r="GT322" s="18">
        <f t="shared" si="90"/>
        <v>0</v>
      </c>
      <c r="GU322" s="18">
        <f t="shared" si="91"/>
        <v>0</v>
      </c>
      <c r="GV322" s="18">
        <f t="shared" si="92"/>
        <v>0</v>
      </c>
      <c r="GW322" s="18">
        <f t="shared" si="93"/>
        <v>0</v>
      </c>
      <c r="GX322" s="18">
        <f t="shared" si="94"/>
        <v>0</v>
      </c>
      <c r="GY322" s="18">
        <f t="shared" si="95"/>
        <v>0</v>
      </c>
      <c r="GZ322" s="18">
        <f t="shared" si="96"/>
        <v>0</v>
      </c>
      <c r="HA322" s="18">
        <f t="shared" si="97"/>
        <v>0</v>
      </c>
      <c r="HB322" s="18">
        <f t="shared" si="98"/>
        <v>0</v>
      </c>
      <c r="HC322" s="18">
        <f t="shared" si="99"/>
        <v>0</v>
      </c>
      <c r="HD322" s="18">
        <f t="shared" si="100"/>
        <v>0</v>
      </c>
      <c r="HE322" s="18">
        <f t="shared" si="101"/>
        <v>0</v>
      </c>
      <c r="HF322" s="18">
        <f t="shared" si="102"/>
        <v>0</v>
      </c>
      <c r="HG322" s="18">
        <f t="shared" si="103"/>
        <v>0</v>
      </c>
      <c r="HH322" s="18">
        <f t="shared" si="104"/>
        <v>0</v>
      </c>
      <c r="HI322" s="18">
        <f t="shared" si="105"/>
        <v>0</v>
      </c>
      <c r="HJ322" s="18">
        <f t="shared" si="106"/>
        <v>0</v>
      </c>
      <c r="HK322" s="18">
        <f t="shared" si="107"/>
        <v>0</v>
      </c>
      <c r="HL322" s="18">
        <f t="shared" si="108"/>
        <v>0</v>
      </c>
      <c r="HM322" s="630">
        <f>'Mark-Fields'!F140</f>
        <v>0</v>
      </c>
      <c r="HN322" s="630">
        <f>'Mark-Fields'!F143</f>
        <v>0</v>
      </c>
      <c r="HO322" s="630">
        <f>'Mark-Fields'!F146</f>
        <v>0</v>
      </c>
      <c r="HP322" s="630">
        <f>'Mark-Fields'!F166</f>
        <v>0</v>
      </c>
      <c r="HQ322" s="630">
        <f>'Mark-Fields'!F200</f>
        <v>0</v>
      </c>
      <c r="HR322" s="630">
        <f>'Mark-Fields'!F184</f>
        <v>0</v>
      </c>
      <c r="HS322" s="630">
        <f>'Mark-Fields'!F208</f>
        <v>0</v>
      </c>
      <c r="HT322" s="11"/>
      <c r="HU322" s="145" t="s">
        <v>1812</v>
      </c>
      <c r="HV322" s="827" t="s">
        <v>1994</v>
      </c>
      <c r="IB322" s="620"/>
      <c r="IC322" s="620"/>
      <c r="ID322" s="620"/>
      <c r="IE322" s="620"/>
      <c r="IF322" s="620"/>
      <c r="IG322" s="620"/>
      <c r="IH322" s="620"/>
    </row>
    <row r="323" spans="4:242" x14ac:dyDescent="0.25">
      <c r="D323" s="27" t="str">
        <f>'Opstaldingsform-Housing '!B37</f>
        <v>……………………………………………………………………………………..</v>
      </c>
      <c r="HM323" s="620"/>
      <c r="HN323" s="620"/>
      <c r="HO323" s="620"/>
      <c r="HP323" s="620"/>
      <c r="HQ323" s="620"/>
      <c r="HR323" s="620"/>
      <c r="HS323" s="620"/>
      <c r="HT323" s="11"/>
      <c r="HU323" s="145" t="s">
        <v>1812</v>
      </c>
      <c r="IB323" s="620"/>
      <c r="IC323" s="620"/>
      <c r="ID323" s="620"/>
      <c r="IE323" s="620"/>
      <c r="IF323" s="620"/>
      <c r="IG323" s="620"/>
      <c r="IH323" s="620"/>
    </row>
    <row r="324" spans="4:242" x14ac:dyDescent="0.25">
      <c r="D324" s="27" t="str">
        <f>'Opstaldingsform-Housing '!B38</f>
        <v>……………………………………………………………………………………..</v>
      </c>
      <c r="HM324" s="620"/>
      <c r="HN324" s="620"/>
      <c r="HO324" s="620"/>
      <c r="HP324" s="620"/>
      <c r="HQ324" s="620"/>
      <c r="HR324" s="620"/>
      <c r="HS324" s="620"/>
      <c r="HT324" s="11"/>
      <c r="HU324" s="145" t="s">
        <v>1812</v>
      </c>
      <c r="IB324" s="620"/>
      <c r="IC324" s="620"/>
      <c r="ID324" s="620"/>
      <c r="IE324" s="620"/>
      <c r="IF324" s="620"/>
      <c r="IG324" s="620"/>
      <c r="IH324" s="620"/>
    </row>
    <row r="325" spans="4:242" x14ac:dyDescent="0.25">
      <c r="D325" s="27" t="str">
        <f>'input-data'!E429</f>
        <v>Vælg……………………………………</v>
      </c>
      <c r="F325" s="18">
        <f t="shared" ref="F325:F330" si="111">VLOOKUP(D325, homeprod, 6, FALSE)</f>
        <v>0</v>
      </c>
      <c r="G325" s="18">
        <f t="shared" ref="G325:G330" si="112">VLOOKUP(D325, homeprod, 6, FALSE)</f>
        <v>0</v>
      </c>
      <c r="L325" s="18">
        <f t="shared" ref="L325:L330" si="113">VLOOKUP(D325, homeprod, 5, FALSE)*100</f>
        <v>0</v>
      </c>
      <c r="M325" s="18">
        <f>BK325*L325/100</f>
        <v>0</v>
      </c>
      <c r="Z325" s="18">
        <f t="shared" ref="Z325:Z330" si="114">VLOOKUP(D325, homeprod, 15, FALSE)/100*1000</f>
        <v>0</v>
      </c>
      <c r="BK325" s="18">
        <f t="shared" ref="BK325:BK330" si="115">VLOOKUP(D325, homeprod, 13, FALSE)</f>
        <v>0</v>
      </c>
      <c r="CD325" s="19">
        <f>Z325*L325/100</f>
        <v>0</v>
      </c>
      <c r="HM325" s="630">
        <f>'Feed - overview'!I7</f>
        <v>0</v>
      </c>
      <c r="HN325" s="630">
        <f>'Feed - overview'!J7</f>
        <v>0</v>
      </c>
      <c r="HO325" s="630">
        <f>'Feed - overview'!K7</f>
        <v>0</v>
      </c>
      <c r="HP325" s="630">
        <f>'Feed - overview'!L7</f>
        <v>0</v>
      </c>
      <c r="HQ325" s="630">
        <f>'Feed - overview'!N7</f>
        <v>0</v>
      </c>
      <c r="HR325" s="630">
        <f>'Feed - overview'!M7</f>
        <v>0</v>
      </c>
      <c r="HS325" s="630">
        <f>'Feed - overview'!O7</f>
        <v>0</v>
      </c>
      <c r="HT325" s="11"/>
      <c r="HU325" s="145" t="s">
        <v>1810</v>
      </c>
      <c r="HV325" s="827" t="e">
        <f t="shared" ref="HV325:HV330" si="116">VLOOKUP(D325, cropsonfarm, 17, FALSE)</f>
        <v>#N/A</v>
      </c>
      <c r="IB325" s="620"/>
      <c r="IC325" s="620"/>
      <c r="ID325" s="620"/>
      <c r="IE325" s="620"/>
      <c r="IF325" s="620"/>
      <c r="IG325" s="620"/>
      <c r="IH325" s="620"/>
    </row>
    <row r="326" spans="4:242" x14ac:dyDescent="0.25">
      <c r="D326" s="27" t="str">
        <f>'input-data'!E439</f>
        <v>Vælg……………………………………</v>
      </c>
      <c r="F326" s="18">
        <f t="shared" si="111"/>
        <v>0</v>
      </c>
      <c r="G326" s="18">
        <f t="shared" si="112"/>
        <v>0</v>
      </c>
      <c r="L326" s="18">
        <f t="shared" si="113"/>
        <v>0</v>
      </c>
      <c r="M326" s="18">
        <f t="shared" ref="M326:M330" si="117">BK326*L326/100</f>
        <v>0</v>
      </c>
      <c r="Z326" s="18">
        <f t="shared" si="114"/>
        <v>0</v>
      </c>
      <c r="BK326" s="18">
        <f t="shared" si="115"/>
        <v>0</v>
      </c>
      <c r="CD326" s="19">
        <f t="shared" ref="CD326:CD330" si="118">Z326*L326/100</f>
        <v>0</v>
      </c>
      <c r="HM326" s="630">
        <f>'Feed - overview'!I8</f>
        <v>0</v>
      </c>
      <c r="HN326" s="630">
        <f>'Feed - overview'!J8</f>
        <v>0</v>
      </c>
      <c r="HO326" s="630">
        <f>'Feed - overview'!K8</f>
        <v>0</v>
      </c>
      <c r="HP326" s="630">
        <f>'Feed - overview'!L8</f>
        <v>0</v>
      </c>
      <c r="HQ326" s="630">
        <f>'Feed - overview'!N8</f>
        <v>0</v>
      </c>
      <c r="HR326" s="630">
        <f>'Feed - overview'!M8</f>
        <v>0</v>
      </c>
      <c r="HS326" s="630">
        <f>'Feed - overview'!O8</f>
        <v>0</v>
      </c>
      <c r="HT326" s="11"/>
      <c r="HU326" s="145" t="s">
        <v>1810</v>
      </c>
      <c r="HV326" s="827" t="e">
        <f t="shared" si="116"/>
        <v>#N/A</v>
      </c>
      <c r="IB326" s="620"/>
      <c r="IC326" s="620"/>
      <c r="ID326" s="620"/>
      <c r="IE326" s="620"/>
      <c r="IF326" s="620"/>
      <c r="IG326" s="620"/>
      <c r="IH326" s="620"/>
    </row>
    <row r="327" spans="4:242" x14ac:dyDescent="0.25">
      <c r="D327" s="27" t="str">
        <f>'input-data'!E449</f>
        <v>Vælg……………………………………</v>
      </c>
      <c r="F327" s="18">
        <f t="shared" si="111"/>
        <v>0</v>
      </c>
      <c r="G327" s="18">
        <f t="shared" si="112"/>
        <v>0</v>
      </c>
      <c r="L327" s="18">
        <f t="shared" si="113"/>
        <v>0</v>
      </c>
      <c r="M327" s="18">
        <f t="shared" si="117"/>
        <v>0</v>
      </c>
      <c r="Z327" s="18">
        <f t="shared" si="114"/>
        <v>0</v>
      </c>
      <c r="BK327" s="18">
        <f t="shared" si="115"/>
        <v>0</v>
      </c>
      <c r="CD327" s="19">
        <f t="shared" si="118"/>
        <v>0</v>
      </c>
      <c r="HM327" s="630">
        <f>'Feed - overview'!I9</f>
        <v>0</v>
      </c>
      <c r="HN327" s="630">
        <f>'Feed - overview'!J9</f>
        <v>0</v>
      </c>
      <c r="HO327" s="630">
        <f>'Feed - overview'!K9</f>
        <v>0</v>
      </c>
      <c r="HP327" s="630">
        <f>'Feed - overview'!L9</f>
        <v>0</v>
      </c>
      <c r="HQ327" s="630">
        <f>'Feed - overview'!N9</f>
        <v>0</v>
      </c>
      <c r="HR327" s="630">
        <f>'Feed - overview'!M9</f>
        <v>0</v>
      </c>
      <c r="HS327" s="630">
        <f>'Feed - overview'!O9</f>
        <v>0</v>
      </c>
      <c r="HT327" s="11"/>
      <c r="HU327" s="145" t="s">
        <v>1810</v>
      </c>
      <c r="HV327" s="827" t="e">
        <f t="shared" si="116"/>
        <v>#N/A</v>
      </c>
      <c r="IB327" s="620"/>
      <c r="IC327" s="620"/>
      <c r="ID327" s="620"/>
      <c r="IE327" s="620"/>
      <c r="IF327" s="620"/>
      <c r="IG327" s="620"/>
      <c r="IH327" s="620"/>
    </row>
    <row r="328" spans="4:242" x14ac:dyDescent="0.25">
      <c r="D328" s="27" t="str">
        <f>'input-data'!E459</f>
        <v>Vælg……………………………………</v>
      </c>
      <c r="F328" s="18">
        <f t="shared" si="111"/>
        <v>0</v>
      </c>
      <c r="G328" s="18">
        <f t="shared" si="112"/>
        <v>0</v>
      </c>
      <c r="L328" s="18">
        <f t="shared" si="113"/>
        <v>0</v>
      </c>
      <c r="M328" s="18">
        <f t="shared" si="117"/>
        <v>0</v>
      </c>
      <c r="Z328" s="18">
        <f t="shared" si="114"/>
        <v>0</v>
      </c>
      <c r="BK328" s="18">
        <f t="shared" si="115"/>
        <v>0</v>
      </c>
      <c r="CD328" s="19">
        <f t="shared" si="118"/>
        <v>0</v>
      </c>
      <c r="HM328" s="630">
        <f>'Feed - overview'!I10</f>
        <v>0</v>
      </c>
      <c r="HN328" s="630">
        <f>'Feed - overview'!J10</f>
        <v>0</v>
      </c>
      <c r="HO328" s="630">
        <f>'Feed - overview'!K10</f>
        <v>0</v>
      </c>
      <c r="HP328" s="630">
        <f>'Feed - overview'!L10</f>
        <v>0</v>
      </c>
      <c r="HQ328" s="630">
        <f>'Feed - overview'!N10</f>
        <v>0</v>
      </c>
      <c r="HR328" s="630">
        <f>'Feed - overview'!M10</f>
        <v>0</v>
      </c>
      <c r="HS328" s="630">
        <f>'Feed - overview'!O10</f>
        <v>0</v>
      </c>
      <c r="HT328" s="11"/>
      <c r="HU328" s="145" t="s">
        <v>1810</v>
      </c>
      <c r="HV328" s="827" t="e">
        <f t="shared" si="116"/>
        <v>#N/A</v>
      </c>
      <c r="IB328" s="620"/>
      <c r="IC328" s="620"/>
      <c r="ID328" s="620"/>
      <c r="IE328" s="620"/>
      <c r="IF328" s="620"/>
      <c r="IG328" s="620"/>
      <c r="IH328" s="620"/>
    </row>
    <row r="329" spans="4:242" x14ac:dyDescent="0.25">
      <c r="D329" s="27" t="str">
        <f>'input-data'!E469</f>
        <v>Vælg……………………………………</v>
      </c>
      <c r="F329" s="18">
        <f t="shared" si="111"/>
        <v>0</v>
      </c>
      <c r="G329" s="18">
        <f t="shared" si="112"/>
        <v>0</v>
      </c>
      <c r="L329" s="18">
        <f t="shared" si="113"/>
        <v>0</v>
      </c>
      <c r="M329" s="18">
        <f t="shared" si="117"/>
        <v>0</v>
      </c>
      <c r="Z329" s="18">
        <f t="shared" si="114"/>
        <v>0</v>
      </c>
      <c r="BK329" s="18">
        <f t="shared" si="115"/>
        <v>0</v>
      </c>
      <c r="CD329" s="19">
        <f t="shared" si="118"/>
        <v>0</v>
      </c>
      <c r="HM329" s="630" t="str">
        <f>'Feed - overview'!I11</f>
        <v/>
      </c>
      <c r="HN329" s="630" t="str">
        <f>'Feed - overview'!J11</f>
        <v/>
      </c>
      <c r="HO329" s="630" t="str">
        <f>'Feed - overview'!K11</f>
        <v/>
      </c>
      <c r="HP329" s="630">
        <f>'Feed - overview'!L11</f>
        <v>0</v>
      </c>
      <c r="HQ329" s="630">
        <f>'Feed - overview'!N11</f>
        <v>0</v>
      </c>
      <c r="HR329" s="630">
        <f>'Feed - overview'!M11</f>
        <v>0</v>
      </c>
      <c r="HS329" s="630">
        <f>'Feed - overview'!O11</f>
        <v>0</v>
      </c>
      <c r="HT329" s="11"/>
      <c r="HU329" s="145" t="s">
        <v>1810</v>
      </c>
      <c r="HV329" s="827" t="e">
        <f t="shared" si="116"/>
        <v>#N/A</v>
      </c>
      <c r="IB329" s="620"/>
      <c r="IC329" s="620"/>
      <c r="ID329" s="620"/>
      <c r="IE329" s="620"/>
      <c r="IF329" s="620"/>
      <c r="IG329" s="620"/>
      <c r="IH329" s="620"/>
    </row>
    <row r="330" spans="4:242" x14ac:dyDescent="0.25">
      <c r="D330" s="27" t="str">
        <f>'input-data'!E479</f>
        <v>Vælg……………………………………</v>
      </c>
      <c r="F330" s="18">
        <f t="shared" si="111"/>
        <v>0</v>
      </c>
      <c r="G330" s="18">
        <f t="shared" si="112"/>
        <v>0</v>
      </c>
      <c r="L330" s="18">
        <f t="shared" si="113"/>
        <v>0</v>
      </c>
      <c r="M330" s="18">
        <f t="shared" si="117"/>
        <v>0</v>
      </c>
      <c r="Z330" s="18">
        <f t="shared" si="114"/>
        <v>0</v>
      </c>
      <c r="BK330" s="18">
        <f t="shared" si="115"/>
        <v>0</v>
      </c>
      <c r="CD330" s="19">
        <f t="shared" si="118"/>
        <v>0</v>
      </c>
      <c r="HM330" s="630" t="str">
        <f>'Feed - overview'!I12</f>
        <v/>
      </c>
      <c r="HN330" s="630" t="str">
        <f>'Feed - overview'!J12</f>
        <v/>
      </c>
      <c r="HO330" s="630">
        <f>'Feed - overview'!K12</f>
        <v>0</v>
      </c>
      <c r="HP330" s="630">
        <f>'Feed - overview'!L12</f>
        <v>0</v>
      </c>
      <c r="HQ330" s="630">
        <f>'Feed - overview'!N12</f>
        <v>0</v>
      </c>
      <c r="HR330" s="630">
        <f>'Feed - overview'!M12</f>
        <v>0</v>
      </c>
      <c r="HS330" s="630">
        <f>'Feed - overview'!O12</f>
        <v>0</v>
      </c>
      <c r="HT330" s="11"/>
      <c r="HU330" s="145" t="s">
        <v>1810</v>
      </c>
      <c r="HV330" s="827" t="e">
        <f t="shared" si="116"/>
        <v>#N/A</v>
      </c>
      <c r="IB330" s="620"/>
      <c r="IC330" s="620"/>
      <c r="ID330" s="620"/>
      <c r="IE330" s="620"/>
      <c r="IF330" s="620"/>
      <c r="IG330" s="620"/>
      <c r="IH330" s="620"/>
    </row>
    <row r="331" spans="4:242" x14ac:dyDescent="0.25">
      <c r="D331" s="27" t="s">
        <v>990</v>
      </c>
      <c r="HM331" s="620"/>
      <c r="HN331" s="620"/>
      <c r="HO331" s="620"/>
      <c r="HP331" s="620"/>
      <c r="HQ331" s="620"/>
      <c r="HR331" s="620"/>
      <c r="HS331" s="620"/>
      <c r="HT331" s="11"/>
      <c r="HU331" s="11"/>
      <c r="IB331" s="620"/>
      <c r="IC331" s="620"/>
      <c r="ID331" s="620"/>
      <c r="IE331" s="620"/>
      <c r="IF331" s="620"/>
      <c r="IG331" s="620"/>
      <c r="IH331" s="620"/>
    </row>
    <row r="332" spans="4:242" x14ac:dyDescent="0.25">
      <c r="D332" s="175" t="s">
        <v>991</v>
      </c>
      <c r="HM332" s="620"/>
      <c r="HN332" s="620"/>
      <c r="HO332" s="620"/>
      <c r="HP332" s="620"/>
      <c r="HQ332" s="620"/>
      <c r="HR332" s="620"/>
      <c r="HS332" s="620"/>
      <c r="HT332" s="11"/>
      <c r="HU332" s="11"/>
      <c r="IB332" s="620"/>
      <c r="IC332" s="620"/>
      <c r="ID332" s="620"/>
      <c r="IE332" s="620"/>
      <c r="IF332" s="620"/>
      <c r="IG332" s="620"/>
      <c r="IH332" s="620"/>
    </row>
    <row r="333" spans="4:242" x14ac:dyDescent="0.25">
      <c r="D333" s="27" t="s">
        <v>992</v>
      </c>
      <c r="HM333" s="620"/>
      <c r="HN333" s="620"/>
      <c r="HO333" s="620"/>
      <c r="HP333" s="620"/>
      <c r="HQ333" s="620"/>
      <c r="HR333" s="620"/>
      <c r="HS333" s="620"/>
      <c r="HT333" s="11"/>
      <c r="HU333" s="11"/>
      <c r="IB333" s="620"/>
      <c r="IC333" s="620"/>
      <c r="ID333" s="620"/>
      <c r="IE333" s="620"/>
      <c r="IF333" s="620"/>
      <c r="IG333" s="620"/>
      <c r="IH333" s="620"/>
    </row>
    <row r="334" spans="4:242" x14ac:dyDescent="0.25">
      <c r="D334" s="175" t="s">
        <v>993</v>
      </c>
      <c r="HM334" s="620"/>
      <c r="HN334" s="620"/>
      <c r="HO334" s="620"/>
      <c r="HP334" s="620"/>
      <c r="HQ334" s="620"/>
      <c r="HR334" s="620"/>
      <c r="HS334" s="620"/>
      <c r="HT334" s="11"/>
      <c r="HU334" s="11"/>
      <c r="IB334" s="620"/>
      <c r="IC334" s="620"/>
      <c r="ID334" s="620"/>
      <c r="IE334" s="620"/>
      <c r="IF334" s="620"/>
      <c r="IG334" s="620"/>
      <c r="IH334" s="620"/>
    </row>
    <row r="335" spans="4:242" x14ac:dyDescent="0.25">
      <c r="D335" s="27" t="s">
        <v>994</v>
      </c>
      <c r="HM335" s="620"/>
      <c r="HN335" s="620"/>
      <c r="HO335" s="620"/>
      <c r="HP335" s="620"/>
      <c r="HQ335" s="620"/>
      <c r="HR335" s="620"/>
      <c r="HS335" s="620"/>
      <c r="HT335" s="11"/>
      <c r="HU335" s="11"/>
      <c r="IB335" s="620"/>
      <c r="IC335" s="620"/>
      <c r="ID335" s="620"/>
      <c r="IE335" s="620"/>
      <c r="IF335" s="620"/>
      <c r="IG335" s="620"/>
      <c r="IH335" s="620"/>
    </row>
    <row r="336" spans="4:242" x14ac:dyDescent="0.25">
      <c r="D336" s="175" t="s">
        <v>995</v>
      </c>
      <c r="HM336" s="620"/>
      <c r="HN336" s="620"/>
      <c r="HO336" s="620"/>
      <c r="HP336" s="620"/>
      <c r="HQ336" s="620"/>
      <c r="HR336" s="620"/>
      <c r="HS336" s="620"/>
      <c r="HT336" s="11"/>
      <c r="HU336" s="11"/>
      <c r="IB336" s="620"/>
      <c r="IC336" s="620"/>
      <c r="ID336" s="620"/>
      <c r="IE336" s="620"/>
      <c r="IF336" s="620"/>
      <c r="IG336" s="620"/>
      <c r="IH336" s="620"/>
    </row>
    <row r="337" spans="4:242" x14ac:dyDescent="0.25">
      <c r="D337" s="27" t="s">
        <v>996</v>
      </c>
      <c r="HM337" s="620"/>
      <c r="HN337" s="620"/>
      <c r="HO337" s="620"/>
      <c r="HP337" s="620"/>
      <c r="HQ337" s="620"/>
      <c r="HR337" s="620"/>
      <c r="HS337" s="620"/>
      <c r="HT337" s="11"/>
      <c r="HU337" s="11"/>
      <c r="IB337" s="620"/>
      <c r="IC337" s="620"/>
      <c r="ID337" s="620"/>
      <c r="IE337" s="620"/>
      <c r="IF337" s="620"/>
      <c r="IG337" s="620"/>
      <c r="IH337" s="620"/>
    </row>
    <row r="338" spans="4:242" x14ac:dyDescent="0.25">
      <c r="D338" s="175" t="s">
        <v>997</v>
      </c>
      <c r="HM338" s="620"/>
      <c r="HN338" s="620"/>
      <c r="HO338" s="620"/>
      <c r="HP338" s="620"/>
      <c r="HQ338" s="620"/>
      <c r="HR338" s="620"/>
      <c r="HS338" s="620"/>
      <c r="HT338" s="11"/>
      <c r="HU338" s="11"/>
      <c r="IB338" s="620"/>
      <c r="IC338" s="620"/>
      <c r="ID338" s="620"/>
      <c r="IE338" s="620"/>
      <c r="IF338" s="620"/>
      <c r="IG338" s="620"/>
      <c r="IH338" s="620"/>
    </row>
    <row r="339" spans="4:242" x14ac:dyDescent="0.25">
      <c r="D339" s="175" t="s">
        <v>1000</v>
      </c>
      <c r="HM339" s="620"/>
      <c r="HN339" s="620"/>
      <c r="HO339" s="620"/>
      <c r="HP339" s="620"/>
      <c r="HQ339" s="620"/>
      <c r="HR339" s="620"/>
      <c r="HS339" s="620"/>
      <c r="HT339" s="11"/>
      <c r="HU339" s="11"/>
      <c r="IB339" s="620"/>
      <c r="IC339" s="620"/>
      <c r="ID339" s="620"/>
      <c r="IE339" s="620"/>
      <c r="IF339" s="620"/>
      <c r="IG339" s="620"/>
      <c r="IH339" s="620"/>
    </row>
    <row r="340" spans="4:242" x14ac:dyDescent="0.25">
      <c r="D340" s="175" t="s">
        <v>1001</v>
      </c>
      <c r="HM340" s="620"/>
      <c r="HN340" s="620"/>
      <c r="HO340" s="620"/>
      <c r="HP340" s="620"/>
      <c r="HQ340" s="620"/>
      <c r="HR340" s="620"/>
      <c r="HS340" s="620"/>
      <c r="HT340" s="11"/>
      <c r="HU340" s="11"/>
      <c r="IB340" s="620"/>
      <c r="IC340" s="620"/>
      <c r="ID340" s="620"/>
      <c r="IE340" s="620"/>
      <c r="IF340" s="620"/>
      <c r="IG340" s="620"/>
      <c r="IH340" s="620"/>
    </row>
    <row r="341" spans="4:242" x14ac:dyDescent="0.25">
      <c r="D341" s="175" t="s">
        <v>1002</v>
      </c>
      <c r="HM341" s="620"/>
      <c r="HN341" s="620"/>
      <c r="HO341" s="620"/>
      <c r="HP341" s="620"/>
      <c r="HQ341" s="620"/>
      <c r="HR341" s="620"/>
      <c r="HS341" s="620"/>
      <c r="HT341" s="11"/>
      <c r="HU341" s="11"/>
      <c r="IB341" s="620"/>
      <c r="IC341" s="620"/>
      <c r="ID341" s="620"/>
      <c r="IE341" s="620"/>
      <c r="IF341" s="620"/>
      <c r="IG341" s="620"/>
      <c r="IH341" s="620"/>
    </row>
    <row r="342" spans="4:242" x14ac:dyDescent="0.25">
      <c r="D342" s="175" t="s">
        <v>1003</v>
      </c>
      <c r="HM342" s="620"/>
      <c r="HN342" s="620"/>
      <c r="HO342" s="620"/>
      <c r="HP342" s="620"/>
      <c r="HQ342" s="620"/>
      <c r="HR342" s="620"/>
      <c r="HS342" s="620"/>
      <c r="HT342" s="11"/>
      <c r="HU342" s="11"/>
      <c r="IB342" s="620"/>
      <c r="IC342" s="620"/>
      <c r="ID342" s="620"/>
      <c r="IE342" s="620"/>
      <c r="IF342" s="620"/>
      <c r="IG342" s="620"/>
      <c r="IH342" s="620"/>
    </row>
    <row r="343" spans="4:242" x14ac:dyDescent="0.25">
      <c r="D343" s="175" t="s">
        <v>1004</v>
      </c>
      <c r="HM343" s="620"/>
      <c r="HN343" s="620"/>
      <c r="HO343" s="620"/>
      <c r="HP343" s="620"/>
      <c r="HQ343" s="620"/>
      <c r="HR343" s="620"/>
      <c r="HS343" s="620"/>
      <c r="HT343" s="11"/>
      <c r="HU343" s="11"/>
      <c r="IB343" s="620"/>
      <c r="IC343" s="620"/>
      <c r="ID343" s="620"/>
      <c r="IE343" s="620"/>
      <c r="IF343" s="620"/>
      <c r="IG343" s="620"/>
      <c r="IH343" s="620"/>
    </row>
    <row r="344" spans="4:242" x14ac:dyDescent="0.25">
      <c r="D344" s="175" t="s">
        <v>1005</v>
      </c>
      <c r="HM344" s="620"/>
      <c r="HN344" s="620"/>
      <c r="HO344" s="620"/>
      <c r="HP344" s="620"/>
      <c r="HQ344" s="620"/>
      <c r="HR344" s="620"/>
      <c r="HS344" s="620"/>
      <c r="HT344" s="11"/>
      <c r="HU344" s="11"/>
      <c r="IB344" s="620"/>
      <c r="IC344" s="620"/>
      <c r="ID344" s="620"/>
      <c r="IE344" s="620"/>
      <c r="IF344" s="620"/>
      <c r="IG344" s="620"/>
      <c r="IH344" s="620"/>
    </row>
    <row r="345" spans="4:242" x14ac:dyDescent="0.25">
      <c r="D345" s="175" t="s">
        <v>1006</v>
      </c>
      <c r="HM345" s="620"/>
      <c r="HN345" s="620"/>
      <c r="HO345" s="620"/>
      <c r="HP345" s="620"/>
      <c r="HQ345" s="620"/>
      <c r="HR345" s="620"/>
      <c r="HS345" s="620"/>
      <c r="HT345" s="11"/>
      <c r="HU345" s="11"/>
      <c r="IB345" s="620"/>
      <c r="IC345" s="620"/>
      <c r="ID345" s="620"/>
      <c r="IE345" s="620"/>
      <c r="IF345" s="620"/>
      <c r="IG345" s="620"/>
      <c r="IH345" s="620"/>
    </row>
    <row r="346" spans="4:242" x14ac:dyDescent="0.25">
      <c r="D346" s="175" t="s">
        <v>1007</v>
      </c>
      <c r="HM346" s="620"/>
      <c r="HN346" s="620"/>
      <c r="HO346" s="620"/>
      <c r="HP346" s="620"/>
      <c r="HQ346" s="620"/>
      <c r="HR346" s="620"/>
      <c r="HS346" s="620"/>
      <c r="HT346" s="11"/>
      <c r="HU346" s="11"/>
      <c r="IB346" s="620"/>
      <c r="IC346" s="620"/>
      <c r="ID346" s="620"/>
      <c r="IE346" s="620"/>
      <c r="IF346" s="620"/>
      <c r="IG346" s="620"/>
      <c r="IH346" s="620"/>
    </row>
    <row r="347" spans="4:242" x14ac:dyDescent="0.25">
      <c r="D347" s="175" t="s">
        <v>1008</v>
      </c>
      <c r="HM347" s="620"/>
      <c r="HN347" s="620"/>
      <c r="HO347" s="620"/>
      <c r="HP347" s="620"/>
      <c r="HQ347" s="620"/>
      <c r="HR347" s="620"/>
      <c r="HS347" s="620"/>
      <c r="HT347" s="11"/>
      <c r="HU347" s="11"/>
      <c r="IB347" s="620"/>
      <c r="IC347" s="620"/>
      <c r="ID347" s="620"/>
      <c r="IE347" s="620"/>
      <c r="IF347" s="620"/>
      <c r="IG347" s="620"/>
      <c r="IH347" s="620"/>
    </row>
    <row r="348" spans="4:242" x14ac:dyDescent="0.25">
      <c r="D348" s="175" t="s">
        <v>1009</v>
      </c>
      <c r="HM348" s="620"/>
      <c r="HN348" s="620"/>
      <c r="HO348" s="620"/>
      <c r="HP348" s="620"/>
      <c r="HQ348" s="620"/>
      <c r="HR348" s="620"/>
      <c r="HS348" s="620"/>
      <c r="HT348" s="11"/>
      <c r="HU348" s="11"/>
      <c r="IB348" s="620"/>
      <c r="IC348" s="620"/>
      <c r="ID348" s="620"/>
      <c r="IE348" s="620"/>
      <c r="IF348" s="620"/>
      <c r="IG348" s="620"/>
      <c r="IH348" s="620"/>
    </row>
    <row r="349" spans="4:242" x14ac:dyDescent="0.25">
      <c r="HM349" s="11"/>
      <c r="HN349" s="11"/>
      <c r="HO349" s="11"/>
      <c r="HP349" s="11"/>
      <c r="HQ349" s="11"/>
      <c r="HR349" s="11"/>
      <c r="HS349" s="11"/>
      <c r="HT349" s="11"/>
      <c r="HU349" s="11"/>
    </row>
    <row r="350" spans="4:242" x14ac:dyDescent="0.25">
      <c r="HM350" s="11"/>
      <c r="HN350" s="11"/>
      <c r="HO350" s="11"/>
      <c r="HP350" s="11"/>
      <c r="HQ350" s="11"/>
      <c r="HR350" s="11"/>
      <c r="HS350" s="11"/>
      <c r="HT350" s="11"/>
      <c r="HU350" s="11"/>
    </row>
    <row r="351" spans="4:242" x14ac:dyDescent="0.25">
      <c r="HM351" s="11"/>
      <c r="HN351" s="11"/>
      <c r="HO351" s="11"/>
      <c r="HP351" s="11"/>
      <c r="HQ351" s="11"/>
      <c r="HR351" s="11"/>
      <c r="HS351" s="11"/>
      <c r="HT351" s="11"/>
      <c r="HU351" s="11"/>
    </row>
    <row r="352" spans="4:242" x14ac:dyDescent="0.25">
      <c r="D352" s="2" t="s">
        <v>1848</v>
      </c>
      <c r="HM352" s="11"/>
      <c r="HN352" s="11"/>
      <c r="HO352" s="11"/>
      <c r="HP352" s="11"/>
      <c r="HQ352" s="11"/>
      <c r="HR352" s="11"/>
      <c r="HS352" s="11"/>
      <c r="HT352" s="11"/>
      <c r="HU352" s="11"/>
    </row>
    <row r="353" spans="4:242" x14ac:dyDescent="0.25">
      <c r="D353" s="228" t="s">
        <v>1381</v>
      </c>
      <c r="E353" s="27"/>
      <c r="F353" s="18">
        <f>L353/100*BR353</f>
        <v>0.11899999999999999</v>
      </c>
      <c r="G353" s="629">
        <f>L353/100*BS353</f>
        <v>0.11899999999999999</v>
      </c>
      <c r="L353" s="629">
        <v>17</v>
      </c>
      <c r="M353" s="629">
        <v>3.03</v>
      </c>
      <c r="BK353" s="629">
        <v>17.8</v>
      </c>
      <c r="BR353" s="629">
        <v>0.7</v>
      </c>
      <c r="BS353" s="629">
        <v>0.7</v>
      </c>
      <c r="HM353" s="630">
        <f>'Mark-Fields'!C174</f>
        <v>0</v>
      </c>
      <c r="HN353" s="630">
        <f>'Mark-Fields'!C177</f>
        <v>0</v>
      </c>
      <c r="HO353" s="630">
        <f>'Mark-Fields'!C180</f>
        <v>0</v>
      </c>
      <c r="HP353" s="631">
        <f>'Mark-Fields'!C200</f>
        <v>0</v>
      </c>
      <c r="HQ353" s="630">
        <f>'Mark-Fields'!C234</f>
        <v>0</v>
      </c>
      <c r="HR353" s="631" t="str">
        <f>'Mark-Fields'!C218</f>
        <v/>
      </c>
      <c r="HS353" s="630">
        <f>'Mark-Fields'!C242</f>
        <v>0</v>
      </c>
      <c r="HT353" s="11"/>
      <c r="HU353" s="145" t="s">
        <v>1812</v>
      </c>
      <c r="HV353" t="s">
        <v>1994</v>
      </c>
      <c r="IB353" s="620"/>
      <c r="IC353" s="620"/>
      <c r="ID353" s="620"/>
      <c r="IE353" s="620"/>
      <c r="IF353" s="620"/>
      <c r="IG353" s="620"/>
      <c r="IH353" s="620"/>
    </row>
    <row r="354" spans="4:242" x14ac:dyDescent="0.25">
      <c r="D354" s="228" t="s">
        <v>1849</v>
      </c>
      <c r="E354" s="27"/>
      <c r="F354" s="18">
        <f>F353</f>
        <v>0.11899999999999999</v>
      </c>
      <c r="G354" s="18">
        <f t="shared" ref="G354:BR354" si="119">G353</f>
        <v>0.11899999999999999</v>
      </c>
      <c r="H354" s="18">
        <f t="shared" si="119"/>
        <v>0</v>
      </c>
      <c r="I354" s="18">
        <f t="shared" si="119"/>
        <v>0</v>
      </c>
      <c r="J354" s="18">
        <f t="shared" si="119"/>
        <v>0</v>
      </c>
      <c r="K354" s="18">
        <f t="shared" si="119"/>
        <v>0</v>
      </c>
      <c r="L354" s="18">
        <f t="shared" si="119"/>
        <v>17</v>
      </c>
      <c r="M354" s="18">
        <v>3.03</v>
      </c>
      <c r="N354" s="18">
        <f t="shared" si="119"/>
        <v>0</v>
      </c>
      <c r="O354" s="18">
        <f t="shared" si="119"/>
        <v>0</v>
      </c>
      <c r="P354" s="18">
        <f t="shared" si="119"/>
        <v>0</v>
      </c>
      <c r="Q354" s="18">
        <f t="shared" si="119"/>
        <v>0</v>
      </c>
      <c r="R354" s="18">
        <f t="shared" si="119"/>
        <v>0</v>
      </c>
      <c r="S354" s="18">
        <f t="shared" si="119"/>
        <v>0</v>
      </c>
      <c r="T354" s="18">
        <f t="shared" si="119"/>
        <v>0</v>
      </c>
      <c r="U354" s="18">
        <f t="shared" si="119"/>
        <v>0</v>
      </c>
      <c r="V354" s="18">
        <f t="shared" si="119"/>
        <v>0</v>
      </c>
      <c r="W354" s="18">
        <f t="shared" si="119"/>
        <v>0</v>
      </c>
      <c r="X354" s="18">
        <f t="shared" si="119"/>
        <v>0</v>
      </c>
      <c r="Y354" s="18">
        <f t="shared" si="119"/>
        <v>0</v>
      </c>
      <c r="Z354" s="18">
        <f t="shared" si="119"/>
        <v>0</v>
      </c>
      <c r="AA354" s="18">
        <f t="shared" si="119"/>
        <v>0</v>
      </c>
      <c r="AB354" s="18">
        <f t="shared" si="119"/>
        <v>0</v>
      </c>
      <c r="AC354" s="18">
        <f t="shared" si="119"/>
        <v>0</v>
      </c>
      <c r="AD354" s="18">
        <f t="shared" si="119"/>
        <v>0</v>
      </c>
      <c r="AE354" s="18">
        <f t="shared" si="119"/>
        <v>0</v>
      </c>
      <c r="AF354" s="18">
        <f t="shared" si="119"/>
        <v>0</v>
      </c>
      <c r="AG354" s="18">
        <f t="shared" si="119"/>
        <v>0</v>
      </c>
      <c r="AH354" s="18">
        <f t="shared" si="119"/>
        <v>0</v>
      </c>
      <c r="AI354" s="18">
        <f t="shared" si="119"/>
        <v>0</v>
      </c>
      <c r="AJ354" s="18">
        <f t="shared" si="119"/>
        <v>0</v>
      </c>
      <c r="AK354" s="18">
        <f t="shared" si="119"/>
        <v>0</v>
      </c>
      <c r="AL354" s="18">
        <f t="shared" si="119"/>
        <v>0</v>
      </c>
      <c r="AM354" s="18">
        <f t="shared" si="119"/>
        <v>0</v>
      </c>
      <c r="AN354" s="18">
        <f t="shared" si="119"/>
        <v>0</v>
      </c>
      <c r="AO354" s="18">
        <f t="shared" si="119"/>
        <v>0</v>
      </c>
      <c r="AP354" s="18">
        <f t="shared" si="119"/>
        <v>0</v>
      </c>
      <c r="AQ354" s="18">
        <f t="shared" si="119"/>
        <v>0</v>
      </c>
      <c r="AR354" s="18">
        <f t="shared" si="119"/>
        <v>0</v>
      </c>
      <c r="AS354" s="18">
        <f t="shared" si="119"/>
        <v>0</v>
      </c>
      <c r="AT354" s="18">
        <f t="shared" si="119"/>
        <v>0</v>
      </c>
      <c r="AU354" s="18">
        <f t="shared" si="119"/>
        <v>0</v>
      </c>
      <c r="AV354" s="18">
        <f t="shared" si="119"/>
        <v>0</v>
      </c>
      <c r="AW354" s="18">
        <f t="shared" si="119"/>
        <v>0</v>
      </c>
      <c r="AX354" s="18">
        <f t="shared" si="119"/>
        <v>0</v>
      </c>
      <c r="AY354" s="18">
        <f t="shared" si="119"/>
        <v>0</v>
      </c>
      <c r="AZ354" s="18">
        <f t="shared" si="119"/>
        <v>0</v>
      </c>
      <c r="BA354" s="18">
        <f t="shared" si="119"/>
        <v>0</v>
      </c>
      <c r="BB354" s="18">
        <f t="shared" si="119"/>
        <v>0</v>
      </c>
      <c r="BC354" s="18">
        <f t="shared" si="119"/>
        <v>0</v>
      </c>
      <c r="BD354" s="18">
        <f t="shared" si="119"/>
        <v>0</v>
      </c>
      <c r="BE354" s="18">
        <f t="shared" si="119"/>
        <v>0</v>
      </c>
      <c r="BF354" s="18">
        <f t="shared" si="119"/>
        <v>0</v>
      </c>
      <c r="BG354" s="18">
        <f t="shared" si="119"/>
        <v>0</v>
      </c>
      <c r="BH354" s="18">
        <f t="shared" si="119"/>
        <v>0</v>
      </c>
      <c r="BI354" s="18">
        <f t="shared" si="119"/>
        <v>0</v>
      </c>
      <c r="BJ354" s="18">
        <f t="shared" si="119"/>
        <v>0</v>
      </c>
      <c r="BK354" s="18">
        <f t="shared" si="119"/>
        <v>17.8</v>
      </c>
      <c r="BL354" s="18">
        <f t="shared" si="119"/>
        <v>0</v>
      </c>
      <c r="BM354" s="18">
        <f t="shared" si="119"/>
        <v>0</v>
      </c>
      <c r="BN354" s="18">
        <f t="shared" si="119"/>
        <v>0</v>
      </c>
      <c r="BO354" s="18">
        <f t="shared" si="119"/>
        <v>0</v>
      </c>
      <c r="BP354" s="18">
        <f t="shared" si="119"/>
        <v>0</v>
      </c>
      <c r="BQ354" s="18">
        <f t="shared" si="119"/>
        <v>0</v>
      </c>
      <c r="BR354" s="18">
        <f t="shared" si="119"/>
        <v>0.7</v>
      </c>
      <c r="BS354" s="18">
        <f t="shared" ref="BS354:DX354" si="120">BS353</f>
        <v>0.7</v>
      </c>
      <c r="BT354" s="18">
        <f t="shared" si="120"/>
        <v>0</v>
      </c>
      <c r="BU354" s="18">
        <f t="shared" si="120"/>
        <v>0</v>
      </c>
      <c r="BV354" s="18">
        <f t="shared" si="120"/>
        <v>0</v>
      </c>
      <c r="BW354" s="18">
        <f t="shared" si="120"/>
        <v>0</v>
      </c>
      <c r="BX354" s="18">
        <f t="shared" si="120"/>
        <v>0</v>
      </c>
      <c r="BY354" s="18">
        <f t="shared" si="120"/>
        <v>0</v>
      </c>
      <c r="BZ354" s="18">
        <f t="shared" si="120"/>
        <v>0</v>
      </c>
      <c r="CA354" s="18">
        <f t="shared" si="120"/>
        <v>0</v>
      </c>
      <c r="CB354" s="18">
        <f t="shared" si="120"/>
        <v>0</v>
      </c>
      <c r="CC354" s="18">
        <f t="shared" si="120"/>
        <v>0</v>
      </c>
      <c r="CD354" s="18">
        <f t="shared" si="120"/>
        <v>0</v>
      </c>
      <c r="CE354" s="18">
        <f t="shared" si="120"/>
        <v>0</v>
      </c>
      <c r="CF354" s="18">
        <f t="shared" si="120"/>
        <v>0</v>
      </c>
      <c r="CG354" s="18">
        <f t="shared" si="120"/>
        <v>0</v>
      </c>
      <c r="CH354" s="18">
        <f t="shared" si="120"/>
        <v>0</v>
      </c>
      <c r="CI354" s="18">
        <f t="shared" si="120"/>
        <v>0</v>
      </c>
      <c r="CJ354" s="18">
        <f t="shared" si="120"/>
        <v>0</v>
      </c>
      <c r="CK354" s="18">
        <f t="shared" si="120"/>
        <v>0</v>
      </c>
      <c r="CL354" s="18">
        <f t="shared" si="120"/>
        <v>0</v>
      </c>
      <c r="CM354" s="18">
        <f t="shared" si="120"/>
        <v>0</v>
      </c>
      <c r="CN354" s="18">
        <f t="shared" si="120"/>
        <v>0</v>
      </c>
      <c r="CO354" s="18">
        <f t="shared" si="120"/>
        <v>0</v>
      </c>
      <c r="CP354" s="18">
        <f t="shared" si="120"/>
        <v>0</v>
      </c>
      <c r="CQ354" s="18">
        <f t="shared" si="120"/>
        <v>0</v>
      </c>
      <c r="CR354" s="18">
        <f t="shared" si="120"/>
        <v>0</v>
      </c>
      <c r="CS354" s="18">
        <f t="shared" si="120"/>
        <v>0</v>
      </c>
      <c r="CT354" s="18">
        <f t="shared" si="120"/>
        <v>0</v>
      </c>
      <c r="CU354" s="18">
        <f t="shared" si="120"/>
        <v>0</v>
      </c>
      <c r="CV354" s="18">
        <f t="shared" si="120"/>
        <v>0</v>
      </c>
      <c r="CW354" s="18">
        <f t="shared" si="120"/>
        <v>0</v>
      </c>
      <c r="CX354" s="18">
        <f t="shared" si="120"/>
        <v>0</v>
      </c>
      <c r="CY354" s="18">
        <f t="shared" si="120"/>
        <v>0</v>
      </c>
      <c r="CZ354" s="18">
        <f t="shared" si="120"/>
        <v>0</v>
      </c>
      <c r="DA354" s="18">
        <f t="shared" si="120"/>
        <v>0</v>
      </c>
      <c r="DB354" s="18">
        <f t="shared" si="120"/>
        <v>0</v>
      </c>
      <c r="DC354" s="18">
        <f t="shared" si="120"/>
        <v>0</v>
      </c>
      <c r="DD354" s="18">
        <f t="shared" si="120"/>
        <v>0</v>
      </c>
      <c r="DE354" s="18">
        <f t="shared" si="120"/>
        <v>0</v>
      </c>
      <c r="DF354" s="18">
        <f t="shared" si="120"/>
        <v>0</v>
      </c>
      <c r="DG354" s="18">
        <f t="shared" si="120"/>
        <v>0</v>
      </c>
      <c r="DH354" s="18">
        <f t="shared" si="120"/>
        <v>0</v>
      </c>
      <c r="DI354" s="18">
        <f t="shared" si="120"/>
        <v>0</v>
      </c>
      <c r="DJ354" s="18">
        <f t="shared" si="120"/>
        <v>0</v>
      </c>
      <c r="DK354" s="18">
        <f t="shared" si="120"/>
        <v>0</v>
      </c>
      <c r="DL354" s="18">
        <f t="shared" si="120"/>
        <v>0</v>
      </c>
      <c r="DM354" s="18">
        <f t="shared" si="120"/>
        <v>0</v>
      </c>
      <c r="DN354" s="18">
        <f t="shared" si="120"/>
        <v>0</v>
      </c>
      <c r="DO354" s="18">
        <f t="shared" si="120"/>
        <v>0</v>
      </c>
      <c r="DP354" s="18">
        <f t="shared" si="120"/>
        <v>0</v>
      </c>
      <c r="DQ354" s="18">
        <f t="shared" si="120"/>
        <v>0</v>
      </c>
      <c r="DR354" s="18">
        <f t="shared" si="120"/>
        <v>0</v>
      </c>
      <c r="DS354" s="18">
        <f t="shared" si="120"/>
        <v>0</v>
      </c>
      <c r="DT354" s="18">
        <f t="shared" si="120"/>
        <v>0</v>
      </c>
      <c r="DU354" s="18">
        <f t="shared" si="120"/>
        <v>0</v>
      </c>
      <c r="DV354" s="18">
        <f t="shared" si="120"/>
        <v>0</v>
      </c>
      <c r="DW354" s="18">
        <f t="shared" si="120"/>
        <v>0</v>
      </c>
      <c r="DX354" s="18">
        <f t="shared" si="120"/>
        <v>0</v>
      </c>
      <c r="DY354" s="18">
        <f>DY353</f>
        <v>0</v>
      </c>
      <c r="DZ354" s="18">
        <f t="shared" ref="DZ354:GK356" si="121">DZ353</f>
        <v>0</v>
      </c>
      <c r="EA354" s="18">
        <f t="shared" si="121"/>
        <v>0</v>
      </c>
      <c r="EB354" s="18">
        <f t="shared" si="121"/>
        <v>0</v>
      </c>
      <c r="EC354" s="18">
        <f t="shared" si="121"/>
        <v>0</v>
      </c>
      <c r="ED354" s="18">
        <f t="shared" si="121"/>
        <v>0</v>
      </c>
      <c r="EE354" s="18">
        <f t="shared" si="121"/>
        <v>0</v>
      </c>
      <c r="EF354" s="18">
        <f t="shared" si="121"/>
        <v>0</v>
      </c>
      <c r="EG354" s="18">
        <f t="shared" si="121"/>
        <v>0</v>
      </c>
      <c r="EH354" s="18">
        <f t="shared" si="121"/>
        <v>0</v>
      </c>
      <c r="EI354" s="18">
        <f t="shared" si="121"/>
        <v>0</v>
      </c>
      <c r="EJ354" s="18">
        <f t="shared" si="121"/>
        <v>0</v>
      </c>
      <c r="EK354" s="18">
        <f t="shared" si="121"/>
        <v>0</v>
      </c>
      <c r="EL354" s="18">
        <f t="shared" si="121"/>
        <v>0</v>
      </c>
      <c r="EM354" s="18">
        <f t="shared" si="121"/>
        <v>0</v>
      </c>
      <c r="EN354" s="18">
        <f t="shared" si="121"/>
        <v>0</v>
      </c>
      <c r="EO354" s="18">
        <f t="shared" si="121"/>
        <v>0</v>
      </c>
      <c r="EP354" s="18">
        <f t="shared" si="121"/>
        <v>0</v>
      </c>
      <c r="EQ354" s="18">
        <f t="shared" si="121"/>
        <v>0</v>
      </c>
      <c r="ER354" s="18">
        <f t="shared" si="121"/>
        <v>0</v>
      </c>
      <c r="ES354" s="18">
        <f t="shared" si="121"/>
        <v>0</v>
      </c>
      <c r="ET354" s="18">
        <f t="shared" si="121"/>
        <v>0</v>
      </c>
      <c r="EU354" s="18">
        <f t="shared" si="121"/>
        <v>0</v>
      </c>
      <c r="EV354" s="18">
        <f t="shared" si="121"/>
        <v>0</v>
      </c>
      <c r="EW354" s="18">
        <f t="shared" si="121"/>
        <v>0</v>
      </c>
      <c r="EX354" s="18">
        <f t="shared" si="121"/>
        <v>0</v>
      </c>
      <c r="EY354" s="18">
        <f t="shared" si="121"/>
        <v>0</v>
      </c>
      <c r="EZ354" s="18">
        <f t="shared" si="121"/>
        <v>0</v>
      </c>
      <c r="FA354" s="18">
        <f t="shared" si="121"/>
        <v>0</v>
      </c>
      <c r="FB354" s="18">
        <f t="shared" si="121"/>
        <v>0</v>
      </c>
      <c r="FC354" s="18">
        <f t="shared" si="121"/>
        <v>0</v>
      </c>
      <c r="FD354" s="18">
        <f t="shared" si="121"/>
        <v>0</v>
      </c>
      <c r="FE354" s="18">
        <f t="shared" si="121"/>
        <v>0</v>
      </c>
      <c r="FF354" s="18">
        <f t="shared" si="121"/>
        <v>0</v>
      </c>
      <c r="FG354" s="18">
        <f t="shared" si="121"/>
        <v>0</v>
      </c>
      <c r="FH354" s="18">
        <f t="shared" si="121"/>
        <v>0</v>
      </c>
      <c r="FI354" s="18">
        <f t="shared" si="121"/>
        <v>0</v>
      </c>
      <c r="FJ354" s="18">
        <f t="shared" si="121"/>
        <v>0</v>
      </c>
      <c r="FK354" s="18">
        <f t="shared" si="121"/>
        <v>0</v>
      </c>
      <c r="FL354" s="18">
        <f t="shared" si="121"/>
        <v>0</v>
      </c>
      <c r="FM354" s="18">
        <f t="shared" si="121"/>
        <v>0</v>
      </c>
      <c r="FN354" s="18">
        <f t="shared" si="121"/>
        <v>0</v>
      </c>
      <c r="FO354" s="18">
        <f t="shared" si="121"/>
        <v>0</v>
      </c>
      <c r="FP354" s="18">
        <f t="shared" si="121"/>
        <v>0</v>
      </c>
      <c r="FQ354" s="18">
        <f t="shared" si="121"/>
        <v>0</v>
      </c>
      <c r="FR354" s="18">
        <f t="shared" si="121"/>
        <v>0</v>
      </c>
      <c r="FS354" s="18">
        <f t="shared" si="121"/>
        <v>0</v>
      </c>
      <c r="FT354" s="18">
        <f t="shared" si="121"/>
        <v>0</v>
      </c>
      <c r="FU354" s="18">
        <f t="shared" si="121"/>
        <v>0</v>
      </c>
      <c r="FV354" s="18">
        <f t="shared" si="121"/>
        <v>0</v>
      </c>
      <c r="FW354" s="18">
        <f t="shared" si="121"/>
        <v>0</v>
      </c>
      <c r="FX354" s="18">
        <f t="shared" si="121"/>
        <v>0</v>
      </c>
      <c r="FY354" s="18">
        <f t="shared" si="121"/>
        <v>0</v>
      </c>
      <c r="FZ354" s="18">
        <f t="shared" si="121"/>
        <v>0</v>
      </c>
      <c r="GA354" s="18">
        <f t="shared" si="121"/>
        <v>0</v>
      </c>
      <c r="GB354" s="18">
        <f t="shared" si="121"/>
        <v>0</v>
      </c>
      <c r="GC354" s="18">
        <f t="shared" si="121"/>
        <v>0</v>
      </c>
      <c r="GD354" s="18">
        <f t="shared" si="121"/>
        <v>0</v>
      </c>
      <c r="GE354" s="18">
        <f t="shared" si="121"/>
        <v>0</v>
      </c>
      <c r="GF354" s="18">
        <f t="shared" si="121"/>
        <v>0</v>
      </c>
      <c r="GG354" s="18">
        <f t="shared" si="121"/>
        <v>0</v>
      </c>
      <c r="GH354" s="18">
        <f t="shared" si="121"/>
        <v>0</v>
      </c>
      <c r="GI354" s="18">
        <f t="shared" si="121"/>
        <v>0</v>
      </c>
      <c r="GJ354" s="18">
        <f t="shared" si="121"/>
        <v>0</v>
      </c>
      <c r="GK354" s="18">
        <f t="shared" si="121"/>
        <v>0</v>
      </c>
      <c r="GL354" s="18">
        <f t="shared" ref="GL354:HL356" si="122">GL353</f>
        <v>0</v>
      </c>
      <c r="GM354" s="18">
        <f t="shared" si="122"/>
        <v>0</v>
      </c>
      <c r="GN354" s="18">
        <f t="shared" si="122"/>
        <v>0</v>
      </c>
      <c r="GO354" s="18">
        <f t="shared" si="122"/>
        <v>0</v>
      </c>
      <c r="GP354" s="18">
        <f t="shared" si="122"/>
        <v>0</v>
      </c>
      <c r="GQ354" s="18">
        <f t="shared" si="122"/>
        <v>0</v>
      </c>
      <c r="GR354" s="18">
        <f t="shared" si="122"/>
        <v>0</v>
      </c>
      <c r="GS354" s="18">
        <f t="shared" si="122"/>
        <v>0</v>
      </c>
      <c r="GT354" s="18">
        <f t="shared" si="122"/>
        <v>0</v>
      </c>
      <c r="GU354" s="18">
        <f t="shared" si="122"/>
        <v>0</v>
      </c>
      <c r="GV354" s="18">
        <f t="shared" si="122"/>
        <v>0</v>
      </c>
      <c r="GW354" s="18">
        <f t="shared" si="122"/>
        <v>0</v>
      </c>
      <c r="GX354" s="18">
        <f t="shared" si="122"/>
        <v>0</v>
      </c>
      <c r="GY354" s="18">
        <f t="shared" si="122"/>
        <v>0</v>
      </c>
      <c r="GZ354" s="18">
        <f t="shared" si="122"/>
        <v>0</v>
      </c>
      <c r="HA354" s="18">
        <f t="shared" si="122"/>
        <v>0</v>
      </c>
      <c r="HB354" s="18">
        <f t="shared" si="122"/>
        <v>0</v>
      </c>
      <c r="HC354" s="18">
        <f t="shared" si="122"/>
        <v>0</v>
      </c>
      <c r="HD354" s="18">
        <f t="shared" si="122"/>
        <v>0</v>
      </c>
      <c r="HE354" s="18">
        <f t="shared" si="122"/>
        <v>0</v>
      </c>
      <c r="HF354" s="18">
        <f t="shared" si="122"/>
        <v>0</v>
      </c>
      <c r="HG354" s="18">
        <f t="shared" si="122"/>
        <v>0</v>
      </c>
      <c r="HH354" s="18">
        <f t="shared" si="122"/>
        <v>0</v>
      </c>
      <c r="HI354" s="18">
        <f t="shared" si="122"/>
        <v>0</v>
      </c>
      <c r="HJ354" s="18">
        <f t="shared" si="122"/>
        <v>0</v>
      </c>
      <c r="HK354" s="18">
        <f t="shared" si="122"/>
        <v>0</v>
      </c>
      <c r="HL354" s="18">
        <f t="shared" si="122"/>
        <v>0</v>
      </c>
      <c r="HM354" s="630">
        <f>'Mark-Fields'!D174</f>
        <v>0</v>
      </c>
      <c r="HN354" s="630">
        <f>'Mark-Fields'!D177</f>
        <v>0</v>
      </c>
      <c r="HO354" s="630">
        <f>'Mark-Fields'!D180</f>
        <v>0</v>
      </c>
      <c r="HP354" s="630">
        <f>'Mark-Fields'!D200</f>
        <v>0</v>
      </c>
      <c r="HQ354" s="630">
        <f>'Mark-Fields'!D234</f>
        <v>0</v>
      </c>
      <c r="HR354" s="630" t="str">
        <f>'Mark-Fields'!D218</f>
        <v/>
      </c>
      <c r="HS354" s="630">
        <f>'Mark-Fields'!D242</f>
        <v>0</v>
      </c>
      <c r="HT354" s="11"/>
      <c r="HU354" s="145" t="s">
        <v>1812</v>
      </c>
      <c r="HV354" t="s">
        <v>1994</v>
      </c>
      <c r="IB354" s="620"/>
      <c r="IC354" s="620"/>
      <c r="ID354" s="620"/>
      <c r="IE354" s="620"/>
      <c r="IF354" s="620"/>
      <c r="IG354" s="620"/>
      <c r="IH354" s="620"/>
    </row>
    <row r="355" spans="4:242" x14ac:dyDescent="0.25">
      <c r="D355" s="228" t="s">
        <v>1372</v>
      </c>
      <c r="E355" s="27"/>
      <c r="F355" s="18">
        <f t="shared" ref="F355:BQ356" si="123">F354</f>
        <v>0.11899999999999999</v>
      </c>
      <c r="G355" s="18">
        <f t="shared" si="123"/>
        <v>0.11899999999999999</v>
      </c>
      <c r="H355" s="18">
        <f t="shared" si="123"/>
        <v>0</v>
      </c>
      <c r="I355" s="18">
        <f t="shared" si="123"/>
        <v>0</v>
      </c>
      <c r="J355" s="18">
        <f t="shared" si="123"/>
        <v>0</v>
      </c>
      <c r="K355" s="18">
        <f t="shared" si="123"/>
        <v>0</v>
      </c>
      <c r="L355" s="18">
        <f t="shared" si="123"/>
        <v>17</v>
      </c>
      <c r="M355" s="18">
        <v>3.03</v>
      </c>
      <c r="N355" s="18">
        <f t="shared" si="123"/>
        <v>0</v>
      </c>
      <c r="O355" s="18">
        <f t="shared" si="123"/>
        <v>0</v>
      </c>
      <c r="P355" s="18">
        <f t="shared" si="123"/>
        <v>0</v>
      </c>
      <c r="Q355" s="18">
        <f t="shared" si="123"/>
        <v>0</v>
      </c>
      <c r="R355" s="18">
        <f t="shared" si="123"/>
        <v>0</v>
      </c>
      <c r="S355" s="18">
        <f t="shared" si="123"/>
        <v>0</v>
      </c>
      <c r="T355" s="18">
        <f t="shared" si="123"/>
        <v>0</v>
      </c>
      <c r="U355" s="18">
        <f t="shared" si="123"/>
        <v>0</v>
      </c>
      <c r="V355" s="18">
        <f t="shared" si="123"/>
        <v>0</v>
      </c>
      <c r="W355" s="18">
        <f t="shared" si="123"/>
        <v>0</v>
      </c>
      <c r="X355" s="18">
        <f t="shared" si="123"/>
        <v>0</v>
      </c>
      <c r="Y355" s="18">
        <f t="shared" si="123"/>
        <v>0</v>
      </c>
      <c r="Z355" s="18">
        <f t="shared" si="123"/>
        <v>0</v>
      </c>
      <c r="AA355" s="18">
        <f t="shared" si="123"/>
        <v>0</v>
      </c>
      <c r="AB355" s="18">
        <f t="shared" si="123"/>
        <v>0</v>
      </c>
      <c r="AC355" s="18">
        <f t="shared" si="123"/>
        <v>0</v>
      </c>
      <c r="AD355" s="18">
        <f t="shared" si="123"/>
        <v>0</v>
      </c>
      <c r="AE355" s="18">
        <f t="shared" si="123"/>
        <v>0</v>
      </c>
      <c r="AF355" s="18">
        <f t="shared" si="123"/>
        <v>0</v>
      </c>
      <c r="AG355" s="18">
        <f t="shared" si="123"/>
        <v>0</v>
      </c>
      <c r="AH355" s="18">
        <f t="shared" si="123"/>
        <v>0</v>
      </c>
      <c r="AI355" s="18">
        <f t="shared" si="123"/>
        <v>0</v>
      </c>
      <c r="AJ355" s="18">
        <f t="shared" si="123"/>
        <v>0</v>
      </c>
      <c r="AK355" s="18">
        <f t="shared" si="123"/>
        <v>0</v>
      </c>
      <c r="AL355" s="18">
        <f t="shared" si="123"/>
        <v>0</v>
      </c>
      <c r="AM355" s="18">
        <f t="shared" si="123"/>
        <v>0</v>
      </c>
      <c r="AN355" s="18">
        <f t="shared" si="123"/>
        <v>0</v>
      </c>
      <c r="AO355" s="18">
        <f t="shared" si="123"/>
        <v>0</v>
      </c>
      <c r="AP355" s="18">
        <f t="shared" si="123"/>
        <v>0</v>
      </c>
      <c r="AQ355" s="18">
        <f t="shared" si="123"/>
        <v>0</v>
      </c>
      <c r="AR355" s="18">
        <f t="shared" si="123"/>
        <v>0</v>
      </c>
      <c r="AS355" s="18">
        <f t="shared" si="123"/>
        <v>0</v>
      </c>
      <c r="AT355" s="18">
        <f t="shared" si="123"/>
        <v>0</v>
      </c>
      <c r="AU355" s="18">
        <f t="shared" si="123"/>
        <v>0</v>
      </c>
      <c r="AV355" s="18">
        <f t="shared" si="123"/>
        <v>0</v>
      </c>
      <c r="AW355" s="18">
        <f t="shared" si="123"/>
        <v>0</v>
      </c>
      <c r="AX355" s="18">
        <f t="shared" si="123"/>
        <v>0</v>
      </c>
      <c r="AY355" s="18">
        <f t="shared" si="123"/>
        <v>0</v>
      </c>
      <c r="AZ355" s="18">
        <f t="shared" si="123"/>
        <v>0</v>
      </c>
      <c r="BA355" s="18">
        <f t="shared" si="123"/>
        <v>0</v>
      </c>
      <c r="BB355" s="18">
        <f t="shared" si="123"/>
        <v>0</v>
      </c>
      <c r="BC355" s="18">
        <f t="shared" si="123"/>
        <v>0</v>
      </c>
      <c r="BD355" s="18">
        <f t="shared" si="123"/>
        <v>0</v>
      </c>
      <c r="BE355" s="18">
        <f t="shared" si="123"/>
        <v>0</v>
      </c>
      <c r="BF355" s="18">
        <f t="shared" si="123"/>
        <v>0</v>
      </c>
      <c r="BG355" s="18">
        <f t="shared" si="123"/>
        <v>0</v>
      </c>
      <c r="BH355" s="18">
        <f t="shared" si="123"/>
        <v>0</v>
      </c>
      <c r="BI355" s="18">
        <f t="shared" si="123"/>
        <v>0</v>
      </c>
      <c r="BJ355" s="18">
        <f t="shared" si="123"/>
        <v>0</v>
      </c>
      <c r="BK355" s="18">
        <f t="shared" si="123"/>
        <v>17.8</v>
      </c>
      <c r="BL355" s="18">
        <f t="shared" si="123"/>
        <v>0</v>
      </c>
      <c r="BM355" s="18">
        <f t="shared" si="123"/>
        <v>0</v>
      </c>
      <c r="BN355" s="18">
        <f t="shared" si="123"/>
        <v>0</v>
      </c>
      <c r="BO355" s="18">
        <f t="shared" si="123"/>
        <v>0</v>
      </c>
      <c r="BP355" s="18">
        <f t="shared" si="123"/>
        <v>0</v>
      </c>
      <c r="BQ355" s="18">
        <f t="shared" si="123"/>
        <v>0</v>
      </c>
      <c r="BR355" s="18">
        <f t="shared" ref="BR355:DY356" si="124">BR354</f>
        <v>0.7</v>
      </c>
      <c r="BS355" s="18">
        <f t="shared" si="124"/>
        <v>0.7</v>
      </c>
      <c r="BT355" s="18">
        <f t="shared" si="124"/>
        <v>0</v>
      </c>
      <c r="BU355" s="18">
        <f t="shared" si="124"/>
        <v>0</v>
      </c>
      <c r="BV355" s="18">
        <f t="shared" si="124"/>
        <v>0</v>
      </c>
      <c r="BW355" s="18">
        <f t="shared" si="124"/>
        <v>0</v>
      </c>
      <c r="BX355" s="18">
        <f t="shared" si="124"/>
        <v>0</v>
      </c>
      <c r="BY355" s="18">
        <f t="shared" si="124"/>
        <v>0</v>
      </c>
      <c r="BZ355" s="18">
        <f t="shared" si="124"/>
        <v>0</v>
      </c>
      <c r="CA355" s="18">
        <f t="shared" si="124"/>
        <v>0</v>
      </c>
      <c r="CB355" s="18">
        <f t="shared" si="124"/>
        <v>0</v>
      </c>
      <c r="CC355" s="18">
        <f t="shared" si="124"/>
        <v>0</v>
      </c>
      <c r="CD355" s="18">
        <f t="shared" si="124"/>
        <v>0</v>
      </c>
      <c r="CE355" s="18">
        <f t="shared" si="124"/>
        <v>0</v>
      </c>
      <c r="CF355" s="18">
        <f t="shared" si="124"/>
        <v>0</v>
      </c>
      <c r="CG355" s="18">
        <f t="shared" si="124"/>
        <v>0</v>
      </c>
      <c r="CH355" s="18">
        <f t="shared" si="124"/>
        <v>0</v>
      </c>
      <c r="CI355" s="18">
        <f t="shared" si="124"/>
        <v>0</v>
      </c>
      <c r="CJ355" s="18">
        <f t="shared" si="124"/>
        <v>0</v>
      </c>
      <c r="CK355" s="18">
        <f t="shared" si="124"/>
        <v>0</v>
      </c>
      <c r="CL355" s="18">
        <f t="shared" si="124"/>
        <v>0</v>
      </c>
      <c r="CM355" s="18">
        <f t="shared" si="124"/>
        <v>0</v>
      </c>
      <c r="CN355" s="18">
        <f t="shared" si="124"/>
        <v>0</v>
      </c>
      <c r="CO355" s="18">
        <f t="shared" si="124"/>
        <v>0</v>
      </c>
      <c r="CP355" s="18">
        <f t="shared" si="124"/>
        <v>0</v>
      </c>
      <c r="CQ355" s="18">
        <f t="shared" si="124"/>
        <v>0</v>
      </c>
      <c r="CR355" s="18">
        <f t="shared" si="124"/>
        <v>0</v>
      </c>
      <c r="CS355" s="18">
        <f t="shared" si="124"/>
        <v>0</v>
      </c>
      <c r="CT355" s="18">
        <f t="shared" si="124"/>
        <v>0</v>
      </c>
      <c r="CU355" s="18">
        <f t="shared" si="124"/>
        <v>0</v>
      </c>
      <c r="CV355" s="18">
        <f t="shared" si="124"/>
        <v>0</v>
      </c>
      <c r="CW355" s="18">
        <f t="shared" si="124"/>
        <v>0</v>
      </c>
      <c r="CX355" s="18">
        <f t="shared" si="124"/>
        <v>0</v>
      </c>
      <c r="CY355" s="18">
        <f t="shared" si="124"/>
        <v>0</v>
      </c>
      <c r="CZ355" s="18">
        <f t="shared" si="124"/>
        <v>0</v>
      </c>
      <c r="DA355" s="18">
        <f t="shared" si="124"/>
        <v>0</v>
      </c>
      <c r="DB355" s="18">
        <f t="shared" si="124"/>
        <v>0</v>
      </c>
      <c r="DC355" s="18">
        <f t="shared" si="124"/>
        <v>0</v>
      </c>
      <c r="DD355" s="18">
        <f t="shared" si="124"/>
        <v>0</v>
      </c>
      <c r="DE355" s="18">
        <f t="shared" si="124"/>
        <v>0</v>
      </c>
      <c r="DF355" s="18">
        <f t="shared" si="124"/>
        <v>0</v>
      </c>
      <c r="DG355" s="18">
        <f t="shared" si="124"/>
        <v>0</v>
      </c>
      <c r="DH355" s="18">
        <f t="shared" si="124"/>
        <v>0</v>
      </c>
      <c r="DI355" s="18">
        <f t="shared" si="124"/>
        <v>0</v>
      </c>
      <c r="DJ355" s="18">
        <f t="shared" si="124"/>
        <v>0</v>
      </c>
      <c r="DK355" s="18">
        <f t="shared" si="124"/>
        <v>0</v>
      </c>
      <c r="DL355" s="18">
        <f t="shared" si="124"/>
        <v>0</v>
      </c>
      <c r="DM355" s="18">
        <f t="shared" si="124"/>
        <v>0</v>
      </c>
      <c r="DN355" s="18">
        <f t="shared" si="124"/>
        <v>0</v>
      </c>
      <c r="DO355" s="18">
        <f t="shared" si="124"/>
        <v>0</v>
      </c>
      <c r="DP355" s="18">
        <f t="shared" si="124"/>
        <v>0</v>
      </c>
      <c r="DQ355" s="18">
        <f t="shared" si="124"/>
        <v>0</v>
      </c>
      <c r="DR355" s="18">
        <f t="shared" si="124"/>
        <v>0</v>
      </c>
      <c r="DS355" s="18">
        <f t="shared" si="124"/>
        <v>0</v>
      </c>
      <c r="DT355" s="18">
        <f t="shared" si="124"/>
        <v>0</v>
      </c>
      <c r="DU355" s="18">
        <f t="shared" si="124"/>
        <v>0</v>
      </c>
      <c r="DV355" s="18">
        <f t="shared" si="124"/>
        <v>0</v>
      </c>
      <c r="DW355" s="18">
        <f t="shared" si="124"/>
        <v>0</v>
      </c>
      <c r="DX355" s="18">
        <f t="shared" si="124"/>
        <v>0</v>
      </c>
      <c r="DY355" s="18">
        <f t="shared" si="124"/>
        <v>0</v>
      </c>
      <c r="DZ355" s="18">
        <f t="shared" si="121"/>
        <v>0</v>
      </c>
      <c r="EA355" s="18">
        <f t="shared" si="121"/>
        <v>0</v>
      </c>
      <c r="EB355" s="18">
        <f t="shared" si="121"/>
        <v>0</v>
      </c>
      <c r="EC355" s="18">
        <f t="shared" si="121"/>
        <v>0</v>
      </c>
      <c r="ED355" s="18">
        <f t="shared" si="121"/>
        <v>0</v>
      </c>
      <c r="EE355" s="18">
        <f t="shared" si="121"/>
        <v>0</v>
      </c>
      <c r="EF355" s="18">
        <f t="shared" si="121"/>
        <v>0</v>
      </c>
      <c r="EG355" s="18">
        <f t="shared" si="121"/>
        <v>0</v>
      </c>
      <c r="EH355" s="18">
        <f t="shared" si="121"/>
        <v>0</v>
      </c>
      <c r="EI355" s="18">
        <f t="shared" si="121"/>
        <v>0</v>
      </c>
      <c r="EJ355" s="18">
        <f t="shared" si="121"/>
        <v>0</v>
      </c>
      <c r="EK355" s="18">
        <f t="shared" si="121"/>
        <v>0</v>
      </c>
      <c r="EL355" s="18">
        <f t="shared" si="121"/>
        <v>0</v>
      </c>
      <c r="EM355" s="18">
        <f t="shared" si="121"/>
        <v>0</v>
      </c>
      <c r="EN355" s="18">
        <f t="shared" si="121"/>
        <v>0</v>
      </c>
      <c r="EO355" s="18">
        <f t="shared" si="121"/>
        <v>0</v>
      </c>
      <c r="EP355" s="18">
        <f t="shared" si="121"/>
        <v>0</v>
      </c>
      <c r="EQ355" s="18">
        <f t="shared" si="121"/>
        <v>0</v>
      </c>
      <c r="ER355" s="18">
        <f t="shared" si="121"/>
        <v>0</v>
      </c>
      <c r="ES355" s="18">
        <f t="shared" si="121"/>
        <v>0</v>
      </c>
      <c r="ET355" s="18">
        <f t="shared" si="121"/>
        <v>0</v>
      </c>
      <c r="EU355" s="18">
        <f t="shared" si="121"/>
        <v>0</v>
      </c>
      <c r="EV355" s="18">
        <f t="shared" si="121"/>
        <v>0</v>
      </c>
      <c r="EW355" s="18">
        <f t="shared" si="121"/>
        <v>0</v>
      </c>
      <c r="EX355" s="18">
        <f t="shared" si="121"/>
        <v>0</v>
      </c>
      <c r="EY355" s="18">
        <f t="shared" si="121"/>
        <v>0</v>
      </c>
      <c r="EZ355" s="18">
        <f t="shared" si="121"/>
        <v>0</v>
      </c>
      <c r="FA355" s="18">
        <f t="shared" si="121"/>
        <v>0</v>
      </c>
      <c r="FB355" s="18">
        <f t="shared" si="121"/>
        <v>0</v>
      </c>
      <c r="FC355" s="18">
        <f t="shared" si="121"/>
        <v>0</v>
      </c>
      <c r="FD355" s="18">
        <f t="shared" si="121"/>
        <v>0</v>
      </c>
      <c r="FE355" s="18">
        <f t="shared" si="121"/>
        <v>0</v>
      </c>
      <c r="FF355" s="18">
        <f t="shared" si="121"/>
        <v>0</v>
      </c>
      <c r="FG355" s="18">
        <f t="shared" si="121"/>
        <v>0</v>
      </c>
      <c r="FH355" s="18">
        <f t="shared" si="121"/>
        <v>0</v>
      </c>
      <c r="FI355" s="18">
        <f t="shared" si="121"/>
        <v>0</v>
      </c>
      <c r="FJ355" s="18">
        <f t="shared" si="121"/>
        <v>0</v>
      </c>
      <c r="FK355" s="18">
        <f t="shared" si="121"/>
        <v>0</v>
      </c>
      <c r="FL355" s="18">
        <f t="shared" si="121"/>
        <v>0</v>
      </c>
      <c r="FM355" s="18">
        <f t="shared" si="121"/>
        <v>0</v>
      </c>
      <c r="FN355" s="18">
        <f t="shared" si="121"/>
        <v>0</v>
      </c>
      <c r="FO355" s="18">
        <f t="shared" si="121"/>
        <v>0</v>
      </c>
      <c r="FP355" s="18">
        <f t="shared" si="121"/>
        <v>0</v>
      </c>
      <c r="FQ355" s="18">
        <f t="shared" si="121"/>
        <v>0</v>
      </c>
      <c r="FR355" s="18">
        <f t="shared" si="121"/>
        <v>0</v>
      </c>
      <c r="FS355" s="18">
        <f t="shared" si="121"/>
        <v>0</v>
      </c>
      <c r="FT355" s="18">
        <f t="shared" si="121"/>
        <v>0</v>
      </c>
      <c r="FU355" s="18">
        <f t="shared" si="121"/>
        <v>0</v>
      </c>
      <c r="FV355" s="18">
        <f t="shared" si="121"/>
        <v>0</v>
      </c>
      <c r="FW355" s="18">
        <f t="shared" si="121"/>
        <v>0</v>
      </c>
      <c r="FX355" s="18">
        <f t="shared" si="121"/>
        <v>0</v>
      </c>
      <c r="FY355" s="18">
        <f t="shared" si="121"/>
        <v>0</v>
      </c>
      <c r="FZ355" s="18">
        <f t="shared" si="121"/>
        <v>0</v>
      </c>
      <c r="GA355" s="18">
        <f t="shared" si="121"/>
        <v>0</v>
      </c>
      <c r="GB355" s="18">
        <f t="shared" si="121"/>
        <v>0</v>
      </c>
      <c r="GC355" s="18">
        <f t="shared" si="121"/>
        <v>0</v>
      </c>
      <c r="GD355" s="18">
        <f t="shared" si="121"/>
        <v>0</v>
      </c>
      <c r="GE355" s="18">
        <f t="shared" si="121"/>
        <v>0</v>
      </c>
      <c r="GF355" s="18">
        <f t="shared" si="121"/>
        <v>0</v>
      </c>
      <c r="GG355" s="18">
        <f t="shared" si="121"/>
        <v>0</v>
      </c>
      <c r="GH355" s="18">
        <f t="shared" si="121"/>
        <v>0</v>
      </c>
      <c r="GI355" s="18">
        <f t="shared" si="121"/>
        <v>0</v>
      </c>
      <c r="GJ355" s="18">
        <f t="shared" si="121"/>
        <v>0</v>
      </c>
      <c r="GK355" s="18">
        <f t="shared" si="121"/>
        <v>0</v>
      </c>
      <c r="GL355" s="18">
        <f t="shared" si="122"/>
        <v>0</v>
      </c>
      <c r="GM355" s="18">
        <f t="shared" si="122"/>
        <v>0</v>
      </c>
      <c r="GN355" s="18">
        <f t="shared" si="122"/>
        <v>0</v>
      </c>
      <c r="GO355" s="18">
        <f t="shared" si="122"/>
        <v>0</v>
      </c>
      <c r="GP355" s="18">
        <f t="shared" si="122"/>
        <v>0</v>
      </c>
      <c r="GQ355" s="18">
        <f t="shared" si="122"/>
        <v>0</v>
      </c>
      <c r="GR355" s="18">
        <f t="shared" si="122"/>
        <v>0</v>
      </c>
      <c r="GS355" s="18">
        <f t="shared" si="122"/>
        <v>0</v>
      </c>
      <c r="GT355" s="18">
        <f t="shared" si="122"/>
        <v>0</v>
      </c>
      <c r="GU355" s="18">
        <f t="shared" si="122"/>
        <v>0</v>
      </c>
      <c r="GV355" s="18">
        <f t="shared" si="122"/>
        <v>0</v>
      </c>
      <c r="GW355" s="18">
        <f t="shared" si="122"/>
        <v>0</v>
      </c>
      <c r="GX355" s="18">
        <f t="shared" si="122"/>
        <v>0</v>
      </c>
      <c r="GY355" s="18">
        <f t="shared" si="122"/>
        <v>0</v>
      </c>
      <c r="GZ355" s="18">
        <f t="shared" si="122"/>
        <v>0</v>
      </c>
      <c r="HA355" s="18">
        <f t="shared" si="122"/>
        <v>0</v>
      </c>
      <c r="HB355" s="18">
        <f t="shared" si="122"/>
        <v>0</v>
      </c>
      <c r="HC355" s="18">
        <f t="shared" si="122"/>
        <v>0</v>
      </c>
      <c r="HD355" s="18">
        <f t="shared" si="122"/>
        <v>0</v>
      </c>
      <c r="HE355" s="18">
        <f t="shared" si="122"/>
        <v>0</v>
      </c>
      <c r="HF355" s="18">
        <f t="shared" si="122"/>
        <v>0</v>
      </c>
      <c r="HG355" s="18">
        <f t="shared" si="122"/>
        <v>0</v>
      </c>
      <c r="HH355" s="18">
        <f t="shared" si="122"/>
        <v>0</v>
      </c>
      <c r="HI355" s="18">
        <f t="shared" si="122"/>
        <v>0</v>
      </c>
      <c r="HJ355" s="18">
        <f t="shared" si="122"/>
        <v>0</v>
      </c>
      <c r="HK355" s="18">
        <f t="shared" si="122"/>
        <v>0</v>
      </c>
      <c r="HL355" s="18">
        <f t="shared" si="122"/>
        <v>0</v>
      </c>
      <c r="HM355" s="630">
        <f>'Mark-Fields'!E174</f>
        <v>0</v>
      </c>
      <c r="HN355" s="630">
        <f>'Mark-Fields'!E177</f>
        <v>0</v>
      </c>
      <c r="HO355" s="630">
        <f>'Mark-Fields'!E180</f>
        <v>0</v>
      </c>
      <c r="HP355" s="630">
        <f>'Mark-Fields'!E200</f>
        <v>0</v>
      </c>
      <c r="HQ355" s="630">
        <f>'Mark-Fields'!E234</f>
        <v>0</v>
      </c>
      <c r="HR355" s="630" t="str">
        <f>'Mark-Fields'!E218</f>
        <v/>
      </c>
      <c r="HS355" s="630">
        <f>'Mark-Fields'!E242</f>
        <v>0</v>
      </c>
      <c r="HT355" s="11"/>
      <c r="HU355" s="145" t="s">
        <v>1812</v>
      </c>
      <c r="HV355" t="s">
        <v>1994</v>
      </c>
      <c r="IB355" s="620"/>
      <c r="IC355" s="620"/>
      <c r="ID355" s="620"/>
      <c r="IE355" s="620"/>
      <c r="IF355" s="620"/>
      <c r="IG355" s="620"/>
      <c r="IH355" s="620"/>
    </row>
    <row r="356" spans="4:242" x14ac:dyDescent="0.25">
      <c r="D356" s="228" t="s">
        <v>1373</v>
      </c>
      <c r="E356" s="27"/>
      <c r="F356" s="18">
        <f t="shared" si="123"/>
        <v>0.11899999999999999</v>
      </c>
      <c r="G356" s="18">
        <f t="shared" si="123"/>
        <v>0.11899999999999999</v>
      </c>
      <c r="H356" s="18">
        <f t="shared" si="123"/>
        <v>0</v>
      </c>
      <c r="I356" s="18">
        <f t="shared" si="123"/>
        <v>0</v>
      </c>
      <c r="J356" s="18">
        <f t="shared" si="123"/>
        <v>0</v>
      </c>
      <c r="K356" s="18">
        <f t="shared" si="123"/>
        <v>0</v>
      </c>
      <c r="L356" s="18">
        <f t="shared" si="123"/>
        <v>17</v>
      </c>
      <c r="M356" s="18">
        <v>3.03</v>
      </c>
      <c r="N356" s="18">
        <f t="shared" si="123"/>
        <v>0</v>
      </c>
      <c r="O356" s="18">
        <f t="shared" si="123"/>
        <v>0</v>
      </c>
      <c r="P356" s="18">
        <f t="shared" si="123"/>
        <v>0</v>
      </c>
      <c r="Q356" s="18">
        <f t="shared" si="123"/>
        <v>0</v>
      </c>
      <c r="R356" s="18">
        <f t="shared" si="123"/>
        <v>0</v>
      </c>
      <c r="S356" s="18">
        <f t="shared" si="123"/>
        <v>0</v>
      </c>
      <c r="T356" s="18">
        <f t="shared" si="123"/>
        <v>0</v>
      </c>
      <c r="U356" s="18">
        <f t="shared" si="123"/>
        <v>0</v>
      </c>
      <c r="V356" s="18">
        <f t="shared" si="123"/>
        <v>0</v>
      </c>
      <c r="W356" s="18">
        <f t="shared" si="123"/>
        <v>0</v>
      </c>
      <c r="X356" s="18">
        <f t="shared" si="123"/>
        <v>0</v>
      </c>
      <c r="Y356" s="18">
        <f t="shared" si="123"/>
        <v>0</v>
      </c>
      <c r="Z356" s="18">
        <f t="shared" si="123"/>
        <v>0</v>
      </c>
      <c r="AA356" s="18">
        <f t="shared" si="123"/>
        <v>0</v>
      </c>
      <c r="AB356" s="18">
        <f t="shared" si="123"/>
        <v>0</v>
      </c>
      <c r="AC356" s="18">
        <f t="shared" si="123"/>
        <v>0</v>
      </c>
      <c r="AD356" s="18">
        <f t="shared" si="123"/>
        <v>0</v>
      </c>
      <c r="AE356" s="18">
        <f t="shared" si="123"/>
        <v>0</v>
      </c>
      <c r="AF356" s="18">
        <f t="shared" si="123"/>
        <v>0</v>
      </c>
      <c r="AG356" s="18">
        <f t="shared" si="123"/>
        <v>0</v>
      </c>
      <c r="AH356" s="18">
        <f t="shared" si="123"/>
        <v>0</v>
      </c>
      <c r="AI356" s="18">
        <f t="shared" si="123"/>
        <v>0</v>
      </c>
      <c r="AJ356" s="18">
        <f t="shared" si="123"/>
        <v>0</v>
      </c>
      <c r="AK356" s="18">
        <f t="shared" si="123"/>
        <v>0</v>
      </c>
      <c r="AL356" s="18">
        <f t="shared" si="123"/>
        <v>0</v>
      </c>
      <c r="AM356" s="18">
        <f t="shared" si="123"/>
        <v>0</v>
      </c>
      <c r="AN356" s="18">
        <f t="shared" si="123"/>
        <v>0</v>
      </c>
      <c r="AO356" s="18">
        <f t="shared" si="123"/>
        <v>0</v>
      </c>
      <c r="AP356" s="18">
        <f t="shared" si="123"/>
        <v>0</v>
      </c>
      <c r="AQ356" s="18">
        <f t="shared" si="123"/>
        <v>0</v>
      </c>
      <c r="AR356" s="18">
        <f t="shared" si="123"/>
        <v>0</v>
      </c>
      <c r="AS356" s="18">
        <f t="shared" si="123"/>
        <v>0</v>
      </c>
      <c r="AT356" s="18">
        <f t="shared" si="123"/>
        <v>0</v>
      </c>
      <c r="AU356" s="18">
        <f t="shared" si="123"/>
        <v>0</v>
      </c>
      <c r="AV356" s="18">
        <f t="shared" si="123"/>
        <v>0</v>
      </c>
      <c r="AW356" s="18">
        <f t="shared" si="123"/>
        <v>0</v>
      </c>
      <c r="AX356" s="18">
        <f t="shared" si="123"/>
        <v>0</v>
      </c>
      <c r="AY356" s="18">
        <f t="shared" si="123"/>
        <v>0</v>
      </c>
      <c r="AZ356" s="18">
        <f t="shared" si="123"/>
        <v>0</v>
      </c>
      <c r="BA356" s="18">
        <f t="shared" si="123"/>
        <v>0</v>
      </c>
      <c r="BB356" s="18">
        <f t="shared" si="123"/>
        <v>0</v>
      </c>
      <c r="BC356" s="18">
        <f t="shared" si="123"/>
        <v>0</v>
      </c>
      <c r="BD356" s="18">
        <f t="shared" si="123"/>
        <v>0</v>
      </c>
      <c r="BE356" s="18">
        <f t="shared" si="123"/>
        <v>0</v>
      </c>
      <c r="BF356" s="18">
        <f t="shared" si="123"/>
        <v>0</v>
      </c>
      <c r="BG356" s="18">
        <f t="shared" si="123"/>
        <v>0</v>
      </c>
      <c r="BH356" s="18">
        <f t="shared" si="123"/>
        <v>0</v>
      </c>
      <c r="BI356" s="18">
        <f t="shared" si="123"/>
        <v>0</v>
      </c>
      <c r="BJ356" s="18">
        <f t="shared" si="123"/>
        <v>0</v>
      </c>
      <c r="BK356" s="18">
        <f t="shared" si="123"/>
        <v>17.8</v>
      </c>
      <c r="BL356" s="18">
        <f t="shared" si="123"/>
        <v>0</v>
      </c>
      <c r="BM356" s="18">
        <f t="shared" si="123"/>
        <v>0</v>
      </c>
      <c r="BN356" s="18">
        <f t="shared" si="123"/>
        <v>0</v>
      </c>
      <c r="BO356" s="18">
        <f t="shared" si="123"/>
        <v>0</v>
      </c>
      <c r="BP356" s="18">
        <f t="shared" si="123"/>
        <v>0</v>
      </c>
      <c r="BQ356" s="18">
        <f t="shared" si="123"/>
        <v>0</v>
      </c>
      <c r="BR356" s="18">
        <f t="shared" ref="BR356:DX356" si="125">BR355</f>
        <v>0.7</v>
      </c>
      <c r="BS356" s="18">
        <f t="shared" si="125"/>
        <v>0.7</v>
      </c>
      <c r="BT356" s="18">
        <f t="shared" si="125"/>
        <v>0</v>
      </c>
      <c r="BU356" s="18">
        <f t="shared" si="125"/>
        <v>0</v>
      </c>
      <c r="BV356" s="18">
        <f t="shared" si="125"/>
        <v>0</v>
      </c>
      <c r="BW356" s="18">
        <f t="shared" si="125"/>
        <v>0</v>
      </c>
      <c r="BX356" s="18">
        <f t="shared" si="125"/>
        <v>0</v>
      </c>
      <c r="BY356" s="18">
        <f t="shared" si="125"/>
        <v>0</v>
      </c>
      <c r="BZ356" s="18">
        <f t="shared" si="125"/>
        <v>0</v>
      </c>
      <c r="CA356" s="18">
        <f t="shared" si="125"/>
        <v>0</v>
      </c>
      <c r="CB356" s="18">
        <f t="shared" si="125"/>
        <v>0</v>
      </c>
      <c r="CC356" s="18">
        <f t="shared" si="125"/>
        <v>0</v>
      </c>
      <c r="CD356" s="18">
        <f t="shared" si="125"/>
        <v>0</v>
      </c>
      <c r="CE356" s="18">
        <f t="shared" si="125"/>
        <v>0</v>
      </c>
      <c r="CF356" s="18">
        <f t="shared" si="125"/>
        <v>0</v>
      </c>
      <c r="CG356" s="18">
        <f t="shared" si="125"/>
        <v>0</v>
      </c>
      <c r="CH356" s="18">
        <f t="shared" si="125"/>
        <v>0</v>
      </c>
      <c r="CI356" s="18">
        <f t="shared" si="125"/>
        <v>0</v>
      </c>
      <c r="CJ356" s="18">
        <f t="shared" si="125"/>
        <v>0</v>
      </c>
      <c r="CK356" s="18">
        <f t="shared" si="125"/>
        <v>0</v>
      </c>
      <c r="CL356" s="18">
        <f t="shared" si="125"/>
        <v>0</v>
      </c>
      <c r="CM356" s="18">
        <f t="shared" si="125"/>
        <v>0</v>
      </c>
      <c r="CN356" s="18">
        <f t="shared" si="125"/>
        <v>0</v>
      </c>
      <c r="CO356" s="18">
        <f t="shared" si="125"/>
        <v>0</v>
      </c>
      <c r="CP356" s="18">
        <f t="shared" si="125"/>
        <v>0</v>
      </c>
      <c r="CQ356" s="18">
        <f t="shared" si="125"/>
        <v>0</v>
      </c>
      <c r="CR356" s="18">
        <f t="shared" si="125"/>
        <v>0</v>
      </c>
      <c r="CS356" s="18">
        <f t="shared" si="125"/>
        <v>0</v>
      </c>
      <c r="CT356" s="18">
        <f t="shared" si="125"/>
        <v>0</v>
      </c>
      <c r="CU356" s="18">
        <f t="shared" si="125"/>
        <v>0</v>
      </c>
      <c r="CV356" s="18">
        <f t="shared" si="125"/>
        <v>0</v>
      </c>
      <c r="CW356" s="18">
        <f t="shared" si="125"/>
        <v>0</v>
      </c>
      <c r="CX356" s="18">
        <f t="shared" si="125"/>
        <v>0</v>
      </c>
      <c r="CY356" s="18">
        <f t="shared" si="125"/>
        <v>0</v>
      </c>
      <c r="CZ356" s="18">
        <f t="shared" si="125"/>
        <v>0</v>
      </c>
      <c r="DA356" s="18">
        <f t="shared" si="125"/>
        <v>0</v>
      </c>
      <c r="DB356" s="18">
        <f t="shared" si="125"/>
        <v>0</v>
      </c>
      <c r="DC356" s="18">
        <f t="shared" si="125"/>
        <v>0</v>
      </c>
      <c r="DD356" s="18">
        <f t="shared" si="125"/>
        <v>0</v>
      </c>
      <c r="DE356" s="18">
        <f t="shared" si="125"/>
        <v>0</v>
      </c>
      <c r="DF356" s="18">
        <f t="shared" si="125"/>
        <v>0</v>
      </c>
      <c r="DG356" s="18">
        <f t="shared" si="125"/>
        <v>0</v>
      </c>
      <c r="DH356" s="18">
        <f t="shared" si="125"/>
        <v>0</v>
      </c>
      <c r="DI356" s="18">
        <f t="shared" si="125"/>
        <v>0</v>
      </c>
      <c r="DJ356" s="18">
        <f t="shared" si="125"/>
        <v>0</v>
      </c>
      <c r="DK356" s="18">
        <f t="shared" si="125"/>
        <v>0</v>
      </c>
      <c r="DL356" s="18">
        <f t="shared" si="125"/>
        <v>0</v>
      </c>
      <c r="DM356" s="18">
        <f t="shared" si="125"/>
        <v>0</v>
      </c>
      <c r="DN356" s="18">
        <f t="shared" si="125"/>
        <v>0</v>
      </c>
      <c r="DO356" s="18">
        <f t="shared" si="125"/>
        <v>0</v>
      </c>
      <c r="DP356" s="18">
        <f t="shared" si="125"/>
        <v>0</v>
      </c>
      <c r="DQ356" s="18">
        <f t="shared" si="125"/>
        <v>0</v>
      </c>
      <c r="DR356" s="18">
        <f t="shared" si="125"/>
        <v>0</v>
      </c>
      <c r="DS356" s="18">
        <f t="shared" si="125"/>
        <v>0</v>
      </c>
      <c r="DT356" s="18">
        <f t="shared" si="125"/>
        <v>0</v>
      </c>
      <c r="DU356" s="18">
        <f t="shared" si="125"/>
        <v>0</v>
      </c>
      <c r="DV356" s="18">
        <f t="shared" si="125"/>
        <v>0</v>
      </c>
      <c r="DW356" s="18">
        <f t="shared" si="125"/>
        <v>0</v>
      </c>
      <c r="DX356" s="18">
        <f t="shared" si="125"/>
        <v>0</v>
      </c>
      <c r="DY356" s="18">
        <f t="shared" si="124"/>
        <v>0</v>
      </c>
      <c r="DZ356" s="18">
        <f t="shared" si="121"/>
        <v>0</v>
      </c>
      <c r="EA356" s="18">
        <f t="shared" si="121"/>
        <v>0</v>
      </c>
      <c r="EB356" s="18">
        <f t="shared" si="121"/>
        <v>0</v>
      </c>
      <c r="EC356" s="18">
        <f t="shared" si="121"/>
        <v>0</v>
      </c>
      <c r="ED356" s="18">
        <f t="shared" si="121"/>
        <v>0</v>
      </c>
      <c r="EE356" s="18">
        <f t="shared" si="121"/>
        <v>0</v>
      </c>
      <c r="EF356" s="18">
        <f t="shared" si="121"/>
        <v>0</v>
      </c>
      <c r="EG356" s="18">
        <f t="shared" si="121"/>
        <v>0</v>
      </c>
      <c r="EH356" s="18">
        <f t="shared" si="121"/>
        <v>0</v>
      </c>
      <c r="EI356" s="18">
        <f t="shared" si="121"/>
        <v>0</v>
      </c>
      <c r="EJ356" s="18">
        <f t="shared" si="121"/>
        <v>0</v>
      </c>
      <c r="EK356" s="18">
        <f t="shared" si="121"/>
        <v>0</v>
      </c>
      <c r="EL356" s="18">
        <f t="shared" si="121"/>
        <v>0</v>
      </c>
      <c r="EM356" s="18">
        <f t="shared" si="121"/>
        <v>0</v>
      </c>
      <c r="EN356" s="18">
        <f t="shared" si="121"/>
        <v>0</v>
      </c>
      <c r="EO356" s="18">
        <f t="shared" si="121"/>
        <v>0</v>
      </c>
      <c r="EP356" s="18">
        <f t="shared" si="121"/>
        <v>0</v>
      </c>
      <c r="EQ356" s="18">
        <f t="shared" si="121"/>
        <v>0</v>
      </c>
      <c r="ER356" s="18">
        <f t="shared" si="121"/>
        <v>0</v>
      </c>
      <c r="ES356" s="18">
        <f t="shared" si="121"/>
        <v>0</v>
      </c>
      <c r="ET356" s="18">
        <f t="shared" si="121"/>
        <v>0</v>
      </c>
      <c r="EU356" s="18">
        <f t="shared" si="121"/>
        <v>0</v>
      </c>
      <c r="EV356" s="18">
        <f t="shared" si="121"/>
        <v>0</v>
      </c>
      <c r="EW356" s="18">
        <f t="shared" si="121"/>
        <v>0</v>
      </c>
      <c r="EX356" s="18">
        <f t="shared" si="121"/>
        <v>0</v>
      </c>
      <c r="EY356" s="18">
        <f t="shared" si="121"/>
        <v>0</v>
      </c>
      <c r="EZ356" s="18">
        <f t="shared" si="121"/>
        <v>0</v>
      </c>
      <c r="FA356" s="18">
        <f t="shared" si="121"/>
        <v>0</v>
      </c>
      <c r="FB356" s="18">
        <f t="shared" si="121"/>
        <v>0</v>
      </c>
      <c r="FC356" s="18">
        <f t="shared" si="121"/>
        <v>0</v>
      </c>
      <c r="FD356" s="18">
        <f t="shared" si="121"/>
        <v>0</v>
      </c>
      <c r="FE356" s="18">
        <f t="shared" si="121"/>
        <v>0</v>
      </c>
      <c r="FF356" s="18">
        <f t="shared" si="121"/>
        <v>0</v>
      </c>
      <c r="FG356" s="18">
        <f t="shared" si="121"/>
        <v>0</v>
      </c>
      <c r="FH356" s="18">
        <f t="shared" si="121"/>
        <v>0</v>
      </c>
      <c r="FI356" s="18">
        <f t="shared" si="121"/>
        <v>0</v>
      </c>
      <c r="FJ356" s="18">
        <f t="shared" si="121"/>
        <v>0</v>
      </c>
      <c r="FK356" s="18">
        <f t="shared" si="121"/>
        <v>0</v>
      </c>
      <c r="FL356" s="18">
        <f t="shared" si="121"/>
        <v>0</v>
      </c>
      <c r="FM356" s="18">
        <f t="shared" si="121"/>
        <v>0</v>
      </c>
      <c r="FN356" s="18">
        <f t="shared" si="121"/>
        <v>0</v>
      </c>
      <c r="FO356" s="18">
        <f t="shared" si="121"/>
        <v>0</v>
      </c>
      <c r="FP356" s="18">
        <f t="shared" si="121"/>
        <v>0</v>
      </c>
      <c r="FQ356" s="18">
        <f t="shared" si="121"/>
        <v>0</v>
      </c>
      <c r="FR356" s="18">
        <f t="shared" si="121"/>
        <v>0</v>
      </c>
      <c r="FS356" s="18">
        <f t="shared" si="121"/>
        <v>0</v>
      </c>
      <c r="FT356" s="18">
        <f t="shared" si="121"/>
        <v>0</v>
      </c>
      <c r="FU356" s="18">
        <f t="shared" si="121"/>
        <v>0</v>
      </c>
      <c r="FV356" s="18">
        <f t="shared" si="121"/>
        <v>0</v>
      </c>
      <c r="FW356" s="18">
        <f t="shared" si="121"/>
        <v>0</v>
      </c>
      <c r="FX356" s="18">
        <f t="shared" si="121"/>
        <v>0</v>
      </c>
      <c r="FY356" s="18">
        <f t="shared" si="121"/>
        <v>0</v>
      </c>
      <c r="FZ356" s="18">
        <f t="shared" si="121"/>
        <v>0</v>
      </c>
      <c r="GA356" s="18">
        <f t="shared" si="121"/>
        <v>0</v>
      </c>
      <c r="GB356" s="18">
        <f t="shared" si="121"/>
        <v>0</v>
      </c>
      <c r="GC356" s="18">
        <f t="shared" si="121"/>
        <v>0</v>
      </c>
      <c r="GD356" s="18">
        <f t="shared" si="121"/>
        <v>0</v>
      </c>
      <c r="GE356" s="18">
        <f t="shared" si="121"/>
        <v>0</v>
      </c>
      <c r="GF356" s="18">
        <f t="shared" si="121"/>
        <v>0</v>
      </c>
      <c r="GG356" s="18">
        <f t="shared" si="121"/>
        <v>0</v>
      </c>
      <c r="GH356" s="18">
        <f t="shared" si="121"/>
        <v>0</v>
      </c>
      <c r="GI356" s="18">
        <f t="shared" si="121"/>
        <v>0</v>
      </c>
      <c r="GJ356" s="18">
        <f t="shared" si="121"/>
        <v>0</v>
      </c>
      <c r="GK356" s="18">
        <f t="shared" si="121"/>
        <v>0</v>
      </c>
      <c r="GL356" s="18">
        <f t="shared" si="122"/>
        <v>0</v>
      </c>
      <c r="GM356" s="18">
        <f t="shared" si="122"/>
        <v>0</v>
      </c>
      <c r="GN356" s="18">
        <f t="shared" si="122"/>
        <v>0</v>
      </c>
      <c r="GO356" s="18">
        <f t="shared" si="122"/>
        <v>0</v>
      </c>
      <c r="GP356" s="18">
        <f t="shared" si="122"/>
        <v>0</v>
      </c>
      <c r="GQ356" s="18">
        <f t="shared" si="122"/>
        <v>0</v>
      </c>
      <c r="GR356" s="18">
        <f t="shared" si="122"/>
        <v>0</v>
      </c>
      <c r="GS356" s="18">
        <f t="shared" si="122"/>
        <v>0</v>
      </c>
      <c r="GT356" s="18">
        <f t="shared" si="122"/>
        <v>0</v>
      </c>
      <c r="GU356" s="18">
        <f t="shared" si="122"/>
        <v>0</v>
      </c>
      <c r="GV356" s="18">
        <f t="shared" si="122"/>
        <v>0</v>
      </c>
      <c r="GW356" s="18">
        <f t="shared" si="122"/>
        <v>0</v>
      </c>
      <c r="GX356" s="18">
        <f t="shared" si="122"/>
        <v>0</v>
      </c>
      <c r="GY356" s="18">
        <f t="shared" si="122"/>
        <v>0</v>
      </c>
      <c r="GZ356" s="18">
        <f t="shared" si="122"/>
        <v>0</v>
      </c>
      <c r="HA356" s="18">
        <f t="shared" si="122"/>
        <v>0</v>
      </c>
      <c r="HB356" s="18">
        <f t="shared" si="122"/>
        <v>0</v>
      </c>
      <c r="HC356" s="18">
        <f t="shared" si="122"/>
        <v>0</v>
      </c>
      <c r="HD356" s="18">
        <f t="shared" si="122"/>
        <v>0</v>
      </c>
      <c r="HE356" s="18">
        <f t="shared" si="122"/>
        <v>0</v>
      </c>
      <c r="HF356" s="18">
        <f t="shared" si="122"/>
        <v>0</v>
      </c>
      <c r="HG356" s="18">
        <f t="shared" si="122"/>
        <v>0</v>
      </c>
      <c r="HH356" s="18">
        <f t="shared" si="122"/>
        <v>0</v>
      </c>
      <c r="HI356" s="18">
        <f t="shared" si="122"/>
        <v>0</v>
      </c>
      <c r="HJ356" s="18">
        <f t="shared" si="122"/>
        <v>0</v>
      </c>
      <c r="HK356" s="18">
        <f t="shared" si="122"/>
        <v>0</v>
      </c>
      <c r="HL356" s="18">
        <f t="shared" si="122"/>
        <v>0</v>
      </c>
      <c r="HM356" s="630">
        <f>'Mark-Fields'!F174</f>
        <v>0</v>
      </c>
      <c r="HN356" s="630">
        <f>'Mark-Fields'!F177</f>
        <v>0</v>
      </c>
      <c r="HO356" s="630">
        <f>'Mark-Fields'!F180</f>
        <v>0</v>
      </c>
      <c r="HP356" s="630">
        <f>'Mark-Fields'!F200</f>
        <v>0</v>
      </c>
      <c r="HQ356" s="630">
        <f>'Mark-Fields'!F234</f>
        <v>0</v>
      </c>
      <c r="HR356" s="630" t="str">
        <f>'Mark-Fields'!F218</f>
        <v/>
      </c>
      <c r="HS356" s="630">
        <f>'Mark-Fields'!F242</f>
        <v>0</v>
      </c>
      <c r="HT356" s="11"/>
      <c r="HU356" s="145" t="s">
        <v>1812</v>
      </c>
      <c r="HV356" t="s">
        <v>1994</v>
      </c>
      <c r="IB356" s="620"/>
      <c r="IC356" s="620"/>
      <c r="ID356" s="620"/>
      <c r="IE356" s="620"/>
      <c r="IF356" s="620"/>
      <c r="IG356" s="620"/>
      <c r="IH356" s="620"/>
    </row>
    <row r="357" spans="4:242" x14ac:dyDescent="0.25">
      <c r="HM357" s="11"/>
      <c r="HN357" s="11"/>
      <c r="HO357" s="11"/>
      <c r="HP357" s="11"/>
      <c r="HQ357" s="11"/>
      <c r="HR357" s="11"/>
      <c r="HS357" s="11"/>
      <c r="HT357" s="11"/>
      <c r="HU357" s="11"/>
    </row>
    <row r="358" spans="4:242" x14ac:dyDescent="0.25">
      <c r="HM358" s="11"/>
      <c r="HN358" s="11"/>
      <c r="HO358" s="11"/>
      <c r="HP358" s="11"/>
      <c r="HQ358" s="11"/>
      <c r="HR358" s="11"/>
      <c r="HS358" s="11"/>
      <c r="HT358" s="11"/>
      <c r="HU358" s="11"/>
    </row>
    <row r="359" spans="4:242" x14ac:dyDescent="0.25">
      <c r="HM359" s="11"/>
      <c r="HN359" s="11"/>
      <c r="HO359" s="11"/>
      <c r="HP359" s="11"/>
      <c r="HQ359" s="11"/>
      <c r="HR359" s="11"/>
      <c r="HS359" s="11"/>
      <c r="HT359" s="11"/>
      <c r="HU359" s="11"/>
    </row>
    <row r="360" spans="4:242" x14ac:dyDescent="0.25">
      <c r="HM360" s="11"/>
      <c r="HN360" s="11"/>
      <c r="HO360" s="11"/>
      <c r="HP360" s="11"/>
      <c r="HQ360" s="11"/>
      <c r="HR360" s="11"/>
      <c r="HS360" s="11"/>
      <c r="HT360" s="11"/>
      <c r="HU360" s="11"/>
    </row>
    <row r="361" spans="4:242" x14ac:dyDescent="0.25">
      <c r="HM361" s="11"/>
      <c r="HN361" s="11"/>
      <c r="HO361" s="11"/>
      <c r="HP361" s="11"/>
      <c r="HQ361" s="11"/>
      <c r="HR361" s="11"/>
      <c r="HS361" s="11"/>
      <c r="HT361" s="11"/>
      <c r="HU361" s="11"/>
    </row>
    <row r="362" spans="4:242" x14ac:dyDescent="0.25">
      <c r="HM362" s="11"/>
      <c r="HN362" s="11"/>
      <c r="HO362" s="11"/>
      <c r="HP362" s="11"/>
      <c r="HQ362" s="11"/>
      <c r="HR362" s="11"/>
      <c r="HS362" s="11"/>
      <c r="HT362" s="11"/>
      <c r="HU362" s="11"/>
    </row>
    <row r="363" spans="4:242" x14ac:dyDescent="0.25">
      <c r="HM363" s="11"/>
      <c r="HN363" s="11"/>
      <c r="HO363" s="11"/>
      <c r="HP363" s="11"/>
      <c r="HQ363" s="11"/>
      <c r="HR363" s="11"/>
      <c r="HS363" s="11"/>
      <c r="HT363" s="11"/>
      <c r="HU363" s="11"/>
    </row>
    <row r="364" spans="4:242" x14ac:dyDescent="0.25">
      <c r="HM364" s="11"/>
      <c r="HN364" s="11"/>
      <c r="HO364" s="11"/>
      <c r="HP364" s="11"/>
      <c r="HQ364" s="11"/>
      <c r="HR364" s="11"/>
      <c r="HS364" s="11"/>
      <c r="HT364" s="11"/>
      <c r="HU364" s="11"/>
    </row>
    <row r="365" spans="4:242" x14ac:dyDescent="0.25">
      <c r="HM365" s="11"/>
      <c r="HN365" s="11"/>
      <c r="HO365" s="11"/>
      <c r="HP365" s="11"/>
      <c r="HQ365" s="11"/>
      <c r="HR365" s="11"/>
      <c r="HS365" s="11"/>
      <c r="HT365" s="11"/>
      <c r="HU365" s="11"/>
    </row>
    <row r="366" spans="4:242" x14ac:dyDescent="0.25">
      <c r="HM366" s="11"/>
      <c r="HN366" s="11"/>
      <c r="HO366" s="11"/>
      <c r="HP366" s="11"/>
      <c r="HQ366" s="11"/>
      <c r="HR366" s="11"/>
      <c r="HS366" s="11"/>
      <c r="HT366" s="11"/>
      <c r="HU366" s="11"/>
    </row>
    <row r="367" spans="4:242" x14ac:dyDescent="0.25">
      <c r="HM367" s="11"/>
      <c r="HN367" s="11"/>
      <c r="HO367" s="11"/>
      <c r="HP367" s="11"/>
      <c r="HQ367" s="11"/>
      <c r="HR367" s="11"/>
      <c r="HS367" s="11"/>
      <c r="HT367" s="11"/>
      <c r="HU367" s="11"/>
    </row>
    <row r="368" spans="4:242" x14ac:dyDescent="0.25">
      <c r="HM368" s="11"/>
      <c r="HN368" s="11"/>
      <c r="HO368" s="11"/>
      <c r="HP368" s="11"/>
      <c r="HQ368" s="11"/>
      <c r="HR368" s="11"/>
      <c r="HS368" s="11"/>
      <c r="HT368" s="11"/>
      <c r="HU368" s="11"/>
    </row>
    <row r="369" spans="4:247" x14ac:dyDescent="0.25">
      <c r="HM369" s="11"/>
      <c r="HN369" s="11"/>
      <c r="HO369" s="11"/>
      <c r="HP369" s="11"/>
      <c r="HQ369" s="11"/>
      <c r="HR369" s="11"/>
      <c r="HS369" s="11"/>
      <c r="HT369" s="11"/>
      <c r="HU369" s="11"/>
    </row>
    <row r="370" spans="4:247" x14ac:dyDescent="0.25">
      <c r="HM370" s="11"/>
      <c r="HN370" s="11"/>
      <c r="HO370" s="11"/>
      <c r="HP370" s="11"/>
      <c r="HQ370" s="11"/>
      <c r="HR370" s="11"/>
      <c r="HS370" s="11"/>
      <c r="HT370" s="11"/>
      <c r="HU370" s="11"/>
    </row>
    <row r="371" spans="4:247" x14ac:dyDescent="0.25">
      <c r="HM371" s="11"/>
      <c r="HN371" s="11"/>
      <c r="HO371" s="11"/>
      <c r="HP371" s="11"/>
      <c r="HQ371" s="11"/>
      <c r="HR371" s="11"/>
      <c r="HS371" s="11"/>
      <c r="HT371" s="11"/>
      <c r="HU371" s="11"/>
    </row>
    <row r="372" spans="4:247" x14ac:dyDescent="0.25">
      <c r="D372" s="887" t="s">
        <v>16</v>
      </c>
      <c r="E372" s="887"/>
      <c r="F372" s="148" t="s">
        <v>1338</v>
      </c>
      <c r="G372" s="149"/>
      <c r="H372" s="147"/>
      <c r="I372" s="147"/>
      <c r="J372" s="147"/>
      <c r="K372" s="150"/>
      <c r="L372" s="148" t="s">
        <v>1347</v>
      </c>
      <c r="M372" s="148"/>
      <c r="N372" s="148"/>
      <c r="O372" s="148"/>
      <c r="P372" s="148"/>
      <c r="Q372" s="147"/>
      <c r="R372" s="148" t="s">
        <v>1339</v>
      </c>
      <c r="S372" s="149"/>
      <c r="T372" s="149"/>
      <c r="U372" s="149"/>
      <c r="V372" s="149"/>
      <c r="W372" s="149"/>
      <c r="X372" s="147"/>
      <c r="Y372" s="148" t="s">
        <v>20</v>
      </c>
      <c r="Z372" s="148" t="s">
        <v>1348</v>
      </c>
      <c r="AA372" s="149"/>
      <c r="AB372" s="149"/>
      <c r="AC372" s="149"/>
      <c r="AD372" s="149"/>
      <c r="AE372" s="149"/>
      <c r="AF372" s="148"/>
      <c r="AG372" s="149"/>
      <c r="AH372" s="149"/>
      <c r="AI372" s="149"/>
      <c r="AJ372" s="149"/>
      <c r="AK372" s="149"/>
      <c r="AL372" s="151"/>
      <c r="AM372" s="148" t="s">
        <v>22</v>
      </c>
      <c r="AN372" s="149"/>
      <c r="AO372" s="149"/>
      <c r="AP372" s="149"/>
      <c r="AQ372" s="149"/>
      <c r="AR372" s="149"/>
      <c r="AS372" s="149"/>
      <c r="AT372" s="149"/>
      <c r="AU372" s="149"/>
      <c r="AV372" s="149"/>
      <c r="AW372" s="149"/>
      <c r="AX372" s="147"/>
      <c r="AY372" s="152" t="s">
        <v>23</v>
      </c>
      <c r="AZ372" s="153"/>
      <c r="BA372" s="153"/>
      <c r="BB372" s="153"/>
      <c r="BC372" s="153"/>
      <c r="BD372" s="153"/>
      <c r="BE372" s="153"/>
      <c r="BF372" s="153"/>
      <c r="BG372" s="153"/>
      <c r="BH372" s="153"/>
      <c r="BI372" s="153"/>
      <c r="BJ372" s="147"/>
      <c r="BK372" s="154" t="s">
        <v>1349</v>
      </c>
      <c r="BL372" s="148"/>
      <c r="BM372" s="148"/>
      <c r="BN372" s="148"/>
      <c r="BO372" s="155"/>
      <c r="BP372" s="155"/>
      <c r="BQ372" s="147"/>
      <c r="BR372" s="156" t="s">
        <v>1351</v>
      </c>
      <c r="BS372" s="149"/>
      <c r="BT372" s="147"/>
      <c r="BU372" s="156" t="s">
        <v>1352</v>
      </c>
      <c r="BV372" s="149"/>
      <c r="BW372" s="149"/>
      <c r="BX372" s="149"/>
      <c r="BY372" s="149"/>
      <c r="BZ372" s="149"/>
      <c r="CA372" s="149"/>
      <c r="CB372" s="147"/>
      <c r="CC372" s="148" t="s">
        <v>1357</v>
      </c>
      <c r="CD372" s="149"/>
      <c r="CE372" s="149"/>
      <c r="CF372" s="149"/>
      <c r="CG372" s="149"/>
      <c r="CH372" s="149"/>
      <c r="CI372" s="149"/>
      <c r="CJ372" s="151"/>
      <c r="CK372" s="148" t="s">
        <v>1358</v>
      </c>
      <c r="CL372" s="149"/>
      <c r="CM372" s="149"/>
      <c r="CN372" s="149"/>
      <c r="CO372" s="149"/>
      <c r="CP372" s="149"/>
      <c r="CQ372" s="147"/>
      <c r="CR372" s="148" t="s">
        <v>1362</v>
      </c>
      <c r="CS372" s="149"/>
      <c r="CT372" s="149"/>
      <c r="CU372" s="149"/>
      <c r="CV372" s="149"/>
      <c r="CW372" s="149"/>
      <c r="CX372" s="149"/>
      <c r="CY372" s="149"/>
      <c r="CZ372" s="149"/>
      <c r="DA372" s="149"/>
      <c r="DB372" s="149"/>
      <c r="DC372" s="149"/>
      <c r="DD372" s="149"/>
      <c r="DE372" s="149"/>
      <c r="DF372" s="147"/>
      <c r="DG372" s="147"/>
      <c r="DH372" s="147"/>
      <c r="DI372" s="156" t="s">
        <v>29</v>
      </c>
      <c r="DJ372" s="149"/>
      <c r="DK372" s="149"/>
      <c r="DL372" s="149"/>
      <c r="DM372" s="149"/>
      <c r="DN372" s="149"/>
      <c r="DO372" s="149"/>
      <c r="DP372" s="149"/>
      <c r="DQ372" s="149"/>
      <c r="DR372" s="149"/>
      <c r="DS372" s="149"/>
      <c r="DT372" s="149"/>
      <c r="DU372" s="149"/>
      <c r="DV372" s="149"/>
      <c r="DW372" s="147"/>
      <c r="DX372" s="147"/>
      <c r="DY372" s="147"/>
      <c r="DZ372" s="147"/>
      <c r="EA372" s="147"/>
      <c r="EB372" s="147"/>
      <c r="EC372" s="147"/>
      <c r="ED372" s="147"/>
      <c r="EE372" s="147"/>
      <c r="EF372" s="147"/>
      <c r="EG372" s="147"/>
      <c r="EH372" s="147"/>
      <c r="EI372" s="147"/>
      <c r="EJ372" s="147"/>
      <c r="EK372" s="147"/>
      <c r="EL372" s="147"/>
      <c r="EM372" s="147"/>
      <c r="EN372" s="147"/>
      <c r="EO372" s="147"/>
      <c r="EP372" s="147"/>
      <c r="EQ372" s="147"/>
      <c r="ER372" s="147"/>
      <c r="ES372" s="147"/>
      <c r="ET372" s="147"/>
      <c r="EU372" s="147"/>
      <c r="EV372" s="147"/>
      <c r="EW372" s="147"/>
      <c r="EX372" s="147"/>
      <c r="EY372" s="147"/>
      <c r="EZ372" s="147"/>
      <c r="FA372" s="147"/>
      <c r="FB372" s="147"/>
      <c r="FC372" s="147"/>
      <c r="FD372" s="147"/>
      <c r="FE372" s="147"/>
      <c r="FF372" s="147"/>
      <c r="FG372" s="147"/>
      <c r="FH372" s="147"/>
      <c r="FI372" s="147"/>
      <c r="FJ372" s="147"/>
      <c r="FK372" s="147"/>
      <c r="FL372" s="147"/>
      <c r="FM372" s="147"/>
      <c r="FN372" s="147"/>
      <c r="FO372" s="147"/>
      <c r="FP372" s="147"/>
      <c r="FQ372" s="147"/>
      <c r="FR372" s="147"/>
      <c r="FS372" s="147"/>
      <c r="FT372" s="147"/>
      <c r="FU372" s="147"/>
      <c r="FV372" s="147"/>
      <c r="FW372" s="147"/>
      <c r="FX372" s="147"/>
      <c r="FY372" s="147"/>
      <c r="FZ372" s="147"/>
      <c r="GA372" s="147"/>
      <c r="GB372" s="147"/>
      <c r="GC372" s="147"/>
      <c r="GD372" s="147"/>
      <c r="GE372" s="147"/>
      <c r="GF372" s="147"/>
      <c r="GG372" s="147"/>
      <c r="GH372" s="147"/>
      <c r="GI372" s="147"/>
      <c r="GJ372" s="147"/>
      <c r="GK372" s="147"/>
      <c r="GL372" s="147"/>
      <c r="GM372" s="147"/>
      <c r="GN372" s="147"/>
      <c r="GO372" s="147"/>
      <c r="GP372" s="147"/>
      <c r="GQ372" s="147"/>
      <c r="GR372" s="147"/>
      <c r="GS372" s="147"/>
      <c r="GT372" s="147"/>
      <c r="GU372" s="147"/>
      <c r="GV372" s="147"/>
      <c r="GW372" s="147"/>
      <c r="GX372" s="147"/>
      <c r="GY372" s="147"/>
      <c r="GZ372" s="147"/>
      <c r="HA372" s="147"/>
      <c r="HB372" s="147"/>
      <c r="HC372" s="147"/>
      <c r="HD372" s="147"/>
      <c r="HE372" s="147"/>
      <c r="HF372" s="147"/>
      <c r="HG372" s="147"/>
      <c r="HH372" s="147"/>
      <c r="HI372" s="147"/>
      <c r="HJ372" s="147"/>
      <c r="HK372" s="147"/>
      <c r="HL372" s="147"/>
      <c r="HM372" s="148" t="s">
        <v>1786</v>
      </c>
      <c r="HN372" s="149"/>
      <c r="HO372" s="149"/>
      <c r="HP372" s="149"/>
      <c r="HQ372" s="149"/>
      <c r="HR372" s="149"/>
      <c r="HS372" s="149"/>
      <c r="HT372" s="887"/>
      <c r="HU372" s="887"/>
      <c r="HV372" s="147"/>
      <c r="HW372" s="147"/>
      <c r="HX372" s="147"/>
      <c r="HY372" s="147"/>
      <c r="HZ372" s="147"/>
      <c r="IA372" s="147"/>
      <c r="IB372" s="148" t="s">
        <v>1786</v>
      </c>
      <c r="IC372" s="149"/>
      <c r="ID372" s="149"/>
      <c r="IE372" s="149"/>
      <c r="IF372" s="149"/>
      <c r="IG372" s="149"/>
      <c r="IH372" s="149"/>
      <c r="II372" s="887"/>
      <c r="IJ372" s="887"/>
      <c r="IK372" s="887"/>
      <c r="IL372" s="887"/>
      <c r="IM372" s="617"/>
    </row>
    <row r="373" spans="4:247" ht="39.75" thickBot="1" x14ac:dyDescent="0.3">
      <c r="D373" s="159" t="s">
        <v>1025</v>
      </c>
      <c r="E373" s="160" t="s">
        <v>34</v>
      </c>
      <c r="F373" s="161" t="s">
        <v>1360</v>
      </c>
      <c r="G373" s="161" t="s">
        <v>1361</v>
      </c>
      <c r="H373" s="162" t="s">
        <v>37</v>
      </c>
      <c r="I373" s="162" t="s">
        <v>38</v>
      </c>
      <c r="J373" s="163" t="s">
        <v>39</v>
      </c>
      <c r="K373" s="164" t="s">
        <v>40</v>
      </c>
      <c r="L373" s="165" t="s">
        <v>1342</v>
      </c>
      <c r="M373" s="165" t="s">
        <v>1340</v>
      </c>
      <c r="N373" s="165" t="s">
        <v>1343</v>
      </c>
      <c r="O373" s="165" t="s">
        <v>1344</v>
      </c>
      <c r="P373" s="157" t="s">
        <v>1350</v>
      </c>
      <c r="Q373" s="166"/>
      <c r="R373" s="167" t="s">
        <v>1340</v>
      </c>
      <c r="S373" s="167" t="s">
        <v>1341</v>
      </c>
      <c r="T373" s="167" t="s">
        <v>978</v>
      </c>
      <c r="U373" s="167" t="s">
        <v>979</v>
      </c>
      <c r="V373" s="167" t="s">
        <v>980</v>
      </c>
      <c r="W373" s="167" t="s">
        <v>981</v>
      </c>
      <c r="X373" s="163"/>
      <c r="Y373" s="167" t="s">
        <v>46</v>
      </c>
      <c r="Z373" s="167" t="s">
        <v>47</v>
      </c>
      <c r="AA373" s="167" t="s">
        <v>48</v>
      </c>
      <c r="AB373" s="167" t="s">
        <v>49</v>
      </c>
      <c r="AC373" s="167" t="s">
        <v>50</v>
      </c>
      <c r="AD373" s="167" t="s">
        <v>51</v>
      </c>
      <c r="AE373" s="167" t="s">
        <v>52</v>
      </c>
      <c r="AF373" s="167" t="s">
        <v>53</v>
      </c>
      <c r="AG373" s="167" t="s">
        <v>1345</v>
      </c>
      <c r="AH373" s="167" t="s">
        <v>55</v>
      </c>
      <c r="AI373" s="167" t="s">
        <v>1346</v>
      </c>
      <c r="AJ373" s="167" t="s">
        <v>57</v>
      </c>
      <c r="AK373" s="167" t="s">
        <v>58</v>
      </c>
      <c r="AL373" s="163"/>
      <c r="AM373" s="168" t="s">
        <v>59</v>
      </c>
      <c r="AN373" s="168" t="s">
        <v>60</v>
      </c>
      <c r="AO373" s="168" t="s">
        <v>61</v>
      </c>
      <c r="AP373" s="168" t="s">
        <v>62</v>
      </c>
      <c r="AQ373" s="168" t="s">
        <v>63</v>
      </c>
      <c r="AR373" s="168" t="s">
        <v>64</v>
      </c>
      <c r="AS373" s="168" t="s">
        <v>65</v>
      </c>
      <c r="AT373" s="168" t="s">
        <v>66</v>
      </c>
      <c r="AU373" s="168" t="s">
        <v>67</v>
      </c>
      <c r="AV373" s="168" t="s">
        <v>68</v>
      </c>
      <c r="AW373" s="168" t="s">
        <v>69</v>
      </c>
      <c r="AX373" s="168"/>
      <c r="AY373" s="168" t="s">
        <v>59</v>
      </c>
      <c r="AZ373" s="168" t="s">
        <v>60</v>
      </c>
      <c r="BA373" s="168" t="s">
        <v>61</v>
      </c>
      <c r="BB373" s="168" t="s">
        <v>70</v>
      </c>
      <c r="BC373" s="168" t="s">
        <v>63</v>
      </c>
      <c r="BD373" s="168" t="s">
        <v>64</v>
      </c>
      <c r="BE373" s="168" t="s">
        <v>65</v>
      </c>
      <c r="BF373" s="168" t="s">
        <v>71</v>
      </c>
      <c r="BG373" s="168" t="s">
        <v>67</v>
      </c>
      <c r="BH373" s="168" t="s">
        <v>72</v>
      </c>
      <c r="BI373" s="168" t="s">
        <v>69</v>
      </c>
      <c r="BJ373" s="169"/>
      <c r="BK373" s="167" t="s">
        <v>1340</v>
      </c>
      <c r="BL373" s="167" t="s">
        <v>1343</v>
      </c>
      <c r="BM373" s="167" t="s">
        <v>1344</v>
      </c>
      <c r="BN373" s="157" t="s">
        <v>1350</v>
      </c>
      <c r="BO373" s="157"/>
      <c r="BP373" s="157" t="s">
        <v>77</v>
      </c>
      <c r="BQ373" s="167" t="s">
        <v>78</v>
      </c>
      <c r="BR373" s="157" t="s">
        <v>35</v>
      </c>
      <c r="BS373" s="167" t="s">
        <v>36</v>
      </c>
      <c r="BT373" s="169"/>
      <c r="BU373" s="170" t="s">
        <v>1353</v>
      </c>
      <c r="BV373" s="170" t="s">
        <v>1354</v>
      </c>
      <c r="BW373" s="170" t="s">
        <v>81</v>
      </c>
      <c r="BX373" s="170" t="s">
        <v>82</v>
      </c>
      <c r="BY373" s="170" t="s">
        <v>83</v>
      </c>
      <c r="BZ373" s="167" t="s">
        <v>1355</v>
      </c>
      <c r="CA373" s="167" t="s">
        <v>1356</v>
      </c>
      <c r="CB373" s="169"/>
      <c r="CC373" s="167" t="s">
        <v>46</v>
      </c>
      <c r="CD373" s="167" t="s">
        <v>1341</v>
      </c>
      <c r="CE373" s="167" t="s">
        <v>48</v>
      </c>
      <c r="CF373" s="167" t="s">
        <v>49</v>
      </c>
      <c r="CG373" s="167" t="s">
        <v>50</v>
      </c>
      <c r="CH373" s="167" t="s">
        <v>86</v>
      </c>
      <c r="CI373" s="167" t="s">
        <v>52</v>
      </c>
      <c r="CJ373" s="167"/>
      <c r="CK373" s="167" t="s">
        <v>1359</v>
      </c>
      <c r="CL373" s="167" t="s">
        <v>1345</v>
      </c>
      <c r="CM373" s="167" t="s">
        <v>55</v>
      </c>
      <c r="CN373" s="167" t="s">
        <v>1346</v>
      </c>
      <c r="CO373" s="167" t="s">
        <v>57</v>
      </c>
      <c r="CP373" s="167" t="s">
        <v>58</v>
      </c>
      <c r="CQ373" s="171" t="s">
        <v>1363</v>
      </c>
      <c r="CR373" s="171" t="s">
        <v>1364</v>
      </c>
      <c r="CS373" s="171" t="s">
        <v>89</v>
      </c>
      <c r="CT373" s="171" t="s">
        <v>90</v>
      </c>
      <c r="CU373" s="171" t="s">
        <v>91</v>
      </c>
      <c r="CV373" s="171" t="s">
        <v>92</v>
      </c>
      <c r="CW373" s="171" t="s">
        <v>93</v>
      </c>
      <c r="CX373" s="171" t="s">
        <v>94</v>
      </c>
      <c r="CY373" s="171" t="s">
        <v>95</v>
      </c>
      <c r="CZ373" s="171" t="s">
        <v>96</v>
      </c>
      <c r="DA373" s="171" t="s">
        <v>97</v>
      </c>
      <c r="DB373" s="171" t="s">
        <v>98</v>
      </c>
      <c r="DC373" s="171" t="s">
        <v>99</v>
      </c>
      <c r="DD373" s="171" t="s">
        <v>100</v>
      </c>
      <c r="DE373" s="171" t="s">
        <v>101</v>
      </c>
      <c r="DF373" s="167" t="s">
        <v>102</v>
      </c>
      <c r="DG373" s="167" t="s">
        <v>103</v>
      </c>
      <c r="DH373" s="167" t="s">
        <v>104</v>
      </c>
      <c r="DI373" s="167" t="s">
        <v>105</v>
      </c>
      <c r="DJ373" s="167" t="s">
        <v>106</v>
      </c>
      <c r="DK373" s="167" t="s">
        <v>107</v>
      </c>
      <c r="DL373" s="167" t="s">
        <v>108</v>
      </c>
      <c r="DM373" s="167" t="s">
        <v>109</v>
      </c>
      <c r="DN373" s="167" t="s">
        <v>110</v>
      </c>
      <c r="DO373" s="167" t="s">
        <v>111</v>
      </c>
      <c r="DP373" s="167" t="s">
        <v>112</v>
      </c>
      <c r="DQ373" s="167" t="s">
        <v>113</v>
      </c>
      <c r="DR373" s="167" t="s">
        <v>114</v>
      </c>
      <c r="DS373" s="167" t="s">
        <v>115</v>
      </c>
      <c r="DT373" s="167" t="s">
        <v>116</v>
      </c>
      <c r="DU373" s="167" t="s">
        <v>117</v>
      </c>
      <c r="DV373" s="167" t="s">
        <v>118</v>
      </c>
      <c r="DW373" s="167" t="s">
        <v>119</v>
      </c>
      <c r="DX373" s="172" t="s">
        <v>120</v>
      </c>
      <c r="DY373" s="172" t="s">
        <v>121</v>
      </c>
      <c r="DZ373" s="172" t="s">
        <v>122</v>
      </c>
      <c r="EA373" s="172" t="s">
        <v>123</v>
      </c>
      <c r="EB373" s="172" t="s">
        <v>124</v>
      </c>
      <c r="EC373" s="172" t="s">
        <v>125</v>
      </c>
      <c r="ED373" s="172" t="s">
        <v>126</v>
      </c>
      <c r="EE373" s="172" t="s">
        <v>127</v>
      </c>
      <c r="EF373" s="172" t="s">
        <v>128</v>
      </c>
      <c r="EG373" s="172" t="s">
        <v>129</v>
      </c>
      <c r="EH373" s="172" t="s">
        <v>130</v>
      </c>
      <c r="EI373" s="172" t="s">
        <v>131</v>
      </c>
      <c r="EJ373" s="172" t="s">
        <v>132</v>
      </c>
      <c r="EK373" s="172" t="s">
        <v>133</v>
      </c>
      <c r="EL373" s="172" t="s">
        <v>134</v>
      </c>
      <c r="EM373" s="172" t="s">
        <v>135</v>
      </c>
      <c r="EN373" s="172" t="s">
        <v>136</v>
      </c>
      <c r="EO373" s="172" t="s">
        <v>137</v>
      </c>
      <c r="EP373" s="172" t="s">
        <v>138</v>
      </c>
      <c r="EQ373" s="172" t="s">
        <v>139</v>
      </c>
      <c r="ER373" s="172" t="s">
        <v>140</v>
      </c>
      <c r="ES373" s="172" t="s">
        <v>141</v>
      </c>
      <c r="ET373" s="172" t="s">
        <v>142</v>
      </c>
      <c r="EU373" s="172" t="s">
        <v>143</v>
      </c>
      <c r="EV373" s="172" t="s">
        <v>144</v>
      </c>
      <c r="EW373" s="172" t="s">
        <v>145</v>
      </c>
      <c r="EX373" s="172" t="s">
        <v>146</v>
      </c>
      <c r="EY373" s="172" t="s">
        <v>147</v>
      </c>
      <c r="EZ373" s="172" t="s">
        <v>148</v>
      </c>
      <c r="FA373" s="172" t="s">
        <v>149</v>
      </c>
      <c r="FB373" s="172" t="s">
        <v>150</v>
      </c>
      <c r="FC373" s="172" t="s">
        <v>151</v>
      </c>
      <c r="FD373" s="172" t="s">
        <v>152</v>
      </c>
      <c r="FE373" s="172" t="s">
        <v>153</v>
      </c>
      <c r="FF373" s="172" t="s">
        <v>154</v>
      </c>
      <c r="FG373" s="172" t="s">
        <v>155</v>
      </c>
      <c r="FH373" s="172" t="s">
        <v>156</v>
      </c>
      <c r="FI373" s="172" t="s">
        <v>157</v>
      </c>
      <c r="FJ373" s="172" t="s">
        <v>158</v>
      </c>
      <c r="FK373" s="172" t="s">
        <v>159</v>
      </c>
      <c r="FL373" s="172" t="s">
        <v>160</v>
      </c>
      <c r="FM373" s="172" t="s">
        <v>161</v>
      </c>
      <c r="FN373" s="172" t="s">
        <v>162</v>
      </c>
      <c r="FO373" s="172" t="s">
        <v>163</v>
      </c>
      <c r="FP373" s="172" t="s">
        <v>164</v>
      </c>
      <c r="FQ373" s="172" t="s">
        <v>165</v>
      </c>
      <c r="FR373" s="172" t="s">
        <v>166</v>
      </c>
      <c r="FS373" s="172" t="s">
        <v>167</v>
      </c>
      <c r="FT373" s="172" t="s">
        <v>168</v>
      </c>
      <c r="FU373" s="172" t="s">
        <v>169</v>
      </c>
      <c r="FV373" s="172" t="s">
        <v>170</v>
      </c>
      <c r="FW373" s="172" t="s">
        <v>171</v>
      </c>
      <c r="FX373" s="172" t="s">
        <v>172</v>
      </c>
      <c r="FY373" s="172" t="s">
        <v>173</v>
      </c>
      <c r="FZ373" s="172" t="s">
        <v>174</v>
      </c>
      <c r="GA373" s="172" t="s">
        <v>175</v>
      </c>
      <c r="GB373" s="172" t="s">
        <v>176</v>
      </c>
      <c r="GC373" s="172" t="s">
        <v>177</v>
      </c>
      <c r="GD373" s="172" t="s">
        <v>178</v>
      </c>
      <c r="GE373" s="172" t="s">
        <v>179</v>
      </c>
      <c r="GF373" s="172" t="s">
        <v>180</v>
      </c>
      <c r="GG373" s="172" t="s">
        <v>181</v>
      </c>
      <c r="GH373" s="172" t="s">
        <v>182</v>
      </c>
      <c r="GI373" s="172" t="s">
        <v>183</v>
      </c>
      <c r="GJ373" s="172" t="s">
        <v>184</v>
      </c>
      <c r="GK373" s="172" t="s">
        <v>185</v>
      </c>
      <c r="GL373" s="172" t="s">
        <v>186</v>
      </c>
      <c r="GM373" s="172" t="s">
        <v>187</v>
      </c>
      <c r="GN373" s="172" t="s">
        <v>188</v>
      </c>
      <c r="GO373" s="172" t="s">
        <v>189</v>
      </c>
      <c r="GP373" s="172" t="s">
        <v>190</v>
      </c>
      <c r="GQ373" s="172" t="s">
        <v>191</v>
      </c>
      <c r="GR373" s="172" t="s">
        <v>192</v>
      </c>
      <c r="GS373" s="172" t="s">
        <v>193</v>
      </c>
      <c r="GT373" s="172" t="s">
        <v>194</v>
      </c>
      <c r="GU373" s="172" t="s">
        <v>195</v>
      </c>
      <c r="GV373" s="172" t="s">
        <v>196</v>
      </c>
      <c r="GW373" s="172" t="s">
        <v>197</v>
      </c>
      <c r="GX373" s="172" t="s">
        <v>198</v>
      </c>
      <c r="GY373" s="172" t="s">
        <v>199</v>
      </c>
      <c r="GZ373" s="172" t="s">
        <v>200</v>
      </c>
      <c r="HA373" s="172" t="s">
        <v>201</v>
      </c>
      <c r="HB373" s="172" t="s">
        <v>202</v>
      </c>
      <c r="HC373" s="172" t="s">
        <v>203</v>
      </c>
      <c r="HD373" s="172" t="s">
        <v>204</v>
      </c>
      <c r="HE373" s="172" t="s">
        <v>205</v>
      </c>
      <c r="HF373" s="172" t="s">
        <v>206</v>
      </c>
      <c r="HG373" s="172" t="s">
        <v>207</v>
      </c>
      <c r="HH373" s="172" t="s">
        <v>208</v>
      </c>
      <c r="HI373" s="172" t="s">
        <v>209</v>
      </c>
      <c r="HJ373" s="172" t="s">
        <v>210</v>
      </c>
      <c r="HK373" s="172" t="s">
        <v>211</v>
      </c>
      <c r="HL373" s="172" t="s">
        <v>212</v>
      </c>
      <c r="HM373" s="171" t="s">
        <v>1787</v>
      </c>
      <c r="HN373" s="171" t="s">
        <v>1788</v>
      </c>
      <c r="HO373" s="171" t="s">
        <v>1789</v>
      </c>
      <c r="HP373" s="171" t="s">
        <v>1790</v>
      </c>
      <c r="HQ373" s="171" t="s">
        <v>1792</v>
      </c>
      <c r="HR373" s="171" t="s">
        <v>1791</v>
      </c>
      <c r="HS373" s="171" t="s">
        <v>1793</v>
      </c>
      <c r="HT373" s="626" t="s">
        <v>1807</v>
      </c>
      <c r="HU373" s="626" t="s">
        <v>1808</v>
      </c>
      <c r="HV373" s="172"/>
      <c r="HW373" s="173" t="s">
        <v>213</v>
      </c>
      <c r="HX373" s="173" t="s">
        <v>214</v>
      </c>
      <c r="HY373" s="173" t="s">
        <v>215</v>
      </c>
      <c r="HZ373" s="174"/>
      <c r="IA373" s="147"/>
      <c r="IB373" s="171" t="s">
        <v>1787</v>
      </c>
      <c r="IC373" s="171" t="s">
        <v>1788</v>
      </c>
      <c r="ID373" s="171" t="s">
        <v>1789</v>
      </c>
      <c r="IE373" s="171" t="s">
        <v>1790</v>
      </c>
      <c r="IF373" s="171" t="s">
        <v>1792</v>
      </c>
      <c r="IG373" s="171" t="s">
        <v>1791</v>
      </c>
      <c r="IH373" s="171" t="s">
        <v>1793</v>
      </c>
      <c r="II373" s="626" t="s">
        <v>1807</v>
      </c>
      <c r="IJ373" s="626" t="s">
        <v>1808</v>
      </c>
      <c r="IK373" s="626"/>
      <c r="IL373" s="626"/>
      <c r="IM373" s="626"/>
    </row>
    <row r="374" spans="4:247" x14ac:dyDescent="0.25">
      <c r="D374" s="185" t="s">
        <v>1026</v>
      </c>
      <c r="E374" s="14">
        <v>40310</v>
      </c>
      <c r="F374" s="18">
        <v>1.5695119733062399</v>
      </c>
      <c r="G374" s="18">
        <v>1.5042855016883101</v>
      </c>
      <c r="H374" s="21">
        <v>100</v>
      </c>
      <c r="I374" s="21">
        <v>100</v>
      </c>
      <c r="J374" s="21">
        <v>100</v>
      </c>
      <c r="K374" s="18">
        <v>1</v>
      </c>
      <c r="L374" s="18">
        <v>99</v>
      </c>
      <c r="M374" s="18">
        <v>1E-4</v>
      </c>
      <c r="N374" s="18">
        <v>0</v>
      </c>
      <c r="O374" s="18">
        <v>0</v>
      </c>
      <c r="P374" s="18">
        <v>0</v>
      </c>
      <c r="Q374" s="19"/>
      <c r="R374" s="18">
        <v>0</v>
      </c>
      <c r="S374" s="18">
        <v>0</v>
      </c>
      <c r="T374" s="18">
        <v>0</v>
      </c>
      <c r="U374" s="18">
        <v>0</v>
      </c>
      <c r="V374" s="18">
        <v>0</v>
      </c>
      <c r="W374" s="18">
        <v>0</v>
      </c>
      <c r="X374" s="18"/>
      <c r="Y374" s="18">
        <v>0</v>
      </c>
      <c r="Z374" s="18">
        <v>0</v>
      </c>
      <c r="AA374" s="18">
        <v>0</v>
      </c>
      <c r="AB374" s="18">
        <v>0</v>
      </c>
      <c r="AC374" s="18">
        <v>0</v>
      </c>
      <c r="AD374" s="18">
        <v>0</v>
      </c>
      <c r="AE374" s="18">
        <v>0</v>
      </c>
      <c r="AF374" s="18">
        <v>0</v>
      </c>
      <c r="AG374" s="18">
        <v>0</v>
      </c>
      <c r="AH374" s="18">
        <v>0</v>
      </c>
      <c r="AI374" s="18">
        <v>0</v>
      </c>
      <c r="AJ374" s="18">
        <v>0</v>
      </c>
      <c r="AK374" s="18">
        <v>0</v>
      </c>
      <c r="AL374" s="18"/>
      <c r="AM374" s="18">
        <v>0</v>
      </c>
      <c r="AN374" s="18">
        <v>0</v>
      </c>
      <c r="AO374" s="18">
        <v>0</v>
      </c>
      <c r="AP374" s="18">
        <v>0</v>
      </c>
      <c r="AQ374" s="18">
        <v>0</v>
      </c>
      <c r="AR374" s="18">
        <v>0</v>
      </c>
      <c r="AS374" s="18">
        <v>0</v>
      </c>
      <c r="AT374" s="18">
        <v>0</v>
      </c>
      <c r="AU374" s="18">
        <v>0</v>
      </c>
      <c r="AV374" s="18">
        <v>0</v>
      </c>
      <c r="AW374" s="18">
        <v>0</v>
      </c>
      <c r="AX374" s="18"/>
      <c r="AY374" s="18">
        <v>1</v>
      </c>
      <c r="AZ374" s="18">
        <v>1</v>
      </c>
      <c r="BA374" s="18">
        <v>1</v>
      </c>
      <c r="BB374" s="18">
        <v>1</v>
      </c>
      <c r="BC374" s="18">
        <v>1</v>
      </c>
      <c r="BD374" s="18">
        <v>1</v>
      </c>
      <c r="BE374" s="18">
        <v>1</v>
      </c>
      <c r="BF374" s="18">
        <v>1</v>
      </c>
      <c r="BG374" s="18">
        <v>1</v>
      </c>
      <c r="BH374" s="18">
        <v>1</v>
      </c>
      <c r="BI374" s="18">
        <v>1</v>
      </c>
      <c r="BJ374" s="19"/>
      <c r="BK374" s="18">
        <v>1.0101010101010101E-4</v>
      </c>
      <c r="BL374" s="18">
        <v>0</v>
      </c>
      <c r="BM374" s="18">
        <v>0</v>
      </c>
      <c r="BN374" s="18">
        <v>0</v>
      </c>
      <c r="BO374" s="18"/>
      <c r="BP374" s="18">
        <v>0</v>
      </c>
      <c r="BQ374" s="18">
        <v>0</v>
      </c>
      <c r="BR374" s="18">
        <v>1.5853656296022625</v>
      </c>
      <c r="BS374" s="18">
        <v>1.5194803047356669</v>
      </c>
      <c r="BT374" s="19"/>
      <c r="BU374" s="18">
        <v>1000</v>
      </c>
      <c r="BV374" s="18">
        <v>999.99908080808086</v>
      </c>
      <c r="BW374" s="18">
        <v>0</v>
      </c>
      <c r="BX374" s="18" t="s">
        <v>217</v>
      </c>
      <c r="BY374" s="18" t="s">
        <v>217</v>
      </c>
      <c r="BZ374" s="18" t="s">
        <v>217</v>
      </c>
      <c r="CA374" s="18" t="s">
        <v>217</v>
      </c>
      <c r="CB374" s="19"/>
      <c r="CC374" s="19">
        <v>0</v>
      </c>
      <c r="CD374" s="19">
        <v>0</v>
      </c>
      <c r="CE374" s="19">
        <v>0</v>
      </c>
      <c r="CF374" s="19">
        <v>0</v>
      </c>
      <c r="CG374" s="19">
        <v>0</v>
      </c>
      <c r="CH374" s="19">
        <v>0</v>
      </c>
      <c r="CI374" s="19">
        <v>0</v>
      </c>
      <c r="CJ374" s="19"/>
      <c r="CK374" s="19">
        <v>0</v>
      </c>
      <c r="CL374" s="19">
        <v>0</v>
      </c>
      <c r="CM374" s="19">
        <v>0</v>
      </c>
      <c r="CN374" s="19">
        <v>0</v>
      </c>
      <c r="CO374" s="19">
        <v>0</v>
      </c>
      <c r="CP374" s="19">
        <v>0</v>
      </c>
      <c r="CQ374" s="19">
        <v>0</v>
      </c>
      <c r="CR374" s="19">
        <v>0</v>
      </c>
      <c r="HM374" s="620">
        <f>HM4</f>
        <v>0</v>
      </c>
      <c r="HN374" s="620">
        <f t="shared" ref="HN374:HS374" si="126">HN4</f>
        <v>0</v>
      </c>
      <c r="HO374" s="620">
        <f t="shared" si="126"/>
        <v>0</v>
      </c>
      <c r="HP374" s="620">
        <f t="shared" si="126"/>
        <v>0</v>
      </c>
      <c r="HQ374" s="620">
        <f t="shared" si="126"/>
        <v>0</v>
      </c>
      <c r="HR374" s="620">
        <f t="shared" si="126"/>
        <v>0</v>
      </c>
      <c r="HS374" s="620">
        <f t="shared" si="126"/>
        <v>0</v>
      </c>
      <c r="HT374" s="620">
        <f>HT4</f>
        <v>0</v>
      </c>
      <c r="HU374" s="620" t="str">
        <f>HU4</f>
        <v>offfarm</v>
      </c>
      <c r="HV374" s="22" t="s">
        <v>2013</v>
      </c>
      <c r="IB374" s="11">
        <f>IB4</f>
        <v>0.47300000000000003</v>
      </c>
      <c r="IC374" s="11">
        <f t="shared" ref="IC374:IH374" si="127">IC4</f>
        <v>0.13</v>
      </c>
      <c r="ID374" s="11">
        <f t="shared" si="127"/>
        <v>0.39100000000000001</v>
      </c>
      <c r="IE374" s="11">
        <f t="shared" si="127"/>
        <v>5.5E-2</v>
      </c>
      <c r="IF374" s="11">
        <f t="shared" si="127"/>
        <v>3.97</v>
      </c>
      <c r="IG374" s="11">
        <f t="shared" si="127"/>
        <v>4.5999999999999999E-3</v>
      </c>
      <c r="IH374" s="11">
        <f t="shared" si="127"/>
        <v>2.73</v>
      </c>
      <c r="II374" s="11">
        <f>II4</f>
        <v>0</v>
      </c>
    </row>
    <row r="375" spans="4:247" x14ac:dyDescent="0.25">
      <c r="D375" s="185" t="s">
        <v>219</v>
      </c>
      <c r="E375" s="14">
        <v>42585</v>
      </c>
      <c r="F375" s="18">
        <v>1.23848610956876</v>
      </c>
      <c r="G375" s="18">
        <v>1.19562155869088</v>
      </c>
      <c r="H375" s="21">
        <v>96.5</v>
      </c>
      <c r="I375" s="21">
        <v>96.000033500000001</v>
      </c>
      <c r="J375" s="21">
        <v>100</v>
      </c>
      <c r="K375" s="18">
        <v>1</v>
      </c>
      <c r="L375" s="18">
        <v>95</v>
      </c>
      <c r="M375" s="18">
        <v>80</v>
      </c>
      <c r="N375" s="18">
        <v>0.390143737166324</v>
      </c>
      <c r="O375" s="18">
        <v>1.65811088295687</v>
      </c>
      <c r="P375" s="18">
        <v>0</v>
      </c>
      <c r="Q375" s="19"/>
      <c r="R375" s="18">
        <v>100</v>
      </c>
      <c r="S375" s="18">
        <v>0</v>
      </c>
      <c r="T375" s="18">
        <v>0</v>
      </c>
      <c r="U375" s="18">
        <v>0</v>
      </c>
      <c r="V375" s="18">
        <v>0</v>
      </c>
      <c r="W375" s="18">
        <v>0</v>
      </c>
      <c r="X375" s="18"/>
      <c r="Y375" s="18">
        <v>0</v>
      </c>
      <c r="Z375" s="18">
        <v>1.2320328542094527</v>
      </c>
      <c r="AA375" s="18">
        <v>1.950718685831621</v>
      </c>
      <c r="AB375" s="18">
        <v>0.30800821355236102</v>
      </c>
      <c r="AC375" s="18">
        <v>3.7987679671457895</v>
      </c>
      <c r="AD375" s="18">
        <v>0.41067761806981473</v>
      </c>
      <c r="AE375" s="18">
        <v>57.291666666666742</v>
      </c>
      <c r="AF375" s="18">
        <v>0</v>
      </c>
      <c r="AG375" s="18">
        <v>0</v>
      </c>
      <c r="AH375" s="18">
        <v>0</v>
      </c>
      <c r="AI375" s="18">
        <v>0</v>
      </c>
      <c r="AJ375" s="18">
        <v>0</v>
      </c>
      <c r="AK375" s="18">
        <v>0</v>
      </c>
      <c r="AL375" s="18"/>
      <c r="AM375" s="18">
        <v>68.25</v>
      </c>
      <c r="AN375" s="18">
        <v>0.125</v>
      </c>
      <c r="AO375" s="18">
        <v>7.4999999999999997E-2</v>
      </c>
      <c r="AP375" s="18">
        <v>0.35</v>
      </c>
      <c r="AQ375" s="18">
        <v>0.05</v>
      </c>
      <c r="AR375" s="18">
        <v>0.375</v>
      </c>
      <c r="AS375" s="18">
        <v>0.61250000000000004</v>
      </c>
      <c r="AT375" s="18">
        <v>0</v>
      </c>
      <c r="AU375" s="18">
        <v>0</v>
      </c>
      <c r="AV375" s="18">
        <v>0</v>
      </c>
      <c r="AW375" s="18">
        <v>0.46250000000000002</v>
      </c>
      <c r="AX375" s="18"/>
      <c r="AY375" s="18">
        <v>1</v>
      </c>
      <c r="AZ375" s="18">
        <v>0.85</v>
      </c>
      <c r="BA375" s="18">
        <v>0.85</v>
      </c>
      <c r="BB375" s="18">
        <v>0.85</v>
      </c>
      <c r="BC375" s="18">
        <v>0.85</v>
      </c>
      <c r="BD375" s="18">
        <v>0.85</v>
      </c>
      <c r="BE375" s="18">
        <v>0.85</v>
      </c>
      <c r="BF375" s="18">
        <v>0.85</v>
      </c>
      <c r="BG375" s="18">
        <v>0.85</v>
      </c>
      <c r="BH375" s="18">
        <v>0.85</v>
      </c>
      <c r="BI375" s="18">
        <v>0.85</v>
      </c>
      <c r="BJ375" s="19"/>
      <c r="BK375" s="18">
        <v>84.21052631578948</v>
      </c>
      <c r="BL375" s="18">
        <v>0.41067761806981473</v>
      </c>
      <c r="BM375" s="18">
        <v>1.7453798767967053</v>
      </c>
      <c r="BN375" s="18">
        <v>0</v>
      </c>
      <c r="BO375" s="18"/>
      <c r="BP375" s="18">
        <v>0</v>
      </c>
      <c r="BQ375" s="18">
        <v>0</v>
      </c>
      <c r="BR375" s="18">
        <v>1.3036695890197474</v>
      </c>
      <c r="BS375" s="18">
        <v>1.2585490091482947</v>
      </c>
      <c r="BT375" s="19"/>
      <c r="BU375" s="18">
        <v>982.54620123203267</v>
      </c>
      <c r="BV375" s="18">
        <v>170.84000488683159</v>
      </c>
      <c r="BW375" s="18">
        <v>7.017716933118411</v>
      </c>
      <c r="BX375" s="18" t="s">
        <v>217</v>
      </c>
      <c r="BY375" s="18" t="s">
        <v>217</v>
      </c>
      <c r="BZ375" s="18" t="s">
        <v>217</v>
      </c>
      <c r="CA375" s="18" t="s">
        <v>217</v>
      </c>
      <c r="CB375" s="19"/>
      <c r="CC375" s="19">
        <v>0</v>
      </c>
      <c r="CD375" s="19">
        <v>1.1704312114989801</v>
      </c>
      <c r="CE375" s="19">
        <v>1.8531827515400399</v>
      </c>
      <c r="CF375" s="19">
        <v>0.29260780287474297</v>
      </c>
      <c r="CG375" s="19">
        <v>3.6088295687884999</v>
      </c>
      <c r="CH375" s="19">
        <v>0.390143737166324</v>
      </c>
      <c r="CI375" s="19">
        <v>54.4270833333334</v>
      </c>
      <c r="CJ375" s="19"/>
      <c r="CK375" s="19">
        <v>0</v>
      </c>
      <c r="CL375" s="19">
        <v>0</v>
      </c>
      <c r="CM375" s="19">
        <v>0</v>
      </c>
      <c r="CN375" s="19">
        <v>0</v>
      </c>
      <c r="CO375" s="19">
        <v>0</v>
      </c>
      <c r="CP375" s="19">
        <v>0</v>
      </c>
      <c r="CQ375" s="19">
        <v>800</v>
      </c>
      <c r="CR375" s="19">
        <v>645.94991725709338</v>
      </c>
      <c r="HM375" s="620">
        <f t="shared" ref="HM375:HU375" si="128">HM5</f>
        <v>0</v>
      </c>
      <c r="HN375" s="620">
        <f t="shared" si="128"/>
        <v>0</v>
      </c>
      <c r="HO375" s="620">
        <f t="shared" si="128"/>
        <v>0</v>
      </c>
      <c r="HP375" s="620">
        <f t="shared" si="128"/>
        <v>0</v>
      </c>
      <c r="HQ375" s="620">
        <f t="shared" si="128"/>
        <v>0</v>
      </c>
      <c r="HR375" s="620">
        <f t="shared" si="128"/>
        <v>0</v>
      </c>
      <c r="HS375" s="620">
        <f t="shared" si="128"/>
        <v>0</v>
      </c>
      <c r="HT375" s="620">
        <f t="shared" si="128"/>
        <v>0</v>
      </c>
      <c r="HU375" s="620" t="str">
        <f t="shared" si="128"/>
        <v>offfarm</v>
      </c>
      <c r="HV375" s="22" t="s">
        <v>2013</v>
      </c>
      <c r="IB375" s="11">
        <f t="shared" ref="IB375:II375" si="129">IB5</f>
        <v>0.47300000000000003</v>
      </c>
      <c r="IC375" s="11">
        <f t="shared" si="129"/>
        <v>0.13</v>
      </c>
      <c r="ID375" s="11">
        <f t="shared" si="129"/>
        <v>0.39100000000000001</v>
      </c>
      <c r="IE375" s="11">
        <f t="shared" si="129"/>
        <v>5.5E-2</v>
      </c>
      <c r="IF375" s="11">
        <f t="shared" si="129"/>
        <v>3.97</v>
      </c>
      <c r="IG375" s="11">
        <f t="shared" si="129"/>
        <v>4.5999999999999999E-3</v>
      </c>
      <c r="IH375" s="11">
        <f t="shared" si="129"/>
        <v>2.73</v>
      </c>
      <c r="II375" s="11">
        <f t="shared" si="129"/>
        <v>0</v>
      </c>
    </row>
    <row r="376" spans="4:247" x14ac:dyDescent="0.25">
      <c r="D376" s="185" t="s">
        <v>1027</v>
      </c>
      <c r="E376" s="14">
        <v>42585</v>
      </c>
      <c r="F376" s="18">
        <v>1.23848610956876</v>
      </c>
      <c r="G376" s="18">
        <v>1.19562155869088</v>
      </c>
      <c r="H376" s="21">
        <v>96.5</v>
      </c>
      <c r="I376" s="21">
        <v>96.000033500000001</v>
      </c>
      <c r="J376" s="21">
        <v>100</v>
      </c>
      <c r="K376" s="18">
        <v>1</v>
      </c>
      <c r="L376" s="18">
        <v>95</v>
      </c>
      <c r="M376" s="18">
        <v>80</v>
      </c>
      <c r="N376" s="18">
        <v>0.390143737166324</v>
      </c>
      <c r="O376" s="18">
        <v>1.65811088295687</v>
      </c>
      <c r="P376" s="18">
        <v>0</v>
      </c>
      <c r="Q376" s="19"/>
      <c r="R376" s="18">
        <v>75</v>
      </c>
      <c r="S376" s="18">
        <v>0</v>
      </c>
      <c r="T376" s="18">
        <v>0</v>
      </c>
      <c r="U376" s="18">
        <v>0</v>
      </c>
      <c r="V376" s="18">
        <v>0</v>
      </c>
      <c r="W376" s="18">
        <v>0</v>
      </c>
      <c r="X376" s="18"/>
      <c r="Y376" s="18">
        <v>0</v>
      </c>
      <c r="Z376" s="18">
        <v>1.2320328542094527</v>
      </c>
      <c r="AA376" s="18">
        <v>1.950718685831621</v>
      </c>
      <c r="AB376" s="18">
        <v>0.30800821355236102</v>
      </c>
      <c r="AC376" s="18">
        <v>3.7987679671457895</v>
      </c>
      <c r="AD376" s="18">
        <v>0.41067761806981473</v>
      </c>
      <c r="AE376" s="18">
        <v>57.291666666666742</v>
      </c>
      <c r="AF376" s="18">
        <v>0</v>
      </c>
      <c r="AG376" s="18">
        <v>0</v>
      </c>
      <c r="AH376" s="18">
        <v>0</v>
      </c>
      <c r="AI376" s="18">
        <v>0</v>
      </c>
      <c r="AJ376" s="18">
        <v>0</v>
      </c>
      <c r="AK376" s="18">
        <v>0</v>
      </c>
      <c r="AL376" s="18"/>
      <c r="AM376" s="18">
        <v>68.25</v>
      </c>
      <c r="AN376" s="18">
        <v>0.125</v>
      </c>
      <c r="AO376" s="18">
        <v>7.4999999999999997E-2</v>
      </c>
      <c r="AP376" s="18">
        <v>0.35</v>
      </c>
      <c r="AQ376" s="18">
        <v>0.05</v>
      </c>
      <c r="AR376" s="18">
        <v>0.375</v>
      </c>
      <c r="AS376" s="18">
        <v>0.61250000000000004</v>
      </c>
      <c r="AT376" s="18">
        <v>0</v>
      </c>
      <c r="AU376" s="18">
        <v>0</v>
      </c>
      <c r="AV376" s="18">
        <v>0</v>
      </c>
      <c r="AW376" s="18">
        <v>0.46250000000000002</v>
      </c>
      <c r="AX376" s="18"/>
      <c r="AY376" s="18">
        <v>1</v>
      </c>
      <c r="AZ376" s="18">
        <v>0.85</v>
      </c>
      <c r="BA376" s="18">
        <v>0.85</v>
      </c>
      <c r="BB376" s="18">
        <v>0.85</v>
      </c>
      <c r="BC376" s="18">
        <v>0.85</v>
      </c>
      <c r="BD376" s="18">
        <v>0.85</v>
      </c>
      <c r="BE376" s="18">
        <v>0.85</v>
      </c>
      <c r="BF376" s="18">
        <v>0.85</v>
      </c>
      <c r="BG376" s="18">
        <v>0.85</v>
      </c>
      <c r="BH376" s="18">
        <v>0.85</v>
      </c>
      <c r="BI376" s="18">
        <v>0.85</v>
      </c>
      <c r="BJ376" s="19"/>
      <c r="BK376" s="18">
        <v>84.21052631578948</v>
      </c>
      <c r="BL376" s="18">
        <v>0.41067761806981473</v>
      </c>
      <c r="BM376" s="18">
        <v>1.7453798767967053</v>
      </c>
      <c r="BN376" s="18">
        <v>0</v>
      </c>
      <c r="BO376" s="18"/>
      <c r="BP376" s="18">
        <v>0</v>
      </c>
      <c r="BQ376" s="18">
        <v>0</v>
      </c>
      <c r="BR376" s="18">
        <v>1.3036695890197474</v>
      </c>
      <c r="BS376" s="18">
        <v>1.2585490091482947</v>
      </c>
      <c r="BT376" s="19"/>
      <c r="BU376" s="18">
        <v>982.54620123203267</v>
      </c>
      <c r="BV376" s="18">
        <v>170.84000488683159</v>
      </c>
      <c r="BW376" s="18">
        <v>7.017716933118411</v>
      </c>
      <c r="BX376" s="18" t="s">
        <v>217</v>
      </c>
      <c r="BY376" s="18" t="s">
        <v>217</v>
      </c>
      <c r="BZ376" s="18" t="s">
        <v>217</v>
      </c>
      <c r="CA376" s="18" t="s">
        <v>217</v>
      </c>
      <c r="CB376" s="19"/>
      <c r="CC376" s="19">
        <v>0</v>
      </c>
      <c r="CD376" s="19">
        <v>1.1704312114989801</v>
      </c>
      <c r="CE376" s="19">
        <v>1.8531827515400399</v>
      </c>
      <c r="CF376" s="19">
        <v>0.29260780287474297</v>
      </c>
      <c r="CG376" s="19">
        <v>3.6088295687884999</v>
      </c>
      <c r="CH376" s="19">
        <v>0.390143737166324</v>
      </c>
      <c r="CI376" s="19">
        <v>54.4270833333334</v>
      </c>
      <c r="CJ376" s="19"/>
      <c r="CK376" s="19">
        <v>0</v>
      </c>
      <c r="CL376" s="19">
        <v>0</v>
      </c>
      <c r="CM376" s="19">
        <v>0</v>
      </c>
      <c r="CN376" s="19">
        <v>0</v>
      </c>
      <c r="CO376" s="19">
        <v>0</v>
      </c>
      <c r="CP376" s="19">
        <v>0</v>
      </c>
      <c r="CQ376" s="19">
        <v>600</v>
      </c>
      <c r="CR376" s="19">
        <v>484.46243794282003</v>
      </c>
      <c r="HM376" s="620">
        <f t="shared" ref="HM376:HU376" si="130">HM6</f>
        <v>0</v>
      </c>
      <c r="HN376" s="620">
        <f t="shared" si="130"/>
        <v>0</v>
      </c>
      <c r="HO376" s="620">
        <f t="shared" si="130"/>
        <v>0</v>
      </c>
      <c r="HP376" s="620">
        <f t="shared" si="130"/>
        <v>0</v>
      </c>
      <c r="HQ376" s="620">
        <f t="shared" si="130"/>
        <v>0</v>
      </c>
      <c r="HR376" s="620">
        <f t="shared" si="130"/>
        <v>0</v>
      </c>
      <c r="HS376" s="620">
        <f t="shared" si="130"/>
        <v>0</v>
      </c>
      <c r="HT376" s="620">
        <f t="shared" si="130"/>
        <v>0</v>
      </c>
      <c r="HU376" s="620" t="str">
        <f t="shared" si="130"/>
        <v>offfarm</v>
      </c>
      <c r="HV376" s="22" t="s">
        <v>2013</v>
      </c>
      <c r="IB376" s="11">
        <f t="shared" ref="IB376:II376" si="131">IB6</f>
        <v>0.47300000000000003</v>
      </c>
      <c r="IC376" s="11">
        <f t="shared" si="131"/>
        <v>0.13</v>
      </c>
      <c r="ID376" s="11">
        <f t="shared" si="131"/>
        <v>0.39100000000000001</v>
      </c>
      <c r="IE376" s="11">
        <f t="shared" si="131"/>
        <v>5.5E-2</v>
      </c>
      <c r="IF376" s="11">
        <f t="shared" si="131"/>
        <v>3.97</v>
      </c>
      <c r="IG376" s="11">
        <f t="shared" si="131"/>
        <v>4.5999999999999999E-3</v>
      </c>
      <c r="IH376" s="11">
        <f t="shared" si="131"/>
        <v>2.73</v>
      </c>
      <c r="II376" s="11">
        <f t="shared" si="131"/>
        <v>0</v>
      </c>
    </row>
    <row r="377" spans="4:247" x14ac:dyDescent="0.25">
      <c r="D377" s="185" t="s">
        <v>1293</v>
      </c>
      <c r="E377" s="14">
        <v>40310</v>
      </c>
      <c r="F377" s="18">
        <v>1.2317951056910501</v>
      </c>
      <c r="G377" s="18">
        <v>1.18620933153247</v>
      </c>
      <c r="H377" s="21">
        <v>99.8</v>
      </c>
      <c r="I377" s="21">
        <v>98.2</v>
      </c>
      <c r="J377" s="21">
        <v>91</v>
      </c>
      <c r="K377" s="18">
        <v>1</v>
      </c>
      <c r="L377" s="18">
        <v>94</v>
      </c>
      <c r="M377" s="18">
        <v>82.531999999999996</v>
      </c>
      <c r="N377" s="18">
        <v>2.0680000000000001</v>
      </c>
      <c r="O377" s="18">
        <v>5.8280000000000003</v>
      </c>
      <c r="P377" s="18">
        <v>0</v>
      </c>
      <c r="Q377" s="19"/>
      <c r="R377" s="18">
        <v>94</v>
      </c>
      <c r="S377" s="18">
        <v>55</v>
      </c>
      <c r="T377" s="18">
        <v>55</v>
      </c>
      <c r="U377" s="18">
        <v>55</v>
      </c>
      <c r="V377" s="18">
        <v>55</v>
      </c>
      <c r="W377" s="18">
        <v>55</v>
      </c>
      <c r="X377" s="18"/>
      <c r="Y377" s="18">
        <v>0.59</v>
      </c>
      <c r="Z377" s="18">
        <v>0.95000000000000007</v>
      </c>
      <c r="AA377" s="18">
        <v>22.1</v>
      </c>
      <c r="AB377" s="18">
        <v>11</v>
      </c>
      <c r="AC377" s="18">
        <v>1.44</v>
      </c>
      <c r="AD377" s="18">
        <v>0.12</v>
      </c>
      <c r="AE377" s="18">
        <v>0</v>
      </c>
      <c r="AF377" s="18">
        <v>40</v>
      </c>
      <c r="AG377" s="18">
        <v>25</v>
      </c>
      <c r="AH377" s="18">
        <v>0</v>
      </c>
      <c r="AI377" s="18">
        <v>14</v>
      </c>
      <c r="AJ377" s="18">
        <v>0</v>
      </c>
      <c r="AK377" s="18">
        <v>0</v>
      </c>
      <c r="AL377" s="18"/>
      <c r="AM377" s="18">
        <v>8.6999999999999993</v>
      </c>
      <c r="AN377" s="18">
        <v>0.9</v>
      </c>
      <c r="AO377" s="18">
        <v>3.6</v>
      </c>
      <c r="AP377" s="18">
        <v>6.1</v>
      </c>
      <c r="AQ377" s="18">
        <v>1.9</v>
      </c>
      <c r="AR377" s="18">
        <v>4</v>
      </c>
      <c r="AS377" s="18">
        <v>9.6999999999999993</v>
      </c>
      <c r="AT377" s="18">
        <v>3.3</v>
      </c>
      <c r="AU377" s="18">
        <v>5.7</v>
      </c>
      <c r="AV377" s="18">
        <v>5.4</v>
      </c>
      <c r="AW377" s="18">
        <v>6.6</v>
      </c>
      <c r="AX377" s="18"/>
      <c r="AY377" s="18">
        <v>1</v>
      </c>
      <c r="AZ377" s="18">
        <v>1</v>
      </c>
      <c r="BA377" s="18">
        <v>1</v>
      </c>
      <c r="BB377" s="18">
        <v>1</v>
      </c>
      <c r="BC377" s="18">
        <v>1</v>
      </c>
      <c r="BD377" s="18">
        <v>1</v>
      </c>
      <c r="BE377" s="18">
        <v>1</v>
      </c>
      <c r="BF377" s="18">
        <v>1</v>
      </c>
      <c r="BG377" s="18">
        <v>1</v>
      </c>
      <c r="BH377" s="18">
        <v>1</v>
      </c>
      <c r="BI377" s="18">
        <v>1</v>
      </c>
      <c r="BJ377" s="19"/>
      <c r="BK377" s="18">
        <v>87.8</v>
      </c>
      <c r="BL377" s="18">
        <v>2.2000000000000002</v>
      </c>
      <c r="BM377" s="18">
        <v>6.2</v>
      </c>
      <c r="BN377" s="18">
        <v>0</v>
      </c>
      <c r="BO377" s="18"/>
      <c r="BP377" s="18">
        <v>63</v>
      </c>
      <c r="BQ377" s="18">
        <v>13.86</v>
      </c>
      <c r="BR377" s="18">
        <v>1.3104203252032447</v>
      </c>
      <c r="BS377" s="18">
        <v>1.2619248207792233</v>
      </c>
      <c r="BT377" s="19"/>
      <c r="BU377" s="18">
        <v>938</v>
      </c>
      <c r="BV377" s="18">
        <v>94.364000000000118</v>
      </c>
      <c r="BW377" s="18">
        <v>21.439999999999895</v>
      </c>
      <c r="BX377" s="18">
        <v>0</v>
      </c>
      <c r="BY377" s="18">
        <v>0</v>
      </c>
      <c r="BZ377" s="18" t="s">
        <v>217</v>
      </c>
      <c r="CA377" s="18" t="s">
        <v>217</v>
      </c>
      <c r="CB377" s="19"/>
      <c r="CC377" s="19">
        <v>0.55459999999999998</v>
      </c>
      <c r="CD377" s="19">
        <v>0.89300000000000002</v>
      </c>
      <c r="CE377" s="19">
        <v>20.774000000000001</v>
      </c>
      <c r="CF377" s="19">
        <v>10.34</v>
      </c>
      <c r="CG377" s="19">
        <v>1.3535999999999999</v>
      </c>
      <c r="CH377" s="19">
        <v>0.11279999999999998</v>
      </c>
      <c r="CI377" s="19">
        <v>0</v>
      </c>
      <c r="CJ377" s="19"/>
      <c r="CK377" s="19">
        <v>37.599999999999994</v>
      </c>
      <c r="CL377" s="19">
        <v>23.5</v>
      </c>
      <c r="CM377" s="19">
        <v>0</v>
      </c>
      <c r="CN377" s="19">
        <v>13.16</v>
      </c>
      <c r="CO377" s="19">
        <v>0</v>
      </c>
      <c r="CP377" s="19">
        <v>0</v>
      </c>
      <c r="CQ377" s="19">
        <v>775.80079999999998</v>
      </c>
      <c r="CR377" s="19">
        <v>629.81318598823907</v>
      </c>
      <c r="HM377" s="620">
        <f t="shared" ref="HM377:HU377" si="132">HM7</f>
        <v>0</v>
      </c>
      <c r="HN377" s="620">
        <f t="shared" si="132"/>
        <v>0</v>
      </c>
      <c r="HO377" s="620">
        <f t="shared" si="132"/>
        <v>0</v>
      </c>
      <c r="HP377" s="620">
        <f t="shared" si="132"/>
        <v>0</v>
      </c>
      <c r="HQ377" s="620">
        <f t="shared" si="132"/>
        <v>0</v>
      </c>
      <c r="HR377" s="620">
        <f t="shared" si="132"/>
        <v>0</v>
      </c>
      <c r="HS377" s="620">
        <f t="shared" si="132"/>
        <v>0</v>
      </c>
      <c r="HT377" s="620">
        <f t="shared" si="132"/>
        <v>0</v>
      </c>
      <c r="HU377" s="620" t="str">
        <f t="shared" si="132"/>
        <v>offfarm</v>
      </c>
      <c r="HV377" s="22" t="s">
        <v>2013</v>
      </c>
      <c r="IB377" s="11">
        <f t="shared" ref="IB377:II377" si="133">IB7</f>
        <v>0.47300000000000003</v>
      </c>
      <c r="IC377" s="11">
        <f t="shared" si="133"/>
        <v>0.13</v>
      </c>
      <c r="ID377" s="11">
        <f t="shared" si="133"/>
        <v>0.39100000000000001</v>
      </c>
      <c r="IE377" s="11">
        <f t="shared" si="133"/>
        <v>5.5E-2</v>
      </c>
      <c r="IF377" s="11">
        <f t="shared" si="133"/>
        <v>3.97</v>
      </c>
      <c r="IG377" s="11">
        <f t="shared" si="133"/>
        <v>4.5999999999999999E-3</v>
      </c>
      <c r="IH377" s="11">
        <f t="shared" si="133"/>
        <v>2.73</v>
      </c>
      <c r="II377" s="11">
        <f t="shared" si="133"/>
        <v>0</v>
      </c>
    </row>
    <row r="378" spans="4:247" x14ac:dyDescent="0.25">
      <c r="D378" s="185" t="s">
        <v>224</v>
      </c>
      <c r="E378" s="14">
        <v>40310</v>
      </c>
      <c r="F378" s="18">
        <v>1.2619960704607001</v>
      </c>
      <c r="G378" s="18">
        <v>1.21385868051948</v>
      </c>
      <c r="H378" s="21">
        <v>97.8</v>
      </c>
      <c r="I378" s="21">
        <v>97.8</v>
      </c>
      <c r="J378" s="21">
        <v>91</v>
      </c>
      <c r="K378" s="18">
        <v>1</v>
      </c>
      <c r="L378" s="18">
        <v>97</v>
      </c>
      <c r="M378" s="18">
        <v>95</v>
      </c>
      <c r="N378" s="18">
        <v>1.8</v>
      </c>
      <c r="O378" s="18">
        <v>3.9</v>
      </c>
      <c r="P378" s="18">
        <v>0.3</v>
      </c>
      <c r="Q378" s="19"/>
      <c r="R378" s="18">
        <v>94</v>
      </c>
      <c r="S378" s="18">
        <v>55</v>
      </c>
      <c r="T378" s="18">
        <v>55</v>
      </c>
      <c r="U378" s="18">
        <v>55</v>
      </c>
      <c r="V378" s="18">
        <v>55</v>
      </c>
      <c r="W378" s="18">
        <v>55</v>
      </c>
      <c r="X378" s="18"/>
      <c r="Y378" s="18">
        <v>0.01</v>
      </c>
      <c r="Z378" s="18">
        <v>0.3</v>
      </c>
      <c r="AA378" s="18">
        <v>0.36</v>
      </c>
      <c r="AB378" s="18">
        <v>0.73</v>
      </c>
      <c r="AC378" s="18">
        <v>1.24</v>
      </c>
      <c r="AD378" s="18">
        <v>3.0000000000000002E-2</v>
      </c>
      <c r="AE378" s="18">
        <v>0.2</v>
      </c>
      <c r="AF378" s="18">
        <v>2769.31</v>
      </c>
      <c r="AG378" s="18">
        <v>32.01</v>
      </c>
      <c r="AH378" s="18">
        <v>0</v>
      </c>
      <c r="AI378" s="18">
        <v>23.42</v>
      </c>
      <c r="AJ378" s="18">
        <v>0</v>
      </c>
      <c r="AK378" s="18">
        <v>0.74</v>
      </c>
      <c r="AL378" s="18"/>
      <c r="AM378" s="18">
        <v>8.7563710499490295</v>
      </c>
      <c r="AN378" s="18">
        <v>0.71355759429153898</v>
      </c>
      <c r="AO378" s="18">
        <v>0.62181447502548404</v>
      </c>
      <c r="AP378" s="18">
        <v>3.14984709480122</v>
      </c>
      <c r="AQ378" s="18">
        <v>1.40163098878695</v>
      </c>
      <c r="AR378" s="18">
        <v>0.56676860346585101</v>
      </c>
      <c r="AS378" s="18">
        <v>13.6085626911315</v>
      </c>
      <c r="AT378" s="18">
        <v>7.7828746177369998</v>
      </c>
      <c r="AU378" s="18">
        <v>6.8552497451579999</v>
      </c>
      <c r="AV378" s="18">
        <v>2.21202854230377</v>
      </c>
      <c r="AW378" s="18">
        <v>9.3068297655453591</v>
      </c>
      <c r="AX378" s="18"/>
      <c r="AY378" s="18">
        <v>1</v>
      </c>
      <c r="AZ378" s="18">
        <v>1</v>
      </c>
      <c r="BA378" s="18">
        <v>1</v>
      </c>
      <c r="BB378" s="18">
        <v>1</v>
      </c>
      <c r="BC378" s="18">
        <v>1</v>
      </c>
      <c r="BD378" s="18">
        <v>1</v>
      </c>
      <c r="BE378" s="18">
        <v>1</v>
      </c>
      <c r="BF378" s="18">
        <v>1</v>
      </c>
      <c r="BG378" s="18">
        <v>1</v>
      </c>
      <c r="BH378" s="18">
        <v>1</v>
      </c>
      <c r="BI378" s="18">
        <v>1</v>
      </c>
      <c r="BJ378" s="19"/>
      <c r="BK378" s="18">
        <v>97.9381443298969</v>
      </c>
      <c r="BL378" s="18">
        <v>1.8556701030927836</v>
      </c>
      <c r="BM378" s="18">
        <v>4.0206185567010309</v>
      </c>
      <c r="BN378" s="18">
        <v>0.30927835051546393</v>
      </c>
      <c r="BO378" s="18"/>
      <c r="BP378" s="18">
        <v>63</v>
      </c>
      <c r="BQ378" s="18">
        <v>11.690721649484535</v>
      </c>
      <c r="BR378" s="18">
        <v>1.3010268767636084</v>
      </c>
      <c r="BS378" s="18">
        <v>1.2514007015664743</v>
      </c>
      <c r="BT378" s="19"/>
      <c r="BU378" s="18">
        <v>959.79381443298973</v>
      </c>
      <c r="BV378" s="18">
        <v>29.441237113402266</v>
      </c>
      <c r="BW378" s="18">
        <v>0</v>
      </c>
      <c r="BX378" s="18">
        <v>0</v>
      </c>
      <c r="BY378" s="18">
        <v>0</v>
      </c>
      <c r="BZ378" s="18" t="s">
        <v>217</v>
      </c>
      <c r="CA378" s="18" t="s">
        <v>217</v>
      </c>
      <c r="CB378" s="19"/>
      <c r="CC378" s="19">
        <v>9.7000000000000003E-3</v>
      </c>
      <c r="CD378" s="19">
        <v>0.29099999999999998</v>
      </c>
      <c r="CE378" s="19">
        <v>0.34919999999999995</v>
      </c>
      <c r="CF378" s="19">
        <v>0.70809999999999995</v>
      </c>
      <c r="CG378" s="19">
        <v>1.2027999999999999</v>
      </c>
      <c r="CH378" s="19">
        <v>2.9100000000000001E-2</v>
      </c>
      <c r="CI378" s="19">
        <v>0.19400000000000001</v>
      </c>
      <c r="CJ378" s="19"/>
      <c r="CK378" s="19">
        <v>2686.2307000000001</v>
      </c>
      <c r="CL378" s="19">
        <v>31.049699999999998</v>
      </c>
      <c r="CM378" s="19">
        <v>0</v>
      </c>
      <c r="CN378" s="19">
        <v>22.717400000000001</v>
      </c>
      <c r="CO378" s="19">
        <v>0</v>
      </c>
      <c r="CP378" s="19">
        <v>0.71779999999999999</v>
      </c>
      <c r="CQ378" s="19">
        <v>893</v>
      </c>
      <c r="CR378" s="19">
        <v>707.60917636930867</v>
      </c>
      <c r="HM378" s="620">
        <f t="shared" ref="HM378:HU378" si="134">HM8</f>
        <v>0</v>
      </c>
      <c r="HN378" s="620">
        <f t="shared" si="134"/>
        <v>0</v>
      </c>
      <c r="HO378" s="620">
        <f t="shared" si="134"/>
        <v>0</v>
      </c>
      <c r="HP378" s="620">
        <f t="shared" si="134"/>
        <v>0</v>
      </c>
      <c r="HQ378" s="620">
        <f t="shared" si="134"/>
        <v>0</v>
      </c>
      <c r="HR378" s="620">
        <f t="shared" si="134"/>
        <v>0</v>
      </c>
      <c r="HS378" s="620">
        <f t="shared" si="134"/>
        <v>0</v>
      </c>
      <c r="HT378" s="620">
        <f t="shared" si="134"/>
        <v>0</v>
      </c>
      <c r="HU378" s="620" t="str">
        <f t="shared" si="134"/>
        <v>offfarm</v>
      </c>
      <c r="HV378" s="22" t="s">
        <v>2013</v>
      </c>
      <c r="IB378" s="11">
        <f t="shared" ref="IB378:II378" si="135">IB8</f>
        <v>0.47300000000000003</v>
      </c>
      <c r="IC378" s="11">
        <f t="shared" si="135"/>
        <v>0.13</v>
      </c>
      <c r="ID378" s="11">
        <f t="shared" si="135"/>
        <v>0.39100000000000001</v>
      </c>
      <c r="IE378" s="11">
        <f t="shared" si="135"/>
        <v>5.5E-2</v>
      </c>
      <c r="IF378" s="11">
        <f t="shared" si="135"/>
        <v>3.97</v>
      </c>
      <c r="IG378" s="11">
        <f t="shared" si="135"/>
        <v>4.5999999999999999E-3</v>
      </c>
      <c r="IH378" s="11">
        <f t="shared" si="135"/>
        <v>2.73</v>
      </c>
      <c r="II378" s="11">
        <f t="shared" si="135"/>
        <v>0</v>
      </c>
    </row>
    <row r="379" spans="4:247" x14ac:dyDescent="0.25">
      <c r="D379" s="185" t="s">
        <v>227</v>
      </c>
      <c r="E379" s="14">
        <v>40310</v>
      </c>
      <c r="F379" s="18">
        <v>-0.112682926829268</v>
      </c>
      <c r="G379" s="18">
        <v>-0.108</v>
      </c>
      <c r="H379" s="21">
        <v>70</v>
      </c>
      <c r="I379" s="21">
        <v>70</v>
      </c>
      <c r="J379" s="21">
        <v>0</v>
      </c>
      <c r="K379" s="18">
        <v>1</v>
      </c>
      <c r="L379" s="18">
        <v>99</v>
      </c>
      <c r="M379" s="18">
        <v>0</v>
      </c>
      <c r="N379" s="18">
        <v>0</v>
      </c>
      <c r="O379" s="18">
        <v>99</v>
      </c>
      <c r="P379" s="18">
        <v>0</v>
      </c>
      <c r="Q379" s="19"/>
      <c r="R379" s="18">
        <v>0</v>
      </c>
      <c r="S379" s="18">
        <v>67</v>
      </c>
      <c r="T379" s="18">
        <v>67</v>
      </c>
      <c r="U379" s="18">
        <v>67</v>
      </c>
      <c r="V379" s="18">
        <v>67</v>
      </c>
      <c r="W379" s="18">
        <v>67</v>
      </c>
      <c r="X379" s="18"/>
      <c r="Y379" s="18">
        <v>212.12121212121212</v>
      </c>
      <c r="Z379" s="18">
        <v>181.81818181818181</v>
      </c>
      <c r="AA379" s="18">
        <v>0</v>
      </c>
      <c r="AB379" s="18">
        <v>0</v>
      </c>
      <c r="AC379" s="18">
        <v>0</v>
      </c>
      <c r="AD379" s="18">
        <v>0</v>
      </c>
      <c r="AE379" s="18">
        <v>0</v>
      </c>
      <c r="AF379" s="18">
        <v>0</v>
      </c>
      <c r="AG379" s="18">
        <v>0</v>
      </c>
      <c r="AH379" s="18">
        <v>0</v>
      </c>
      <c r="AI379" s="18">
        <v>0</v>
      </c>
      <c r="AJ379" s="18">
        <v>0</v>
      </c>
      <c r="AK379" s="18">
        <v>0</v>
      </c>
      <c r="AL379" s="18"/>
      <c r="AM379" s="18">
        <v>0</v>
      </c>
      <c r="AN379" s="18">
        <v>0</v>
      </c>
      <c r="AO379" s="18">
        <v>0</v>
      </c>
      <c r="AP379" s="18">
        <v>0</v>
      </c>
      <c r="AQ379" s="18">
        <v>0</v>
      </c>
      <c r="AR379" s="18">
        <v>0</v>
      </c>
      <c r="AS379" s="18">
        <v>0</v>
      </c>
      <c r="AT379" s="18">
        <v>0</v>
      </c>
      <c r="AU379" s="18">
        <v>0</v>
      </c>
      <c r="AV379" s="18">
        <v>0</v>
      </c>
      <c r="AW379" s="18">
        <v>0</v>
      </c>
      <c r="AX379" s="18"/>
      <c r="AY379" s="18">
        <v>1</v>
      </c>
      <c r="AZ379" s="18">
        <v>1</v>
      </c>
      <c r="BA379" s="18">
        <v>1</v>
      </c>
      <c r="BB379" s="18">
        <v>1</v>
      </c>
      <c r="BC379" s="18">
        <v>1</v>
      </c>
      <c r="BD379" s="18">
        <v>1</v>
      </c>
      <c r="BE379" s="18">
        <v>1</v>
      </c>
      <c r="BF379" s="18">
        <v>1</v>
      </c>
      <c r="BG379" s="18">
        <v>1</v>
      </c>
      <c r="BH379" s="18">
        <v>1</v>
      </c>
      <c r="BI379" s="18">
        <v>1</v>
      </c>
      <c r="BJ379" s="19"/>
      <c r="BK379" s="18">
        <v>0</v>
      </c>
      <c r="BL379" s="18">
        <v>0</v>
      </c>
      <c r="BM379" s="18">
        <v>100</v>
      </c>
      <c r="BN379" s="18">
        <v>0</v>
      </c>
      <c r="BO379" s="18"/>
      <c r="BP379" s="18">
        <v>0</v>
      </c>
      <c r="BQ379" s="18">
        <v>0</v>
      </c>
      <c r="BR379" s="18">
        <v>-0.11382113821138182</v>
      </c>
      <c r="BS379" s="18">
        <v>-0.10909090909090909</v>
      </c>
      <c r="BT379" s="19"/>
      <c r="BU379" s="18">
        <v>0</v>
      </c>
      <c r="BV379" s="18">
        <v>0</v>
      </c>
      <c r="BW379" s="18">
        <v>0</v>
      </c>
      <c r="BX379" s="18" t="s">
        <v>217</v>
      </c>
      <c r="BY379" s="18" t="s">
        <v>217</v>
      </c>
      <c r="BZ379" s="18" t="s">
        <v>217</v>
      </c>
      <c r="CA379" s="18" t="s">
        <v>217</v>
      </c>
      <c r="CB379" s="19"/>
      <c r="CC379" s="19">
        <v>210</v>
      </c>
      <c r="CD379" s="19">
        <v>180</v>
      </c>
      <c r="CE379" s="19">
        <v>0</v>
      </c>
      <c r="CF379" s="19">
        <v>0</v>
      </c>
      <c r="CG379" s="19">
        <v>0</v>
      </c>
      <c r="CH379" s="19">
        <v>0</v>
      </c>
      <c r="CI379" s="19">
        <v>0</v>
      </c>
      <c r="CJ379" s="19"/>
      <c r="CK379" s="19">
        <v>0</v>
      </c>
      <c r="CL379" s="19">
        <v>0</v>
      </c>
      <c r="CM379" s="19">
        <v>0</v>
      </c>
      <c r="CN379" s="19">
        <v>0</v>
      </c>
      <c r="CO379" s="19">
        <v>0</v>
      </c>
      <c r="CP379" s="19">
        <v>0</v>
      </c>
      <c r="CQ379" s="19">
        <v>0</v>
      </c>
      <c r="CR379" s="19">
        <v>0</v>
      </c>
      <c r="HM379" s="620">
        <f t="shared" ref="HM379:HU379" si="136">HM9</f>
        <v>0</v>
      </c>
      <c r="HN379" s="620">
        <f t="shared" si="136"/>
        <v>0</v>
      </c>
      <c r="HO379" s="620">
        <f t="shared" si="136"/>
        <v>0</v>
      </c>
      <c r="HP379" s="620">
        <f t="shared" si="136"/>
        <v>0</v>
      </c>
      <c r="HQ379" s="620">
        <f t="shared" si="136"/>
        <v>0</v>
      </c>
      <c r="HR379" s="620">
        <f t="shared" si="136"/>
        <v>0</v>
      </c>
      <c r="HS379" s="620">
        <f t="shared" si="136"/>
        <v>0</v>
      </c>
      <c r="HT379" s="620">
        <f t="shared" si="136"/>
        <v>0</v>
      </c>
      <c r="HU379" s="620" t="str">
        <f t="shared" si="136"/>
        <v>offfarm</v>
      </c>
      <c r="HV379" s="22" t="s">
        <v>2013</v>
      </c>
      <c r="IB379" s="11">
        <f t="shared" ref="IB379:II379" si="137">IB9</f>
        <v>0.47300000000000003</v>
      </c>
      <c r="IC379" s="11">
        <f t="shared" si="137"/>
        <v>0.13</v>
      </c>
      <c r="ID379" s="11">
        <f t="shared" si="137"/>
        <v>0.39100000000000001</v>
      </c>
      <c r="IE379" s="11">
        <f t="shared" si="137"/>
        <v>5.5E-2</v>
      </c>
      <c r="IF379" s="11">
        <f t="shared" si="137"/>
        <v>3.97</v>
      </c>
      <c r="IG379" s="11">
        <f t="shared" si="137"/>
        <v>4.5999999999999999E-3</v>
      </c>
      <c r="IH379" s="11">
        <f t="shared" si="137"/>
        <v>2.73</v>
      </c>
      <c r="II379" s="11">
        <f t="shared" si="137"/>
        <v>0</v>
      </c>
    </row>
    <row r="380" spans="4:247" x14ac:dyDescent="0.25">
      <c r="D380" s="185" t="s">
        <v>228</v>
      </c>
      <c r="E380" s="14">
        <v>40310</v>
      </c>
      <c r="F380" s="18">
        <v>-0.112682926829268</v>
      </c>
      <c r="G380" s="18">
        <v>-0.108</v>
      </c>
      <c r="H380" s="21">
        <v>70</v>
      </c>
      <c r="I380" s="21">
        <v>70</v>
      </c>
      <c r="J380" s="21">
        <v>0</v>
      </c>
      <c r="K380" s="18">
        <v>1</v>
      </c>
      <c r="L380" s="18">
        <v>99</v>
      </c>
      <c r="M380" s="18">
        <v>0</v>
      </c>
      <c r="N380" s="18">
        <v>0</v>
      </c>
      <c r="O380" s="18">
        <v>99</v>
      </c>
      <c r="P380" s="18">
        <v>0</v>
      </c>
      <c r="Q380" s="19"/>
      <c r="R380" s="18">
        <v>0</v>
      </c>
      <c r="S380" s="18">
        <v>67</v>
      </c>
      <c r="T380" s="18">
        <v>67</v>
      </c>
      <c r="U380" s="18">
        <v>67</v>
      </c>
      <c r="V380" s="18">
        <v>67</v>
      </c>
      <c r="W380" s="18">
        <v>67</v>
      </c>
      <c r="X380" s="18"/>
      <c r="Y380" s="18">
        <v>161.61616161616161</v>
      </c>
      <c r="Z380" s="18">
        <v>229.2929292929293</v>
      </c>
      <c r="AA380" s="18">
        <v>0</v>
      </c>
      <c r="AB380" s="18">
        <v>0</v>
      </c>
      <c r="AC380" s="18">
        <v>0</v>
      </c>
      <c r="AD380" s="18">
        <v>0</v>
      </c>
      <c r="AE380" s="18">
        <v>0</v>
      </c>
      <c r="AF380" s="18">
        <v>0</v>
      </c>
      <c r="AG380" s="18">
        <v>0</v>
      </c>
      <c r="AH380" s="18">
        <v>0</v>
      </c>
      <c r="AI380" s="18">
        <v>0</v>
      </c>
      <c r="AJ380" s="18">
        <v>0</v>
      </c>
      <c r="AK380" s="18">
        <v>0</v>
      </c>
      <c r="AL380" s="18"/>
      <c r="AM380" s="18">
        <v>0</v>
      </c>
      <c r="AN380" s="18">
        <v>0</v>
      </c>
      <c r="AO380" s="18">
        <v>0</v>
      </c>
      <c r="AP380" s="18">
        <v>0</v>
      </c>
      <c r="AQ380" s="18">
        <v>0</v>
      </c>
      <c r="AR380" s="18">
        <v>0</v>
      </c>
      <c r="AS380" s="18">
        <v>0</v>
      </c>
      <c r="AT380" s="18">
        <v>0</v>
      </c>
      <c r="AU380" s="18">
        <v>0</v>
      </c>
      <c r="AV380" s="18">
        <v>0</v>
      </c>
      <c r="AW380" s="18">
        <v>0</v>
      </c>
      <c r="AX380" s="18"/>
      <c r="AY380" s="18">
        <v>1</v>
      </c>
      <c r="AZ380" s="18">
        <v>1</v>
      </c>
      <c r="BA380" s="18">
        <v>1</v>
      </c>
      <c r="BB380" s="18">
        <v>1</v>
      </c>
      <c r="BC380" s="18">
        <v>1</v>
      </c>
      <c r="BD380" s="18">
        <v>1</v>
      </c>
      <c r="BE380" s="18">
        <v>1</v>
      </c>
      <c r="BF380" s="18">
        <v>1</v>
      </c>
      <c r="BG380" s="18">
        <v>1</v>
      </c>
      <c r="BH380" s="18">
        <v>1</v>
      </c>
      <c r="BI380" s="18">
        <v>1</v>
      </c>
      <c r="BJ380" s="19"/>
      <c r="BK380" s="18">
        <v>0</v>
      </c>
      <c r="BL380" s="18">
        <v>0</v>
      </c>
      <c r="BM380" s="18">
        <v>100</v>
      </c>
      <c r="BN380" s="18">
        <v>0</v>
      </c>
      <c r="BO380" s="18"/>
      <c r="BP380" s="18">
        <v>0</v>
      </c>
      <c r="BQ380" s="18">
        <v>0</v>
      </c>
      <c r="BR380" s="18">
        <v>-0.11382113821138182</v>
      </c>
      <c r="BS380" s="18">
        <v>-0.10909090909090909</v>
      </c>
      <c r="BT380" s="19"/>
      <c r="BU380" s="18">
        <v>0</v>
      </c>
      <c r="BV380" s="18">
        <v>0</v>
      </c>
      <c r="BW380" s="18">
        <v>0</v>
      </c>
      <c r="BX380" s="18" t="s">
        <v>217</v>
      </c>
      <c r="BY380" s="18" t="s">
        <v>217</v>
      </c>
      <c r="BZ380" s="18" t="s">
        <v>217</v>
      </c>
      <c r="CA380" s="18" t="s">
        <v>217</v>
      </c>
      <c r="CB380" s="19"/>
      <c r="CC380" s="19">
        <v>160</v>
      </c>
      <c r="CD380" s="19">
        <v>227</v>
      </c>
      <c r="CE380" s="19">
        <v>0</v>
      </c>
      <c r="CF380" s="19">
        <v>0</v>
      </c>
      <c r="CG380" s="19">
        <v>0</v>
      </c>
      <c r="CH380" s="19">
        <v>0</v>
      </c>
      <c r="CI380" s="19">
        <v>0</v>
      </c>
      <c r="CJ380" s="19"/>
      <c r="CK380" s="19">
        <v>0</v>
      </c>
      <c r="CL380" s="19">
        <v>0</v>
      </c>
      <c r="CM380" s="19">
        <v>0</v>
      </c>
      <c r="CN380" s="19">
        <v>0</v>
      </c>
      <c r="CO380" s="19">
        <v>0</v>
      </c>
      <c r="CP380" s="19">
        <v>0</v>
      </c>
      <c r="CQ380" s="19">
        <v>0</v>
      </c>
      <c r="CR380" s="19">
        <v>0</v>
      </c>
      <c r="HM380" s="620">
        <f t="shared" ref="HM380:HU380" si="138">HM10</f>
        <v>0</v>
      </c>
      <c r="HN380" s="620">
        <f t="shared" si="138"/>
        <v>0</v>
      </c>
      <c r="HO380" s="620">
        <f t="shared" si="138"/>
        <v>0</v>
      </c>
      <c r="HP380" s="620">
        <f t="shared" si="138"/>
        <v>0</v>
      </c>
      <c r="HQ380" s="620">
        <f t="shared" si="138"/>
        <v>0</v>
      </c>
      <c r="HR380" s="620">
        <f t="shared" si="138"/>
        <v>0</v>
      </c>
      <c r="HS380" s="620">
        <f t="shared" si="138"/>
        <v>0</v>
      </c>
      <c r="HT380" s="620">
        <f t="shared" si="138"/>
        <v>0</v>
      </c>
      <c r="HU380" s="620" t="str">
        <f t="shared" si="138"/>
        <v>offfarm</v>
      </c>
      <c r="HV380" s="22" t="s">
        <v>2013</v>
      </c>
      <c r="IB380" s="11">
        <f t="shared" ref="IB380:II380" si="139">IB10</f>
        <v>0.47300000000000003</v>
      </c>
      <c r="IC380" s="11">
        <f t="shared" si="139"/>
        <v>0.13</v>
      </c>
      <c r="ID380" s="11">
        <f t="shared" si="139"/>
        <v>0.39100000000000001</v>
      </c>
      <c r="IE380" s="11">
        <f t="shared" si="139"/>
        <v>5.5E-2</v>
      </c>
      <c r="IF380" s="11">
        <f t="shared" si="139"/>
        <v>3.97</v>
      </c>
      <c r="IG380" s="11">
        <f t="shared" si="139"/>
        <v>4.5999999999999999E-3</v>
      </c>
      <c r="IH380" s="11">
        <f t="shared" si="139"/>
        <v>2.73</v>
      </c>
      <c r="II380" s="11">
        <f t="shared" si="139"/>
        <v>0</v>
      </c>
    </row>
    <row r="381" spans="4:247" x14ac:dyDescent="0.25">
      <c r="D381" s="20" t="s">
        <v>1294</v>
      </c>
      <c r="E381" s="14">
        <v>42678</v>
      </c>
      <c r="F381" s="18">
        <v>0.99579847077041805</v>
      </c>
      <c r="G381" s="18">
        <v>1.0059162100185499</v>
      </c>
      <c r="H381" s="21">
        <v>83.1</v>
      </c>
      <c r="I381" s="21">
        <v>76.000019100000003</v>
      </c>
      <c r="J381" s="21">
        <v>90</v>
      </c>
      <c r="K381" s="18">
        <v>1</v>
      </c>
      <c r="L381" s="18">
        <v>85</v>
      </c>
      <c r="M381" s="18">
        <v>9.5999999999999801</v>
      </c>
      <c r="N381" s="18">
        <v>2.7</v>
      </c>
      <c r="O381" s="18">
        <v>1.8</v>
      </c>
      <c r="P381" s="18">
        <v>4.5999999999999996</v>
      </c>
      <c r="Q381" s="19"/>
      <c r="R381" s="18">
        <v>74.030298214285693</v>
      </c>
      <c r="S381" s="18">
        <v>39</v>
      </c>
      <c r="T381" s="18">
        <v>47</v>
      </c>
      <c r="U381" s="18">
        <v>50</v>
      </c>
      <c r="V381" s="18">
        <v>52</v>
      </c>
      <c r="W381" s="18">
        <v>54</v>
      </c>
      <c r="X381" s="18"/>
      <c r="Y381" s="18">
        <v>0.6823529411764705</v>
      </c>
      <c r="Z381" s="18">
        <v>3.2941176470588234</v>
      </c>
      <c r="AA381" s="18">
        <v>0.2</v>
      </c>
      <c r="AB381" s="18">
        <v>1.4999999999999998</v>
      </c>
      <c r="AC381" s="18">
        <v>5.8999999999999995</v>
      </c>
      <c r="AD381" s="18">
        <v>1.1000000000000001</v>
      </c>
      <c r="AE381" s="18">
        <v>1.3</v>
      </c>
      <c r="AF381" s="18">
        <v>50</v>
      </c>
      <c r="AG381" s="18">
        <v>3.4</v>
      </c>
      <c r="AH381" s="18">
        <v>15</v>
      </c>
      <c r="AI381" s="18">
        <v>29</v>
      </c>
      <c r="AJ381" s="18">
        <v>0</v>
      </c>
      <c r="AK381" s="18">
        <v>0.04</v>
      </c>
      <c r="AL381" s="18"/>
      <c r="AM381" s="18">
        <v>3.7643529411764698</v>
      </c>
      <c r="AN381" s="18">
        <v>1.69952941176471</v>
      </c>
      <c r="AO381" s="18">
        <v>2.3732941176470601</v>
      </c>
      <c r="AP381" s="18">
        <v>3.4342352941176499</v>
      </c>
      <c r="AQ381" s="18">
        <v>1.3221176470588201</v>
      </c>
      <c r="AR381" s="18">
        <v>3.6218823529411801</v>
      </c>
      <c r="AS381" s="18">
        <v>6.8776470588235297</v>
      </c>
      <c r="AT381" s="18">
        <v>2.2824705882352898</v>
      </c>
      <c r="AU381" s="18">
        <v>4.8375294117647103</v>
      </c>
      <c r="AV381" s="18">
        <v>3.21588235294118</v>
      </c>
      <c r="AW381" s="18">
        <v>5.1123529411764697</v>
      </c>
      <c r="AX381" s="18"/>
      <c r="AY381" s="18">
        <v>0.94</v>
      </c>
      <c r="AZ381" s="18">
        <v>1.08</v>
      </c>
      <c r="BA381" s="18">
        <v>1.03</v>
      </c>
      <c r="BB381" s="18">
        <v>0.95</v>
      </c>
      <c r="BC381" s="18">
        <v>0.96</v>
      </c>
      <c r="BD381" s="18">
        <v>1</v>
      </c>
      <c r="BE381" s="18">
        <v>1.01</v>
      </c>
      <c r="BF381" s="18">
        <v>1</v>
      </c>
      <c r="BG381" s="18">
        <v>1.04</v>
      </c>
      <c r="BH381" s="18">
        <v>0.97</v>
      </c>
      <c r="BI381" s="18">
        <v>0.96</v>
      </c>
      <c r="BJ381" s="19"/>
      <c r="BK381" s="18">
        <v>11.294117647058799</v>
      </c>
      <c r="BL381" s="18">
        <v>3.1764705882352939</v>
      </c>
      <c r="BM381" s="18">
        <v>2.1176470588235294</v>
      </c>
      <c r="BN381" s="18">
        <v>5.4117647058823524</v>
      </c>
      <c r="BO381" s="18"/>
      <c r="BP381" s="18">
        <v>120</v>
      </c>
      <c r="BQ381" s="18">
        <v>38.117647058823529</v>
      </c>
      <c r="BR381" s="18">
        <v>1.1715276126710801</v>
      </c>
      <c r="BS381" s="18">
        <v>1.1834308353159411</v>
      </c>
      <c r="BT381" s="19"/>
      <c r="BU381" s="18">
        <v>978.82352941176475</v>
      </c>
      <c r="BV381" s="18">
        <v>580.53344537815065</v>
      </c>
      <c r="BW381" s="18">
        <v>99.280405189915768</v>
      </c>
      <c r="BX381" s="18">
        <v>604</v>
      </c>
      <c r="BY381" s="18">
        <v>21.000000000000004</v>
      </c>
      <c r="BZ381" s="18">
        <v>56</v>
      </c>
      <c r="CA381" s="18">
        <v>165</v>
      </c>
      <c r="CB381" s="19"/>
      <c r="CC381" s="19">
        <v>0.57999999999999996</v>
      </c>
      <c r="CD381" s="19">
        <v>2.8</v>
      </c>
      <c r="CE381" s="19">
        <v>0.17</v>
      </c>
      <c r="CF381" s="19">
        <v>1.2749999999999997</v>
      </c>
      <c r="CG381" s="19">
        <v>5.0149999999999997</v>
      </c>
      <c r="CH381" s="19">
        <v>0.93500000000000005</v>
      </c>
      <c r="CI381" s="19">
        <v>1.105</v>
      </c>
      <c r="CJ381" s="19"/>
      <c r="CK381" s="19">
        <v>42.5</v>
      </c>
      <c r="CL381" s="19">
        <v>2.8899999999999997</v>
      </c>
      <c r="CM381" s="19">
        <v>12.75</v>
      </c>
      <c r="CN381" s="19">
        <v>24.65</v>
      </c>
      <c r="CO381" s="19">
        <v>0</v>
      </c>
      <c r="CP381" s="19">
        <v>3.4000000000000002E-2</v>
      </c>
      <c r="CQ381" s="19">
        <v>71.069086285714306</v>
      </c>
      <c r="CR381" s="19">
        <v>71.368944994191835</v>
      </c>
      <c r="HM381" s="620">
        <f t="shared" ref="HM381:HU381" si="140">HM11</f>
        <v>0.47300000000000003</v>
      </c>
      <c r="HN381" s="620">
        <f t="shared" si="140"/>
        <v>0.13</v>
      </c>
      <c r="HO381" s="620">
        <f t="shared" si="140"/>
        <v>0.39100000000000001</v>
      </c>
      <c r="HP381" s="620">
        <f t="shared" si="140"/>
        <v>5.5E-2</v>
      </c>
      <c r="HQ381" s="620">
        <f t="shared" si="140"/>
        <v>3.97</v>
      </c>
      <c r="HR381" s="620">
        <f t="shared" si="140"/>
        <v>4.5999999999999999E-3</v>
      </c>
      <c r="HS381" s="620">
        <f t="shared" si="140"/>
        <v>2.73</v>
      </c>
      <c r="HT381" s="620">
        <f t="shared" si="140"/>
        <v>0</v>
      </c>
      <c r="HU381" s="620" t="str">
        <f t="shared" si="140"/>
        <v>offfarm</v>
      </c>
      <c r="HV381" s="22" t="s">
        <v>817</v>
      </c>
      <c r="IB381" s="11">
        <f t="shared" ref="IB381:II381" si="141">IB11</f>
        <v>0.47300000000000003</v>
      </c>
      <c r="IC381" s="11">
        <f t="shared" si="141"/>
        <v>0.13</v>
      </c>
      <c r="ID381" s="11">
        <f t="shared" si="141"/>
        <v>0.39100000000000001</v>
      </c>
      <c r="IE381" s="11">
        <f t="shared" si="141"/>
        <v>5.5E-2</v>
      </c>
      <c r="IF381" s="11">
        <f t="shared" si="141"/>
        <v>3.97</v>
      </c>
      <c r="IG381" s="11">
        <f t="shared" si="141"/>
        <v>4.5999999999999999E-3</v>
      </c>
      <c r="IH381" s="11">
        <f t="shared" si="141"/>
        <v>2.73</v>
      </c>
      <c r="II381" s="11">
        <f t="shared" si="141"/>
        <v>0</v>
      </c>
      <c r="IJ381" s="11" t="s">
        <v>817</v>
      </c>
    </row>
    <row r="382" spans="4:247" x14ac:dyDescent="0.25">
      <c r="D382" s="20" t="s">
        <v>1029</v>
      </c>
      <c r="E382" s="14">
        <v>42678</v>
      </c>
      <c r="F382" s="18">
        <v>1.0018379597367399</v>
      </c>
      <c r="G382" s="18">
        <v>1.01016110797773</v>
      </c>
      <c r="H382" s="21">
        <v>83.1</v>
      </c>
      <c r="I382" s="21">
        <v>76.500031800000002</v>
      </c>
      <c r="J382" s="21">
        <v>90</v>
      </c>
      <c r="K382" s="18">
        <v>1</v>
      </c>
      <c r="L382" s="18">
        <v>85</v>
      </c>
      <c r="M382" s="18">
        <v>9.5999999999999801</v>
      </c>
      <c r="N382" s="18">
        <v>2.7</v>
      </c>
      <c r="O382" s="18">
        <v>1.8</v>
      </c>
      <c r="P382" s="18">
        <v>4.5999999999999996</v>
      </c>
      <c r="Q382" s="19"/>
      <c r="R382" s="18">
        <v>74.4388696428571</v>
      </c>
      <c r="S382" s="18">
        <v>39</v>
      </c>
      <c r="T382" s="18">
        <v>47</v>
      </c>
      <c r="U382" s="18">
        <v>50</v>
      </c>
      <c r="V382" s="18">
        <v>52</v>
      </c>
      <c r="W382" s="18">
        <v>54</v>
      </c>
      <c r="X382" s="18"/>
      <c r="Y382" s="18">
        <v>0.6823529411764705</v>
      </c>
      <c r="Z382" s="18">
        <v>3.2941176470588234</v>
      </c>
      <c r="AA382" s="18">
        <v>0.2</v>
      </c>
      <c r="AB382" s="18">
        <v>1.4999999999999998</v>
      </c>
      <c r="AC382" s="18">
        <v>5.8999999999999995</v>
      </c>
      <c r="AD382" s="18">
        <v>1.1000000000000001</v>
      </c>
      <c r="AE382" s="18">
        <v>1.3</v>
      </c>
      <c r="AF382" s="18">
        <v>50</v>
      </c>
      <c r="AG382" s="18">
        <v>3.4</v>
      </c>
      <c r="AH382" s="18">
        <v>15</v>
      </c>
      <c r="AI382" s="18">
        <v>29</v>
      </c>
      <c r="AJ382" s="18">
        <v>0</v>
      </c>
      <c r="AK382" s="18">
        <v>0.04</v>
      </c>
      <c r="AL382" s="18"/>
      <c r="AM382" s="18">
        <v>3.7643529411764698</v>
      </c>
      <c r="AN382" s="18">
        <v>1.69952941176471</v>
      </c>
      <c r="AO382" s="18">
        <v>2.3732941176470601</v>
      </c>
      <c r="AP382" s="18">
        <v>3.4342352941176499</v>
      </c>
      <c r="AQ382" s="18">
        <v>1.3221176470588201</v>
      </c>
      <c r="AR382" s="18">
        <v>3.6218823529411801</v>
      </c>
      <c r="AS382" s="18">
        <v>6.8776470588235297</v>
      </c>
      <c r="AT382" s="18">
        <v>2.2824705882352898</v>
      </c>
      <c r="AU382" s="18">
        <v>4.8375294117647103</v>
      </c>
      <c r="AV382" s="18">
        <v>3.21588235294118</v>
      </c>
      <c r="AW382" s="18">
        <v>5.1123529411764697</v>
      </c>
      <c r="AX382" s="18"/>
      <c r="AY382" s="18">
        <v>0.94</v>
      </c>
      <c r="AZ382" s="18">
        <v>1.08</v>
      </c>
      <c r="BA382" s="18">
        <v>1.03</v>
      </c>
      <c r="BB382" s="18">
        <v>0.95</v>
      </c>
      <c r="BC382" s="18">
        <v>0.96</v>
      </c>
      <c r="BD382" s="18">
        <v>1</v>
      </c>
      <c r="BE382" s="18">
        <v>1.01</v>
      </c>
      <c r="BF382" s="18">
        <v>1</v>
      </c>
      <c r="BG382" s="18">
        <v>1.04</v>
      </c>
      <c r="BH382" s="18">
        <v>0.97</v>
      </c>
      <c r="BI382" s="18">
        <v>0.96</v>
      </c>
      <c r="BJ382" s="19"/>
      <c r="BK382" s="18">
        <v>11.294117647058799</v>
      </c>
      <c r="BL382" s="18">
        <v>3.1764705882352939</v>
      </c>
      <c r="BM382" s="18">
        <v>2.1176470588235294</v>
      </c>
      <c r="BN382" s="18">
        <v>5.4117647058823524</v>
      </c>
      <c r="BO382" s="18"/>
      <c r="BP382" s="18">
        <v>120</v>
      </c>
      <c r="BQ382" s="18">
        <v>38.117647058823529</v>
      </c>
      <c r="BR382" s="18">
        <v>1.1786328938079293</v>
      </c>
      <c r="BS382" s="18">
        <v>1.1884248329149765</v>
      </c>
      <c r="BT382" s="19"/>
      <c r="BU382" s="18">
        <v>978.82352941176475</v>
      </c>
      <c r="BV382" s="18">
        <v>587.52504201680711</v>
      </c>
      <c r="BW382" s="18">
        <v>92.28863096470576</v>
      </c>
      <c r="BX382" s="18">
        <v>604</v>
      </c>
      <c r="BY382" s="18">
        <v>21.000000000000004</v>
      </c>
      <c r="BZ382" s="18">
        <v>56</v>
      </c>
      <c r="CA382" s="18">
        <v>165</v>
      </c>
      <c r="CB382" s="19"/>
      <c r="CC382" s="19">
        <v>0.57999999999999996</v>
      </c>
      <c r="CD382" s="19">
        <v>2.8</v>
      </c>
      <c r="CE382" s="19">
        <v>0.17</v>
      </c>
      <c r="CF382" s="19">
        <v>1.2749999999999997</v>
      </c>
      <c r="CG382" s="19">
        <v>5.0149999999999997</v>
      </c>
      <c r="CH382" s="19">
        <v>0.93500000000000005</v>
      </c>
      <c r="CI382" s="19">
        <v>1.105</v>
      </c>
      <c r="CJ382" s="19"/>
      <c r="CK382" s="19">
        <v>42.5</v>
      </c>
      <c r="CL382" s="19">
        <v>2.8899999999999997</v>
      </c>
      <c r="CM382" s="19">
        <v>12.75</v>
      </c>
      <c r="CN382" s="19">
        <v>24.65</v>
      </c>
      <c r="CO382" s="19">
        <v>0</v>
      </c>
      <c r="CP382" s="19">
        <v>3.4000000000000002E-2</v>
      </c>
      <c r="CQ382" s="19">
        <v>71.461314857142696</v>
      </c>
      <c r="CR382" s="19">
        <v>71.330212798006869</v>
      </c>
      <c r="HM382" s="620">
        <f t="shared" ref="HM382:HU382" si="142">HM12</f>
        <v>0.47300000000000003</v>
      </c>
      <c r="HN382" s="620">
        <f t="shared" si="142"/>
        <v>0.13</v>
      </c>
      <c r="HO382" s="620">
        <f t="shared" si="142"/>
        <v>0.39100000000000001</v>
      </c>
      <c r="HP382" s="620">
        <f t="shared" si="142"/>
        <v>5.5E-2</v>
      </c>
      <c r="HQ382" s="620">
        <f t="shared" si="142"/>
        <v>3.97</v>
      </c>
      <c r="HR382" s="620">
        <f t="shared" si="142"/>
        <v>4.5999999999999999E-3</v>
      </c>
      <c r="HS382" s="620">
        <f t="shared" si="142"/>
        <v>2.73</v>
      </c>
      <c r="HT382" s="620">
        <f t="shared" si="142"/>
        <v>0</v>
      </c>
      <c r="HU382" s="620" t="str">
        <f t="shared" si="142"/>
        <v>offfarm</v>
      </c>
      <c r="HV382" s="22" t="s">
        <v>817</v>
      </c>
      <c r="IB382" s="11">
        <f t="shared" ref="IB382:II382" si="143">IB12</f>
        <v>0.47300000000000003</v>
      </c>
      <c r="IC382" s="11">
        <f t="shared" si="143"/>
        <v>0.13</v>
      </c>
      <c r="ID382" s="11">
        <f t="shared" si="143"/>
        <v>0.39100000000000001</v>
      </c>
      <c r="IE382" s="11">
        <f t="shared" si="143"/>
        <v>5.5E-2</v>
      </c>
      <c r="IF382" s="11">
        <f t="shared" si="143"/>
        <v>3.97</v>
      </c>
      <c r="IG382" s="11">
        <f t="shared" si="143"/>
        <v>4.5999999999999999E-3</v>
      </c>
      <c r="IH382" s="11">
        <f t="shared" si="143"/>
        <v>2.73</v>
      </c>
      <c r="II382" s="11">
        <f t="shared" si="143"/>
        <v>0</v>
      </c>
      <c r="IJ382" s="11" t="s">
        <v>817</v>
      </c>
    </row>
    <row r="383" spans="4:247" x14ac:dyDescent="0.25">
      <c r="D383" s="185" t="s">
        <v>1030</v>
      </c>
      <c r="E383" s="14">
        <v>42678</v>
      </c>
      <c r="F383" s="18">
        <v>0.99579847077041805</v>
      </c>
      <c r="G383" s="18">
        <v>1.0059162100185499</v>
      </c>
      <c r="H383" s="21">
        <v>83.1</v>
      </c>
      <c r="I383" s="21">
        <v>76.000019100000003</v>
      </c>
      <c r="J383" s="21">
        <v>90</v>
      </c>
      <c r="K383" s="18">
        <v>1</v>
      </c>
      <c r="L383" s="18">
        <v>85</v>
      </c>
      <c r="M383" s="18">
        <v>9.5999999999999801</v>
      </c>
      <c r="N383" s="18">
        <v>2.7</v>
      </c>
      <c r="O383" s="18">
        <v>1.8</v>
      </c>
      <c r="P383" s="18">
        <v>4.5999999999999996</v>
      </c>
      <c r="Q383" s="19"/>
      <c r="R383" s="18">
        <v>74.030298214285693</v>
      </c>
      <c r="S383" s="18">
        <v>30</v>
      </c>
      <c r="T383" s="18">
        <v>42</v>
      </c>
      <c r="U383" s="18">
        <v>46</v>
      </c>
      <c r="V383" s="18">
        <v>50</v>
      </c>
      <c r="W383" s="18">
        <v>53</v>
      </c>
      <c r="X383" s="18"/>
      <c r="Y383" s="18">
        <v>0.6823529411764705</v>
      </c>
      <c r="Z383" s="18">
        <v>3.2941176470588234</v>
      </c>
      <c r="AA383" s="18">
        <v>0.2</v>
      </c>
      <c r="AB383" s="18">
        <v>1.4999999999999998</v>
      </c>
      <c r="AC383" s="18">
        <v>5.8999999999999995</v>
      </c>
      <c r="AD383" s="18">
        <v>1.1000000000000001</v>
      </c>
      <c r="AE383" s="18">
        <v>1.3</v>
      </c>
      <c r="AF383" s="18">
        <v>50</v>
      </c>
      <c r="AG383" s="18">
        <v>3.4</v>
      </c>
      <c r="AH383" s="18">
        <v>15</v>
      </c>
      <c r="AI383" s="18">
        <v>29</v>
      </c>
      <c r="AJ383" s="18">
        <v>0</v>
      </c>
      <c r="AK383" s="18">
        <v>0.04</v>
      </c>
      <c r="AL383" s="18"/>
      <c r="AM383" s="18">
        <v>3.7643529411764698</v>
      </c>
      <c r="AN383" s="18">
        <v>1.69952941176471</v>
      </c>
      <c r="AO383" s="18">
        <v>2.3732941176470601</v>
      </c>
      <c r="AP383" s="18">
        <v>3.4342352941176499</v>
      </c>
      <c r="AQ383" s="18">
        <v>1.3221176470588201</v>
      </c>
      <c r="AR383" s="18">
        <v>3.6218823529411801</v>
      </c>
      <c r="AS383" s="18">
        <v>6.8776470588235297</v>
      </c>
      <c r="AT383" s="18">
        <v>2.2824705882352898</v>
      </c>
      <c r="AU383" s="18">
        <v>4.8375294117647103</v>
      </c>
      <c r="AV383" s="18">
        <v>3.21588235294118</v>
      </c>
      <c r="AW383" s="18">
        <v>5.1123529411764697</v>
      </c>
      <c r="AX383" s="18"/>
      <c r="AY383" s="18">
        <v>0.94</v>
      </c>
      <c r="AZ383" s="18">
        <v>1.08</v>
      </c>
      <c r="BA383" s="18">
        <v>1.03</v>
      </c>
      <c r="BB383" s="18">
        <v>0.95</v>
      </c>
      <c r="BC383" s="18">
        <v>0.96</v>
      </c>
      <c r="BD383" s="18">
        <v>1</v>
      </c>
      <c r="BE383" s="18">
        <v>1.01</v>
      </c>
      <c r="BF383" s="18">
        <v>1</v>
      </c>
      <c r="BG383" s="18">
        <v>1.04</v>
      </c>
      <c r="BH383" s="18">
        <v>0.97</v>
      </c>
      <c r="BI383" s="18">
        <v>0.96</v>
      </c>
      <c r="BJ383" s="19"/>
      <c r="BK383" s="18">
        <v>11.294117647058799</v>
      </c>
      <c r="BL383" s="18">
        <v>3.1764705882352939</v>
      </c>
      <c r="BM383" s="18">
        <v>2.1176470588235294</v>
      </c>
      <c r="BN383" s="18">
        <v>5.4117647058823524</v>
      </c>
      <c r="BO383" s="18"/>
      <c r="BP383" s="18">
        <v>120</v>
      </c>
      <c r="BQ383" s="18">
        <v>38.117647058823529</v>
      </c>
      <c r="BR383" s="18">
        <v>1.1715276126710801</v>
      </c>
      <c r="BS383" s="18">
        <v>1.1834308353159411</v>
      </c>
      <c r="BT383" s="19"/>
      <c r="BU383" s="18">
        <v>978.82352941176475</v>
      </c>
      <c r="BV383" s="18">
        <v>580.53344537815065</v>
      </c>
      <c r="BW383" s="18">
        <v>99.280405189915768</v>
      </c>
      <c r="BX383" s="18">
        <v>604</v>
      </c>
      <c r="BY383" s="18">
        <v>21.000000000000004</v>
      </c>
      <c r="BZ383" s="18">
        <v>56</v>
      </c>
      <c r="CA383" s="18">
        <v>165</v>
      </c>
      <c r="CB383" s="19"/>
      <c r="CC383" s="19">
        <v>0.57999999999999996</v>
      </c>
      <c r="CD383" s="19">
        <v>2.8</v>
      </c>
      <c r="CE383" s="19">
        <v>0.17</v>
      </c>
      <c r="CF383" s="19">
        <v>1.2749999999999997</v>
      </c>
      <c r="CG383" s="19">
        <v>5.0149999999999997</v>
      </c>
      <c r="CH383" s="19">
        <v>0.93500000000000005</v>
      </c>
      <c r="CI383" s="19">
        <v>1.105</v>
      </c>
      <c r="CJ383" s="19"/>
      <c r="CK383" s="19">
        <v>42.5</v>
      </c>
      <c r="CL383" s="19">
        <v>2.8899999999999997</v>
      </c>
      <c r="CM383" s="19">
        <v>12.75</v>
      </c>
      <c r="CN383" s="19">
        <v>24.65</v>
      </c>
      <c r="CO383" s="19">
        <v>0</v>
      </c>
      <c r="CP383" s="19">
        <v>3.4000000000000002E-2</v>
      </c>
      <c r="CQ383" s="19">
        <v>71.069086285714306</v>
      </c>
      <c r="CR383" s="19">
        <v>71.368944994191835</v>
      </c>
      <c r="HM383" s="620">
        <f t="shared" ref="HM383:HU383" si="144">HM13</f>
        <v>0.47300000000000003</v>
      </c>
      <c r="HN383" s="620">
        <f t="shared" si="144"/>
        <v>0.13</v>
      </c>
      <c r="HO383" s="620">
        <f t="shared" si="144"/>
        <v>0.39100000000000001</v>
      </c>
      <c r="HP383" s="620">
        <f t="shared" si="144"/>
        <v>5.5E-2</v>
      </c>
      <c r="HQ383" s="620">
        <f t="shared" si="144"/>
        <v>3.97</v>
      </c>
      <c r="HR383" s="620">
        <f t="shared" si="144"/>
        <v>4.5999999999999999E-3</v>
      </c>
      <c r="HS383" s="620">
        <f t="shared" si="144"/>
        <v>2.73</v>
      </c>
      <c r="HT383" s="620">
        <f t="shared" si="144"/>
        <v>0</v>
      </c>
      <c r="HU383" s="620" t="str">
        <f t="shared" si="144"/>
        <v>offfarm</v>
      </c>
      <c r="HV383" s="22" t="s">
        <v>817</v>
      </c>
      <c r="IB383" s="11">
        <f t="shared" ref="IB383:II383" si="145">IB13</f>
        <v>0.47300000000000003</v>
      </c>
      <c r="IC383" s="11">
        <f t="shared" si="145"/>
        <v>0.13</v>
      </c>
      <c r="ID383" s="11">
        <f t="shared" si="145"/>
        <v>0.39100000000000001</v>
      </c>
      <c r="IE383" s="11">
        <f t="shared" si="145"/>
        <v>5.5E-2</v>
      </c>
      <c r="IF383" s="11">
        <f t="shared" si="145"/>
        <v>3.97</v>
      </c>
      <c r="IG383" s="11">
        <f t="shared" si="145"/>
        <v>4.5999999999999999E-3</v>
      </c>
      <c r="IH383" s="11">
        <f t="shared" si="145"/>
        <v>2.73</v>
      </c>
      <c r="II383" s="11">
        <f t="shared" si="145"/>
        <v>0</v>
      </c>
      <c r="IJ383" s="11" t="s">
        <v>817</v>
      </c>
    </row>
    <row r="384" spans="4:247" x14ac:dyDescent="0.25">
      <c r="D384" s="185" t="s">
        <v>1031</v>
      </c>
      <c r="E384" s="14">
        <v>42678</v>
      </c>
      <c r="F384" s="18">
        <v>1.0018379597367399</v>
      </c>
      <c r="G384" s="18">
        <v>1.01016110797773</v>
      </c>
      <c r="H384" s="21">
        <v>83.1</v>
      </c>
      <c r="I384" s="21">
        <v>76.500031800000002</v>
      </c>
      <c r="J384" s="21">
        <v>90</v>
      </c>
      <c r="K384" s="18">
        <v>1</v>
      </c>
      <c r="L384" s="18">
        <v>85</v>
      </c>
      <c r="M384" s="18">
        <v>9.5999999999999801</v>
      </c>
      <c r="N384" s="18">
        <v>2.7</v>
      </c>
      <c r="O384" s="18">
        <v>1.8</v>
      </c>
      <c r="P384" s="18">
        <v>4.5999999999999996</v>
      </c>
      <c r="Q384" s="19"/>
      <c r="R384" s="18">
        <v>74.4388696428571</v>
      </c>
      <c r="S384" s="18">
        <v>30</v>
      </c>
      <c r="T384" s="18">
        <v>42</v>
      </c>
      <c r="U384" s="18">
        <v>46</v>
      </c>
      <c r="V384" s="18">
        <v>50</v>
      </c>
      <c r="W384" s="18">
        <v>53</v>
      </c>
      <c r="X384" s="18"/>
      <c r="Y384" s="18">
        <v>0.6823529411764705</v>
      </c>
      <c r="Z384" s="18">
        <v>3.2941176470588234</v>
      </c>
      <c r="AA384" s="18">
        <v>0.2</v>
      </c>
      <c r="AB384" s="18">
        <v>1.4999999999999998</v>
      </c>
      <c r="AC384" s="18">
        <v>5.8999999999999995</v>
      </c>
      <c r="AD384" s="18">
        <v>1.1000000000000001</v>
      </c>
      <c r="AE384" s="18">
        <v>1.3</v>
      </c>
      <c r="AF384" s="18">
        <v>50</v>
      </c>
      <c r="AG384" s="18">
        <v>3.4</v>
      </c>
      <c r="AH384" s="18">
        <v>15</v>
      </c>
      <c r="AI384" s="18">
        <v>29</v>
      </c>
      <c r="AJ384" s="18">
        <v>0</v>
      </c>
      <c r="AK384" s="18">
        <v>0.04</v>
      </c>
      <c r="AL384" s="18"/>
      <c r="AM384" s="18">
        <v>3.7643529411764698</v>
      </c>
      <c r="AN384" s="18">
        <v>1.69952941176471</v>
      </c>
      <c r="AO384" s="18">
        <v>2.3732941176470601</v>
      </c>
      <c r="AP384" s="18">
        <v>3.4342352941176499</v>
      </c>
      <c r="AQ384" s="18">
        <v>1.3221176470588201</v>
      </c>
      <c r="AR384" s="18">
        <v>3.6218823529411801</v>
      </c>
      <c r="AS384" s="18">
        <v>6.8776470588235297</v>
      </c>
      <c r="AT384" s="18">
        <v>2.2824705882352898</v>
      </c>
      <c r="AU384" s="18">
        <v>4.8375294117647103</v>
      </c>
      <c r="AV384" s="18">
        <v>3.21588235294118</v>
      </c>
      <c r="AW384" s="18">
        <v>5.1123529411764697</v>
      </c>
      <c r="AX384" s="18"/>
      <c r="AY384" s="18">
        <v>0.94</v>
      </c>
      <c r="AZ384" s="18">
        <v>1.08</v>
      </c>
      <c r="BA384" s="18">
        <v>1.03</v>
      </c>
      <c r="BB384" s="18">
        <v>0.95</v>
      </c>
      <c r="BC384" s="18">
        <v>0.96</v>
      </c>
      <c r="BD384" s="18">
        <v>1</v>
      </c>
      <c r="BE384" s="18">
        <v>1.01</v>
      </c>
      <c r="BF384" s="18">
        <v>1</v>
      </c>
      <c r="BG384" s="18">
        <v>1.04</v>
      </c>
      <c r="BH384" s="18">
        <v>0.97</v>
      </c>
      <c r="BI384" s="18">
        <v>0.96</v>
      </c>
      <c r="BJ384" s="19"/>
      <c r="BK384" s="18">
        <v>11.294117647058799</v>
      </c>
      <c r="BL384" s="18">
        <v>3.1764705882352939</v>
      </c>
      <c r="BM384" s="18">
        <v>2.1176470588235294</v>
      </c>
      <c r="BN384" s="18">
        <v>5.4117647058823524</v>
      </c>
      <c r="BO384" s="18"/>
      <c r="BP384" s="18">
        <v>120</v>
      </c>
      <c r="BQ384" s="18">
        <v>38.117647058823529</v>
      </c>
      <c r="BR384" s="18">
        <v>1.1786328938079293</v>
      </c>
      <c r="BS384" s="18">
        <v>1.1884248329149765</v>
      </c>
      <c r="BT384" s="19"/>
      <c r="BU384" s="18">
        <v>978.82352941176475</v>
      </c>
      <c r="BV384" s="18">
        <v>587.52504201680711</v>
      </c>
      <c r="BW384" s="18">
        <v>92.28863096470576</v>
      </c>
      <c r="BX384" s="18">
        <v>604</v>
      </c>
      <c r="BY384" s="18">
        <v>21.000000000000004</v>
      </c>
      <c r="BZ384" s="18">
        <v>56</v>
      </c>
      <c r="CA384" s="18">
        <v>165</v>
      </c>
      <c r="CB384" s="19"/>
      <c r="CC384" s="19">
        <v>0.57999999999999996</v>
      </c>
      <c r="CD384" s="19">
        <v>2.8</v>
      </c>
      <c r="CE384" s="19">
        <v>0.17</v>
      </c>
      <c r="CF384" s="19">
        <v>1.2749999999999997</v>
      </c>
      <c r="CG384" s="19">
        <v>5.0149999999999997</v>
      </c>
      <c r="CH384" s="19">
        <v>0.93500000000000005</v>
      </c>
      <c r="CI384" s="19">
        <v>1.105</v>
      </c>
      <c r="CJ384" s="19"/>
      <c r="CK384" s="19">
        <v>42.5</v>
      </c>
      <c r="CL384" s="19">
        <v>2.8899999999999997</v>
      </c>
      <c r="CM384" s="19">
        <v>12.75</v>
      </c>
      <c r="CN384" s="19">
        <v>24.65</v>
      </c>
      <c r="CO384" s="19">
        <v>0</v>
      </c>
      <c r="CP384" s="19">
        <v>3.4000000000000002E-2</v>
      </c>
      <c r="CQ384" s="19">
        <v>71.461314857142696</v>
      </c>
      <c r="CR384" s="19">
        <v>71.330212798006869</v>
      </c>
      <c r="HM384" s="620">
        <f t="shared" ref="HM384:HU384" si="146">HM14</f>
        <v>0.47300000000000003</v>
      </c>
      <c r="HN384" s="620">
        <f t="shared" si="146"/>
        <v>0.13</v>
      </c>
      <c r="HO384" s="620">
        <f t="shared" si="146"/>
        <v>0.39100000000000001</v>
      </c>
      <c r="HP384" s="620">
        <f t="shared" si="146"/>
        <v>5.5E-2</v>
      </c>
      <c r="HQ384" s="620">
        <f t="shared" si="146"/>
        <v>3.97</v>
      </c>
      <c r="HR384" s="620">
        <f t="shared" si="146"/>
        <v>4.5999999999999999E-3</v>
      </c>
      <c r="HS384" s="620">
        <f t="shared" si="146"/>
        <v>2.73</v>
      </c>
      <c r="HT384" s="620">
        <f t="shared" si="146"/>
        <v>0</v>
      </c>
      <c r="HU384" s="620" t="str">
        <f t="shared" si="146"/>
        <v>offfarm</v>
      </c>
      <c r="HV384" s="22" t="s">
        <v>817</v>
      </c>
      <c r="IB384" s="11">
        <f t="shared" ref="IB384:II384" si="147">IB14</f>
        <v>0.47300000000000003</v>
      </c>
      <c r="IC384" s="11">
        <f t="shared" si="147"/>
        <v>0.13</v>
      </c>
      <c r="ID384" s="11">
        <f t="shared" si="147"/>
        <v>0.39100000000000001</v>
      </c>
      <c r="IE384" s="11">
        <f t="shared" si="147"/>
        <v>5.5E-2</v>
      </c>
      <c r="IF384" s="11">
        <f t="shared" si="147"/>
        <v>3.97</v>
      </c>
      <c r="IG384" s="11">
        <f t="shared" si="147"/>
        <v>4.5999999999999999E-3</v>
      </c>
      <c r="IH384" s="11">
        <f t="shared" si="147"/>
        <v>2.73</v>
      </c>
      <c r="II384" s="11">
        <f t="shared" si="147"/>
        <v>0</v>
      </c>
      <c r="IJ384" s="11" t="s">
        <v>817</v>
      </c>
    </row>
    <row r="385" spans="4:244" x14ac:dyDescent="0.25">
      <c r="D385" s="20" t="s">
        <v>1295</v>
      </c>
      <c r="E385" s="14">
        <v>42678</v>
      </c>
      <c r="F385" s="18">
        <v>1.01015123886953</v>
      </c>
      <c r="G385" s="18">
        <v>1.01742872356215</v>
      </c>
      <c r="H385" s="21">
        <v>83.5</v>
      </c>
      <c r="I385" s="21">
        <v>76.899992999999995</v>
      </c>
      <c r="J385" s="21">
        <v>90</v>
      </c>
      <c r="K385" s="18">
        <v>1</v>
      </c>
      <c r="L385" s="18">
        <v>85</v>
      </c>
      <c r="M385" s="18">
        <v>8.8000000000000096</v>
      </c>
      <c r="N385" s="18">
        <v>2.7</v>
      </c>
      <c r="O385" s="18">
        <v>1.8</v>
      </c>
      <c r="P385" s="18">
        <v>4.5999999999999996</v>
      </c>
      <c r="Q385" s="19"/>
      <c r="R385" s="18">
        <v>73.273821428571395</v>
      </c>
      <c r="S385" s="18">
        <v>39</v>
      </c>
      <c r="T385" s="18">
        <v>47</v>
      </c>
      <c r="U385" s="18">
        <v>50</v>
      </c>
      <c r="V385" s="18">
        <v>52</v>
      </c>
      <c r="W385" s="18">
        <v>54</v>
      </c>
      <c r="X385" s="18"/>
      <c r="Y385" s="18">
        <v>0.6470588235294118</v>
      </c>
      <c r="Z385" s="18">
        <v>3.2941176470588234</v>
      </c>
      <c r="AA385" s="18">
        <v>0.2</v>
      </c>
      <c r="AB385" s="18">
        <v>1.4999999999999998</v>
      </c>
      <c r="AC385" s="18">
        <v>5.8999999999999995</v>
      </c>
      <c r="AD385" s="18">
        <v>1.1000000000000001</v>
      </c>
      <c r="AE385" s="18">
        <v>1.3</v>
      </c>
      <c r="AF385" s="18">
        <v>50</v>
      </c>
      <c r="AG385" s="18">
        <v>3.4</v>
      </c>
      <c r="AH385" s="18">
        <v>15</v>
      </c>
      <c r="AI385" s="18">
        <v>29</v>
      </c>
      <c r="AJ385" s="18">
        <v>0</v>
      </c>
      <c r="AK385" s="18">
        <v>0.04</v>
      </c>
      <c r="AL385" s="18"/>
      <c r="AM385" s="18">
        <v>3.8848235294117601</v>
      </c>
      <c r="AN385" s="18">
        <v>1.73623529411765</v>
      </c>
      <c r="AO385" s="18">
        <v>2.4363529411764699</v>
      </c>
      <c r="AP385" s="18">
        <v>3.5038823529411798</v>
      </c>
      <c r="AQ385" s="18">
        <v>1.3569411764705901</v>
      </c>
      <c r="AR385" s="18">
        <v>3.6350588235294099</v>
      </c>
      <c r="AS385" s="18">
        <v>6.9011764705882301</v>
      </c>
      <c r="AT385" s="18">
        <v>2.3097647058823498</v>
      </c>
      <c r="AU385" s="18">
        <v>4.7302352941176498</v>
      </c>
      <c r="AV385" s="18">
        <v>3.1970588235294102</v>
      </c>
      <c r="AW385" s="18">
        <v>5.1688235294117701</v>
      </c>
      <c r="AX385" s="18"/>
      <c r="AY385" s="18">
        <v>0.93979435610052697</v>
      </c>
      <c r="AZ385" s="18">
        <v>1.0798403419017799</v>
      </c>
      <c r="BA385" s="18">
        <v>1.0298127927627001</v>
      </c>
      <c r="BB385" s="18">
        <v>0.94986810513779896</v>
      </c>
      <c r="BC385" s="18">
        <v>0.95982702731759895</v>
      </c>
      <c r="BD385" s="18">
        <v>0.99997504265898396</v>
      </c>
      <c r="BE385" s="18">
        <v>1.0099762951134501</v>
      </c>
      <c r="BF385" s="18">
        <v>0.99991805051374005</v>
      </c>
      <c r="BG385" s="18">
        <v>1.04015875310616</v>
      </c>
      <c r="BH385" s="18">
        <v>0.97003899612635003</v>
      </c>
      <c r="BI385" s="18">
        <v>0.95992732173874296</v>
      </c>
      <c r="BJ385" s="19"/>
      <c r="BK385" s="18">
        <v>10.352941176470599</v>
      </c>
      <c r="BL385" s="18">
        <v>3.1764705882352939</v>
      </c>
      <c r="BM385" s="18">
        <v>2.1176470588235294</v>
      </c>
      <c r="BN385" s="18">
        <v>5.4117647058823524</v>
      </c>
      <c r="BO385" s="18"/>
      <c r="BP385" s="18">
        <v>120</v>
      </c>
      <c r="BQ385" s="18">
        <v>38.117647058823529</v>
      </c>
      <c r="BR385" s="18">
        <v>1.188413222199447</v>
      </c>
      <c r="BS385" s="18">
        <v>1.1969749688966471</v>
      </c>
      <c r="BT385" s="19"/>
      <c r="BU385" s="18">
        <v>978.82352941176475</v>
      </c>
      <c r="BV385" s="18">
        <v>600.00504201680712</v>
      </c>
      <c r="BW385" s="18">
        <v>92.289173512605046</v>
      </c>
      <c r="BX385" s="18">
        <v>604</v>
      </c>
      <c r="BY385" s="18">
        <v>21.000000000000004</v>
      </c>
      <c r="BZ385" s="18">
        <v>56</v>
      </c>
      <c r="CA385" s="18">
        <v>165</v>
      </c>
      <c r="CB385" s="19"/>
      <c r="CC385" s="19">
        <v>0.55000000000000004</v>
      </c>
      <c r="CD385" s="19">
        <v>2.8</v>
      </c>
      <c r="CE385" s="19">
        <v>0.17</v>
      </c>
      <c r="CF385" s="19">
        <v>1.2749999999999997</v>
      </c>
      <c r="CG385" s="19">
        <v>5.0149999999999997</v>
      </c>
      <c r="CH385" s="19">
        <v>0.93500000000000005</v>
      </c>
      <c r="CI385" s="19">
        <v>1.105</v>
      </c>
      <c r="CJ385" s="19"/>
      <c r="CK385" s="19">
        <v>42.5</v>
      </c>
      <c r="CL385" s="19">
        <v>2.8899999999999997</v>
      </c>
      <c r="CM385" s="19">
        <v>12.75</v>
      </c>
      <c r="CN385" s="19">
        <v>24.65</v>
      </c>
      <c r="CO385" s="19">
        <v>0</v>
      </c>
      <c r="CP385" s="19">
        <v>3.4000000000000002E-2</v>
      </c>
      <c r="CQ385" s="19">
        <v>64.480962857142799</v>
      </c>
      <c r="CR385" s="19">
        <v>63.832979039162559</v>
      </c>
      <c r="HM385" s="620">
        <f t="shared" ref="HM385:HU385" si="148">HM15</f>
        <v>0.47300000000000003</v>
      </c>
      <c r="HN385" s="620">
        <f t="shared" si="148"/>
        <v>0.13</v>
      </c>
      <c r="HO385" s="620">
        <f t="shared" si="148"/>
        <v>0.39100000000000001</v>
      </c>
      <c r="HP385" s="620">
        <f t="shared" si="148"/>
        <v>5.5E-2</v>
      </c>
      <c r="HQ385" s="620">
        <f t="shared" si="148"/>
        <v>3.97</v>
      </c>
      <c r="HR385" s="620">
        <f t="shared" si="148"/>
        <v>4.5999999999999999E-3</v>
      </c>
      <c r="HS385" s="620">
        <f t="shared" si="148"/>
        <v>2.73</v>
      </c>
      <c r="HT385" s="620">
        <f t="shared" si="148"/>
        <v>0</v>
      </c>
      <c r="HU385" s="620" t="str">
        <f t="shared" si="148"/>
        <v>offfarm</v>
      </c>
      <c r="HV385" s="22" t="s">
        <v>817</v>
      </c>
      <c r="IB385" s="11">
        <f t="shared" ref="IB385:II385" si="149">IB15</f>
        <v>0.47300000000000003</v>
      </c>
      <c r="IC385" s="11">
        <f t="shared" si="149"/>
        <v>0.13</v>
      </c>
      <c r="ID385" s="11">
        <f t="shared" si="149"/>
        <v>0.39100000000000001</v>
      </c>
      <c r="IE385" s="11">
        <f t="shared" si="149"/>
        <v>5.5E-2</v>
      </c>
      <c r="IF385" s="11">
        <f t="shared" si="149"/>
        <v>3.97</v>
      </c>
      <c r="IG385" s="11">
        <f t="shared" si="149"/>
        <v>4.5999999999999999E-3</v>
      </c>
      <c r="IH385" s="11">
        <f t="shared" si="149"/>
        <v>2.73</v>
      </c>
      <c r="II385" s="11">
        <f t="shared" si="149"/>
        <v>0</v>
      </c>
      <c r="IJ385" s="11" t="s">
        <v>817</v>
      </c>
    </row>
    <row r="386" spans="4:244" x14ac:dyDescent="0.25">
      <c r="D386" s="20" t="s">
        <v>1032</v>
      </c>
      <c r="E386" s="14">
        <v>42678</v>
      </c>
      <c r="F386" s="18">
        <v>1.01619072783585</v>
      </c>
      <c r="G386" s="18">
        <v>1.02167362152134</v>
      </c>
      <c r="H386" s="21">
        <v>83.5</v>
      </c>
      <c r="I386" s="21">
        <v>77.399991</v>
      </c>
      <c r="J386" s="21">
        <v>90</v>
      </c>
      <c r="K386" s="18">
        <v>1</v>
      </c>
      <c r="L386" s="18">
        <v>85</v>
      </c>
      <c r="M386" s="18">
        <v>8.8000000000000096</v>
      </c>
      <c r="N386" s="18">
        <v>2.7</v>
      </c>
      <c r="O386" s="18">
        <v>1.8</v>
      </c>
      <c r="P386" s="18">
        <v>4.5999999999999996</v>
      </c>
      <c r="Q386" s="19"/>
      <c r="R386" s="18">
        <v>73.719535714285698</v>
      </c>
      <c r="S386" s="18">
        <v>39</v>
      </c>
      <c r="T386" s="18">
        <v>47</v>
      </c>
      <c r="U386" s="18">
        <v>50</v>
      </c>
      <c r="V386" s="18">
        <v>52</v>
      </c>
      <c r="W386" s="18">
        <v>54</v>
      </c>
      <c r="X386" s="18"/>
      <c r="Y386" s="18">
        <v>0.6470588235294118</v>
      </c>
      <c r="Z386" s="18">
        <v>3.2941176470588234</v>
      </c>
      <c r="AA386" s="18">
        <v>0.2</v>
      </c>
      <c r="AB386" s="18">
        <v>1.4999999999999998</v>
      </c>
      <c r="AC386" s="18">
        <v>5.8999999999999995</v>
      </c>
      <c r="AD386" s="18">
        <v>1.1000000000000001</v>
      </c>
      <c r="AE386" s="18">
        <v>1.3</v>
      </c>
      <c r="AF386" s="18">
        <v>50</v>
      </c>
      <c r="AG386" s="18">
        <v>3.4</v>
      </c>
      <c r="AH386" s="18">
        <v>15</v>
      </c>
      <c r="AI386" s="18">
        <v>29</v>
      </c>
      <c r="AJ386" s="18">
        <v>0</v>
      </c>
      <c r="AK386" s="18">
        <v>0.04</v>
      </c>
      <c r="AL386" s="18"/>
      <c r="AM386" s="18">
        <v>3.8848235294117601</v>
      </c>
      <c r="AN386" s="18">
        <v>1.73623529411765</v>
      </c>
      <c r="AO386" s="18">
        <v>2.4363529411764699</v>
      </c>
      <c r="AP386" s="18">
        <v>3.5038823529411798</v>
      </c>
      <c r="AQ386" s="18">
        <v>1.3569411764705901</v>
      </c>
      <c r="AR386" s="18">
        <v>3.6350588235294099</v>
      </c>
      <c r="AS386" s="18">
        <v>6.9011764705882301</v>
      </c>
      <c r="AT386" s="18">
        <v>2.3097647058823498</v>
      </c>
      <c r="AU386" s="18">
        <v>4.7302352941176498</v>
      </c>
      <c r="AV386" s="18">
        <v>3.1970588235294102</v>
      </c>
      <c r="AW386" s="18">
        <v>5.1688235294117701</v>
      </c>
      <c r="AX386" s="18"/>
      <c r="AY386" s="18">
        <v>0.93979435610052697</v>
      </c>
      <c r="AZ386" s="18">
        <v>1.0798403419017799</v>
      </c>
      <c r="BA386" s="18">
        <v>1.0298127927627001</v>
      </c>
      <c r="BB386" s="18">
        <v>0.94986810513779896</v>
      </c>
      <c r="BC386" s="18">
        <v>0.95982702731759895</v>
      </c>
      <c r="BD386" s="18">
        <v>0.99997504265898396</v>
      </c>
      <c r="BE386" s="18">
        <v>1.0099762951134501</v>
      </c>
      <c r="BF386" s="18">
        <v>0.99991805051374005</v>
      </c>
      <c r="BG386" s="18">
        <v>1.04015875310616</v>
      </c>
      <c r="BH386" s="18">
        <v>0.97003899612635003</v>
      </c>
      <c r="BI386" s="18">
        <v>0.95992732173874296</v>
      </c>
      <c r="BJ386" s="19"/>
      <c r="BK386" s="18">
        <v>10.352941176470599</v>
      </c>
      <c r="BL386" s="18">
        <v>3.1764705882352939</v>
      </c>
      <c r="BM386" s="18">
        <v>2.1176470588235294</v>
      </c>
      <c r="BN386" s="18">
        <v>5.4117647058823524</v>
      </c>
      <c r="BO386" s="18"/>
      <c r="BP386" s="18">
        <v>120</v>
      </c>
      <c r="BQ386" s="18">
        <v>38.117647058823529</v>
      </c>
      <c r="BR386" s="18">
        <v>1.1955185033362941</v>
      </c>
      <c r="BS386" s="18">
        <v>1.2019689664956941</v>
      </c>
      <c r="BT386" s="19"/>
      <c r="BU386" s="18">
        <v>978.82352941176475</v>
      </c>
      <c r="BV386" s="18">
        <v>606.99663865546245</v>
      </c>
      <c r="BW386" s="18">
        <v>85.297604840336362</v>
      </c>
      <c r="BX386" s="18">
        <v>604</v>
      </c>
      <c r="BY386" s="18">
        <v>21.000000000000004</v>
      </c>
      <c r="BZ386" s="18">
        <v>56</v>
      </c>
      <c r="CA386" s="18">
        <v>165</v>
      </c>
      <c r="CB386" s="19"/>
      <c r="CC386" s="19">
        <v>0.55000000000000004</v>
      </c>
      <c r="CD386" s="19">
        <v>2.8</v>
      </c>
      <c r="CE386" s="19">
        <v>0.17</v>
      </c>
      <c r="CF386" s="19">
        <v>1.2749999999999997</v>
      </c>
      <c r="CG386" s="19">
        <v>5.0149999999999997</v>
      </c>
      <c r="CH386" s="19">
        <v>0.93500000000000005</v>
      </c>
      <c r="CI386" s="19">
        <v>1.105</v>
      </c>
      <c r="CJ386" s="19"/>
      <c r="CK386" s="19">
        <v>42.5</v>
      </c>
      <c r="CL386" s="19">
        <v>2.8899999999999997</v>
      </c>
      <c r="CM386" s="19">
        <v>12.75</v>
      </c>
      <c r="CN386" s="19">
        <v>24.65</v>
      </c>
      <c r="CO386" s="19">
        <v>0</v>
      </c>
      <c r="CP386" s="19">
        <v>3.4000000000000002E-2</v>
      </c>
      <c r="CQ386" s="19">
        <v>64.873191428571502</v>
      </c>
      <c r="CR386" s="19">
        <v>63.839582129163823</v>
      </c>
      <c r="HM386" s="620">
        <f t="shared" ref="HM386:HU386" si="150">HM16</f>
        <v>0.47300000000000003</v>
      </c>
      <c r="HN386" s="620">
        <f t="shared" si="150"/>
        <v>0.13</v>
      </c>
      <c r="HO386" s="620">
        <f t="shared" si="150"/>
        <v>0.39100000000000001</v>
      </c>
      <c r="HP386" s="620">
        <f t="shared" si="150"/>
        <v>5.5E-2</v>
      </c>
      <c r="HQ386" s="620">
        <f t="shared" si="150"/>
        <v>3.97</v>
      </c>
      <c r="HR386" s="620">
        <f t="shared" si="150"/>
        <v>4.5999999999999999E-3</v>
      </c>
      <c r="HS386" s="620">
        <f t="shared" si="150"/>
        <v>2.73</v>
      </c>
      <c r="HT386" s="620">
        <f t="shared" si="150"/>
        <v>0</v>
      </c>
      <c r="HU386" s="620" t="str">
        <f t="shared" si="150"/>
        <v>offfarm</v>
      </c>
      <c r="HV386" s="22" t="s">
        <v>817</v>
      </c>
      <c r="IB386" s="11">
        <f t="shared" ref="IB386:II386" si="151">IB16</f>
        <v>0.47300000000000003</v>
      </c>
      <c r="IC386" s="11">
        <f t="shared" si="151"/>
        <v>0.13</v>
      </c>
      <c r="ID386" s="11">
        <f t="shared" si="151"/>
        <v>0.39100000000000001</v>
      </c>
      <c r="IE386" s="11">
        <f t="shared" si="151"/>
        <v>5.5E-2</v>
      </c>
      <c r="IF386" s="11">
        <f t="shared" si="151"/>
        <v>3.97</v>
      </c>
      <c r="IG386" s="11">
        <f t="shared" si="151"/>
        <v>4.5999999999999999E-3</v>
      </c>
      <c r="IH386" s="11">
        <f t="shared" si="151"/>
        <v>2.73</v>
      </c>
      <c r="II386" s="11">
        <f t="shared" si="151"/>
        <v>0</v>
      </c>
      <c r="IJ386" s="11" t="s">
        <v>817</v>
      </c>
    </row>
    <row r="387" spans="4:244" x14ac:dyDescent="0.25">
      <c r="D387" s="185" t="s">
        <v>1033</v>
      </c>
      <c r="E387" s="14">
        <v>42678</v>
      </c>
      <c r="F387" s="18">
        <v>1.01015123886953</v>
      </c>
      <c r="G387" s="18">
        <v>1.01742872356215</v>
      </c>
      <c r="H387" s="21">
        <v>83.5</v>
      </c>
      <c r="I387" s="21">
        <v>76.899992999999995</v>
      </c>
      <c r="J387" s="21">
        <v>90</v>
      </c>
      <c r="K387" s="18">
        <v>1</v>
      </c>
      <c r="L387" s="18">
        <v>85</v>
      </c>
      <c r="M387" s="18">
        <v>8.8000000000000096</v>
      </c>
      <c r="N387" s="18">
        <v>2.7</v>
      </c>
      <c r="O387" s="18">
        <v>1.8</v>
      </c>
      <c r="P387" s="18">
        <v>4.5999999999999996</v>
      </c>
      <c r="Q387" s="19"/>
      <c r="R387" s="18">
        <v>73.273821428571395</v>
      </c>
      <c r="S387" s="18">
        <v>30</v>
      </c>
      <c r="T387" s="18">
        <v>42</v>
      </c>
      <c r="U387" s="18">
        <v>46</v>
      </c>
      <c r="V387" s="18">
        <v>50</v>
      </c>
      <c r="W387" s="18">
        <v>53</v>
      </c>
      <c r="X387" s="18"/>
      <c r="Y387" s="18">
        <v>0.6470588235294118</v>
      </c>
      <c r="Z387" s="18">
        <v>3.2941176470588234</v>
      </c>
      <c r="AA387" s="18">
        <v>0.2</v>
      </c>
      <c r="AB387" s="18">
        <v>1.4999999999999998</v>
      </c>
      <c r="AC387" s="18">
        <v>5.8999999999999995</v>
      </c>
      <c r="AD387" s="18">
        <v>1.1000000000000001</v>
      </c>
      <c r="AE387" s="18">
        <v>1.3</v>
      </c>
      <c r="AF387" s="18">
        <v>50</v>
      </c>
      <c r="AG387" s="18">
        <v>3.4</v>
      </c>
      <c r="AH387" s="18">
        <v>15</v>
      </c>
      <c r="AI387" s="18">
        <v>29</v>
      </c>
      <c r="AJ387" s="18">
        <v>0</v>
      </c>
      <c r="AK387" s="18">
        <v>0.04</v>
      </c>
      <c r="AL387" s="18"/>
      <c r="AM387" s="18">
        <v>3.8848235294117601</v>
      </c>
      <c r="AN387" s="18">
        <v>1.73623529411765</v>
      </c>
      <c r="AO387" s="18">
        <v>2.4363529411764699</v>
      </c>
      <c r="AP387" s="18">
        <v>3.5038823529411798</v>
      </c>
      <c r="AQ387" s="18">
        <v>1.3569411764705901</v>
      </c>
      <c r="AR387" s="18">
        <v>3.6350588235294099</v>
      </c>
      <c r="AS387" s="18">
        <v>6.9011764705882301</v>
      </c>
      <c r="AT387" s="18">
        <v>2.3097647058823498</v>
      </c>
      <c r="AU387" s="18">
        <v>4.7302352941176498</v>
      </c>
      <c r="AV387" s="18">
        <v>3.1970588235294102</v>
      </c>
      <c r="AW387" s="18">
        <v>5.1688235294117701</v>
      </c>
      <c r="AX387" s="18"/>
      <c r="AY387" s="18">
        <v>0.94</v>
      </c>
      <c r="AZ387" s="18">
        <v>1.08</v>
      </c>
      <c r="BA387" s="18">
        <v>1.03</v>
      </c>
      <c r="BB387" s="18">
        <v>0.95</v>
      </c>
      <c r="BC387" s="18">
        <v>0.96</v>
      </c>
      <c r="BD387" s="18">
        <v>1</v>
      </c>
      <c r="BE387" s="18">
        <v>1.01</v>
      </c>
      <c r="BF387" s="18">
        <v>1</v>
      </c>
      <c r="BG387" s="18">
        <v>1.04</v>
      </c>
      <c r="BH387" s="18">
        <v>0.97</v>
      </c>
      <c r="BI387" s="18">
        <v>0.96</v>
      </c>
      <c r="BJ387" s="19"/>
      <c r="BK387" s="18">
        <v>10.352941176470599</v>
      </c>
      <c r="BL387" s="18">
        <v>3.1764705882352939</v>
      </c>
      <c r="BM387" s="18">
        <v>2.1176470588235294</v>
      </c>
      <c r="BN387" s="18">
        <v>5.4117647058823524</v>
      </c>
      <c r="BO387" s="18"/>
      <c r="BP387" s="18">
        <v>120</v>
      </c>
      <c r="BQ387" s="18">
        <v>38.117647058823529</v>
      </c>
      <c r="BR387" s="18">
        <v>1.188413222199447</v>
      </c>
      <c r="BS387" s="18">
        <v>1.1969749688966471</v>
      </c>
      <c r="BT387" s="19"/>
      <c r="BU387" s="18">
        <v>978.82352941176475</v>
      </c>
      <c r="BV387" s="18">
        <v>600.00504201680712</v>
      </c>
      <c r="BW387" s="18">
        <v>92.289173512605046</v>
      </c>
      <c r="BX387" s="18">
        <v>604</v>
      </c>
      <c r="BY387" s="18">
        <v>21.000000000000004</v>
      </c>
      <c r="BZ387" s="18">
        <v>56</v>
      </c>
      <c r="CA387" s="18">
        <v>165</v>
      </c>
      <c r="CB387" s="19"/>
      <c r="CC387" s="19">
        <v>0.55000000000000004</v>
      </c>
      <c r="CD387" s="19">
        <v>2.8</v>
      </c>
      <c r="CE387" s="19">
        <v>0.17</v>
      </c>
      <c r="CF387" s="19">
        <v>1.2749999999999997</v>
      </c>
      <c r="CG387" s="19">
        <v>5.0149999999999997</v>
      </c>
      <c r="CH387" s="19">
        <v>0.93500000000000005</v>
      </c>
      <c r="CI387" s="19">
        <v>1.105</v>
      </c>
      <c r="CJ387" s="19"/>
      <c r="CK387" s="19">
        <v>42.5</v>
      </c>
      <c r="CL387" s="19">
        <v>2.8899999999999997</v>
      </c>
      <c r="CM387" s="19">
        <v>12.75</v>
      </c>
      <c r="CN387" s="19">
        <v>24.65</v>
      </c>
      <c r="CO387" s="19">
        <v>0</v>
      </c>
      <c r="CP387" s="19">
        <v>3.4000000000000002E-2</v>
      </c>
      <c r="CQ387" s="19">
        <v>64.480962857142799</v>
      </c>
      <c r="CR387" s="19">
        <v>63.832979039162559</v>
      </c>
      <c r="HM387" s="620">
        <f t="shared" ref="HM387:HU387" si="152">HM17</f>
        <v>0.47300000000000003</v>
      </c>
      <c r="HN387" s="620">
        <f t="shared" si="152"/>
        <v>0.13</v>
      </c>
      <c r="HO387" s="620">
        <f t="shared" si="152"/>
        <v>0.39100000000000001</v>
      </c>
      <c r="HP387" s="620">
        <f t="shared" si="152"/>
        <v>5.5E-2</v>
      </c>
      <c r="HQ387" s="620">
        <f t="shared" si="152"/>
        <v>3.97</v>
      </c>
      <c r="HR387" s="620">
        <f t="shared" si="152"/>
        <v>4.5999999999999999E-3</v>
      </c>
      <c r="HS387" s="620">
        <f t="shared" si="152"/>
        <v>2.73</v>
      </c>
      <c r="HT387" s="620">
        <f t="shared" si="152"/>
        <v>0</v>
      </c>
      <c r="HU387" s="620" t="str">
        <f t="shared" si="152"/>
        <v>offfarm</v>
      </c>
      <c r="HV387" s="22" t="s">
        <v>817</v>
      </c>
      <c r="IB387" s="11">
        <f t="shared" ref="IB387:II387" si="153">IB17</f>
        <v>0.47300000000000003</v>
      </c>
      <c r="IC387" s="11">
        <f t="shared" si="153"/>
        <v>0.13</v>
      </c>
      <c r="ID387" s="11">
        <f t="shared" si="153"/>
        <v>0.39100000000000001</v>
      </c>
      <c r="IE387" s="11">
        <f t="shared" si="153"/>
        <v>5.5E-2</v>
      </c>
      <c r="IF387" s="11">
        <f t="shared" si="153"/>
        <v>3.97</v>
      </c>
      <c r="IG387" s="11">
        <f t="shared" si="153"/>
        <v>4.5999999999999999E-3</v>
      </c>
      <c r="IH387" s="11">
        <f t="shared" si="153"/>
        <v>2.73</v>
      </c>
      <c r="II387" s="11">
        <f t="shared" si="153"/>
        <v>0</v>
      </c>
      <c r="IJ387" s="11" t="s">
        <v>817</v>
      </c>
    </row>
    <row r="388" spans="4:244" x14ac:dyDescent="0.25">
      <c r="D388" s="185" t="s">
        <v>1034</v>
      </c>
      <c r="E388" s="14">
        <v>42678</v>
      </c>
      <c r="F388" s="18">
        <v>1.01619072783585</v>
      </c>
      <c r="G388" s="18">
        <v>1.02167362152134</v>
      </c>
      <c r="H388" s="21">
        <v>83.5</v>
      </c>
      <c r="I388" s="21">
        <v>77.399991</v>
      </c>
      <c r="J388" s="21">
        <v>90</v>
      </c>
      <c r="K388" s="18">
        <v>1</v>
      </c>
      <c r="L388" s="18">
        <v>85</v>
      </c>
      <c r="M388" s="18">
        <v>8.8000000000000096</v>
      </c>
      <c r="N388" s="18">
        <v>2.7</v>
      </c>
      <c r="O388" s="18">
        <v>1.8</v>
      </c>
      <c r="P388" s="18">
        <v>4.5999999999999996</v>
      </c>
      <c r="Q388" s="19"/>
      <c r="R388" s="18">
        <v>73.719535714285698</v>
      </c>
      <c r="S388" s="18">
        <v>30</v>
      </c>
      <c r="T388" s="18">
        <v>42</v>
      </c>
      <c r="U388" s="18">
        <v>46</v>
      </c>
      <c r="V388" s="18">
        <v>50</v>
      </c>
      <c r="W388" s="18">
        <v>53</v>
      </c>
      <c r="X388" s="18"/>
      <c r="Y388" s="18">
        <v>0.6470588235294118</v>
      </c>
      <c r="Z388" s="18">
        <v>3.2941176470588234</v>
      </c>
      <c r="AA388" s="18">
        <v>0.2</v>
      </c>
      <c r="AB388" s="18">
        <v>1.4999999999999998</v>
      </c>
      <c r="AC388" s="18">
        <v>5.8999999999999995</v>
      </c>
      <c r="AD388" s="18">
        <v>1.1000000000000001</v>
      </c>
      <c r="AE388" s="18">
        <v>1.3</v>
      </c>
      <c r="AF388" s="18">
        <v>50</v>
      </c>
      <c r="AG388" s="18">
        <v>3.4</v>
      </c>
      <c r="AH388" s="18">
        <v>15</v>
      </c>
      <c r="AI388" s="18">
        <v>29</v>
      </c>
      <c r="AJ388" s="18">
        <v>0</v>
      </c>
      <c r="AK388" s="18">
        <v>0.04</v>
      </c>
      <c r="AL388" s="18"/>
      <c r="AM388" s="18">
        <v>3.8848235294117601</v>
      </c>
      <c r="AN388" s="18">
        <v>1.73623529411765</v>
      </c>
      <c r="AO388" s="18">
        <v>2.4363529411764699</v>
      </c>
      <c r="AP388" s="18">
        <v>3.5038823529411798</v>
      </c>
      <c r="AQ388" s="18">
        <v>1.3569411764705901</v>
      </c>
      <c r="AR388" s="18">
        <v>3.6350588235294099</v>
      </c>
      <c r="AS388" s="18">
        <v>6.9011764705882301</v>
      </c>
      <c r="AT388" s="18">
        <v>2.3097647058823498</v>
      </c>
      <c r="AU388" s="18">
        <v>4.7302352941176498</v>
      </c>
      <c r="AV388" s="18">
        <v>3.1970588235294102</v>
      </c>
      <c r="AW388" s="18">
        <v>5.1688235294117701</v>
      </c>
      <c r="AX388" s="18"/>
      <c r="AY388" s="18">
        <v>0.94</v>
      </c>
      <c r="AZ388" s="18">
        <v>1.08</v>
      </c>
      <c r="BA388" s="18">
        <v>1.03</v>
      </c>
      <c r="BB388" s="18">
        <v>0.95</v>
      </c>
      <c r="BC388" s="18">
        <v>0.96</v>
      </c>
      <c r="BD388" s="18">
        <v>1</v>
      </c>
      <c r="BE388" s="18">
        <v>1.01</v>
      </c>
      <c r="BF388" s="18">
        <v>1</v>
      </c>
      <c r="BG388" s="18">
        <v>1.04</v>
      </c>
      <c r="BH388" s="18">
        <v>0.97</v>
      </c>
      <c r="BI388" s="18">
        <v>0.96</v>
      </c>
      <c r="BJ388" s="19"/>
      <c r="BK388" s="18">
        <v>10.352941176470599</v>
      </c>
      <c r="BL388" s="18">
        <v>3.1764705882352939</v>
      </c>
      <c r="BM388" s="18">
        <v>2.1176470588235294</v>
      </c>
      <c r="BN388" s="18">
        <v>5.4117647058823524</v>
      </c>
      <c r="BO388" s="18"/>
      <c r="BP388" s="18">
        <v>120</v>
      </c>
      <c r="BQ388" s="18">
        <v>38.117647058823529</v>
      </c>
      <c r="BR388" s="18">
        <v>1.1955185033362941</v>
      </c>
      <c r="BS388" s="18">
        <v>1.2019689664956941</v>
      </c>
      <c r="BT388" s="19"/>
      <c r="BU388" s="18">
        <v>978.82352941176475</v>
      </c>
      <c r="BV388" s="18">
        <v>606.99663865546245</v>
      </c>
      <c r="BW388" s="18">
        <v>85.297604840336362</v>
      </c>
      <c r="BX388" s="18">
        <v>604</v>
      </c>
      <c r="BY388" s="18">
        <v>21.000000000000004</v>
      </c>
      <c r="BZ388" s="18">
        <v>56</v>
      </c>
      <c r="CA388" s="18">
        <v>165</v>
      </c>
      <c r="CB388" s="19"/>
      <c r="CC388" s="19">
        <v>0.55000000000000004</v>
      </c>
      <c r="CD388" s="19">
        <v>2.8</v>
      </c>
      <c r="CE388" s="19">
        <v>0.17</v>
      </c>
      <c r="CF388" s="19">
        <v>1.2749999999999997</v>
      </c>
      <c r="CG388" s="19">
        <v>5.0149999999999997</v>
      </c>
      <c r="CH388" s="19">
        <v>0.93500000000000005</v>
      </c>
      <c r="CI388" s="19">
        <v>1.105</v>
      </c>
      <c r="CJ388" s="19"/>
      <c r="CK388" s="19">
        <v>42.5</v>
      </c>
      <c r="CL388" s="19">
        <v>2.8899999999999997</v>
      </c>
      <c r="CM388" s="19">
        <v>12.75</v>
      </c>
      <c r="CN388" s="19">
        <v>24.65</v>
      </c>
      <c r="CO388" s="19">
        <v>0</v>
      </c>
      <c r="CP388" s="19">
        <v>3.4000000000000002E-2</v>
      </c>
      <c r="CQ388" s="19">
        <v>64.873191428571502</v>
      </c>
      <c r="CR388" s="19">
        <v>63.839582129163823</v>
      </c>
      <c r="HM388" s="620">
        <f t="shared" ref="HM388:HU388" si="154">HM18</f>
        <v>0.47300000000000003</v>
      </c>
      <c r="HN388" s="620">
        <f t="shared" si="154"/>
        <v>0.13</v>
      </c>
      <c r="HO388" s="620">
        <f t="shared" si="154"/>
        <v>0.39100000000000001</v>
      </c>
      <c r="HP388" s="620">
        <f t="shared" si="154"/>
        <v>5.5E-2</v>
      </c>
      <c r="HQ388" s="620">
        <f t="shared" si="154"/>
        <v>3.97</v>
      </c>
      <c r="HR388" s="620">
        <f t="shared" si="154"/>
        <v>4.5999999999999999E-3</v>
      </c>
      <c r="HS388" s="620">
        <f t="shared" si="154"/>
        <v>2.73</v>
      </c>
      <c r="HT388" s="620">
        <f t="shared" si="154"/>
        <v>0</v>
      </c>
      <c r="HU388" s="620" t="str">
        <f t="shared" si="154"/>
        <v>offfarm</v>
      </c>
      <c r="HV388" s="22" t="s">
        <v>817</v>
      </c>
      <c r="IB388" s="11">
        <f t="shared" ref="IB388:II388" si="155">IB18</f>
        <v>0.47300000000000003</v>
      </c>
      <c r="IC388" s="11">
        <f t="shared" si="155"/>
        <v>0.13</v>
      </c>
      <c r="ID388" s="11">
        <f t="shared" si="155"/>
        <v>0.39100000000000001</v>
      </c>
      <c r="IE388" s="11">
        <f t="shared" si="155"/>
        <v>5.5E-2</v>
      </c>
      <c r="IF388" s="11">
        <f t="shared" si="155"/>
        <v>3.97</v>
      </c>
      <c r="IG388" s="11">
        <f t="shared" si="155"/>
        <v>4.5999999999999999E-3</v>
      </c>
      <c r="IH388" s="11">
        <f t="shared" si="155"/>
        <v>2.73</v>
      </c>
      <c r="II388" s="11">
        <f t="shared" si="155"/>
        <v>0</v>
      </c>
      <c r="IJ388" s="11" t="s">
        <v>817</v>
      </c>
    </row>
    <row r="389" spans="4:244" x14ac:dyDescent="0.25">
      <c r="D389" s="20" t="s">
        <v>1028</v>
      </c>
      <c r="E389" s="14">
        <v>42303</v>
      </c>
      <c r="F389" s="18">
        <v>1.0060675958188201</v>
      </c>
      <c r="G389" s="18">
        <v>1.0136717387755101</v>
      </c>
      <c r="H389" s="21">
        <v>83.2</v>
      </c>
      <c r="I389" s="21">
        <v>76.7</v>
      </c>
      <c r="J389" s="21">
        <v>90</v>
      </c>
      <c r="K389" s="18">
        <v>1</v>
      </c>
      <c r="L389" s="18">
        <v>85</v>
      </c>
      <c r="M389" s="18">
        <v>8.4</v>
      </c>
      <c r="N389" s="18">
        <v>2.7</v>
      </c>
      <c r="O389" s="18">
        <v>1.9</v>
      </c>
      <c r="P389" s="18">
        <v>4.5999999999999996</v>
      </c>
      <c r="Q389" s="19"/>
      <c r="R389" s="18">
        <v>72.371534693877607</v>
      </c>
      <c r="S389" s="18">
        <v>39</v>
      </c>
      <c r="T389" s="18">
        <v>47</v>
      </c>
      <c r="U389" s="18">
        <v>50</v>
      </c>
      <c r="V389" s="18">
        <v>52</v>
      </c>
      <c r="W389" s="18">
        <v>54</v>
      </c>
      <c r="X389" s="18"/>
      <c r="Y389" s="18">
        <v>0.71764705882352942</v>
      </c>
      <c r="Z389" s="18">
        <v>3.4117647058823528</v>
      </c>
      <c r="AA389" s="18">
        <v>0.2</v>
      </c>
      <c r="AB389" s="18">
        <v>1.4999999999999998</v>
      </c>
      <c r="AC389" s="18">
        <v>5.8999999999999995</v>
      </c>
      <c r="AD389" s="18">
        <v>1.1000000000000001</v>
      </c>
      <c r="AE389" s="18">
        <v>1.3</v>
      </c>
      <c r="AF389" s="18">
        <v>50</v>
      </c>
      <c r="AG389" s="18">
        <v>3.4</v>
      </c>
      <c r="AH389" s="18">
        <v>15</v>
      </c>
      <c r="AI389" s="18">
        <v>29</v>
      </c>
      <c r="AJ389" s="18">
        <v>0</v>
      </c>
      <c r="AK389" s="18">
        <v>0.04</v>
      </c>
      <c r="AL389" s="18"/>
      <c r="AM389" s="18">
        <v>3.94505882352941</v>
      </c>
      <c r="AN389" s="18">
        <v>1.75458823529412</v>
      </c>
      <c r="AO389" s="18">
        <v>2.4678823529411802</v>
      </c>
      <c r="AP389" s="18">
        <v>3.5387058823529398</v>
      </c>
      <c r="AQ389" s="18">
        <v>1.3743529411764701</v>
      </c>
      <c r="AR389" s="18">
        <v>3.6416470588235299</v>
      </c>
      <c r="AS389" s="18">
        <v>6.9129411764705901</v>
      </c>
      <c r="AT389" s="18">
        <v>2.3234117647058801</v>
      </c>
      <c r="AU389" s="18">
        <v>4.6765882352941199</v>
      </c>
      <c r="AV389" s="18">
        <v>3.1876470588235302</v>
      </c>
      <c r="AW389" s="18">
        <v>5.1970588235294102</v>
      </c>
      <c r="AX389" s="18"/>
      <c r="AY389" s="18">
        <v>0.94</v>
      </c>
      <c r="AZ389" s="18">
        <v>1.08</v>
      </c>
      <c r="BA389" s="18">
        <v>1.03</v>
      </c>
      <c r="BB389" s="18">
        <v>0.95</v>
      </c>
      <c r="BC389" s="18">
        <v>0.96</v>
      </c>
      <c r="BD389" s="18">
        <v>1</v>
      </c>
      <c r="BE389" s="18">
        <v>1.01</v>
      </c>
      <c r="BF389" s="18">
        <v>1</v>
      </c>
      <c r="BG389" s="18">
        <v>1.04</v>
      </c>
      <c r="BH389" s="18">
        <v>0.97</v>
      </c>
      <c r="BI389" s="18">
        <v>0.96</v>
      </c>
      <c r="BJ389" s="19"/>
      <c r="BK389" s="18">
        <v>9.882352941176471</v>
      </c>
      <c r="BL389" s="18">
        <v>3.1764705882352939</v>
      </c>
      <c r="BM389" s="18">
        <v>2.2352941176470589</v>
      </c>
      <c r="BN389" s="18">
        <v>5.4117647058823524</v>
      </c>
      <c r="BO389" s="18"/>
      <c r="BP389" s="18">
        <v>120</v>
      </c>
      <c r="BQ389" s="18">
        <v>38.117647058823529</v>
      </c>
      <c r="BR389" s="18">
        <v>1.1836089362574356</v>
      </c>
      <c r="BS389" s="18">
        <v>1.1925549867947178</v>
      </c>
      <c r="BT389" s="19"/>
      <c r="BU389" s="18">
        <v>977.64705882352939</v>
      </c>
      <c r="BV389" s="18">
        <v>601.87966386554592</v>
      </c>
      <c r="BW389" s="18">
        <v>90.781512605041996</v>
      </c>
      <c r="BX389" s="18">
        <v>604</v>
      </c>
      <c r="BY389" s="18">
        <v>21.000000000000004</v>
      </c>
      <c r="BZ389" s="18">
        <v>56</v>
      </c>
      <c r="CA389" s="18">
        <v>165</v>
      </c>
      <c r="CB389" s="19"/>
      <c r="CC389" s="19">
        <v>0.61</v>
      </c>
      <c r="CD389" s="19">
        <v>2.9</v>
      </c>
      <c r="CE389" s="19">
        <v>0.17</v>
      </c>
      <c r="CF389" s="19">
        <v>1.2749999999999997</v>
      </c>
      <c r="CG389" s="19">
        <v>5.0149999999999997</v>
      </c>
      <c r="CH389" s="19">
        <v>0.93500000000000005</v>
      </c>
      <c r="CI389" s="19">
        <v>1.105</v>
      </c>
      <c r="CJ389" s="19"/>
      <c r="CK389" s="19">
        <v>42.5</v>
      </c>
      <c r="CL389" s="19">
        <v>2.8899999999999997</v>
      </c>
      <c r="CM389" s="19">
        <v>12.75</v>
      </c>
      <c r="CN389" s="19">
        <v>24.65</v>
      </c>
      <c r="CO389" s="19">
        <v>0</v>
      </c>
      <c r="CP389" s="19">
        <v>3.4000000000000002E-2</v>
      </c>
      <c r="CQ389" s="19">
        <v>60.792089142857201</v>
      </c>
      <c r="CR389" s="19">
        <v>60.425451923416361</v>
      </c>
      <c r="HM389" s="620">
        <f t="shared" ref="HM389:HU389" si="156">HM19</f>
        <v>0.47300000000000003</v>
      </c>
      <c r="HN389" s="620">
        <f t="shared" si="156"/>
        <v>0.13</v>
      </c>
      <c r="HO389" s="620">
        <f t="shared" si="156"/>
        <v>0.39100000000000001</v>
      </c>
      <c r="HP389" s="620">
        <f t="shared" si="156"/>
        <v>5.5E-2</v>
      </c>
      <c r="HQ389" s="620">
        <f t="shared" si="156"/>
        <v>3.97</v>
      </c>
      <c r="HR389" s="620">
        <f t="shared" si="156"/>
        <v>4.5999999999999999E-3</v>
      </c>
      <c r="HS389" s="620">
        <f t="shared" si="156"/>
        <v>2.73</v>
      </c>
      <c r="HT389" s="620">
        <f t="shared" si="156"/>
        <v>0</v>
      </c>
      <c r="HU389" s="620" t="str">
        <f t="shared" si="156"/>
        <v>offfarm</v>
      </c>
      <c r="HV389" s="22" t="s">
        <v>817</v>
      </c>
      <c r="IB389" s="11">
        <f t="shared" ref="IB389:II389" si="157">IB19</f>
        <v>0.47300000000000003</v>
      </c>
      <c r="IC389" s="11">
        <f t="shared" si="157"/>
        <v>0.13</v>
      </c>
      <c r="ID389" s="11">
        <f t="shared" si="157"/>
        <v>0.39100000000000001</v>
      </c>
      <c r="IE389" s="11">
        <f t="shared" si="157"/>
        <v>5.5E-2</v>
      </c>
      <c r="IF389" s="11">
        <f t="shared" si="157"/>
        <v>3.97</v>
      </c>
      <c r="IG389" s="11">
        <f t="shared" si="157"/>
        <v>4.5999999999999999E-3</v>
      </c>
      <c r="IH389" s="11">
        <f t="shared" si="157"/>
        <v>2.73</v>
      </c>
      <c r="II389" s="11">
        <f t="shared" si="157"/>
        <v>0</v>
      </c>
      <c r="IJ389" s="11" t="s">
        <v>817</v>
      </c>
    </row>
    <row r="390" spans="4:244" x14ac:dyDescent="0.25">
      <c r="D390" s="20" t="s">
        <v>1035</v>
      </c>
      <c r="E390" s="14">
        <v>42303</v>
      </c>
      <c r="F390" s="18">
        <v>1.01209982578397</v>
      </c>
      <c r="G390" s="18">
        <v>1.0179115346938801</v>
      </c>
      <c r="H390" s="21">
        <v>83.2</v>
      </c>
      <c r="I390" s="21">
        <v>77.200031999999993</v>
      </c>
      <c r="J390" s="21">
        <v>90</v>
      </c>
      <c r="K390" s="18">
        <v>1</v>
      </c>
      <c r="L390" s="18">
        <v>85</v>
      </c>
      <c r="M390" s="18">
        <v>8.4</v>
      </c>
      <c r="N390" s="18">
        <v>2.7</v>
      </c>
      <c r="O390" s="18">
        <v>1.9</v>
      </c>
      <c r="P390" s="18">
        <v>4.5999999999999996</v>
      </c>
      <c r="Q390" s="19"/>
      <c r="R390" s="18">
        <v>72.837912244898007</v>
      </c>
      <c r="S390" s="18">
        <v>39</v>
      </c>
      <c r="T390" s="18">
        <v>47</v>
      </c>
      <c r="U390" s="18">
        <v>50</v>
      </c>
      <c r="V390" s="18">
        <v>52</v>
      </c>
      <c r="W390" s="18">
        <v>54</v>
      </c>
      <c r="X390" s="18"/>
      <c r="Y390" s="18">
        <v>0.71764705882352942</v>
      </c>
      <c r="Z390" s="18">
        <v>3.4117647058823528</v>
      </c>
      <c r="AA390" s="18">
        <v>0.2</v>
      </c>
      <c r="AB390" s="18">
        <v>1.4999999999999998</v>
      </c>
      <c r="AC390" s="18">
        <v>5.8999999999999995</v>
      </c>
      <c r="AD390" s="18">
        <v>1.1000000000000001</v>
      </c>
      <c r="AE390" s="18">
        <v>1.3</v>
      </c>
      <c r="AF390" s="18">
        <v>50</v>
      </c>
      <c r="AG390" s="18">
        <v>3.4</v>
      </c>
      <c r="AH390" s="18">
        <v>15</v>
      </c>
      <c r="AI390" s="18">
        <v>29</v>
      </c>
      <c r="AJ390" s="18">
        <v>0</v>
      </c>
      <c r="AK390" s="18">
        <v>0.04</v>
      </c>
      <c r="AL390" s="18"/>
      <c r="AM390" s="18">
        <v>3.94505882352941</v>
      </c>
      <c r="AN390" s="18">
        <v>1.75458823529412</v>
      </c>
      <c r="AO390" s="18">
        <v>2.4678823529411802</v>
      </c>
      <c r="AP390" s="18">
        <v>3.5387058823529398</v>
      </c>
      <c r="AQ390" s="18">
        <v>1.3743529411764701</v>
      </c>
      <c r="AR390" s="18">
        <v>3.6416470588235299</v>
      </c>
      <c r="AS390" s="18">
        <v>6.9129411764705901</v>
      </c>
      <c r="AT390" s="18">
        <v>2.3234117647058801</v>
      </c>
      <c r="AU390" s="18">
        <v>4.6765882352941199</v>
      </c>
      <c r="AV390" s="18">
        <v>3.1876470588235302</v>
      </c>
      <c r="AW390" s="18">
        <v>5.1970588235294102</v>
      </c>
      <c r="AX390" s="18"/>
      <c r="AY390" s="18">
        <v>0.94</v>
      </c>
      <c r="AZ390" s="18">
        <v>1.08</v>
      </c>
      <c r="BA390" s="18">
        <v>1.03</v>
      </c>
      <c r="BB390" s="18">
        <v>0.95</v>
      </c>
      <c r="BC390" s="18">
        <v>0.96</v>
      </c>
      <c r="BD390" s="18">
        <v>1</v>
      </c>
      <c r="BE390" s="18">
        <v>1.01</v>
      </c>
      <c r="BF390" s="18">
        <v>1</v>
      </c>
      <c r="BG390" s="18">
        <v>1.04</v>
      </c>
      <c r="BH390" s="18">
        <v>0.97</v>
      </c>
      <c r="BI390" s="18">
        <v>0.96</v>
      </c>
      <c r="BJ390" s="19"/>
      <c r="BK390" s="18">
        <v>9.882352941176471</v>
      </c>
      <c r="BL390" s="18">
        <v>3.1764705882352939</v>
      </c>
      <c r="BM390" s="18">
        <v>2.2352941176470589</v>
      </c>
      <c r="BN390" s="18">
        <v>5.4117647058823524</v>
      </c>
      <c r="BO390" s="18"/>
      <c r="BP390" s="18">
        <v>120</v>
      </c>
      <c r="BQ390" s="18">
        <v>38.117647058823529</v>
      </c>
      <c r="BR390" s="18">
        <v>1.1907056773929057</v>
      </c>
      <c r="BS390" s="18">
        <v>1.1975429819928001</v>
      </c>
      <c r="BT390" s="19"/>
      <c r="BU390" s="18">
        <v>977.64705882352939</v>
      </c>
      <c r="BV390" s="18">
        <v>608.86285714285646</v>
      </c>
      <c r="BW390" s="18">
        <v>83.797872403361296</v>
      </c>
      <c r="BX390" s="18">
        <v>604</v>
      </c>
      <c r="BY390" s="18">
        <v>21.000000000000004</v>
      </c>
      <c r="BZ390" s="18">
        <v>56</v>
      </c>
      <c r="CA390" s="18">
        <v>165</v>
      </c>
      <c r="CB390" s="19"/>
      <c r="CC390" s="19">
        <v>0.61</v>
      </c>
      <c r="CD390" s="19">
        <v>2.9</v>
      </c>
      <c r="CE390" s="19">
        <v>0.17</v>
      </c>
      <c r="CF390" s="19">
        <v>1.2749999999999997</v>
      </c>
      <c r="CG390" s="19">
        <v>5.0149999999999997</v>
      </c>
      <c r="CH390" s="19">
        <v>0.93500000000000005</v>
      </c>
      <c r="CI390" s="19">
        <v>1.105</v>
      </c>
      <c r="CJ390" s="19"/>
      <c r="CK390" s="19">
        <v>42.5</v>
      </c>
      <c r="CL390" s="19">
        <v>2.8899999999999997</v>
      </c>
      <c r="CM390" s="19">
        <v>12.75</v>
      </c>
      <c r="CN390" s="19">
        <v>24.65</v>
      </c>
      <c r="CO390" s="19">
        <v>0</v>
      </c>
      <c r="CP390" s="19">
        <v>3.4000000000000002E-2</v>
      </c>
      <c r="CQ390" s="19">
        <v>61.183846285714303</v>
      </c>
      <c r="CR390" s="19">
        <v>60.452382983389462</v>
      </c>
      <c r="HM390" s="620">
        <f t="shared" ref="HM390:HU390" si="158">HM20</f>
        <v>0.47300000000000003</v>
      </c>
      <c r="HN390" s="620">
        <f t="shared" si="158"/>
        <v>0.13</v>
      </c>
      <c r="HO390" s="620">
        <f t="shared" si="158"/>
        <v>0.39100000000000001</v>
      </c>
      <c r="HP390" s="620">
        <f t="shared" si="158"/>
        <v>5.5E-2</v>
      </c>
      <c r="HQ390" s="620">
        <f t="shared" si="158"/>
        <v>3.97</v>
      </c>
      <c r="HR390" s="620">
        <f t="shared" si="158"/>
        <v>4.5999999999999999E-3</v>
      </c>
      <c r="HS390" s="620">
        <f t="shared" si="158"/>
        <v>2.73</v>
      </c>
      <c r="HT390" s="620">
        <f t="shared" si="158"/>
        <v>0</v>
      </c>
      <c r="HU390" s="620" t="str">
        <f t="shared" si="158"/>
        <v>offfarm</v>
      </c>
      <c r="HV390" s="22" t="s">
        <v>817</v>
      </c>
      <c r="IB390" s="11">
        <f t="shared" ref="IB390:II390" si="159">IB20</f>
        <v>0.47300000000000003</v>
      </c>
      <c r="IC390" s="11">
        <f t="shared" si="159"/>
        <v>0.13</v>
      </c>
      <c r="ID390" s="11">
        <f t="shared" si="159"/>
        <v>0.39100000000000001</v>
      </c>
      <c r="IE390" s="11">
        <f t="shared" si="159"/>
        <v>5.5E-2</v>
      </c>
      <c r="IF390" s="11">
        <f t="shared" si="159"/>
        <v>3.97</v>
      </c>
      <c r="IG390" s="11">
        <f t="shared" si="159"/>
        <v>4.5999999999999999E-3</v>
      </c>
      <c r="IH390" s="11">
        <f t="shared" si="159"/>
        <v>2.73</v>
      </c>
      <c r="II390" s="11">
        <f t="shared" si="159"/>
        <v>0</v>
      </c>
      <c r="IJ390" s="11" t="s">
        <v>817</v>
      </c>
    </row>
    <row r="391" spans="4:244" x14ac:dyDescent="0.25">
      <c r="D391" s="185" t="s">
        <v>1036</v>
      </c>
      <c r="E391" s="14">
        <v>42303</v>
      </c>
      <c r="F391" s="18">
        <v>1.0060675958188201</v>
      </c>
      <c r="G391" s="18">
        <v>1.0136717387755101</v>
      </c>
      <c r="H391" s="21">
        <v>83.2</v>
      </c>
      <c r="I391" s="21">
        <v>76.7</v>
      </c>
      <c r="J391" s="21">
        <v>90</v>
      </c>
      <c r="K391" s="18">
        <v>1</v>
      </c>
      <c r="L391" s="18">
        <v>85</v>
      </c>
      <c r="M391" s="18">
        <v>8.4</v>
      </c>
      <c r="N391" s="18">
        <v>2.7</v>
      </c>
      <c r="O391" s="18">
        <v>1.9</v>
      </c>
      <c r="P391" s="18">
        <v>4.5999999999999996</v>
      </c>
      <c r="Q391" s="19"/>
      <c r="R391" s="18">
        <v>72.371534693877607</v>
      </c>
      <c r="S391" s="18">
        <v>30</v>
      </c>
      <c r="T391" s="18">
        <v>42</v>
      </c>
      <c r="U391" s="18">
        <v>46</v>
      </c>
      <c r="V391" s="18">
        <v>50</v>
      </c>
      <c r="W391" s="18">
        <v>53</v>
      </c>
      <c r="X391" s="18"/>
      <c r="Y391" s="18">
        <v>0.71764705882352942</v>
      </c>
      <c r="Z391" s="18">
        <v>3.4117647058823528</v>
      </c>
      <c r="AA391" s="18">
        <v>0.2</v>
      </c>
      <c r="AB391" s="18">
        <v>1.4999999999999998</v>
      </c>
      <c r="AC391" s="18">
        <v>5.8999999999999995</v>
      </c>
      <c r="AD391" s="18">
        <v>1.1000000000000001</v>
      </c>
      <c r="AE391" s="18">
        <v>1.3</v>
      </c>
      <c r="AF391" s="18">
        <v>50</v>
      </c>
      <c r="AG391" s="18">
        <v>3.4</v>
      </c>
      <c r="AH391" s="18">
        <v>15</v>
      </c>
      <c r="AI391" s="18">
        <v>29</v>
      </c>
      <c r="AJ391" s="18">
        <v>0</v>
      </c>
      <c r="AK391" s="18">
        <v>0.04</v>
      </c>
      <c r="AL391" s="18"/>
      <c r="AM391" s="18">
        <v>3.94505882352941</v>
      </c>
      <c r="AN391" s="18">
        <v>1.75458823529412</v>
      </c>
      <c r="AO391" s="18">
        <v>2.4678823529411802</v>
      </c>
      <c r="AP391" s="18">
        <v>3.5387058823529398</v>
      </c>
      <c r="AQ391" s="18">
        <v>1.3743529411764701</v>
      </c>
      <c r="AR391" s="18">
        <v>3.6416470588235299</v>
      </c>
      <c r="AS391" s="18">
        <v>6.9129411764705901</v>
      </c>
      <c r="AT391" s="18">
        <v>2.3234117647058801</v>
      </c>
      <c r="AU391" s="18">
        <v>4.6765882352941199</v>
      </c>
      <c r="AV391" s="18">
        <v>3.1876470588235302</v>
      </c>
      <c r="AW391" s="18">
        <v>5.1970588235294102</v>
      </c>
      <c r="AX391" s="18"/>
      <c r="AY391" s="18">
        <v>0.94</v>
      </c>
      <c r="AZ391" s="18">
        <v>1.08</v>
      </c>
      <c r="BA391" s="18">
        <v>1.03</v>
      </c>
      <c r="BB391" s="18">
        <v>0.95</v>
      </c>
      <c r="BC391" s="18">
        <v>0.96</v>
      </c>
      <c r="BD391" s="18">
        <v>1</v>
      </c>
      <c r="BE391" s="18">
        <v>1.01</v>
      </c>
      <c r="BF391" s="18">
        <v>1</v>
      </c>
      <c r="BG391" s="18">
        <v>1.04</v>
      </c>
      <c r="BH391" s="18">
        <v>0.97</v>
      </c>
      <c r="BI391" s="18">
        <v>0.96</v>
      </c>
      <c r="BJ391" s="19"/>
      <c r="BK391" s="18">
        <v>9.882352941176471</v>
      </c>
      <c r="BL391" s="18">
        <v>3.1764705882352939</v>
      </c>
      <c r="BM391" s="18">
        <v>2.2352941176470589</v>
      </c>
      <c r="BN391" s="18">
        <v>5.4117647058823524</v>
      </c>
      <c r="BO391" s="18"/>
      <c r="BP391" s="18">
        <v>120</v>
      </c>
      <c r="BQ391" s="18">
        <v>38.117647058823529</v>
      </c>
      <c r="BR391" s="18">
        <v>1.1836089362574356</v>
      </c>
      <c r="BS391" s="18">
        <v>1.1925549867947178</v>
      </c>
      <c r="BT391" s="19"/>
      <c r="BU391" s="18">
        <v>977.64705882352939</v>
      </c>
      <c r="BV391" s="18">
        <v>601.87966386554592</v>
      </c>
      <c r="BW391" s="18">
        <v>90.781512605041996</v>
      </c>
      <c r="BX391" s="18">
        <v>604</v>
      </c>
      <c r="BY391" s="18">
        <v>21.000000000000004</v>
      </c>
      <c r="BZ391" s="18">
        <v>56</v>
      </c>
      <c r="CA391" s="18">
        <v>165</v>
      </c>
      <c r="CB391" s="19"/>
      <c r="CC391" s="19">
        <v>0.61</v>
      </c>
      <c r="CD391" s="19">
        <v>2.9</v>
      </c>
      <c r="CE391" s="19">
        <v>0.17</v>
      </c>
      <c r="CF391" s="19">
        <v>1.2749999999999997</v>
      </c>
      <c r="CG391" s="19">
        <v>5.0149999999999997</v>
      </c>
      <c r="CH391" s="19">
        <v>0.93500000000000005</v>
      </c>
      <c r="CI391" s="19">
        <v>1.105</v>
      </c>
      <c r="CJ391" s="19"/>
      <c r="CK391" s="19">
        <v>42.5</v>
      </c>
      <c r="CL391" s="19">
        <v>2.8899999999999997</v>
      </c>
      <c r="CM391" s="19">
        <v>12.75</v>
      </c>
      <c r="CN391" s="19">
        <v>24.65</v>
      </c>
      <c r="CO391" s="19">
        <v>0</v>
      </c>
      <c r="CP391" s="19">
        <v>3.4000000000000002E-2</v>
      </c>
      <c r="CQ391" s="19">
        <v>60.792089142857201</v>
      </c>
      <c r="CR391" s="19">
        <v>60.425451923416361</v>
      </c>
      <c r="HM391" s="620">
        <f t="shared" ref="HM391:HU391" si="160">HM21</f>
        <v>0.47300000000000003</v>
      </c>
      <c r="HN391" s="620">
        <f t="shared" si="160"/>
        <v>0.13</v>
      </c>
      <c r="HO391" s="620">
        <f t="shared" si="160"/>
        <v>0.39100000000000001</v>
      </c>
      <c r="HP391" s="620">
        <f t="shared" si="160"/>
        <v>5.5E-2</v>
      </c>
      <c r="HQ391" s="620">
        <f t="shared" si="160"/>
        <v>3.97</v>
      </c>
      <c r="HR391" s="620">
        <f t="shared" si="160"/>
        <v>4.5999999999999999E-3</v>
      </c>
      <c r="HS391" s="620">
        <f t="shared" si="160"/>
        <v>2.73</v>
      </c>
      <c r="HT391" s="620">
        <f t="shared" si="160"/>
        <v>0</v>
      </c>
      <c r="HU391" s="620" t="str">
        <f t="shared" si="160"/>
        <v>offfarm</v>
      </c>
      <c r="HV391" s="22" t="s">
        <v>817</v>
      </c>
      <c r="IB391" s="11">
        <f t="shared" ref="IB391:II391" si="161">IB21</f>
        <v>0.47300000000000003</v>
      </c>
      <c r="IC391" s="11">
        <f t="shared" si="161"/>
        <v>0.13</v>
      </c>
      <c r="ID391" s="11">
        <f t="shared" si="161"/>
        <v>0.39100000000000001</v>
      </c>
      <c r="IE391" s="11">
        <f t="shared" si="161"/>
        <v>5.5E-2</v>
      </c>
      <c r="IF391" s="11">
        <f t="shared" si="161"/>
        <v>3.97</v>
      </c>
      <c r="IG391" s="11">
        <f t="shared" si="161"/>
        <v>4.5999999999999999E-3</v>
      </c>
      <c r="IH391" s="11">
        <f t="shared" si="161"/>
        <v>2.73</v>
      </c>
      <c r="II391" s="11">
        <f t="shared" si="161"/>
        <v>0</v>
      </c>
      <c r="IJ391" s="11" t="s">
        <v>817</v>
      </c>
    </row>
    <row r="392" spans="4:244" x14ac:dyDescent="0.25">
      <c r="D392" s="185" t="s">
        <v>1037</v>
      </c>
      <c r="E392" s="14">
        <v>42304</v>
      </c>
      <c r="F392" s="18">
        <v>1.01209982578397</v>
      </c>
      <c r="G392" s="18">
        <v>1.0179115346938801</v>
      </c>
      <c r="H392" s="21">
        <v>83.2</v>
      </c>
      <c r="I392" s="21">
        <v>77.200031999999993</v>
      </c>
      <c r="J392" s="21">
        <v>90</v>
      </c>
      <c r="K392" s="18">
        <v>1</v>
      </c>
      <c r="L392" s="18">
        <v>85</v>
      </c>
      <c r="M392" s="18">
        <v>8.4</v>
      </c>
      <c r="N392" s="18">
        <v>2.7</v>
      </c>
      <c r="O392" s="18">
        <v>1.9</v>
      </c>
      <c r="P392" s="18">
        <v>4.5999999999999996</v>
      </c>
      <c r="Q392" s="19"/>
      <c r="R392" s="18">
        <v>72.837912244898007</v>
      </c>
      <c r="S392" s="18">
        <v>30</v>
      </c>
      <c r="T392" s="18">
        <v>42</v>
      </c>
      <c r="U392" s="18">
        <v>46</v>
      </c>
      <c r="V392" s="18">
        <v>50</v>
      </c>
      <c r="W392" s="18">
        <v>53</v>
      </c>
      <c r="X392" s="18"/>
      <c r="Y392" s="18">
        <v>0.71764705882352942</v>
      </c>
      <c r="Z392" s="18">
        <v>3.4117647058823528</v>
      </c>
      <c r="AA392" s="18">
        <v>0.2</v>
      </c>
      <c r="AB392" s="18">
        <v>1.4999999999999998</v>
      </c>
      <c r="AC392" s="18">
        <v>5.8999999999999995</v>
      </c>
      <c r="AD392" s="18">
        <v>1.1000000000000001</v>
      </c>
      <c r="AE392" s="18">
        <v>1.3</v>
      </c>
      <c r="AF392" s="18">
        <v>50</v>
      </c>
      <c r="AG392" s="18">
        <v>3.4</v>
      </c>
      <c r="AH392" s="18">
        <v>15</v>
      </c>
      <c r="AI392" s="18">
        <v>29</v>
      </c>
      <c r="AJ392" s="18">
        <v>0</v>
      </c>
      <c r="AK392" s="18">
        <v>0.04</v>
      </c>
      <c r="AL392" s="18"/>
      <c r="AM392" s="18">
        <v>3.94505882352941</v>
      </c>
      <c r="AN392" s="18">
        <v>1.75458823529412</v>
      </c>
      <c r="AO392" s="18">
        <v>2.4678823529411802</v>
      </c>
      <c r="AP392" s="18">
        <v>3.5387058823529398</v>
      </c>
      <c r="AQ392" s="18">
        <v>1.3743529411764701</v>
      </c>
      <c r="AR392" s="18">
        <v>3.6416470588235299</v>
      </c>
      <c r="AS392" s="18">
        <v>6.9129411764705901</v>
      </c>
      <c r="AT392" s="18">
        <v>2.3234117647058801</v>
      </c>
      <c r="AU392" s="18">
        <v>4.6765882352941199</v>
      </c>
      <c r="AV392" s="18">
        <v>3.1876470588235302</v>
      </c>
      <c r="AW392" s="18">
        <v>5.1970588235294102</v>
      </c>
      <c r="AX392" s="18"/>
      <c r="AY392" s="18">
        <v>0.94</v>
      </c>
      <c r="AZ392" s="18">
        <v>1.08</v>
      </c>
      <c r="BA392" s="18">
        <v>1.03</v>
      </c>
      <c r="BB392" s="18">
        <v>0.95</v>
      </c>
      <c r="BC392" s="18">
        <v>0.96</v>
      </c>
      <c r="BD392" s="18">
        <v>1</v>
      </c>
      <c r="BE392" s="18">
        <v>1.01</v>
      </c>
      <c r="BF392" s="18">
        <v>1</v>
      </c>
      <c r="BG392" s="18">
        <v>1.04</v>
      </c>
      <c r="BH392" s="18">
        <v>0.97</v>
      </c>
      <c r="BI392" s="18">
        <v>0.96</v>
      </c>
      <c r="BJ392" s="19"/>
      <c r="BK392" s="18">
        <v>9.882352941176471</v>
      </c>
      <c r="BL392" s="18">
        <v>3.1764705882352939</v>
      </c>
      <c r="BM392" s="18">
        <v>2.2352941176470589</v>
      </c>
      <c r="BN392" s="18">
        <v>5.4117647058823524</v>
      </c>
      <c r="BO392" s="18"/>
      <c r="BP392" s="18">
        <v>120</v>
      </c>
      <c r="BQ392" s="18">
        <v>38.117647058823529</v>
      </c>
      <c r="BR392" s="18">
        <v>1.1907056773929057</v>
      </c>
      <c r="BS392" s="18">
        <v>1.1975429819928001</v>
      </c>
      <c r="BT392" s="19"/>
      <c r="BU392" s="18">
        <v>977.64705882352939</v>
      </c>
      <c r="BV392" s="18">
        <v>608.86285714285646</v>
      </c>
      <c r="BW392" s="18">
        <v>83.797872403361296</v>
      </c>
      <c r="BX392" s="18">
        <v>604</v>
      </c>
      <c r="BY392" s="18">
        <v>21.000000000000004</v>
      </c>
      <c r="BZ392" s="18">
        <v>56</v>
      </c>
      <c r="CA392" s="18">
        <v>165</v>
      </c>
      <c r="CB392" s="19"/>
      <c r="CC392" s="19">
        <v>0.61</v>
      </c>
      <c r="CD392" s="19">
        <v>2.9</v>
      </c>
      <c r="CE392" s="19">
        <v>0.17</v>
      </c>
      <c r="CF392" s="19">
        <v>1.2749999999999997</v>
      </c>
      <c r="CG392" s="19">
        <v>5.0149999999999997</v>
      </c>
      <c r="CH392" s="19">
        <v>0.93500000000000005</v>
      </c>
      <c r="CI392" s="19">
        <v>1.105</v>
      </c>
      <c r="CJ392" s="19"/>
      <c r="CK392" s="19">
        <v>42.5</v>
      </c>
      <c r="CL392" s="19">
        <v>2.8899999999999997</v>
      </c>
      <c r="CM392" s="19">
        <v>12.75</v>
      </c>
      <c r="CN392" s="19">
        <v>24.65</v>
      </c>
      <c r="CO392" s="19">
        <v>0</v>
      </c>
      <c r="CP392" s="19">
        <v>3.4000000000000002E-2</v>
      </c>
      <c r="CQ392" s="19">
        <v>61.183846285714303</v>
      </c>
      <c r="CR392" s="19">
        <v>60.452382983389462</v>
      </c>
      <c r="HM392" s="620">
        <f t="shared" ref="HM392:HU392" si="162">HM22</f>
        <v>0.47300000000000003</v>
      </c>
      <c r="HN392" s="620">
        <f t="shared" si="162"/>
        <v>0.13</v>
      </c>
      <c r="HO392" s="620">
        <f t="shared" si="162"/>
        <v>0.39100000000000001</v>
      </c>
      <c r="HP392" s="620">
        <f t="shared" si="162"/>
        <v>5.5E-2</v>
      </c>
      <c r="HQ392" s="620">
        <f t="shared" si="162"/>
        <v>3.97</v>
      </c>
      <c r="HR392" s="620">
        <f t="shared" si="162"/>
        <v>4.5999999999999999E-3</v>
      </c>
      <c r="HS392" s="620">
        <f t="shared" si="162"/>
        <v>2.73</v>
      </c>
      <c r="HT392" s="620">
        <f t="shared" si="162"/>
        <v>0</v>
      </c>
      <c r="HU392" s="620" t="str">
        <f t="shared" si="162"/>
        <v>offfarm</v>
      </c>
      <c r="HV392" s="22" t="s">
        <v>817</v>
      </c>
      <c r="IB392" s="11">
        <f t="shared" ref="IB392:II392" si="163">IB22</f>
        <v>0.47300000000000003</v>
      </c>
      <c r="IC392" s="11">
        <f t="shared" si="163"/>
        <v>0.13</v>
      </c>
      <c r="ID392" s="11">
        <f t="shared" si="163"/>
        <v>0.39100000000000001</v>
      </c>
      <c r="IE392" s="11">
        <f t="shared" si="163"/>
        <v>5.5E-2</v>
      </c>
      <c r="IF392" s="11">
        <f t="shared" si="163"/>
        <v>3.97</v>
      </c>
      <c r="IG392" s="11">
        <f t="shared" si="163"/>
        <v>4.5999999999999999E-3</v>
      </c>
      <c r="IH392" s="11">
        <f t="shared" si="163"/>
        <v>2.73</v>
      </c>
      <c r="II392" s="11">
        <f t="shared" si="163"/>
        <v>0</v>
      </c>
      <c r="IJ392" s="11" t="s">
        <v>817</v>
      </c>
    </row>
    <row r="393" spans="4:244" x14ac:dyDescent="0.25">
      <c r="D393" s="20" t="s">
        <v>1296</v>
      </c>
      <c r="E393" s="14">
        <v>42683</v>
      </c>
      <c r="F393" s="18">
        <v>1.0581645567169899</v>
      </c>
      <c r="G393" s="18">
        <v>1.0547823888682799</v>
      </c>
      <c r="H393" s="21">
        <v>85.6</v>
      </c>
      <c r="I393" s="21">
        <v>80.599999999999994</v>
      </c>
      <c r="J393" s="21">
        <v>90</v>
      </c>
      <c r="K393" s="18">
        <v>1</v>
      </c>
      <c r="L393" s="18">
        <v>85</v>
      </c>
      <c r="M393" s="18">
        <v>9.7000000000000401</v>
      </c>
      <c r="N393" s="18">
        <v>2.6</v>
      </c>
      <c r="O393" s="18">
        <v>1.9</v>
      </c>
      <c r="P393" s="18">
        <v>4.8</v>
      </c>
      <c r="Q393" s="19"/>
      <c r="R393" s="18">
        <v>77.307509867452097</v>
      </c>
      <c r="S393" s="18">
        <v>43</v>
      </c>
      <c r="T393" s="18">
        <v>49</v>
      </c>
      <c r="U393" s="18">
        <v>51</v>
      </c>
      <c r="V393" s="18">
        <v>53</v>
      </c>
      <c r="W393" s="18">
        <v>54</v>
      </c>
      <c r="X393" s="18"/>
      <c r="Y393" s="18">
        <v>0.55294117647058827</v>
      </c>
      <c r="Z393" s="18">
        <v>3.6470588235294117</v>
      </c>
      <c r="AA393" s="18">
        <v>0.2</v>
      </c>
      <c r="AB393" s="18">
        <v>1.4999999999999998</v>
      </c>
      <c r="AC393" s="18">
        <v>5.7</v>
      </c>
      <c r="AD393" s="18">
        <v>1.2</v>
      </c>
      <c r="AE393" s="18">
        <v>1.1000000000000001</v>
      </c>
      <c r="AF393" s="18">
        <v>34</v>
      </c>
      <c r="AG393" s="18">
        <v>2.9</v>
      </c>
      <c r="AH393" s="18">
        <v>14</v>
      </c>
      <c r="AI393" s="18">
        <v>28</v>
      </c>
      <c r="AJ393" s="18">
        <v>0</v>
      </c>
      <c r="AK393" s="18">
        <v>0.04</v>
      </c>
      <c r="AL393" s="18"/>
      <c r="AM393" s="18">
        <v>3.74929411764706</v>
      </c>
      <c r="AN393" s="18">
        <v>1.6949411764705899</v>
      </c>
      <c r="AO393" s="18">
        <v>2.3654117647058799</v>
      </c>
      <c r="AP393" s="18">
        <v>3.4255294117647099</v>
      </c>
      <c r="AQ393" s="18">
        <v>1.3177647058823501</v>
      </c>
      <c r="AR393" s="18">
        <v>3.6202352941176499</v>
      </c>
      <c r="AS393" s="18">
        <v>6.8747058823529397</v>
      </c>
      <c r="AT393" s="18">
        <v>2.27905882352941</v>
      </c>
      <c r="AU393" s="18">
        <v>4.8509411764705899</v>
      </c>
      <c r="AV393" s="18">
        <v>3.2182352941176502</v>
      </c>
      <c r="AW393" s="18">
        <v>5.1052941176470599</v>
      </c>
      <c r="AX393" s="18"/>
      <c r="AY393" s="18">
        <v>0.94</v>
      </c>
      <c r="AZ393" s="18">
        <v>1.08</v>
      </c>
      <c r="BA393" s="18">
        <v>1.03</v>
      </c>
      <c r="BB393" s="18">
        <v>0.95</v>
      </c>
      <c r="BC393" s="18">
        <v>0.96</v>
      </c>
      <c r="BD393" s="18">
        <v>1</v>
      </c>
      <c r="BE393" s="18">
        <v>1.01</v>
      </c>
      <c r="BF393" s="18">
        <v>1</v>
      </c>
      <c r="BG393" s="18">
        <v>1.04</v>
      </c>
      <c r="BH393" s="18">
        <v>0.97</v>
      </c>
      <c r="BI393" s="18">
        <v>0.96</v>
      </c>
      <c r="BJ393" s="19"/>
      <c r="BK393" s="18">
        <v>11.411764705882399</v>
      </c>
      <c r="BL393" s="18">
        <v>3.0588235294117645</v>
      </c>
      <c r="BM393" s="18">
        <v>2.2352941176470589</v>
      </c>
      <c r="BN393" s="18">
        <v>5.6470588235294121</v>
      </c>
      <c r="BO393" s="18"/>
      <c r="BP393" s="18">
        <v>120</v>
      </c>
      <c r="BQ393" s="18">
        <v>36.70588235294106</v>
      </c>
      <c r="BR393" s="18">
        <v>1.2448994784905763</v>
      </c>
      <c r="BS393" s="18">
        <v>1.240920457492094</v>
      </c>
      <c r="BT393" s="19"/>
      <c r="BU393" s="18">
        <v>977.64705882352939</v>
      </c>
      <c r="BV393" s="18">
        <v>633.51630252100824</v>
      </c>
      <c r="BW393" s="18">
        <v>69.831932773109173</v>
      </c>
      <c r="BX393" s="18">
        <v>604</v>
      </c>
      <c r="BY393" s="18">
        <v>21.000000000000004</v>
      </c>
      <c r="BZ393" s="18">
        <v>56</v>
      </c>
      <c r="CA393" s="18">
        <v>165</v>
      </c>
      <c r="CB393" s="19"/>
      <c r="CC393" s="19">
        <v>0.47000000000000003</v>
      </c>
      <c r="CD393" s="19">
        <v>3.0999999999999996</v>
      </c>
      <c r="CE393" s="19">
        <v>0.17</v>
      </c>
      <c r="CF393" s="19">
        <v>1.2749999999999997</v>
      </c>
      <c r="CG393" s="19">
        <v>4.8449999999999998</v>
      </c>
      <c r="CH393" s="19">
        <v>1.02</v>
      </c>
      <c r="CI393" s="19">
        <v>0.93500000000000005</v>
      </c>
      <c r="CJ393" s="19"/>
      <c r="CK393" s="19">
        <v>28.9</v>
      </c>
      <c r="CL393" s="19">
        <v>2.4649999999999999</v>
      </c>
      <c r="CM393" s="19">
        <v>11.9</v>
      </c>
      <c r="CN393" s="19">
        <v>23.8</v>
      </c>
      <c r="CO393" s="19">
        <v>0</v>
      </c>
      <c r="CP393" s="19">
        <v>3.4000000000000002E-2</v>
      </c>
      <c r="CQ393" s="19">
        <v>74.988284571428593</v>
      </c>
      <c r="CR393" s="19">
        <v>70.866373377769904</v>
      </c>
      <c r="HM393" s="620">
        <f t="shared" ref="HM393:HU393" si="164">HM23</f>
        <v>0.47300000000000003</v>
      </c>
      <c r="HN393" s="620">
        <f t="shared" si="164"/>
        <v>0.13</v>
      </c>
      <c r="HO393" s="620">
        <f t="shared" si="164"/>
        <v>0.39100000000000001</v>
      </c>
      <c r="HP393" s="620">
        <f t="shared" si="164"/>
        <v>5.5E-2</v>
      </c>
      <c r="HQ393" s="620">
        <f t="shared" si="164"/>
        <v>3.97</v>
      </c>
      <c r="HR393" s="620">
        <f t="shared" si="164"/>
        <v>4.5999999999999999E-3</v>
      </c>
      <c r="HS393" s="620">
        <f t="shared" si="164"/>
        <v>2.73</v>
      </c>
      <c r="HT393" s="620">
        <f t="shared" si="164"/>
        <v>0</v>
      </c>
      <c r="HU393" s="620" t="str">
        <f t="shared" si="164"/>
        <v>offfarm</v>
      </c>
      <c r="HV393" s="22" t="s">
        <v>817</v>
      </c>
      <c r="IB393" s="11">
        <f t="shared" ref="IB393:II393" si="165">IB23</f>
        <v>0.47300000000000003</v>
      </c>
      <c r="IC393" s="11">
        <f t="shared" si="165"/>
        <v>0.13</v>
      </c>
      <c r="ID393" s="11">
        <f t="shared" si="165"/>
        <v>0.39100000000000001</v>
      </c>
      <c r="IE393" s="11">
        <f t="shared" si="165"/>
        <v>5.5E-2</v>
      </c>
      <c r="IF393" s="11">
        <f t="shared" si="165"/>
        <v>3.97</v>
      </c>
      <c r="IG393" s="11">
        <f t="shared" si="165"/>
        <v>4.5999999999999999E-3</v>
      </c>
      <c r="IH393" s="11">
        <f t="shared" si="165"/>
        <v>2.73</v>
      </c>
      <c r="II393" s="11">
        <f t="shared" si="165"/>
        <v>0</v>
      </c>
      <c r="IJ393" s="11" t="s">
        <v>817</v>
      </c>
    </row>
    <row r="394" spans="4:244" x14ac:dyDescent="0.25">
      <c r="D394" s="20" t="s">
        <v>1039</v>
      </c>
      <c r="E394" s="14">
        <v>42683</v>
      </c>
      <c r="F394" s="18">
        <v>1.06419678668215</v>
      </c>
      <c r="G394" s="18">
        <v>1.0590221847866399</v>
      </c>
      <c r="H394" s="21">
        <v>85.6</v>
      </c>
      <c r="I394" s="21">
        <v>81.099999999999994</v>
      </c>
      <c r="J394" s="21">
        <v>90</v>
      </c>
      <c r="K394" s="18">
        <v>1</v>
      </c>
      <c r="L394" s="18">
        <v>85</v>
      </c>
      <c r="M394" s="18">
        <v>9.7000000000000401</v>
      </c>
      <c r="N394" s="18">
        <v>2.6</v>
      </c>
      <c r="O394" s="18">
        <v>1.9</v>
      </c>
      <c r="P394" s="18">
        <v>4.8</v>
      </c>
      <c r="Q394" s="19"/>
      <c r="R394" s="18">
        <v>77.711383210603799</v>
      </c>
      <c r="S394" s="18">
        <v>43</v>
      </c>
      <c r="T394" s="18">
        <v>49</v>
      </c>
      <c r="U394" s="18">
        <v>51</v>
      </c>
      <c r="V394" s="18">
        <v>53</v>
      </c>
      <c r="W394" s="18">
        <v>54</v>
      </c>
      <c r="X394" s="18"/>
      <c r="Y394" s="18">
        <v>0.55294117647058827</v>
      </c>
      <c r="Z394" s="18">
        <v>3.6470588235294117</v>
      </c>
      <c r="AA394" s="18">
        <v>0.2</v>
      </c>
      <c r="AB394" s="18">
        <v>1.4999999999999998</v>
      </c>
      <c r="AC394" s="18">
        <v>5.7</v>
      </c>
      <c r="AD394" s="18">
        <v>1.2</v>
      </c>
      <c r="AE394" s="18">
        <v>1.1000000000000001</v>
      </c>
      <c r="AF394" s="18">
        <v>34</v>
      </c>
      <c r="AG394" s="18">
        <v>2.9</v>
      </c>
      <c r="AH394" s="18">
        <v>14</v>
      </c>
      <c r="AI394" s="18">
        <v>28</v>
      </c>
      <c r="AJ394" s="18">
        <v>0</v>
      </c>
      <c r="AK394" s="18">
        <v>0.04</v>
      </c>
      <c r="AL394" s="18"/>
      <c r="AM394" s="18">
        <v>3.74929411764706</v>
      </c>
      <c r="AN394" s="18">
        <v>1.6949411764705899</v>
      </c>
      <c r="AO394" s="18">
        <v>2.3654117647058799</v>
      </c>
      <c r="AP394" s="18">
        <v>3.4255294117647099</v>
      </c>
      <c r="AQ394" s="18">
        <v>1.3177647058823501</v>
      </c>
      <c r="AR394" s="18">
        <v>3.6202352941176499</v>
      </c>
      <c r="AS394" s="18">
        <v>6.8747058823529397</v>
      </c>
      <c r="AT394" s="18">
        <v>2.27905882352941</v>
      </c>
      <c r="AU394" s="18">
        <v>4.8509411764705899</v>
      </c>
      <c r="AV394" s="18">
        <v>3.2182352941176502</v>
      </c>
      <c r="AW394" s="18">
        <v>5.1052941176470599</v>
      </c>
      <c r="AX394" s="18"/>
      <c r="AY394" s="18">
        <v>0.94</v>
      </c>
      <c r="AZ394" s="18">
        <v>1.08</v>
      </c>
      <c r="BA394" s="18">
        <v>1.03</v>
      </c>
      <c r="BB394" s="18">
        <v>0.95</v>
      </c>
      <c r="BC394" s="18">
        <v>0.96</v>
      </c>
      <c r="BD394" s="18">
        <v>1</v>
      </c>
      <c r="BE394" s="18">
        <v>1.01</v>
      </c>
      <c r="BF394" s="18">
        <v>1</v>
      </c>
      <c r="BG394" s="18">
        <v>1.04</v>
      </c>
      <c r="BH394" s="18">
        <v>0.97</v>
      </c>
      <c r="BI394" s="18">
        <v>0.96</v>
      </c>
      <c r="BJ394" s="19"/>
      <c r="BK394" s="18">
        <v>11.411764705882399</v>
      </c>
      <c r="BL394" s="18">
        <v>3.0588235294117645</v>
      </c>
      <c r="BM394" s="18">
        <v>2.2352941176470589</v>
      </c>
      <c r="BN394" s="18">
        <v>5.6470588235294121</v>
      </c>
      <c r="BO394" s="18"/>
      <c r="BP394" s="18">
        <v>120</v>
      </c>
      <c r="BQ394" s="18">
        <v>36.70588235294106</v>
      </c>
      <c r="BR394" s="18">
        <v>1.2519962196260588</v>
      </c>
      <c r="BS394" s="18">
        <v>1.2459084526901647</v>
      </c>
      <c r="BT394" s="19"/>
      <c r="BU394" s="18">
        <v>977.64705882352939</v>
      </c>
      <c r="BV394" s="18">
        <v>640.49949579831878</v>
      </c>
      <c r="BW394" s="18">
        <v>62.848739495798227</v>
      </c>
      <c r="BX394" s="18">
        <v>604</v>
      </c>
      <c r="BY394" s="18">
        <v>21.000000000000004</v>
      </c>
      <c r="BZ394" s="18">
        <v>56</v>
      </c>
      <c r="CA394" s="18">
        <v>165</v>
      </c>
      <c r="CB394" s="19"/>
      <c r="CC394" s="19">
        <v>0.47000000000000003</v>
      </c>
      <c r="CD394" s="19">
        <v>3.0999999999999996</v>
      </c>
      <c r="CE394" s="19">
        <v>0.17</v>
      </c>
      <c r="CF394" s="19">
        <v>1.2749999999999997</v>
      </c>
      <c r="CG394" s="19">
        <v>4.8449999999999998</v>
      </c>
      <c r="CH394" s="19">
        <v>1.02</v>
      </c>
      <c r="CI394" s="19">
        <v>0.93500000000000005</v>
      </c>
      <c r="CJ394" s="19"/>
      <c r="CK394" s="19">
        <v>28.9</v>
      </c>
      <c r="CL394" s="19">
        <v>2.4649999999999999</v>
      </c>
      <c r="CM394" s="19">
        <v>11.9</v>
      </c>
      <c r="CN394" s="19">
        <v>23.8</v>
      </c>
      <c r="CO394" s="19">
        <v>0</v>
      </c>
      <c r="CP394" s="19">
        <v>3.4000000000000002E-2</v>
      </c>
      <c r="CQ394" s="19">
        <v>75.380041714285696</v>
      </c>
      <c r="CR394" s="19">
        <v>70.832803347676247</v>
      </c>
      <c r="HM394" s="620">
        <f t="shared" ref="HM394:HU394" si="166">HM24</f>
        <v>0.47300000000000003</v>
      </c>
      <c r="HN394" s="620">
        <f t="shared" si="166"/>
        <v>0.13</v>
      </c>
      <c r="HO394" s="620">
        <f t="shared" si="166"/>
        <v>0.39100000000000001</v>
      </c>
      <c r="HP394" s="620">
        <f t="shared" si="166"/>
        <v>5.5E-2</v>
      </c>
      <c r="HQ394" s="620">
        <f t="shared" si="166"/>
        <v>3.97</v>
      </c>
      <c r="HR394" s="620">
        <f t="shared" si="166"/>
        <v>4.5999999999999999E-3</v>
      </c>
      <c r="HS394" s="620">
        <f t="shared" si="166"/>
        <v>2.73</v>
      </c>
      <c r="HT394" s="620">
        <f t="shared" si="166"/>
        <v>0</v>
      </c>
      <c r="HU394" s="620" t="str">
        <f t="shared" si="166"/>
        <v>offfarm</v>
      </c>
      <c r="HV394" s="22" t="s">
        <v>817</v>
      </c>
      <c r="IB394" s="11">
        <f t="shared" ref="IB394:II394" si="167">IB24</f>
        <v>0.47300000000000003</v>
      </c>
      <c r="IC394" s="11">
        <f t="shared" si="167"/>
        <v>0.13</v>
      </c>
      <c r="ID394" s="11">
        <f t="shared" si="167"/>
        <v>0.39100000000000001</v>
      </c>
      <c r="IE394" s="11">
        <f t="shared" si="167"/>
        <v>5.5E-2</v>
      </c>
      <c r="IF394" s="11">
        <f t="shared" si="167"/>
        <v>3.97</v>
      </c>
      <c r="IG394" s="11">
        <f t="shared" si="167"/>
        <v>4.5999999999999999E-3</v>
      </c>
      <c r="IH394" s="11">
        <f t="shared" si="167"/>
        <v>2.73</v>
      </c>
      <c r="II394" s="11">
        <f t="shared" si="167"/>
        <v>0</v>
      </c>
      <c r="IJ394" s="11" t="s">
        <v>817</v>
      </c>
    </row>
    <row r="395" spans="4:244" x14ac:dyDescent="0.25">
      <c r="D395" s="185" t="s">
        <v>1040</v>
      </c>
      <c r="E395" s="14">
        <v>42683</v>
      </c>
      <c r="F395" s="18">
        <v>1.0581645567169899</v>
      </c>
      <c r="G395" s="18">
        <v>1.0547823888682799</v>
      </c>
      <c r="H395" s="21">
        <v>85.6</v>
      </c>
      <c r="I395" s="21">
        <v>80.599999999999994</v>
      </c>
      <c r="J395" s="21">
        <v>90</v>
      </c>
      <c r="K395" s="18">
        <v>1</v>
      </c>
      <c r="L395" s="18">
        <v>85</v>
      </c>
      <c r="M395" s="18">
        <v>9.7000000000000401</v>
      </c>
      <c r="N395" s="18">
        <v>2.6</v>
      </c>
      <c r="O395" s="18">
        <v>1.9</v>
      </c>
      <c r="P395" s="18">
        <v>4.8</v>
      </c>
      <c r="Q395" s="19"/>
      <c r="R395" s="18">
        <v>77.307509867452097</v>
      </c>
      <c r="S395" s="18">
        <v>30</v>
      </c>
      <c r="T395" s="18">
        <v>42</v>
      </c>
      <c r="U395" s="18">
        <v>46</v>
      </c>
      <c r="V395" s="18">
        <v>50</v>
      </c>
      <c r="W395" s="18">
        <v>53</v>
      </c>
      <c r="X395" s="18"/>
      <c r="Y395" s="18">
        <v>0.55294117647058827</v>
      </c>
      <c r="Z395" s="18">
        <v>3.6470588235294117</v>
      </c>
      <c r="AA395" s="18">
        <v>0.2</v>
      </c>
      <c r="AB395" s="18">
        <v>1.4999999999999998</v>
      </c>
      <c r="AC395" s="18">
        <v>5.7</v>
      </c>
      <c r="AD395" s="18">
        <v>1.2</v>
      </c>
      <c r="AE395" s="18">
        <v>1.1000000000000001</v>
      </c>
      <c r="AF395" s="18">
        <v>34</v>
      </c>
      <c r="AG395" s="18">
        <v>2.9</v>
      </c>
      <c r="AH395" s="18">
        <v>14</v>
      </c>
      <c r="AI395" s="18">
        <v>28</v>
      </c>
      <c r="AJ395" s="18">
        <v>0</v>
      </c>
      <c r="AK395" s="18">
        <v>0.04</v>
      </c>
      <c r="AL395" s="18"/>
      <c r="AM395" s="18">
        <v>3.74929411764706</v>
      </c>
      <c r="AN395" s="18">
        <v>1.6949411764705899</v>
      </c>
      <c r="AO395" s="18">
        <v>2.3654117647058799</v>
      </c>
      <c r="AP395" s="18">
        <v>3.4255294117647099</v>
      </c>
      <c r="AQ395" s="18">
        <v>1.3177647058823501</v>
      </c>
      <c r="AR395" s="18">
        <v>3.6202352941176499</v>
      </c>
      <c r="AS395" s="18">
        <v>6.8747058823529397</v>
      </c>
      <c r="AT395" s="18">
        <v>2.27905882352941</v>
      </c>
      <c r="AU395" s="18">
        <v>4.8509411764705899</v>
      </c>
      <c r="AV395" s="18">
        <v>3.2182352941176502</v>
      </c>
      <c r="AW395" s="18">
        <v>5.1052941176470599</v>
      </c>
      <c r="AX395" s="18"/>
      <c r="AY395" s="18">
        <v>0.94</v>
      </c>
      <c r="AZ395" s="18">
        <v>1.08</v>
      </c>
      <c r="BA395" s="18">
        <v>1.03</v>
      </c>
      <c r="BB395" s="18">
        <v>0.95</v>
      </c>
      <c r="BC395" s="18">
        <v>0.96</v>
      </c>
      <c r="BD395" s="18">
        <v>1</v>
      </c>
      <c r="BE395" s="18">
        <v>1.01</v>
      </c>
      <c r="BF395" s="18">
        <v>1</v>
      </c>
      <c r="BG395" s="18">
        <v>1.04</v>
      </c>
      <c r="BH395" s="18">
        <v>0.97</v>
      </c>
      <c r="BI395" s="18">
        <v>0.96</v>
      </c>
      <c r="BJ395" s="19"/>
      <c r="BK395" s="18">
        <v>11.411764705882399</v>
      </c>
      <c r="BL395" s="18">
        <v>3.0588235294117645</v>
      </c>
      <c r="BM395" s="18">
        <v>2.2352941176470589</v>
      </c>
      <c r="BN395" s="18">
        <v>5.6470588235294121</v>
      </c>
      <c r="BO395" s="18"/>
      <c r="BP395" s="18">
        <v>120</v>
      </c>
      <c r="BQ395" s="18">
        <v>36.70588235294106</v>
      </c>
      <c r="BR395" s="18">
        <v>1.2448994784905763</v>
      </c>
      <c r="BS395" s="18">
        <v>1.240920457492094</v>
      </c>
      <c r="BT395" s="19"/>
      <c r="BU395" s="18">
        <v>977.64705882352939</v>
      </c>
      <c r="BV395" s="18">
        <v>633.51630252100824</v>
      </c>
      <c r="BW395" s="18">
        <v>69.831932773109173</v>
      </c>
      <c r="BX395" s="18">
        <v>604</v>
      </c>
      <c r="BY395" s="18">
        <v>21.000000000000004</v>
      </c>
      <c r="BZ395" s="18">
        <v>56</v>
      </c>
      <c r="CA395" s="18">
        <v>165</v>
      </c>
      <c r="CB395" s="19"/>
      <c r="CC395" s="19">
        <v>0.47000000000000003</v>
      </c>
      <c r="CD395" s="19">
        <v>3.0999999999999996</v>
      </c>
      <c r="CE395" s="19">
        <v>0.17</v>
      </c>
      <c r="CF395" s="19">
        <v>1.2749999999999997</v>
      </c>
      <c r="CG395" s="19">
        <v>4.8449999999999998</v>
      </c>
      <c r="CH395" s="19">
        <v>1.02</v>
      </c>
      <c r="CI395" s="19">
        <v>0.93500000000000005</v>
      </c>
      <c r="CJ395" s="19"/>
      <c r="CK395" s="19">
        <v>28.9</v>
      </c>
      <c r="CL395" s="19">
        <v>2.4649999999999999</v>
      </c>
      <c r="CM395" s="19">
        <v>11.9</v>
      </c>
      <c r="CN395" s="19">
        <v>23.8</v>
      </c>
      <c r="CO395" s="19">
        <v>0</v>
      </c>
      <c r="CP395" s="19">
        <v>3.4000000000000002E-2</v>
      </c>
      <c r="CQ395" s="19">
        <v>74.988284571428593</v>
      </c>
      <c r="CR395" s="19">
        <v>70.866373377769904</v>
      </c>
      <c r="HM395" s="620">
        <f t="shared" ref="HM395:HU395" si="168">HM25</f>
        <v>0.47300000000000003</v>
      </c>
      <c r="HN395" s="620">
        <f t="shared" si="168"/>
        <v>0.13</v>
      </c>
      <c r="HO395" s="620">
        <f t="shared" si="168"/>
        <v>0.39100000000000001</v>
      </c>
      <c r="HP395" s="620">
        <f t="shared" si="168"/>
        <v>5.5E-2</v>
      </c>
      <c r="HQ395" s="620">
        <f t="shared" si="168"/>
        <v>3.97</v>
      </c>
      <c r="HR395" s="620">
        <f t="shared" si="168"/>
        <v>4.5999999999999999E-3</v>
      </c>
      <c r="HS395" s="620">
        <f t="shared" si="168"/>
        <v>2.73</v>
      </c>
      <c r="HT395" s="620">
        <f t="shared" si="168"/>
        <v>0</v>
      </c>
      <c r="HU395" s="620" t="str">
        <f t="shared" si="168"/>
        <v>offfarm</v>
      </c>
      <c r="HV395" s="22" t="s">
        <v>817</v>
      </c>
      <c r="IB395" s="11">
        <f t="shared" ref="IB395:II395" si="169">IB25</f>
        <v>0.47300000000000003</v>
      </c>
      <c r="IC395" s="11">
        <f t="shared" si="169"/>
        <v>0.13</v>
      </c>
      <c r="ID395" s="11">
        <f t="shared" si="169"/>
        <v>0.39100000000000001</v>
      </c>
      <c r="IE395" s="11">
        <f t="shared" si="169"/>
        <v>5.5E-2</v>
      </c>
      <c r="IF395" s="11">
        <f t="shared" si="169"/>
        <v>3.97</v>
      </c>
      <c r="IG395" s="11">
        <f t="shared" si="169"/>
        <v>4.5999999999999999E-3</v>
      </c>
      <c r="IH395" s="11">
        <f t="shared" si="169"/>
        <v>2.73</v>
      </c>
      <c r="II395" s="11">
        <f t="shared" si="169"/>
        <v>0</v>
      </c>
      <c r="IJ395" s="11" t="s">
        <v>817</v>
      </c>
    </row>
    <row r="396" spans="4:244" x14ac:dyDescent="0.25">
      <c r="D396" s="185" t="s">
        <v>1041</v>
      </c>
      <c r="E396" s="14">
        <v>42683</v>
      </c>
      <c r="F396" s="18">
        <v>1.06419678668215</v>
      </c>
      <c r="G396" s="18">
        <v>1.0590221847866399</v>
      </c>
      <c r="H396" s="21">
        <v>85.6</v>
      </c>
      <c r="I396" s="21">
        <v>81.099999999999994</v>
      </c>
      <c r="J396" s="21">
        <v>90</v>
      </c>
      <c r="K396" s="18">
        <v>1</v>
      </c>
      <c r="L396" s="18">
        <v>85</v>
      </c>
      <c r="M396" s="18">
        <v>9.7000000000000401</v>
      </c>
      <c r="N396" s="18">
        <v>2.6</v>
      </c>
      <c r="O396" s="18">
        <v>1.9</v>
      </c>
      <c r="P396" s="18">
        <v>4.8</v>
      </c>
      <c r="Q396" s="19"/>
      <c r="R396" s="18">
        <v>77.711383210603799</v>
      </c>
      <c r="S396" s="18">
        <v>30</v>
      </c>
      <c r="T396" s="18">
        <v>42</v>
      </c>
      <c r="U396" s="18">
        <v>46</v>
      </c>
      <c r="V396" s="18">
        <v>50</v>
      </c>
      <c r="W396" s="18">
        <v>53</v>
      </c>
      <c r="X396" s="18"/>
      <c r="Y396" s="18">
        <v>0.55294117647058827</v>
      </c>
      <c r="Z396" s="18">
        <v>3.6470588235294117</v>
      </c>
      <c r="AA396" s="18">
        <v>0.2</v>
      </c>
      <c r="AB396" s="18">
        <v>1.4999999999999998</v>
      </c>
      <c r="AC396" s="18">
        <v>5.7</v>
      </c>
      <c r="AD396" s="18">
        <v>1.2</v>
      </c>
      <c r="AE396" s="18">
        <v>1.1000000000000001</v>
      </c>
      <c r="AF396" s="18">
        <v>34</v>
      </c>
      <c r="AG396" s="18">
        <v>2.9</v>
      </c>
      <c r="AH396" s="18">
        <v>14</v>
      </c>
      <c r="AI396" s="18">
        <v>28</v>
      </c>
      <c r="AJ396" s="18">
        <v>0</v>
      </c>
      <c r="AK396" s="18">
        <v>0.04</v>
      </c>
      <c r="AL396" s="18"/>
      <c r="AM396" s="18">
        <v>3.74929411764706</v>
      </c>
      <c r="AN396" s="18">
        <v>1.6949411764705899</v>
      </c>
      <c r="AO396" s="18">
        <v>2.3654117647058799</v>
      </c>
      <c r="AP396" s="18">
        <v>3.4255294117647099</v>
      </c>
      <c r="AQ396" s="18">
        <v>1.3177647058823501</v>
      </c>
      <c r="AR396" s="18">
        <v>3.6202352941176499</v>
      </c>
      <c r="AS396" s="18">
        <v>6.8747058823529397</v>
      </c>
      <c r="AT396" s="18">
        <v>2.27905882352941</v>
      </c>
      <c r="AU396" s="18">
        <v>4.8509411764705899</v>
      </c>
      <c r="AV396" s="18">
        <v>3.2182352941176502</v>
      </c>
      <c r="AW396" s="18">
        <v>5.1052941176470599</v>
      </c>
      <c r="AX396" s="18"/>
      <c r="AY396" s="18">
        <v>0.94</v>
      </c>
      <c r="AZ396" s="18">
        <v>1.08</v>
      </c>
      <c r="BA396" s="18">
        <v>1.03</v>
      </c>
      <c r="BB396" s="18">
        <v>0.95</v>
      </c>
      <c r="BC396" s="18">
        <v>0.96</v>
      </c>
      <c r="BD396" s="18">
        <v>1</v>
      </c>
      <c r="BE396" s="18">
        <v>1.01</v>
      </c>
      <c r="BF396" s="18">
        <v>1</v>
      </c>
      <c r="BG396" s="18">
        <v>1.04</v>
      </c>
      <c r="BH396" s="18">
        <v>0.97</v>
      </c>
      <c r="BI396" s="18">
        <v>0.96</v>
      </c>
      <c r="BJ396" s="19"/>
      <c r="BK396" s="18">
        <v>11.411764705882399</v>
      </c>
      <c r="BL396" s="18">
        <v>3.0588235294117645</v>
      </c>
      <c r="BM396" s="18">
        <v>2.2352941176470589</v>
      </c>
      <c r="BN396" s="18">
        <v>5.6470588235294121</v>
      </c>
      <c r="BO396" s="18"/>
      <c r="BP396" s="18">
        <v>120</v>
      </c>
      <c r="BQ396" s="18">
        <v>36.70588235294106</v>
      </c>
      <c r="BR396" s="18">
        <v>1.2519962196260588</v>
      </c>
      <c r="BS396" s="18">
        <v>1.2459084526901647</v>
      </c>
      <c r="BT396" s="19"/>
      <c r="BU396" s="18">
        <v>977.64705882352939</v>
      </c>
      <c r="BV396" s="18">
        <v>640.49949579831878</v>
      </c>
      <c r="BW396" s="18">
        <v>62.848739495798227</v>
      </c>
      <c r="BX396" s="18">
        <v>604</v>
      </c>
      <c r="BY396" s="18">
        <v>21.000000000000004</v>
      </c>
      <c r="BZ396" s="18">
        <v>56</v>
      </c>
      <c r="CA396" s="18">
        <v>165</v>
      </c>
      <c r="CB396" s="19"/>
      <c r="CC396" s="19">
        <v>0.47000000000000003</v>
      </c>
      <c r="CD396" s="19">
        <v>3.0999999999999996</v>
      </c>
      <c r="CE396" s="19">
        <v>0.17</v>
      </c>
      <c r="CF396" s="19">
        <v>1.2749999999999997</v>
      </c>
      <c r="CG396" s="19">
        <v>4.8449999999999998</v>
      </c>
      <c r="CH396" s="19">
        <v>1.02</v>
      </c>
      <c r="CI396" s="19">
        <v>0.93500000000000005</v>
      </c>
      <c r="CJ396" s="19"/>
      <c r="CK396" s="19">
        <v>28.9</v>
      </c>
      <c r="CL396" s="19">
        <v>2.4649999999999999</v>
      </c>
      <c r="CM396" s="19">
        <v>11.9</v>
      </c>
      <c r="CN396" s="19">
        <v>23.8</v>
      </c>
      <c r="CO396" s="19">
        <v>0</v>
      </c>
      <c r="CP396" s="19">
        <v>3.4000000000000002E-2</v>
      </c>
      <c r="CQ396" s="19">
        <v>75.380041714285696</v>
      </c>
      <c r="CR396" s="19">
        <v>70.832803347676247</v>
      </c>
      <c r="HM396" s="620">
        <f t="shared" ref="HM396:HU396" si="170">HM26</f>
        <v>0.47300000000000003</v>
      </c>
      <c r="HN396" s="620">
        <f t="shared" si="170"/>
        <v>0.13</v>
      </c>
      <c r="HO396" s="620">
        <f t="shared" si="170"/>
        <v>0.39100000000000001</v>
      </c>
      <c r="HP396" s="620">
        <f t="shared" si="170"/>
        <v>5.5E-2</v>
      </c>
      <c r="HQ396" s="620">
        <f t="shared" si="170"/>
        <v>3.97</v>
      </c>
      <c r="HR396" s="620">
        <f t="shared" si="170"/>
        <v>4.5999999999999999E-3</v>
      </c>
      <c r="HS396" s="620">
        <f t="shared" si="170"/>
        <v>2.73</v>
      </c>
      <c r="HT396" s="620">
        <f t="shared" si="170"/>
        <v>0</v>
      </c>
      <c r="HU396" s="620" t="str">
        <f t="shared" si="170"/>
        <v>offfarm</v>
      </c>
      <c r="HV396" s="22" t="s">
        <v>817</v>
      </c>
      <c r="IB396" s="11">
        <f t="shared" ref="IB396:II396" si="171">IB26</f>
        <v>0.47300000000000003</v>
      </c>
      <c r="IC396" s="11">
        <f t="shared" si="171"/>
        <v>0.13</v>
      </c>
      <c r="ID396" s="11">
        <f t="shared" si="171"/>
        <v>0.39100000000000001</v>
      </c>
      <c r="IE396" s="11">
        <f t="shared" si="171"/>
        <v>5.5E-2</v>
      </c>
      <c r="IF396" s="11">
        <f t="shared" si="171"/>
        <v>3.97</v>
      </c>
      <c r="IG396" s="11">
        <f t="shared" si="171"/>
        <v>4.5999999999999999E-3</v>
      </c>
      <c r="IH396" s="11">
        <f t="shared" si="171"/>
        <v>2.73</v>
      </c>
      <c r="II396" s="11">
        <f t="shared" si="171"/>
        <v>0</v>
      </c>
      <c r="IJ396" s="11" t="s">
        <v>817</v>
      </c>
    </row>
    <row r="397" spans="4:244" x14ac:dyDescent="0.25">
      <c r="D397" s="20" t="s">
        <v>1297</v>
      </c>
      <c r="E397" s="14">
        <v>42683</v>
      </c>
      <c r="F397" s="18">
        <v>1.05652363530778</v>
      </c>
      <c r="G397" s="18">
        <v>1.0552031369202199</v>
      </c>
      <c r="H397" s="21">
        <v>85.9</v>
      </c>
      <c r="I397" s="21">
        <v>80.099999999999994</v>
      </c>
      <c r="J397" s="21">
        <v>90</v>
      </c>
      <c r="K397" s="18">
        <v>1</v>
      </c>
      <c r="L397" s="18">
        <v>85</v>
      </c>
      <c r="M397" s="18">
        <v>8.8999999999999808</v>
      </c>
      <c r="N397" s="18">
        <v>2.6</v>
      </c>
      <c r="O397" s="18">
        <v>1.8</v>
      </c>
      <c r="P397" s="18">
        <v>4.8</v>
      </c>
      <c r="Q397" s="19"/>
      <c r="R397" s="18">
        <v>75.652850080256798</v>
      </c>
      <c r="S397" s="18">
        <v>43</v>
      </c>
      <c r="T397" s="18">
        <v>49</v>
      </c>
      <c r="U397" s="18">
        <v>51</v>
      </c>
      <c r="V397" s="18">
        <v>53</v>
      </c>
      <c r="W397" s="18">
        <v>54</v>
      </c>
      <c r="X397" s="18"/>
      <c r="Y397" s="18">
        <v>0.52941176470588236</v>
      </c>
      <c r="Z397" s="18">
        <v>3.4117647058823528</v>
      </c>
      <c r="AA397" s="18">
        <v>0.2</v>
      </c>
      <c r="AB397" s="18">
        <v>1.4999999999999998</v>
      </c>
      <c r="AC397" s="18">
        <v>5.7</v>
      </c>
      <c r="AD397" s="18">
        <v>1.2</v>
      </c>
      <c r="AE397" s="18">
        <v>1.1000000000000001</v>
      </c>
      <c r="AF397" s="18">
        <v>34</v>
      </c>
      <c r="AG397" s="18">
        <v>2.9</v>
      </c>
      <c r="AH397" s="18">
        <v>14</v>
      </c>
      <c r="AI397" s="18">
        <v>28</v>
      </c>
      <c r="AJ397" s="18">
        <v>0</v>
      </c>
      <c r="AK397" s="18">
        <v>0.04</v>
      </c>
      <c r="AL397" s="18"/>
      <c r="AM397" s="18">
        <v>3.8697647058823499</v>
      </c>
      <c r="AN397" s="18">
        <v>1.73164705882353</v>
      </c>
      <c r="AO397" s="18">
        <v>2.4284705882352902</v>
      </c>
      <c r="AP397" s="18">
        <v>3.4951764705882402</v>
      </c>
      <c r="AQ397" s="18">
        <v>1.3525882352941201</v>
      </c>
      <c r="AR397" s="18">
        <v>3.6334117647058801</v>
      </c>
      <c r="AS397" s="18">
        <v>6.8982352941176499</v>
      </c>
      <c r="AT397" s="18">
        <v>2.3063529411764701</v>
      </c>
      <c r="AU397" s="18">
        <v>4.7436470588235302</v>
      </c>
      <c r="AV397" s="18">
        <v>3.19941176470588</v>
      </c>
      <c r="AW397" s="18">
        <v>5.1617647058823497</v>
      </c>
      <c r="AX397" s="18"/>
      <c r="AY397" s="18">
        <v>0.93979487733984202</v>
      </c>
      <c r="AZ397" s="18">
        <v>1.07984084344248</v>
      </c>
      <c r="BA397" s="18">
        <v>1.0298133265506999</v>
      </c>
      <c r="BB397" s="18">
        <v>0.94986852960372503</v>
      </c>
      <c r="BC397" s="18">
        <v>0.95982752284767003</v>
      </c>
      <c r="BD397" s="18">
        <v>0.99997514724094605</v>
      </c>
      <c r="BE397" s="18">
        <v>1.00997639474776</v>
      </c>
      <c r="BF397" s="18">
        <v>0.99991835406371998</v>
      </c>
      <c r="BG397" s="18">
        <v>1.0401578477529601</v>
      </c>
      <c r="BH397" s="18">
        <v>0.970038811056257</v>
      </c>
      <c r="BI397" s="18">
        <v>0.95992759482045098</v>
      </c>
      <c r="BJ397" s="19"/>
      <c r="BK397" s="18">
        <v>10.470588235294095</v>
      </c>
      <c r="BL397" s="18">
        <v>3.0588235294117645</v>
      </c>
      <c r="BM397" s="18">
        <v>2.1176470588235294</v>
      </c>
      <c r="BN397" s="18">
        <v>5.6470588235294121</v>
      </c>
      <c r="BO397" s="18"/>
      <c r="BP397" s="18">
        <v>120</v>
      </c>
      <c r="BQ397" s="18">
        <v>36.70588235294106</v>
      </c>
      <c r="BR397" s="18">
        <v>1.2429689827150354</v>
      </c>
      <c r="BS397" s="18">
        <v>1.2414154552002588</v>
      </c>
      <c r="BT397" s="19"/>
      <c r="BU397" s="18">
        <v>978.82352941176475</v>
      </c>
      <c r="BV397" s="18">
        <v>634.75394957983178</v>
      </c>
      <c r="BW397" s="18">
        <v>81.102521008403528</v>
      </c>
      <c r="BX397" s="18">
        <v>604</v>
      </c>
      <c r="BY397" s="18">
        <v>21.000000000000004</v>
      </c>
      <c r="BZ397" s="18">
        <v>55.999999999999879</v>
      </c>
      <c r="CA397" s="18">
        <v>165</v>
      </c>
      <c r="CB397" s="19"/>
      <c r="CC397" s="19">
        <v>0.45</v>
      </c>
      <c r="CD397" s="19">
        <v>2.9</v>
      </c>
      <c r="CE397" s="19">
        <v>0.17</v>
      </c>
      <c r="CF397" s="19">
        <v>1.2749999999999997</v>
      </c>
      <c r="CG397" s="19">
        <v>4.8449999999999998</v>
      </c>
      <c r="CH397" s="19">
        <v>1.02</v>
      </c>
      <c r="CI397" s="19">
        <v>0.93500000000000005</v>
      </c>
      <c r="CJ397" s="19"/>
      <c r="CK397" s="19">
        <v>28.9</v>
      </c>
      <c r="CL397" s="19">
        <v>2.4649999999999999</v>
      </c>
      <c r="CM397" s="19">
        <v>11.9</v>
      </c>
      <c r="CN397" s="19">
        <v>23.8</v>
      </c>
      <c r="CO397" s="19">
        <v>0</v>
      </c>
      <c r="CP397" s="19">
        <v>3.4000000000000002E-2</v>
      </c>
      <c r="CQ397" s="19">
        <v>67.331036571428399</v>
      </c>
      <c r="CR397" s="19">
        <v>63.728850279638024</v>
      </c>
      <c r="HM397" s="620">
        <f t="shared" ref="HM397:HU397" si="172">HM27</f>
        <v>0.47300000000000003</v>
      </c>
      <c r="HN397" s="620">
        <f t="shared" si="172"/>
        <v>0.13</v>
      </c>
      <c r="HO397" s="620">
        <f t="shared" si="172"/>
        <v>0.39100000000000001</v>
      </c>
      <c r="HP397" s="620">
        <f t="shared" si="172"/>
        <v>5.5E-2</v>
      </c>
      <c r="HQ397" s="620">
        <f t="shared" si="172"/>
        <v>3.97</v>
      </c>
      <c r="HR397" s="620">
        <f t="shared" si="172"/>
        <v>4.5999999999999999E-3</v>
      </c>
      <c r="HS397" s="620">
        <f t="shared" si="172"/>
        <v>2.73</v>
      </c>
      <c r="HT397" s="620">
        <f t="shared" si="172"/>
        <v>0</v>
      </c>
      <c r="HU397" s="620" t="str">
        <f t="shared" si="172"/>
        <v>offfarm</v>
      </c>
      <c r="HV397" s="22" t="s">
        <v>817</v>
      </c>
      <c r="IB397" s="11">
        <f t="shared" ref="IB397:II397" si="173">IB27</f>
        <v>0.47300000000000003</v>
      </c>
      <c r="IC397" s="11">
        <f t="shared" si="173"/>
        <v>0.13</v>
      </c>
      <c r="ID397" s="11">
        <f t="shared" si="173"/>
        <v>0.39100000000000001</v>
      </c>
      <c r="IE397" s="11">
        <f t="shared" si="173"/>
        <v>5.5E-2</v>
      </c>
      <c r="IF397" s="11">
        <f t="shared" si="173"/>
        <v>3.97</v>
      </c>
      <c r="IG397" s="11">
        <f t="shared" si="173"/>
        <v>4.5999999999999999E-3</v>
      </c>
      <c r="IH397" s="11">
        <f t="shared" si="173"/>
        <v>2.73</v>
      </c>
      <c r="II397" s="11">
        <f t="shared" si="173"/>
        <v>0</v>
      </c>
      <c r="IJ397" s="11" t="s">
        <v>817</v>
      </c>
    </row>
    <row r="398" spans="4:244" x14ac:dyDescent="0.25">
      <c r="D398" s="20" t="s">
        <v>1042</v>
      </c>
      <c r="E398" s="14">
        <v>42683</v>
      </c>
      <c r="F398" s="18">
        <v>1.0625631242741</v>
      </c>
      <c r="G398" s="18">
        <v>1.0594480348794</v>
      </c>
      <c r="H398" s="21">
        <v>85.9</v>
      </c>
      <c r="I398" s="21">
        <v>80.599999999999994</v>
      </c>
      <c r="J398" s="21">
        <v>90</v>
      </c>
      <c r="K398" s="18">
        <v>1</v>
      </c>
      <c r="L398" s="18">
        <v>85</v>
      </c>
      <c r="M398" s="18">
        <v>8.8999999999999808</v>
      </c>
      <c r="N398" s="18">
        <v>2.6</v>
      </c>
      <c r="O398" s="18">
        <v>1.8</v>
      </c>
      <c r="P398" s="18">
        <v>4.8</v>
      </c>
      <c r="Q398" s="19"/>
      <c r="R398" s="18">
        <v>76.093556340288899</v>
      </c>
      <c r="S398" s="18">
        <v>43</v>
      </c>
      <c r="T398" s="18">
        <v>49</v>
      </c>
      <c r="U398" s="18">
        <v>51</v>
      </c>
      <c r="V398" s="18">
        <v>53</v>
      </c>
      <c r="W398" s="18">
        <v>54</v>
      </c>
      <c r="X398" s="18"/>
      <c r="Y398" s="18">
        <v>0.52941176470588236</v>
      </c>
      <c r="Z398" s="18">
        <v>3.4117647058823528</v>
      </c>
      <c r="AA398" s="18">
        <v>0.2</v>
      </c>
      <c r="AB398" s="18">
        <v>1.4999999999999998</v>
      </c>
      <c r="AC398" s="18">
        <v>5.7</v>
      </c>
      <c r="AD398" s="18">
        <v>1.2</v>
      </c>
      <c r="AE398" s="18">
        <v>1.1000000000000001</v>
      </c>
      <c r="AF398" s="18">
        <v>34</v>
      </c>
      <c r="AG398" s="18">
        <v>2.9</v>
      </c>
      <c r="AH398" s="18">
        <v>14</v>
      </c>
      <c r="AI398" s="18">
        <v>28</v>
      </c>
      <c r="AJ398" s="18">
        <v>0</v>
      </c>
      <c r="AK398" s="18">
        <v>0.04</v>
      </c>
      <c r="AL398" s="18"/>
      <c r="AM398" s="18">
        <v>3.8697647058823499</v>
      </c>
      <c r="AN398" s="18">
        <v>1.73164705882353</v>
      </c>
      <c r="AO398" s="18">
        <v>2.4284705882352902</v>
      </c>
      <c r="AP398" s="18">
        <v>3.4951764705882402</v>
      </c>
      <c r="AQ398" s="18">
        <v>1.3525882352941201</v>
      </c>
      <c r="AR398" s="18">
        <v>3.6334117647058801</v>
      </c>
      <c r="AS398" s="18">
        <v>6.8982352941176499</v>
      </c>
      <c r="AT398" s="18">
        <v>2.3063529411764701</v>
      </c>
      <c r="AU398" s="18">
        <v>4.7436470588235302</v>
      </c>
      <c r="AV398" s="18">
        <v>3.19941176470588</v>
      </c>
      <c r="AW398" s="18">
        <v>5.1617647058823497</v>
      </c>
      <c r="AX398" s="18"/>
      <c r="AY398" s="18">
        <v>0.93979487733984202</v>
      </c>
      <c r="AZ398" s="18">
        <v>1.07984084344248</v>
      </c>
      <c r="BA398" s="18">
        <v>1.0298133265506999</v>
      </c>
      <c r="BB398" s="18">
        <v>0.94986852960372503</v>
      </c>
      <c r="BC398" s="18">
        <v>0.95982752284767003</v>
      </c>
      <c r="BD398" s="18">
        <v>0.99997514724094605</v>
      </c>
      <c r="BE398" s="18">
        <v>1.00997639474776</v>
      </c>
      <c r="BF398" s="18">
        <v>0.99991835406371998</v>
      </c>
      <c r="BG398" s="18">
        <v>1.0401578477529601</v>
      </c>
      <c r="BH398" s="18">
        <v>0.970038811056257</v>
      </c>
      <c r="BI398" s="18">
        <v>0.95992759482045098</v>
      </c>
      <c r="BJ398" s="19"/>
      <c r="BK398" s="18">
        <v>10.470588235294095</v>
      </c>
      <c r="BL398" s="18">
        <v>3.0588235294117645</v>
      </c>
      <c r="BM398" s="18">
        <v>2.1176470588235294</v>
      </c>
      <c r="BN398" s="18">
        <v>5.6470588235294121</v>
      </c>
      <c r="BO398" s="18"/>
      <c r="BP398" s="18">
        <v>120</v>
      </c>
      <c r="BQ398" s="18">
        <v>36.70588235294106</v>
      </c>
      <c r="BR398" s="18">
        <v>1.2500742638518825</v>
      </c>
      <c r="BS398" s="18">
        <v>1.2464094527992939</v>
      </c>
      <c r="BT398" s="19"/>
      <c r="BU398" s="18">
        <v>978.82352941176475</v>
      </c>
      <c r="BV398" s="18">
        <v>641.74554621848699</v>
      </c>
      <c r="BW398" s="18">
        <v>74.110924369748119</v>
      </c>
      <c r="BX398" s="18">
        <v>604</v>
      </c>
      <c r="BY398" s="18">
        <v>21.000000000000004</v>
      </c>
      <c r="BZ398" s="18">
        <v>55.999999999999879</v>
      </c>
      <c r="CA398" s="18">
        <v>165</v>
      </c>
      <c r="CB398" s="19"/>
      <c r="CC398" s="19">
        <v>0.45</v>
      </c>
      <c r="CD398" s="19">
        <v>2.9</v>
      </c>
      <c r="CE398" s="19">
        <v>0.17</v>
      </c>
      <c r="CF398" s="19">
        <v>1.2749999999999997</v>
      </c>
      <c r="CG398" s="19">
        <v>4.8449999999999998</v>
      </c>
      <c r="CH398" s="19">
        <v>1.02</v>
      </c>
      <c r="CI398" s="19">
        <v>0.93500000000000005</v>
      </c>
      <c r="CJ398" s="19"/>
      <c r="CK398" s="19">
        <v>28.9</v>
      </c>
      <c r="CL398" s="19">
        <v>2.4649999999999999</v>
      </c>
      <c r="CM398" s="19">
        <v>11.9</v>
      </c>
      <c r="CN398" s="19">
        <v>23.8</v>
      </c>
      <c r="CO398" s="19">
        <v>0</v>
      </c>
      <c r="CP398" s="19">
        <v>3.4000000000000002E-2</v>
      </c>
      <c r="CQ398" s="19">
        <v>67.723265142857002</v>
      </c>
      <c r="CR398" s="19">
        <v>63.73575705360826</v>
      </c>
      <c r="HM398" s="620">
        <f t="shared" ref="HM398:HU398" si="174">HM28</f>
        <v>0.47300000000000003</v>
      </c>
      <c r="HN398" s="620">
        <f t="shared" si="174"/>
        <v>0.13</v>
      </c>
      <c r="HO398" s="620">
        <f t="shared" si="174"/>
        <v>0.39100000000000001</v>
      </c>
      <c r="HP398" s="620">
        <f t="shared" si="174"/>
        <v>5.5E-2</v>
      </c>
      <c r="HQ398" s="620">
        <f t="shared" si="174"/>
        <v>3.97</v>
      </c>
      <c r="HR398" s="620">
        <f t="shared" si="174"/>
        <v>4.5999999999999999E-3</v>
      </c>
      <c r="HS398" s="620">
        <f t="shared" si="174"/>
        <v>2.73</v>
      </c>
      <c r="HT398" s="620">
        <f t="shared" si="174"/>
        <v>0</v>
      </c>
      <c r="HU398" s="620" t="str">
        <f t="shared" si="174"/>
        <v>offfarm</v>
      </c>
      <c r="HV398" s="22" t="s">
        <v>817</v>
      </c>
      <c r="IB398" s="11">
        <f t="shared" ref="IB398:II398" si="175">IB28</f>
        <v>0.47300000000000003</v>
      </c>
      <c r="IC398" s="11">
        <f t="shared" si="175"/>
        <v>0.13</v>
      </c>
      <c r="ID398" s="11">
        <f t="shared" si="175"/>
        <v>0.39100000000000001</v>
      </c>
      <c r="IE398" s="11">
        <f t="shared" si="175"/>
        <v>5.5E-2</v>
      </c>
      <c r="IF398" s="11">
        <f t="shared" si="175"/>
        <v>3.97</v>
      </c>
      <c r="IG398" s="11">
        <f t="shared" si="175"/>
        <v>4.5999999999999999E-3</v>
      </c>
      <c r="IH398" s="11">
        <f t="shared" si="175"/>
        <v>2.73</v>
      </c>
      <c r="II398" s="11">
        <f t="shared" si="175"/>
        <v>0</v>
      </c>
      <c r="IJ398" s="11" t="s">
        <v>817</v>
      </c>
    </row>
    <row r="399" spans="4:244" x14ac:dyDescent="0.25">
      <c r="D399" s="185" t="s">
        <v>1043</v>
      </c>
      <c r="E399" s="14">
        <v>42683</v>
      </c>
      <c r="F399" s="18">
        <v>1.05652363530778</v>
      </c>
      <c r="G399" s="18">
        <v>1.0552031369202199</v>
      </c>
      <c r="H399" s="21">
        <v>85.9</v>
      </c>
      <c r="I399" s="21">
        <v>80.099999999999994</v>
      </c>
      <c r="J399" s="21">
        <v>90</v>
      </c>
      <c r="K399" s="18">
        <v>1</v>
      </c>
      <c r="L399" s="18">
        <v>85</v>
      </c>
      <c r="M399" s="18">
        <v>8.8999999999999808</v>
      </c>
      <c r="N399" s="18">
        <v>2.6</v>
      </c>
      <c r="O399" s="18">
        <v>1.8</v>
      </c>
      <c r="P399" s="18">
        <v>4.8</v>
      </c>
      <c r="Q399" s="19"/>
      <c r="R399" s="18">
        <v>75.652850080256798</v>
      </c>
      <c r="S399" s="18">
        <v>30</v>
      </c>
      <c r="T399" s="18">
        <v>42</v>
      </c>
      <c r="U399" s="18">
        <v>46</v>
      </c>
      <c r="V399" s="18">
        <v>50</v>
      </c>
      <c r="W399" s="18">
        <v>53</v>
      </c>
      <c r="X399" s="18"/>
      <c r="Y399" s="18">
        <v>0.52941176470588236</v>
      </c>
      <c r="Z399" s="18">
        <v>3.4117647058823528</v>
      </c>
      <c r="AA399" s="18">
        <v>0.2</v>
      </c>
      <c r="AB399" s="18">
        <v>1.4999999999999998</v>
      </c>
      <c r="AC399" s="18">
        <v>5.7</v>
      </c>
      <c r="AD399" s="18">
        <v>1.2</v>
      </c>
      <c r="AE399" s="18">
        <v>1.1000000000000001</v>
      </c>
      <c r="AF399" s="18">
        <v>34</v>
      </c>
      <c r="AG399" s="18">
        <v>2.9</v>
      </c>
      <c r="AH399" s="18">
        <v>14</v>
      </c>
      <c r="AI399" s="18">
        <v>28</v>
      </c>
      <c r="AJ399" s="18">
        <v>0</v>
      </c>
      <c r="AK399" s="18">
        <v>0.04</v>
      </c>
      <c r="AL399" s="18"/>
      <c r="AM399" s="18">
        <v>3.8697647058823499</v>
      </c>
      <c r="AN399" s="18">
        <v>1.73164705882353</v>
      </c>
      <c r="AO399" s="18">
        <v>2.4284705882352902</v>
      </c>
      <c r="AP399" s="18">
        <v>3.4951764705882402</v>
      </c>
      <c r="AQ399" s="18">
        <v>1.3525882352941201</v>
      </c>
      <c r="AR399" s="18">
        <v>3.6334117647058801</v>
      </c>
      <c r="AS399" s="18">
        <v>6.8982352941176499</v>
      </c>
      <c r="AT399" s="18">
        <v>2.3063529411764701</v>
      </c>
      <c r="AU399" s="18">
        <v>4.7436470588235302</v>
      </c>
      <c r="AV399" s="18">
        <v>3.19941176470588</v>
      </c>
      <c r="AW399" s="18">
        <v>5.1617647058823497</v>
      </c>
      <c r="AX399" s="18"/>
      <c r="AY399" s="18">
        <v>0.94</v>
      </c>
      <c r="AZ399" s="18">
        <v>1.08</v>
      </c>
      <c r="BA399" s="18">
        <v>1.03</v>
      </c>
      <c r="BB399" s="18">
        <v>0.95</v>
      </c>
      <c r="BC399" s="18">
        <v>0.96</v>
      </c>
      <c r="BD399" s="18">
        <v>1</v>
      </c>
      <c r="BE399" s="18">
        <v>1.01</v>
      </c>
      <c r="BF399" s="18">
        <v>1</v>
      </c>
      <c r="BG399" s="18">
        <v>1.04</v>
      </c>
      <c r="BH399" s="18">
        <v>0.97</v>
      </c>
      <c r="BI399" s="18">
        <v>0.96</v>
      </c>
      <c r="BJ399" s="19"/>
      <c r="BK399" s="18">
        <v>10.470588235294095</v>
      </c>
      <c r="BL399" s="18">
        <v>3.0588235294117645</v>
      </c>
      <c r="BM399" s="18">
        <v>2.1176470588235294</v>
      </c>
      <c r="BN399" s="18">
        <v>5.6470588235294121</v>
      </c>
      <c r="BO399" s="18"/>
      <c r="BP399" s="18">
        <v>120</v>
      </c>
      <c r="BQ399" s="18">
        <v>36.70588235294106</v>
      </c>
      <c r="BR399" s="18">
        <v>1.2429689827150354</v>
      </c>
      <c r="BS399" s="18">
        <v>1.2414154552002588</v>
      </c>
      <c r="BT399" s="19"/>
      <c r="BU399" s="18">
        <v>978.82352941176475</v>
      </c>
      <c r="BV399" s="18">
        <v>634.75394957983178</v>
      </c>
      <c r="BW399" s="18">
        <v>81.102521008403528</v>
      </c>
      <c r="BX399" s="18">
        <v>604</v>
      </c>
      <c r="BY399" s="18">
        <v>21.000000000000004</v>
      </c>
      <c r="BZ399" s="18">
        <v>56</v>
      </c>
      <c r="CA399" s="18">
        <v>165</v>
      </c>
      <c r="CB399" s="19"/>
      <c r="CC399" s="19">
        <v>0.45</v>
      </c>
      <c r="CD399" s="19">
        <v>2.9</v>
      </c>
      <c r="CE399" s="19">
        <v>0.17</v>
      </c>
      <c r="CF399" s="19">
        <v>1.2749999999999997</v>
      </c>
      <c r="CG399" s="19">
        <v>4.8449999999999998</v>
      </c>
      <c r="CH399" s="19">
        <v>1.02</v>
      </c>
      <c r="CI399" s="19">
        <v>0.93500000000000005</v>
      </c>
      <c r="CJ399" s="19"/>
      <c r="CK399" s="19">
        <v>28.9</v>
      </c>
      <c r="CL399" s="19">
        <v>2.4649999999999999</v>
      </c>
      <c r="CM399" s="19">
        <v>11.9</v>
      </c>
      <c r="CN399" s="19">
        <v>23.8</v>
      </c>
      <c r="CO399" s="19">
        <v>0</v>
      </c>
      <c r="CP399" s="19">
        <v>3.4000000000000002E-2</v>
      </c>
      <c r="CQ399" s="19">
        <v>67.331036571428399</v>
      </c>
      <c r="CR399" s="19">
        <v>63.728850279638024</v>
      </c>
      <c r="HM399" s="620">
        <f t="shared" ref="HM399:HU399" si="176">HM29</f>
        <v>0.47300000000000003</v>
      </c>
      <c r="HN399" s="620">
        <f t="shared" si="176"/>
        <v>0.13</v>
      </c>
      <c r="HO399" s="620">
        <f t="shared" si="176"/>
        <v>0.39100000000000001</v>
      </c>
      <c r="HP399" s="620">
        <f t="shared" si="176"/>
        <v>5.5E-2</v>
      </c>
      <c r="HQ399" s="620">
        <f t="shared" si="176"/>
        <v>3.97</v>
      </c>
      <c r="HR399" s="620">
        <f t="shared" si="176"/>
        <v>4.5999999999999999E-3</v>
      </c>
      <c r="HS399" s="620">
        <f t="shared" si="176"/>
        <v>2.73</v>
      </c>
      <c r="HT399" s="620">
        <f t="shared" si="176"/>
        <v>0</v>
      </c>
      <c r="HU399" s="620" t="str">
        <f t="shared" si="176"/>
        <v>offfarm</v>
      </c>
      <c r="HV399" s="22" t="s">
        <v>817</v>
      </c>
      <c r="IB399" s="11">
        <f t="shared" ref="IB399:II399" si="177">IB29</f>
        <v>0.47300000000000003</v>
      </c>
      <c r="IC399" s="11">
        <f t="shared" si="177"/>
        <v>0.13</v>
      </c>
      <c r="ID399" s="11">
        <f t="shared" si="177"/>
        <v>0.39100000000000001</v>
      </c>
      <c r="IE399" s="11">
        <f t="shared" si="177"/>
        <v>5.5E-2</v>
      </c>
      <c r="IF399" s="11">
        <f t="shared" si="177"/>
        <v>3.97</v>
      </c>
      <c r="IG399" s="11">
        <f t="shared" si="177"/>
        <v>4.5999999999999999E-3</v>
      </c>
      <c r="IH399" s="11">
        <f t="shared" si="177"/>
        <v>2.73</v>
      </c>
      <c r="II399" s="11">
        <f t="shared" si="177"/>
        <v>0</v>
      </c>
      <c r="IJ399" s="11" t="s">
        <v>817</v>
      </c>
    </row>
    <row r="400" spans="4:244" x14ac:dyDescent="0.25">
      <c r="D400" s="20" t="s">
        <v>1044</v>
      </c>
      <c r="E400" s="14">
        <v>42683</v>
      </c>
      <c r="F400" s="18">
        <v>1.0625631242741</v>
      </c>
      <c r="G400" s="18">
        <v>1.0594480348794</v>
      </c>
      <c r="H400" s="21">
        <v>85.9</v>
      </c>
      <c r="I400" s="21">
        <v>80.599999999999994</v>
      </c>
      <c r="J400" s="21">
        <v>90</v>
      </c>
      <c r="K400" s="18">
        <v>1</v>
      </c>
      <c r="L400" s="18">
        <v>85</v>
      </c>
      <c r="M400" s="18">
        <v>8.8999999999999808</v>
      </c>
      <c r="N400" s="18">
        <v>2.6</v>
      </c>
      <c r="O400" s="18">
        <v>1.8</v>
      </c>
      <c r="P400" s="18">
        <v>4.8</v>
      </c>
      <c r="Q400" s="19"/>
      <c r="R400" s="18">
        <v>76.093556340288899</v>
      </c>
      <c r="S400" s="18">
        <v>30</v>
      </c>
      <c r="T400" s="18">
        <v>42</v>
      </c>
      <c r="U400" s="18">
        <v>46</v>
      </c>
      <c r="V400" s="18">
        <v>50</v>
      </c>
      <c r="W400" s="18">
        <v>53</v>
      </c>
      <c r="X400" s="18"/>
      <c r="Y400" s="18">
        <v>0.52941176470588236</v>
      </c>
      <c r="Z400" s="18">
        <v>3.4117647058823528</v>
      </c>
      <c r="AA400" s="18">
        <v>0.2</v>
      </c>
      <c r="AB400" s="18">
        <v>1.4999999999999998</v>
      </c>
      <c r="AC400" s="18">
        <v>5.7</v>
      </c>
      <c r="AD400" s="18">
        <v>1.2</v>
      </c>
      <c r="AE400" s="18">
        <v>1.1000000000000001</v>
      </c>
      <c r="AF400" s="18">
        <v>34</v>
      </c>
      <c r="AG400" s="18">
        <v>2.9</v>
      </c>
      <c r="AH400" s="18">
        <v>14</v>
      </c>
      <c r="AI400" s="18">
        <v>28</v>
      </c>
      <c r="AJ400" s="18">
        <v>0</v>
      </c>
      <c r="AK400" s="18">
        <v>0.04</v>
      </c>
      <c r="AL400" s="18"/>
      <c r="AM400" s="18">
        <v>3.8697647058823499</v>
      </c>
      <c r="AN400" s="18">
        <v>1.73164705882353</v>
      </c>
      <c r="AO400" s="18">
        <v>2.4284705882352902</v>
      </c>
      <c r="AP400" s="18">
        <v>3.4951764705882402</v>
      </c>
      <c r="AQ400" s="18">
        <v>1.3525882352941201</v>
      </c>
      <c r="AR400" s="18">
        <v>3.6334117647058801</v>
      </c>
      <c r="AS400" s="18">
        <v>6.8982352941176499</v>
      </c>
      <c r="AT400" s="18">
        <v>2.3063529411764701</v>
      </c>
      <c r="AU400" s="18">
        <v>4.7436470588235302</v>
      </c>
      <c r="AV400" s="18">
        <v>3.19941176470588</v>
      </c>
      <c r="AW400" s="18">
        <v>5.1617647058823497</v>
      </c>
      <c r="AX400" s="18"/>
      <c r="AY400" s="18">
        <v>0.94</v>
      </c>
      <c r="AZ400" s="18">
        <v>1.08</v>
      </c>
      <c r="BA400" s="18">
        <v>1.03</v>
      </c>
      <c r="BB400" s="18">
        <v>0.95</v>
      </c>
      <c r="BC400" s="18">
        <v>0.96</v>
      </c>
      <c r="BD400" s="18">
        <v>1</v>
      </c>
      <c r="BE400" s="18">
        <v>1.01</v>
      </c>
      <c r="BF400" s="18">
        <v>1</v>
      </c>
      <c r="BG400" s="18">
        <v>1.04</v>
      </c>
      <c r="BH400" s="18">
        <v>0.97</v>
      </c>
      <c r="BI400" s="18">
        <v>0.96</v>
      </c>
      <c r="BJ400" s="19"/>
      <c r="BK400" s="18">
        <v>10.470588235294095</v>
      </c>
      <c r="BL400" s="18">
        <v>3.0588235294117645</v>
      </c>
      <c r="BM400" s="18">
        <v>2.1176470588235294</v>
      </c>
      <c r="BN400" s="18">
        <v>5.6470588235294121</v>
      </c>
      <c r="BO400" s="18"/>
      <c r="BP400" s="18">
        <v>120</v>
      </c>
      <c r="BQ400" s="18">
        <v>36.70588235294106</v>
      </c>
      <c r="BR400" s="18">
        <v>1.2500742638518825</v>
      </c>
      <c r="BS400" s="18">
        <v>1.2464094527992939</v>
      </c>
      <c r="BT400" s="19"/>
      <c r="BU400" s="18">
        <v>978.82352941176475</v>
      </c>
      <c r="BV400" s="18">
        <v>641.74554621848699</v>
      </c>
      <c r="BW400" s="18">
        <v>74.110924369748119</v>
      </c>
      <c r="BX400" s="18">
        <v>604</v>
      </c>
      <c r="BY400" s="18">
        <v>21.000000000000004</v>
      </c>
      <c r="BZ400" s="18">
        <v>56</v>
      </c>
      <c r="CA400" s="18">
        <v>165</v>
      </c>
      <c r="CB400" s="19"/>
      <c r="CC400" s="19">
        <v>0.45</v>
      </c>
      <c r="CD400" s="19">
        <v>2.9</v>
      </c>
      <c r="CE400" s="19">
        <v>0.17</v>
      </c>
      <c r="CF400" s="19">
        <v>1.2749999999999997</v>
      </c>
      <c r="CG400" s="19">
        <v>4.8449999999999998</v>
      </c>
      <c r="CH400" s="19">
        <v>1.02</v>
      </c>
      <c r="CI400" s="19">
        <v>0.93500000000000005</v>
      </c>
      <c r="CJ400" s="19"/>
      <c r="CK400" s="19">
        <v>28.9</v>
      </c>
      <c r="CL400" s="19">
        <v>2.4649999999999999</v>
      </c>
      <c r="CM400" s="19">
        <v>11.9</v>
      </c>
      <c r="CN400" s="19">
        <v>23.8</v>
      </c>
      <c r="CO400" s="19">
        <v>0</v>
      </c>
      <c r="CP400" s="19">
        <v>3.4000000000000002E-2</v>
      </c>
      <c r="CQ400" s="19">
        <v>67.723265142857002</v>
      </c>
      <c r="CR400" s="19">
        <v>63.73575705360826</v>
      </c>
      <c r="HM400" s="620">
        <f t="shared" ref="HM400:HU400" si="178">HM30</f>
        <v>0.47300000000000003</v>
      </c>
      <c r="HN400" s="620">
        <f t="shared" si="178"/>
        <v>0.13</v>
      </c>
      <c r="HO400" s="620">
        <f t="shared" si="178"/>
        <v>0.39100000000000001</v>
      </c>
      <c r="HP400" s="620">
        <f t="shared" si="178"/>
        <v>5.5E-2</v>
      </c>
      <c r="HQ400" s="620">
        <f t="shared" si="178"/>
        <v>3.97</v>
      </c>
      <c r="HR400" s="620">
        <f t="shared" si="178"/>
        <v>4.5999999999999999E-3</v>
      </c>
      <c r="HS400" s="620">
        <f t="shared" si="178"/>
        <v>2.73</v>
      </c>
      <c r="HT400" s="620">
        <f t="shared" si="178"/>
        <v>0</v>
      </c>
      <c r="HU400" s="620" t="str">
        <f t="shared" si="178"/>
        <v>offfarm</v>
      </c>
      <c r="HV400" s="22" t="s">
        <v>817</v>
      </c>
      <c r="IB400" s="11">
        <f t="shared" ref="IB400:II400" si="179">IB30</f>
        <v>0.47300000000000003</v>
      </c>
      <c r="IC400" s="11">
        <f t="shared" si="179"/>
        <v>0.13</v>
      </c>
      <c r="ID400" s="11">
        <f t="shared" si="179"/>
        <v>0.39100000000000001</v>
      </c>
      <c r="IE400" s="11">
        <f t="shared" si="179"/>
        <v>5.5E-2</v>
      </c>
      <c r="IF400" s="11">
        <f t="shared" si="179"/>
        <v>3.97</v>
      </c>
      <c r="IG400" s="11">
        <f t="shared" si="179"/>
        <v>4.5999999999999999E-3</v>
      </c>
      <c r="IH400" s="11">
        <f t="shared" si="179"/>
        <v>2.73</v>
      </c>
      <c r="II400" s="11">
        <f t="shared" si="179"/>
        <v>0</v>
      </c>
      <c r="IJ400" s="11" t="s">
        <v>817</v>
      </c>
    </row>
    <row r="401" spans="4:244" x14ac:dyDescent="0.25">
      <c r="D401" s="20" t="s">
        <v>1038</v>
      </c>
      <c r="E401" s="14">
        <v>42304</v>
      </c>
      <c r="F401" s="18">
        <v>1.0534497289972899</v>
      </c>
      <c r="G401" s="18">
        <v>1.0536255324675301</v>
      </c>
      <c r="H401" s="21">
        <v>86</v>
      </c>
      <c r="I401" s="21">
        <v>79.699984000000001</v>
      </c>
      <c r="J401" s="21">
        <v>90</v>
      </c>
      <c r="K401" s="18">
        <v>1</v>
      </c>
      <c r="L401" s="18">
        <v>85</v>
      </c>
      <c r="M401" s="18">
        <v>8.3000000000000007</v>
      </c>
      <c r="N401" s="18">
        <v>2.6</v>
      </c>
      <c r="O401" s="18">
        <v>1.8</v>
      </c>
      <c r="P401" s="18">
        <v>4.8</v>
      </c>
      <c r="Q401" s="19"/>
      <c r="R401" s="18">
        <v>74.209301204819297</v>
      </c>
      <c r="S401" s="18">
        <v>43</v>
      </c>
      <c r="T401" s="18">
        <v>49</v>
      </c>
      <c r="U401" s="18">
        <v>51</v>
      </c>
      <c r="V401" s="18">
        <v>53</v>
      </c>
      <c r="W401" s="18">
        <v>54</v>
      </c>
      <c r="X401" s="18"/>
      <c r="Y401" s="18">
        <v>0.54117647058823526</v>
      </c>
      <c r="Z401" s="18">
        <v>3.2941176470588234</v>
      </c>
      <c r="AA401" s="18">
        <v>0.2</v>
      </c>
      <c r="AB401" s="18">
        <v>1.4999999999999998</v>
      </c>
      <c r="AC401" s="18">
        <v>5.7</v>
      </c>
      <c r="AD401" s="18">
        <v>1.2</v>
      </c>
      <c r="AE401" s="18">
        <v>1.1000000000000001</v>
      </c>
      <c r="AF401" s="18">
        <v>34</v>
      </c>
      <c r="AG401" s="18">
        <v>2.9</v>
      </c>
      <c r="AH401" s="18">
        <v>14</v>
      </c>
      <c r="AI401" s="18">
        <v>28</v>
      </c>
      <c r="AJ401" s="18">
        <v>0</v>
      </c>
      <c r="AK401" s="18">
        <v>0.04</v>
      </c>
      <c r="AL401" s="18"/>
      <c r="AM401" s="18">
        <v>3.9601176470588202</v>
      </c>
      <c r="AN401" s="18">
        <v>1.75917647058824</v>
      </c>
      <c r="AO401" s="18">
        <v>2.4757647058823502</v>
      </c>
      <c r="AP401" s="18">
        <v>3.5474117647058798</v>
      </c>
      <c r="AQ401" s="18">
        <v>1.3787058823529399</v>
      </c>
      <c r="AR401" s="18">
        <v>3.6432941176470601</v>
      </c>
      <c r="AS401" s="18">
        <v>6.9158823529411801</v>
      </c>
      <c r="AT401" s="18">
        <v>2.3268235294117598</v>
      </c>
      <c r="AU401" s="18">
        <v>4.6631764705882297</v>
      </c>
      <c r="AV401" s="18">
        <v>3.1852941176470599</v>
      </c>
      <c r="AW401" s="18">
        <v>5.20411764705882</v>
      </c>
      <c r="AX401" s="18"/>
      <c r="AY401" s="18">
        <v>0.94</v>
      </c>
      <c r="AZ401" s="18">
        <v>1.08</v>
      </c>
      <c r="BA401" s="18">
        <v>1.03</v>
      </c>
      <c r="BB401" s="18">
        <v>0.95</v>
      </c>
      <c r="BC401" s="18">
        <v>0.96</v>
      </c>
      <c r="BD401" s="18">
        <v>1</v>
      </c>
      <c r="BE401" s="18">
        <v>1.01</v>
      </c>
      <c r="BF401" s="18">
        <v>1</v>
      </c>
      <c r="BG401" s="18">
        <v>1.04</v>
      </c>
      <c r="BH401" s="18">
        <v>0.97</v>
      </c>
      <c r="BI401" s="18">
        <v>0.96</v>
      </c>
      <c r="BJ401" s="19"/>
      <c r="BK401" s="18">
        <v>9.764705882352942</v>
      </c>
      <c r="BL401" s="18">
        <v>3.0588235294117645</v>
      </c>
      <c r="BM401" s="18">
        <v>2.1176470588235294</v>
      </c>
      <c r="BN401" s="18">
        <v>5.6470588235294121</v>
      </c>
      <c r="BO401" s="18"/>
      <c r="BP401" s="18">
        <v>120</v>
      </c>
      <c r="BQ401" s="18">
        <v>36.705882352941174</v>
      </c>
      <c r="BR401" s="18">
        <v>1.2393526223497529</v>
      </c>
      <c r="BS401" s="18">
        <v>1.2395594499618001</v>
      </c>
      <c r="BT401" s="19"/>
      <c r="BU401" s="18">
        <v>978.82352941176475</v>
      </c>
      <c r="BV401" s="18">
        <v>635.16470588235291</v>
      </c>
      <c r="BW401" s="18">
        <v>88.094341378151285</v>
      </c>
      <c r="BX401" s="18">
        <v>604</v>
      </c>
      <c r="BY401" s="18">
        <v>21.000000000000004</v>
      </c>
      <c r="BZ401" s="18">
        <v>56</v>
      </c>
      <c r="CA401" s="18">
        <v>165</v>
      </c>
      <c r="CB401" s="19"/>
      <c r="CC401" s="19">
        <v>0.45999999999999996</v>
      </c>
      <c r="CD401" s="19">
        <v>2.8</v>
      </c>
      <c r="CE401" s="19">
        <v>0.17</v>
      </c>
      <c r="CF401" s="19">
        <v>1.2749999999999997</v>
      </c>
      <c r="CG401" s="19">
        <v>4.8449999999999998</v>
      </c>
      <c r="CH401" s="19">
        <v>1.02</v>
      </c>
      <c r="CI401" s="19">
        <v>0.93500000000000005</v>
      </c>
      <c r="CJ401" s="19"/>
      <c r="CK401" s="19">
        <v>28.9</v>
      </c>
      <c r="CL401" s="19">
        <v>2.4649999999999999</v>
      </c>
      <c r="CM401" s="19">
        <v>11.9</v>
      </c>
      <c r="CN401" s="19">
        <v>23.8</v>
      </c>
      <c r="CO401" s="19">
        <v>0</v>
      </c>
      <c r="CP401" s="19">
        <v>3.4000000000000002E-2</v>
      </c>
      <c r="CQ401" s="19">
        <v>61.593719999999998</v>
      </c>
      <c r="CR401" s="19">
        <v>58.468589724378248</v>
      </c>
      <c r="HM401" s="620">
        <f t="shared" ref="HM401:HU401" si="180">HM31</f>
        <v>0.47300000000000003</v>
      </c>
      <c r="HN401" s="620">
        <f t="shared" si="180"/>
        <v>0.13</v>
      </c>
      <c r="HO401" s="620">
        <f t="shared" si="180"/>
        <v>0.39100000000000001</v>
      </c>
      <c r="HP401" s="620">
        <f t="shared" si="180"/>
        <v>5.5E-2</v>
      </c>
      <c r="HQ401" s="620">
        <f t="shared" si="180"/>
        <v>3.97</v>
      </c>
      <c r="HR401" s="620">
        <f t="shared" si="180"/>
        <v>4.5999999999999999E-3</v>
      </c>
      <c r="HS401" s="620">
        <f t="shared" si="180"/>
        <v>2.73</v>
      </c>
      <c r="HT401" s="620">
        <f t="shared" si="180"/>
        <v>0</v>
      </c>
      <c r="HU401" s="620" t="str">
        <f t="shared" si="180"/>
        <v>offfarm</v>
      </c>
      <c r="HV401" s="22" t="s">
        <v>817</v>
      </c>
      <c r="IB401" s="11">
        <f t="shared" ref="IB401:II401" si="181">IB31</f>
        <v>0.47300000000000003</v>
      </c>
      <c r="IC401" s="11">
        <f t="shared" si="181"/>
        <v>0.13</v>
      </c>
      <c r="ID401" s="11">
        <f t="shared" si="181"/>
        <v>0.39100000000000001</v>
      </c>
      <c r="IE401" s="11">
        <f t="shared" si="181"/>
        <v>5.5E-2</v>
      </c>
      <c r="IF401" s="11">
        <f t="shared" si="181"/>
        <v>3.97</v>
      </c>
      <c r="IG401" s="11">
        <f t="shared" si="181"/>
        <v>4.5999999999999999E-3</v>
      </c>
      <c r="IH401" s="11">
        <f t="shared" si="181"/>
        <v>2.73</v>
      </c>
      <c r="II401" s="11">
        <f t="shared" si="181"/>
        <v>0</v>
      </c>
      <c r="IJ401" s="11" t="s">
        <v>817</v>
      </c>
    </row>
    <row r="402" spans="4:244" x14ac:dyDescent="0.25">
      <c r="D402" s="20" t="s">
        <v>1045</v>
      </c>
      <c r="E402" s="14">
        <v>42304</v>
      </c>
      <c r="F402" s="18">
        <v>1.05948921796361</v>
      </c>
      <c r="G402" s="18">
        <v>1.0578704304267099</v>
      </c>
      <c r="H402" s="21">
        <v>86</v>
      </c>
      <c r="I402" s="21">
        <v>80.199988000000005</v>
      </c>
      <c r="J402" s="21">
        <v>90</v>
      </c>
      <c r="K402" s="18">
        <v>1</v>
      </c>
      <c r="L402" s="18">
        <v>85</v>
      </c>
      <c r="M402" s="18">
        <v>8.3000000000000007</v>
      </c>
      <c r="N402" s="18">
        <v>2.6</v>
      </c>
      <c r="O402" s="18">
        <v>1.8</v>
      </c>
      <c r="P402" s="18">
        <v>4.8</v>
      </c>
      <c r="Q402" s="19"/>
      <c r="R402" s="18">
        <v>74.6818657487091</v>
      </c>
      <c r="S402" s="18">
        <v>43</v>
      </c>
      <c r="T402" s="18">
        <v>49</v>
      </c>
      <c r="U402" s="18">
        <v>51</v>
      </c>
      <c r="V402" s="18">
        <v>53</v>
      </c>
      <c r="W402" s="18">
        <v>54</v>
      </c>
      <c r="X402" s="18"/>
      <c r="Y402" s="18">
        <v>0.54117647058823526</v>
      </c>
      <c r="Z402" s="18">
        <v>3.2941176470588234</v>
      </c>
      <c r="AA402" s="18">
        <v>0.2</v>
      </c>
      <c r="AB402" s="18">
        <v>1.4999999999999998</v>
      </c>
      <c r="AC402" s="18">
        <v>5.7</v>
      </c>
      <c r="AD402" s="18">
        <v>1.2</v>
      </c>
      <c r="AE402" s="18">
        <v>1.1000000000000001</v>
      </c>
      <c r="AF402" s="18">
        <v>34</v>
      </c>
      <c r="AG402" s="18">
        <v>2.9</v>
      </c>
      <c r="AH402" s="18">
        <v>14</v>
      </c>
      <c r="AI402" s="18">
        <v>28</v>
      </c>
      <c r="AJ402" s="18">
        <v>0</v>
      </c>
      <c r="AK402" s="18">
        <v>0.04</v>
      </c>
      <c r="AL402" s="18"/>
      <c r="AM402" s="18">
        <v>3.9601176470588202</v>
      </c>
      <c r="AN402" s="18">
        <v>1.75917647058824</v>
      </c>
      <c r="AO402" s="18">
        <v>2.4757647058823502</v>
      </c>
      <c r="AP402" s="18">
        <v>3.5474117647058798</v>
      </c>
      <c r="AQ402" s="18">
        <v>1.3787058823529399</v>
      </c>
      <c r="AR402" s="18">
        <v>3.6432941176470601</v>
      </c>
      <c r="AS402" s="18">
        <v>6.9158823529411801</v>
      </c>
      <c r="AT402" s="18">
        <v>2.3268235294117598</v>
      </c>
      <c r="AU402" s="18">
        <v>4.6631764705882297</v>
      </c>
      <c r="AV402" s="18">
        <v>3.1852941176470599</v>
      </c>
      <c r="AW402" s="18">
        <v>5.20411764705882</v>
      </c>
      <c r="AX402" s="18"/>
      <c r="AY402" s="18">
        <v>0.94</v>
      </c>
      <c r="AZ402" s="18">
        <v>1.08</v>
      </c>
      <c r="BA402" s="18">
        <v>1.03</v>
      </c>
      <c r="BB402" s="18">
        <v>0.95</v>
      </c>
      <c r="BC402" s="18">
        <v>0.96</v>
      </c>
      <c r="BD402" s="18">
        <v>1</v>
      </c>
      <c r="BE402" s="18">
        <v>1.01</v>
      </c>
      <c r="BF402" s="18">
        <v>1</v>
      </c>
      <c r="BG402" s="18">
        <v>1.04</v>
      </c>
      <c r="BH402" s="18">
        <v>0.97</v>
      </c>
      <c r="BI402" s="18">
        <v>0.96</v>
      </c>
      <c r="BJ402" s="19"/>
      <c r="BK402" s="18">
        <v>9.764705882352942</v>
      </c>
      <c r="BL402" s="18">
        <v>3.0588235294117645</v>
      </c>
      <c r="BM402" s="18">
        <v>2.1176470588235294</v>
      </c>
      <c r="BN402" s="18">
        <v>5.6470588235294121</v>
      </c>
      <c r="BO402" s="18"/>
      <c r="BP402" s="18">
        <v>120</v>
      </c>
      <c r="BQ402" s="18">
        <v>36.705882352941174</v>
      </c>
      <c r="BR402" s="18">
        <v>1.2464579034865999</v>
      </c>
      <c r="BS402" s="18">
        <v>1.2445534475608351</v>
      </c>
      <c r="BT402" s="19"/>
      <c r="BU402" s="18">
        <v>978.82352941176475</v>
      </c>
      <c r="BV402" s="18">
        <v>642.15630252100937</v>
      </c>
      <c r="BW402" s="18">
        <v>81.102688806722824</v>
      </c>
      <c r="BX402" s="18">
        <v>604</v>
      </c>
      <c r="BY402" s="18">
        <v>21.000000000000004</v>
      </c>
      <c r="BZ402" s="18">
        <v>56</v>
      </c>
      <c r="CA402" s="18">
        <v>165</v>
      </c>
      <c r="CB402" s="19"/>
      <c r="CC402" s="19">
        <v>0.45999999999999996</v>
      </c>
      <c r="CD402" s="19">
        <v>2.8</v>
      </c>
      <c r="CE402" s="19">
        <v>0.17</v>
      </c>
      <c r="CF402" s="19">
        <v>1.2749999999999997</v>
      </c>
      <c r="CG402" s="19">
        <v>4.8449999999999998</v>
      </c>
      <c r="CH402" s="19">
        <v>1.02</v>
      </c>
      <c r="CI402" s="19">
        <v>0.93500000000000005</v>
      </c>
      <c r="CJ402" s="19"/>
      <c r="CK402" s="19">
        <v>28.9</v>
      </c>
      <c r="CL402" s="19">
        <v>2.4649999999999999</v>
      </c>
      <c r="CM402" s="19">
        <v>11.9</v>
      </c>
      <c r="CN402" s="19">
        <v>23.8</v>
      </c>
      <c r="CO402" s="19">
        <v>0</v>
      </c>
      <c r="CP402" s="19">
        <v>3.4000000000000002E-2</v>
      </c>
      <c r="CQ402" s="19">
        <v>61.985948571428601</v>
      </c>
      <c r="CR402" s="19">
        <v>58.505502010269275</v>
      </c>
      <c r="HM402" s="620">
        <f t="shared" ref="HM402:HU402" si="182">HM32</f>
        <v>0.47300000000000003</v>
      </c>
      <c r="HN402" s="620">
        <f t="shared" si="182"/>
        <v>0.13</v>
      </c>
      <c r="HO402" s="620">
        <f t="shared" si="182"/>
        <v>0.39100000000000001</v>
      </c>
      <c r="HP402" s="620">
        <f t="shared" si="182"/>
        <v>5.5E-2</v>
      </c>
      <c r="HQ402" s="620">
        <f t="shared" si="182"/>
        <v>3.97</v>
      </c>
      <c r="HR402" s="620">
        <f t="shared" si="182"/>
        <v>4.5999999999999999E-3</v>
      </c>
      <c r="HS402" s="620">
        <f t="shared" si="182"/>
        <v>2.73</v>
      </c>
      <c r="HT402" s="620">
        <f t="shared" si="182"/>
        <v>0</v>
      </c>
      <c r="HU402" s="620" t="str">
        <f t="shared" si="182"/>
        <v>offfarm</v>
      </c>
      <c r="HV402" s="22" t="s">
        <v>817</v>
      </c>
      <c r="IB402" s="11">
        <f t="shared" ref="IB402:II402" si="183">IB32</f>
        <v>0.47300000000000003</v>
      </c>
      <c r="IC402" s="11">
        <f t="shared" si="183"/>
        <v>0.13</v>
      </c>
      <c r="ID402" s="11">
        <f t="shared" si="183"/>
        <v>0.39100000000000001</v>
      </c>
      <c r="IE402" s="11">
        <f t="shared" si="183"/>
        <v>5.5E-2</v>
      </c>
      <c r="IF402" s="11">
        <f t="shared" si="183"/>
        <v>3.97</v>
      </c>
      <c r="IG402" s="11">
        <f t="shared" si="183"/>
        <v>4.5999999999999999E-3</v>
      </c>
      <c r="IH402" s="11">
        <f t="shared" si="183"/>
        <v>2.73</v>
      </c>
      <c r="II402" s="11">
        <f t="shared" si="183"/>
        <v>0</v>
      </c>
      <c r="IJ402" s="11" t="s">
        <v>817</v>
      </c>
    </row>
    <row r="403" spans="4:244" x14ac:dyDescent="0.25">
      <c r="D403" s="185" t="s">
        <v>1046</v>
      </c>
      <c r="E403" s="14">
        <v>42304</v>
      </c>
      <c r="F403" s="18">
        <v>1.0534497289972899</v>
      </c>
      <c r="G403" s="18">
        <v>1.0536255324675301</v>
      </c>
      <c r="H403" s="21">
        <v>86</v>
      </c>
      <c r="I403" s="21">
        <v>79.699984000000001</v>
      </c>
      <c r="J403" s="21">
        <v>90</v>
      </c>
      <c r="K403" s="18">
        <v>1</v>
      </c>
      <c r="L403" s="18">
        <v>85</v>
      </c>
      <c r="M403" s="18">
        <v>8.3000000000000007</v>
      </c>
      <c r="N403" s="18">
        <v>2.6</v>
      </c>
      <c r="O403" s="18">
        <v>1.8</v>
      </c>
      <c r="P403" s="18">
        <v>4.8</v>
      </c>
      <c r="Q403" s="19"/>
      <c r="R403" s="18">
        <v>74.209301204819297</v>
      </c>
      <c r="S403" s="18">
        <v>30</v>
      </c>
      <c r="T403" s="18">
        <v>42</v>
      </c>
      <c r="U403" s="18">
        <v>46</v>
      </c>
      <c r="V403" s="18">
        <v>50</v>
      </c>
      <c r="W403" s="18">
        <v>53</v>
      </c>
      <c r="X403" s="18"/>
      <c r="Y403" s="18">
        <v>0.54117647058823526</v>
      </c>
      <c r="Z403" s="18">
        <v>3.2941176470588234</v>
      </c>
      <c r="AA403" s="18">
        <v>0.2</v>
      </c>
      <c r="AB403" s="18">
        <v>1.4999999999999998</v>
      </c>
      <c r="AC403" s="18">
        <v>5.7</v>
      </c>
      <c r="AD403" s="18">
        <v>1.2</v>
      </c>
      <c r="AE403" s="18">
        <v>1.1000000000000001</v>
      </c>
      <c r="AF403" s="18">
        <v>34</v>
      </c>
      <c r="AG403" s="18">
        <v>2.9</v>
      </c>
      <c r="AH403" s="18">
        <v>14</v>
      </c>
      <c r="AI403" s="18">
        <v>28</v>
      </c>
      <c r="AJ403" s="18">
        <v>0</v>
      </c>
      <c r="AK403" s="18">
        <v>0.04</v>
      </c>
      <c r="AL403" s="18"/>
      <c r="AM403" s="18">
        <v>3.9601176470588202</v>
      </c>
      <c r="AN403" s="18">
        <v>1.75917647058824</v>
      </c>
      <c r="AO403" s="18">
        <v>2.4757647058823502</v>
      </c>
      <c r="AP403" s="18">
        <v>3.5474117647058798</v>
      </c>
      <c r="AQ403" s="18">
        <v>1.3787058823529399</v>
      </c>
      <c r="AR403" s="18">
        <v>3.6432941176470601</v>
      </c>
      <c r="AS403" s="18">
        <v>6.9158823529411801</v>
      </c>
      <c r="AT403" s="18">
        <v>2.3268235294117598</v>
      </c>
      <c r="AU403" s="18">
        <v>4.6631764705882297</v>
      </c>
      <c r="AV403" s="18">
        <v>3.1852941176470599</v>
      </c>
      <c r="AW403" s="18">
        <v>5.20411764705882</v>
      </c>
      <c r="AX403" s="18"/>
      <c r="AY403" s="18">
        <v>0.94</v>
      </c>
      <c r="AZ403" s="18">
        <v>1.08</v>
      </c>
      <c r="BA403" s="18">
        <v>1.03</v>
      </c>
      <c r="BB403" s="18">
        <v>0.95</v>
      </c>
      <c r="BC403" s="18">
        <v>0.96</v>
      </c>
      <c r="BD403" s="18">
        <v>1</v>
      </c>
      <c r="BE403" s="18">
        <v>1.01</v>
      </c>
      <c r="BF403" s="18">
        <v>1</v>
      </c>
      <c r="BG403" s="18">
        <v>1.04</v>
      </c>
      <c r="BH403" s="18">
        <v>0.97</v>
      </c>
      <c r="BI403" s="18">
        <v>0.96</v>
      </c>
      <c r="BJ403" s="19"/>
      <c r="BK403" s="18">
        <v>9.764705882352942</v>
      </c>
      <c r="BL403" s="18">
        <v>3.0588235294117645</v>
      </c>
      <c r="BM403" s="18">
        <v>2.1176470588235294</v>
      </c>
      <c r="BN403" s="18">
        <v>5.6470588235294121</v>
      </c>
      <c r="BO403" s="18"/>
      <c r="BP403" s="18">
        <v>120</v>
      </c>
      <c r="BQ403" s="18">
        <v>36.705882352941174</v>
      </c>
      <c r="BR403" s="18">
        <v>1.2393526223497529</v>
      </c>
      <c r="BS403" s="18">
        <v>1.2395594499618001</v>
      </c>
      <c r="BT403" s="19"/>
      <c r="BU403" s="18">
        <v>978.82352941176475</v>
      </c>
      <c r="BV403" s="18">
        <v>635.16470588235291</v>
      </c>
      <c r="BW403" s="18">
        <v>88.094341378151285</v>
      </c>
      <c r="BX403" s="18">
        <v>604</v>
      </c>
      <c r="BY403" s="18">
        <v>21.000000000000004</v>
      </c>
      <c r="BZ403" s="18">
        <v>56</v>
      </c>
      <c r="CA403" s="18">
        <v>165</v>
      </c>
      <c r="CB403" s="19"/>
      <c r="CC403" s="19">
        <v>0.45999999999999996</v>
      </c>
      <c r="CD403" s="19">
        <v>2.8</v>
      </c>
      <c r="CE403" s="19">
        <v>0.17</v>
      </c>
      <c r="CF403" s="19">
        <v>1.2749999999999997</v>
      </c>
      <c r="CG403" s="19">
        <v>4.8449999999999998</v>
      </c>
      <c r="CH403" s="19">
        <v>1.02</v>
      </c>
      <c r="CI403" s="19">
        <v>0.93500000000000005</v>
      </c>
      <c r="CJ403" s="19"/>
      <c r="CK403" s="19">
        <v>28.9</v>
      </c>
      <c r="CL403" s="19">
        <v>2.4649999999999999</v>
      </c>
      <c r="CM403" s="19">
        <v>11.9</v>
      </c>
      <c r="CN403" s="19">
        <v>23.8</v>
      </c>
      <c r="CO403" s="19">
        <v>0</v>
      </c>
      <c r="CP403" s="19">
        <v>3.4000000000000002E-2</v>
      </c>
      <c r="CQ403" s="19">
        <v>61.593719999999998</v>
      </c>
      <c r="CR403" s="19">
        <v>58.468589724378248</v>
      </c>
      <c r="HM403" s="620">
        <f t="shared" ref="HM403:HU403" si="184">HM33</f>
        <v>0.47300000000000003</v>
      </c>
      <c r="HN403" s="620">
        <f t="shared" si="184"/>
        <v>0.13</v>
      </c>
      <c r="HO403" s="620">
        <f t="shared" si="184"/>
        <v>0.39100000000000001</v>
      </c>
      <c r="HP403" s="620">
        <f t="shared" si="184"/>
        <v>5.5E-2</v>
      </c>
      <c r="HQ403" s="620">
        <f t="shared" si="184"/>
        <v>3.97</v>
      </c>
      <c r="HR403" s="620">
        <f t="shared" si="184"/>
        <v>4.5999999999999999E-3</v>
      </c>
      <c r="HS403" s="620">
        <f t="shared" si="184"/>
        <v>2.73</v>
      </c>
      <c r="HT403" s="620">
        <f t="shared" si="184"/>
        <v>0</v>
      </c>
      <c r="HU403" s="620" t="str">
        <f t="shared" si="184"/>
        <v>offfarm</v>
      </c>
      <c r="HV403" s="22" t="s">
        <v>817</v>
      </c>
      <c r="IB403" s="11">
        <f t="shared" ref="IB403:II403" si="185">IB33</f>
        <v>0.47300000000000003</v>
      </c>
      <c r="IC403" s="11">
        <f t="shared" si="185"/>
        <v>0.13</v>
      </c>
      <c r="ID403" s="11">
        <f t="shared" si="185"/>
        <v>0.39100000000000001</v>
      </c>
      <c r="IE403" s="11">
        <f t="shared" si="185"/>
        <v>5.5E-2</v>
      </c>
      <c r="IF403" s="11">
        <f t="shared" si="185"/>
        <v>3.97</v>
      </c>
      <c r="IG403" s="11">
        <f t="shared" si="185"/>
        <v>4.5999999999999999E-3</v>
      </c>
      <c r="IH403" s="11">
        <f t="shared" si="185"/>
        <v>2.73</v>
      </c>
      <c r="II403" s="11">
        <f t="shared" si="185"/>
        <v>0</v>
      </c>
      <c r="IJ403" s="11" t="s">
        <v>817</v>
      </c>
    </row>
    <row r="404" spans="4:244" x14ac:dyDescent="0.25">
      <c r="D404" s="185" t="s">
        <v>1047</v>
      </c>
      <c r="E404" s="14">
        <v>42304</v>
      </c>
      <c r="F404" s="18">
        <v>1.05948921796361</v>
      </c>
      <c r="G404" s="18">
        <v>1.0578704304267099</v>
      </c>
      <c r="H404" s="21">
        <v>86</v>
      </c>
      <c r="I404" s="21">
        <v>80.199988000000005</v>
      </c>
      <c r="J404" s="21">
        <v>90</v>
      </c>
      <c r="K404" s="18">
        <v>1</v>
      </c>
      <c r="L404" s="18">
        <v>85</v>
      </c>
      <c r="M404" s="18">
        <v>8.3000000000000007</v>
      </c>
      <c r="N404" s="18">
        <v>2.6</v>
      </c>
      <c r="O404" s="18">
        <v>1.8</v>
      </c>
      <c r="P404" s="18">
        <v>4.8</v>
      </c>
      <c r="Q404" s="19"/>
      <c r="R404" s="18">
        <v>74.6818657487091</v>
      </c>
      <c r="S404" s="18">
        <v>30</v>
      </c>
      <c r="T404" s="18">
        <v>42</v>
      </c>
      <c r="U404" s="18">
        <v>46</v>
      </c>
      <c r="V404" s="18">
        <v>50</v>
      </c>
      <c r="W404" s="18">
        <v>53</v>
      </c>
      <c r="X404" s="18"/>
      <c r="Y404" s="18">
        <v>0.54117647058823526</v>
      </c>
      <c r="Z404" s="18">
        <v>3.2941176470588234</v>
      </c>
      <c r="AA404" s="18">
        <v>0.2</v>
      </c>
      <c r="AB404" s="18">
        <v>1.4999999999999998</v>
      </c>
      <c r="AC404" s="18">
        <v>5.7</v>
      </c>
      <c r="AD404" s="18">
        <v>1.2</v>
      </c>
      <c r="AE404" s="18">
        <v>1.1000000000000001</v>
      </c>
      <c r="AF404" s="18">
        <v>34</v>
      </c>
      <c r="AG404" s="18">
        <v>2.9</v>
      </c>
      <c r="AH404" s="18">
        <v>14</v>
      </c>
      <c r="AI404" s="18">
        <v>28</v>
      </c>
      <c r="AJ404" s="18">
        <v>0</v>
      </c>
      <c r="AK404" s="18">
        <v>0.04</v>
      </c>
      <c r="AL404" s="18"/>
      <c r="AM404" s="18">
        <v>3.9601176470588202</v>
      </c>
      <c r="AN404" s="18">
        <v>1.75917647058824</v>
      </c>
      <c r="AO404" s="18">
        <v>2.4757647058823502</v>
      </c>
      <c r="AP404" s="18">
        <v>3.5474117647058798</v>
      </c>
      <c r="AQ404" s="18">
        <v>1.3787058823529399</v>
      </c>
      <c r="AR404" s="18">
        <v>3.6432941176470601</v>
      </c>
      <c r="AS404" s="18">
        <v>6.9158823529411801</v>
      </c>
      <c r="AT404" s="18">
        <v>2.3268235294117598</v>
      </c>
      <c r="AU404" s="18">
        <v>4.6631764705882297</v>
      </c>
      <c r="AV404" s="18">
        <v>3.1852941176470599</v>
      </c>
      <c r="AW404" s="18">
        <v>5.20411764705882</v>
      </c>
      <c r="AX404" s="18"/>
      <c r="AY404" s="18">
        <v>0.94</v>
      </c>
      <c r="AZ404" s="18">
        <v>1.08</v>
      </c>
      <c r="BA404" s="18">
        <v>1.03</v>
      </c>
      <c r="BB404" s="18">
        <v>0.95</v>
      </c>
      <c r="BC404" s="18">
        <v>0.96</v>
      </c>
      <c r="BD404" s="18">
        <v>1</v>
      </c>
      <c r="BE404" s="18">
        <v>1.01</v>
      </c>
      <c r="BF404" s="18">
        <v>1</v>
      </c>
      <c r="BG404" s="18">
        <v>1.04</v>
      </c>
      <c r="BH404" s="18">
        <v>0.97</v>
      </c>
      <c r="BI404" s="18">
        <v>0.96</v>
      </c>
      <c r="BJ404" s="19"/>
      <c r="BK404" s="18">
        <v>9.764705882352942</v>
      </c>
      <c r="BL404" s="18">
        <v>3.0588235294117645</v>
      </c>
      <c r="BM404" s="18">
        <v>2.1176470588235294</v>
      </c>
      <c r="BN404" s="18">
        <v>5.6470588235294121</v>
      </c>
      <c r="BO404" s="18"/>
      <c r="BP404" s="18">
        <v>120</v>
      </c>
      <c r="BQ404" s="18">
        <v>36.705882352941174</v>
      </c>
      <c r="BR404" s="18">
        <v>1.2464579034865999</v>
      </c>
      <c r="BS404" s="18">
        <v>1.2445534475608351</v>
      </c>
      <c r="BT404" s="19"/>
      <c r="BU404" s="18">
        <v>978.82352941176475</v>
      </c>
      <c r="BV404" s="18">
        <v>642.15630252100937</v>
      </c>
      <c r="BW404" s="18">
        <v>81.102688806722824</v>
      </c>
      <c r="BX404" s="18">
        <v>604</v>
      </c>
      <c r="BY404" s="18">
        <v>21.000000000000004</v>
      </c>
      <c r="BZ404" s="18">
        <v>56</v>
      </c>
      <c r="CA404" s="18">
        <v>165</v>
      </c>
      <c r="CB404" s="19"/>
      <c r="CC404" s="19">
        <v>0.45999999999999996</v>
      </c>
      <c r="CD404" s="19">
        <v>2.8</v>
      </c>
      <c r="CE404" s="19">
        <v>0.17</v>
      </c>
      <c r="CF404" s="19">
        <v>1.2749999999999997</v>
      </c>
      <c r="CG404" s="19">
        <v>4.8449999999999998</v>
      </c>
      <c r="CH404" s="19">
        <v>1.02</v>
      </c>
      <c r="CI404" s="19">
        <v>0.93500000000000005</v>
      </c>
      <c r="CJ404" s="19"/>
      <c r="CK404" s="19">
        <v>28.9</v>
      </c>
      <c r="CL404" s="19">
        <v>2.4649999999999999</v>
      </c>
      <c r="CM404" s="19">
        <v>11.9</v>
      </c>
      <c r="CN404" s="19">
        <v>23.8</v>
      </c>
      <c r="CO404" s="19">
        <v>0</v>
      </c>
      <c r="CP404" s="19">
        <v>3.4000000000000002E-2</v>
      </c>
      <c r="CQ404" s="19">
        <v>61.985948571428601</v>
      </c>
      <c r="CR404" s="19">
        <v>58.505502010269275</v>
      </c>
      <c r="HM404" s="620">
        <f t="shared" ref="HM404:HU404" si="186">HM34</f>
        <v>0.47300000000000003</v>
      </c>
      <c r="HN404" s="620">
        <f t="shared" si="186"/>
        <v>0.13</v>
      </c>
      <c r="HO404" s="620">
        <f t="shared" si="186"/>
        <v>0.39100000000000001</v>
      </c>
      <c r="HP404" s="620">
        <f t="shared" si="186"/>
        <v>5.5E-2</v>
      </c>
      <c r="HQ404" s="620">
        <f t="shared" si="186"/>
        <v>3.97</v>
      </c>
      <c r="HR404" s="620">
        <f t="shared" si="186"/>
        <v>4.5999999999999999E-3</v>
      </c>
      <c r="HS404" s="620">
        <f t="shared" si="186"/>
        <v>2.73</v>
      </c>
      <c r="HT404" s="620">
        <f t="shared" si="186"/>
        <v>0</v>
      </c>
      <c r="HU404" s="620" t="str">
        <f t="shared" si="186"/>
        <v>offfarm</v>
      </c>
      <c r="HV404" s="22" t="s">
        <v>817</v>
      </c>
      <c r="IB404" s="11">
        <f t="shared" ref="IB404:II404" si="187">IB34</f>
        <v>0.47300000000000003</v>
      </c>
      <c r="IC404" s="11">
        <f t="shared" si="187"/>
        <v>0.13</v>
      </c>
      <c r="ID404" s="11">
        <f t="shared" si="187"/>
        <v>0.39100000000000001</v>
      </c>
      <c r="IE404" s="11">
        <f t="shared" si="187"/>
        <v>5.5E-2</v>
      </c>
      <c r="IF404" s="11">
        <f t="shared" si="187"/>
        <v>3.97</v>
      </c>
      <c r="IG404" s="11">
        <f t="shared" si="187"/>
        <v>4.5999999999999999E-3</v>
      </c>
      <c r="IH404" s="11">
        <f t="shared" si="187"/>
        <v>2.73</v>
      </c>
      <c r="II404" s="11">
        <f t="shared" si="187"/>
        <v>0</v>
      </c>
      <c r="IJ404" s="11" t="s">
        <v>817</v>
      </c>
    </row>
    <row r="405" spans="4:244" x14ac:dyDescent="0.25">
      <c r="D405" s="185" t="s">
        <v>1048</v>
      </c>
      <c r="E405" s="14">
        <v>42678</v>
      </c>
      <c r="F405" s="18">
        <v>1.06026658834777</v>
      </c>
      <c r="G405" s="18">
        <v>1.05560409978304</v>
      </c>
      <c r="H405" s="21">
        <v>85.4</v>
      </c>
      <c r="I405" s="21">
        <v>80.900017800000001</v>
      </c>
      <c r="J405" s="21">
        <v>90</v>
      </c>
      <c r="K405" s="18">
        <v>1</v>
      </c>
      <c r="L405" s="18">
        <v>85</v>
      </c>
      <c r="M405" s="18">
        <v>9.9999999999999591</v>
      </c>
      <c r="N405" s="18">
        <v>2.6</v>
      </c>
      <c r="O405" s="18">
        <v>1.9</v>
      </c>
      <c r="P405" s="18">
        <v>4.8</v>
      </c>
      <c r="Q405" s="19"/>
      <c r="R405" s="18">
        <v>77.970349714285703</v>
      </c>
      <c r="S405" s="18">
        <v>30</v>
      </c>
      <c r="T405" s="18">
        <v>42</v>
      </c>
      <c r="U405" s="18">
        <v>46</v>
      </c>
      <c r="V405" s="18">
        <v>50</v>
      </c>
      <c r="W405" s="18">
        <v>53</v>
      </c>
      <c r="X405" s="18"/>
      <c r="Y405" s="18">
        <v>0.55294117647058827</v>
      </c>
      <c r="Z405" s="18">
        <v>3.6470588235294117</v>
      </c>
      <c r="AA405" s="18">
        <v>0.2</v>
      </c>
      <c r="AB405" s="18">
        <v>1.4999999999999998</v>
      </c>
      <c r="AC405" s="18">
        <v>5.7</v>
      </c>
      <c r="AD405" s="18">
        <v>1.2</v>
      </c>
      <c r="AE405" s="18">
        <v>1.1000000000000001</v>
      </c>
      <c r="AF405" s="18">
        <v>34</v>
      </c>
      <c r="AG405" s="18">
        <v>2.9</v>
      </c>
      <c r="AH405" s="18">
        <v>14</v>
      </c>
      <c r="AI405" s="18">
        <v>28</v>
      </c>
      <c r="AJ405" s="18">
        <v>0</v>
      </c>
      <c r="AK405" s="18">
        <v>0.04</v>
      </c>
      <c r="AL405" s="18"/>
      <c r="AM405" s="18">
        <v>3.70411764705882</v>
      </c>
      <c r="AN405" s="18">
        <v>1.6811764705882399</v>
      </c>
      <c r="AO405" s="18">
        <v>2.3417647058823499</v>
      </c>
      <c r="AP405" s="18">
        <v>3.3994117647058801</v>
      </c>
      <c r="AQ405" s="18">
        <v>1.30470588235294</v>
      </c>
      <c r="AR405" s="18">
        <v>3.6152941176470601</v>
      </c>
      <c r="AS405" s="18">
        <v>6.8658823529411803</v>
      </c>
      <c r="AT405" s="18">
        <v>2.26882352941176</v>
      </c>
      <c r="AU405" s="18">
        <v>4.8911764705882304</v>
      </c>
      <c r="AV405" s="18">
        <v>3.22529411764706</v>
      </c>
      <c r="AW405" s="18">
        <v>5.0841176470588199</v>
      </c>
      <c r="AX405" s="18"/>
      <c r="AY405" s="18">
        <v>0.94</v>
      </c>
      <c r="AZ405" s="18">
        <v>1.08</v>
      </c>
      <c r="BA405" s="18">
        <v>1.03</v>
      </c>
      <c r="BB405" s="18">
        <v>0.95</v>
      </c>
      <c r="BC405" s="18">
        <v>0.96</v>
      </c>
      <c r="BD405" s="18">
        <v>1</v>
      </c>
      <c r="BE405" s="18">
        <v>1.01</v>
      </c>
      <c r="BF405" s="18">
        <v>1</v>
      </c>
      <c r="BG405" s="18">
        <v>1.04</v>
      </c>
      <c r="BH405" s="18">
        <v>0.97</v>
      </c>
      <c r="BI405" s="18">
        <v>0.96</v>
      </c>
      <c r="BJ405" s="19"/>
      <c r="BK405" s="18">
        <v>11.764705882352892</v>
      </c>
      <c r="BL405" s="18">
        <v>3.0588235294117645</v>
      </c>
      <c r="BM405" s="18">
        <v>2.2352941176470589</v>
      </c>
      <c r="BN405" s="18">
        <v>5.6470588235294121</v>
      </c>
      <c r="BO405" s="18"/>
      <c r="BP405" s="18">
        <v>120</v>
      </c>
      <c r="BQ405" s="18">
        <v>36.705882352941174</v>
      </c>
      <c r="BR405" s="18">
        <v>1.2473724568797293</v>
      </c>
      <c r="BS405" s="18">
        <v>1.2418871762153412</v>
      </c>
      <c r="BT405" s="19"/>
      <c r="BU405" s="18">
        <v>977.64705882352939</v>
      </c>
      <c r="BV405" s="18">
        <v>635.33268557647068</v>
      </c>
      <c r="BW405" s="18">
        <v>62.848490894117653</v>
      </c>
      <c r="BX405" s="18">
        <v>604</v>
      </c>
      <c r="BY405" s="18">
        <v>21.000000000000004</v>
      </c>
      <c r="BZ405" s="18">
        <v>56</v>
      </c>
      <c r="CA405" s="18">
        <v>165</v>
      </c>
      <c r="CB405" s="19"/>
      <c r="CC405" s="19">
        <v>0.47000000000000003</v>
      </c>
      <c r="CD405" s="19">
        <v>3.0999999999999996</v>
      </c>
      <c r="CE405" s="19">
        <v>0.17</v>
      </c>
      <c r="CF405" s="19">
        <v>1.2749999999999997</v>
      </c>
      <c r="CG405" s="19">
        <v>4.8449999999999998</v>
      </c>
      <c r="CH405" s="19">
        <v>1.02</v>
      </c>
      <c r="CI405" s="19">
        <v>0.93500000000000005</v>
      </c>
      <c r="CJ405" s="19"/>
      <c r="CK405" s="19">
        <v>28.9</v>
      </c>
      <c r="CL405" s="19">
        <v>2.4649999999999999</v>
      </c>
      <c r="CM405" s="19">
        <v>11.9</v>
      </c>
      <c r="CN405" s="19">
        <v>23.8</v>
      </c>
      <c r="CO405" s="19">
        <v>0</v>
      </c>
      <c r="CP405" s="19">
        <v>3.4000000000000002E-2</v>
      </c>
      <c r="CQ405" s="19">
        <v>77.970349714285405</v>
      </c>
      <c r="CR405" s="19">
        <v>73.538438889966173</v>
      </c>
      <c r="HM405" s="620">
        <f t="shared" ref="HM405:HU405" si="188">HM35</f>
        <v>0.47300000000000003</v>
      </c>
      <c r="HN405" s="620">
        <f t="shared" si="188"/>
        <v>0.13</v>
      </c>
      <c r="HO405" s="620">
        <f t="shared" si="188"/>
        <v>0.39100000000000001</v>
      </c>
      <c r="HP405" s="620">
        <f t="shared" si="188"/>
        <v>5.5E-2</v>
      </c>
      <c r="HQ405" s="620">
        <f t="shared" si="188"/>
        <v>3.97</v>
      </c>
      <c r="HR405" s="620">
        <f t="shared" si="188"/>
        <v>4.5999999999999999E-3</v>
      </c>
      <c r="HS405" s="620">
        <f t="shared" si="188"/>
        <v>2.73</v>
      </c>
      <c r="HT405" s="620">
        <f t="shared" si="188"/>
        <v>0</v>
      </c>
      <c r="HU405" s="620" t="str">
        <f t="shared" si="188"/>
        <v>offfarm</v>
      </c>
      <c r="HV405" s="22" t="s">
        <v>817</v>
      </c>
      <c r="IB405" s="11">
        <f t="shared" ref="IB405:II405" si="189">IB35</f>
        <v>0.47300000000000003</v>
      </c>
      <c r="IC405" s="11">
        <f t="shared" si="189"/>
        <v>0.13</v>
      </c>
      <c r="ID405" s="11">
        <f t="shared" si="189"/>
        <v>0.39100000000000001</v>
      </c>
      <c r="IE405" s="11">
        <f t="shared" si="189"/>
        <v>5.5E-2</v>
      </c>
      <c r="IF405" s="11">
        <f t="shared" si="189"/>
        <v>3.97</v>
      </c>
      <c r="IG405" s="11">
        <f t="shared" si="189"/>
        <v>4.5999999999999999E-3</v>
      </c>
      <c r="IH405" s="11">
        <f t="shared" si="189"/>
        <v>2.73</v>
      </c>
      <c r="II405" s="11">
        <f t="shared" si="189"/>
        <v>0</v>
      </c>
      <c r="IJ405" s="11" t="s">
        <v>817</v>
      </c>
    </row>
    <row r="406" spans="4:244" x14ac:dyDescent="0.25">
      <c r="D406" s="185" t="s">
        <v>1049</v>
      </c>
      <c r="E406" s="14">
        <v>42678</v>
      </c>
      <c r="F406" s="18">
        <v>1.0569386566008601</v>
      </c>
      <c r="G406" s="18">
        <v>1.0524153588126199</v>
      </c>
      <c r="H406" s="21">
        <v>85.4</v>
      </c>
      <c r="I406" s="21">
        <v>80.900017800000001</v>
      </c>
      <c r="J406" s="21">
        <v>90</v>
      </c>
      <c r="K406" s="18">
        <v>1</v>
      </c>
      <c r="L406" s="18">
        <v>85</v>
      </c>
      <c r="M406" s="18">
        <v>11.5</v>
      </c>
      <c r="N406" s="18">
        <v>2.6</v>
      </c>
      <c r="O406" s="18">
        <v>1.9</v>
      </c>
      <c r="P406" s="18">
        <v>4.8</v>
      </c>
      <c r="Q406" s="19"/>
      <c r="R406" s="18">
        <v>79.539434534161501</v>
      </c>
      <c r="S406" s="18">
        <v>30</v>
      </c>
      <c r="T406" s="18">
        <v>42</v>
      </c>
      <c r="U406" s="18">
        <v>46</v>
      </c>
      <c r="V406" s="18">
        <v>50</v>
      </c>
      <c r="W406" s="18">
        <v>53</v>
      </c>
      <c r="X406" s="18"/>
      <c r="Y406" s="18">
        <v>0.55294117647058827</v>
      </c>
      <c r="Z406" s="18">
        <v>3.6470588235294117</v>
      </c>
      <c r="AA406" s="18">
        <v>0.2</v>
      </c>
      <c r="AB406" s="18">
        <v>1.4999999999999998</v>
      </c>
      <c r="AC406" s="18">
        <v>5.7</v>
      </c>
      <c r="AD406" s="18">
        <v>1.2</v>
      </c>
      <c r="AE406" s="18">
        <v>1.1000000000000001</v>
      </c>
      <c r="AF406" s="18">
        <v>34</v>
      </c>
      <c r="AG406" s="18">
        <v>2.9</v>
      </c>
      <c r="AH406" s="18">
        <v>14</v>
      </c>
      <c r="AI406" s="18">
        <v>28</v>
      </c>
      <c r="AJ406" s="18">
        <v>0</v>
      </c>
      <c r="AK406" s="18">
        <v>0.04</v>
      </c>
      <c r="AL406" s="18"/>
      <c r="AM406" s="18">
        <v>3.47823529411765</v>
      </c>
      <c r="AN406" s="18">
        <v>1.6123529411764701</v>
      </c>
      <c r="AO406" s="18">
        <v>2.22352941176471</v>
      </c>
      <c r="AP406" s="18">
        <v>3.2688235294117698</v>
      </c>
      <c r="AQ406" s="18">
        <v>1.23941176470588</v>
      </c>
      <c r="AR406" s="18">
        <v>3.5905882352941201</v>
      </c>
      <c r="AS406" s="18">
        <v>6.8217647058823498</v>
      </c>
      <c r="AT406" s="18">
        <v>2.21764705882353</v>
      </c>
      <c r="AU406" s="18">
        <v>5.0923529411764701</v>
      </c>
      <c r="AV406" s="18">
        <v>3.26058823529412</v>
      </c>
      <c r="AW406" s="18">
        <v>4.97823529411765</v>
      </c>
      <c r="AX406" s="18"/>
      <c r="AY406" s="18">
        <v>0.94</v>
      </c>
      <c r="AZ406" s="18">
        <v>1.08</v>
      </c>
      <c r="BA406" s="18">
        <v>1.03</v>
      </c>
      <c r="BB406" s="18">
        <v>0.95</v>
      </c>
      <c r="BC406" s="18">
        <v>0.96</v>
      </c>
      <c r="BD406" s="18">
        <v>1</v>
      </c>
      <c r="BE406" s="18">
        <v>1.01</v>
      </c>
      <c r="BF406" s="18">
        <v>1</v>
      </c>
      <c r="BG406" s="18">
        <v>1.04</v>
      </c>
      <c r="BH406" s="18">
        <v>0.97</v>
      </c>
      <c r="BI406" s="18">
        <v>0.96</v>
      </c>
      <c r="BJ406" s="19"/>
      <c r="BK406" s="18">
        <v>13.529411764705882</v>
      </c>
      <c r="BL406" s="18">
        <v>3.0588235294117645</v>
      </c>
      <c r="BM406" s="18">
        <v>2.2352941176470589</v>
      </c>
      <c r="BN406" s="18">
        <v>5.6470588235294121</v>
      </c>
      <c r="BO406" s="18"/>
      <c r="BP406" s="18">
        <v>120</v>
      </c>
      <c r="BQ406" s="18">
        <v>36.705882352941174</v>
      </c>
      <c r="BR406" s="18">
        <v>1.2434572430598354</v>
      </c>
      <c r="BS406" s="18">
        <v>1.2381357162501412</v>
      </c>
      <c r="BT406" s="19"/>
      <c r="BU406" s="18">
        <v>977.64705882352939</v>
      </c>
      <c r="BV406" s="18">
        <v>619.27361344537769</v>
      </c>
      <c r="BW406" s="18">
        <v>62.848490894117653</v>
      </c>
      <c r="BX406" s="18">
        <v>604</v>
      </c>
      <c r="BY406" s="18">
        <v>21.000000000000004</v>
      </c>
      <c r="BZ406" s="18">
        <v>56</v>
      </c>
      <c r="CA406" s="18">
        <v>165</v>
      </c>
      <c r="CB406" s="19"/>
      <c r="CC406" s="19">
        <v>0.47000000000000003</v>
      </c>
      <c r="CD406" s="19">
        <v>3.0999999999999996</v>
      </c>
      <c r="CE406" s="19">
        <v>0.17</v>
      </c>
      <c r="CF406" s="19">
        <v>1.2749999999999997</v>
      </c>
      <c r="CG406" s="19">
        <v>4.8449999999999998</v>
      </c>
      <c r="CH406" s="19">
        <v>1.02</v>
      </c>
      <c r="CI406" s="19">
        <v>0.93500000000000005</v>
      </c>
      <c r="CJ406" s="19"/>
      <c r="CK406" s="19">
        <v>28.9</v>
      </c>
      <c r="CL406" s="19">
        <v>2.4649999999999999</v>
      </c>
      <c r="CM406" s="19">
        <v>11.9</v>
      </c>
      <c r="CN406" s="19">
        <v>23.8</v>
      </c>
      <c r="CO406" s="19">
        <v>0</v>
      </c>
      <c r="CP406" s="19">
        <v>3.4000000000000002E-2</v>
      </c>
      <c r="CQ406" s="19">
        <v>91.470349714285902</v>
      </c>
      <c r="CR406" s="19">
        <v>86.542723310411148</v>
      </c>
      <c r="HM406" s="620">
        <f t="shared" ref="HM406:HU406" si="190">HM36</f>
        <v>0.47300000000000003</v>
      </c>
      <c r="HN406" s="620">
        <f t="shared" si="190"/>
        <v>0.13</v>
      </c>
      <c r="HO406" s="620">
        <f t="shared" si="190"/>
        <v>0.39100000000000001</v>
      </c>
      <c r="HP406" s="620">
        <f t="shared" si="190"/>
        <v>5.5E-2</v>
      </c>
      <c r="HQ406" s="620">
        <f t="shared" si="190"/>
        <v>3.97</v>
      </c>
      <c r="HR406" s="620">
        <f t="shared" si="190"/>
        <v>4.5999999999999999E-3</v>
      </c>
      <c r="HS406" s="620">
        <f t="shared" si="190"/>
        <v>2.73</v>
      </c>
      <c r="HT406" s="620">
        <f t="shared" si="190"/>
        <v>0</v>
      </c>
      <c r="HU406" s="620" t="str">
        <f t="shared" si="190"/>
        <v>offfarm</v>
      </c>
      <c r="HV406" s="22" t="s">
        <v>817</v>
      </c>
      <c r="IB406" s="11">
        <f t="shared" ref="IB406:II406" si="191">IB36</f>
        <v>0.47300000000000003</v>
      </c>
      <c r="IC406" s="11">
        <f t="shared" si="191"/>
        <v>0.13</v>
      </c>
      <c r="ID406" s="11">
        <f t="shared" si="191"/>
        <v>0.39100000000000001</v>
      </c>
      <c r="IE406" s="11">
        <f t="shared" si="191"/>
        <v>5.5E-2</v>
      </c>
      <c r="IF406" s="11">
        <f t="shared" si="191"/>
        <v>3.97</v>
      </c>
      <c r="IG406" s="11">
        <f t="shared" si="191"/>
        <v>4.5999999999999999E-3</v>
      </c>
      <c r="IH406" s="11">
        <f t="shared" si="191"/>
        <v>2.73</v>
      </c>
      <c r="II406" s="11">
        <f t="shared" si="191"/>
        <v>0</v>
      </c>
      <c r="IJ406" s="11" t="s">
        <v>817</v>
      </c>
    </row>
    <row r="407" spans="4:244" x14ac:dyDescent="0.25">
      <c r="D407" s="20" t="s">
        <v>1050</v>
      </c>
      <c r="E407" s="14">
        <v>42678</v>
      </c>
      <c r="F407" s="18">
        <v>1.0542336624080499</v>
      </c>
      <c r="G407" s="18">
        <v>1.0513645239332099</v>
      </c>
      <c r="H407" s="21">
        <v>85.4</v>
      </c>
      <c r="I407" s="21">
        <v>80.400000800000001</v>
      </c>
      <c r="J407" s="21">
        <v>90</v>
      </c>
      <c r="K407" s="18">
        <v>1</v>
      </c>
      <c r="L407" s="18">
        <v>85</v>
      </c>
      <c r="M407" s="18">
        <v>9.9999999999999591</v>
      </c>
      <c r="N407" s="18">
        <v>2.6</v>
      </c>
      <c r="O407" s="18">
        <v>1.9</v>
      </c>
      <c r="P407" s="18">
        <v>4.8</v>
      </c>
      <c r="Q407" s="19"/>
      <c r="R407" s="18">
        <v>77.578592571428501</v>
      </c>
      <c r="S407" s="18">
        <v>43</v>
      </c>
      <c r="T407" s="18">
        <v>49</v>
      </c>
      <c r="U407" s="18">
        <v>51</v>
      </c>
      <c r="V407" s="18">
        <v>53</v>
      </c>
      <c r="W407" s="18">
        <v>54</v>
      </c>
      <c r="X407" s="18"/>
      <c r="Y407" s="18">
        <v>0.55294117647058827</v>
      </c>
      <c r="Z407" s="18">
        <v>3.6470588235294117</v>
      </c>
      <c r="AA407" s="18">
        <v>0.2</v>
      </c>
      <c r="AB407" s="18">
        <v>1.4999999999999998</v>
      </c>
      <c r="AC407" s="18">
        <v>5.7</v>
      </c>
      <c r="AD407" s="18">
        <v>1.2</v>
      </c>
      <c r="AE407" s="18">
        <v>1.1000000000000001</v>
      </c>
      <c r="AF407" s="18">
        <v>34</v>
      </c>
      <c r="AG407" s="18">
        <v>2.9</v>
      </c>
      <c r="AH407" s="18">
        <v>14</v>
      </c>
      <c r="AI407" s="18">
        <v>28</v>
      </c>
      <c r="AJ407" s="18">
        <v>0</v>
      </c>
      <c r="AK407" s="18">
        <v>0.04</v>
      </c>
      <c r="AL407" s="18"/>
      <c r="AM407" s="18">
        <v>3.70411764705882</v>
      </c>
      <c r="AN407" s="18">
        <v>1.6811764705882399</v>
      </c>
      <c r="AO407" s="18">
        <v>2.3417647058823499</v>
      </c>
      <c r="AP407" s="18">
        <v>3.3994117647058801</v>
      </c>
      <c r="AQ407" s="18">
        <v>1.30470588235294</v>
      </c>
      <c r="AR407" s="18">
        <v>3.6152941176470601</v>
      </c>
      <c r="AS407" s="18">
        <v>6.8658823529411803</v>
      </c>
      <c r="AT407" s="18">
        <v>2.26882352941176</v>
      </c>
      <c r="AU407" s="18">
        <v>4.8911764705882304</v>
      </c>
      <c r="AV407" s="18">
        <v>3.22529411764706</v>
      </c>
      <c r="AW407" s="18">
        <v>5.0841176470588199</v>
      </c>
      <c r="AX407" s="18"/>
      <c r="AY407" s="18">
        <v>0.93979487733984202</v>
      </c>
      <c r="AZ407" s="18">
        <v>1.07984084344248</v>
      </c>
      <c r="BA407" s="18">
        <v>1.0298133265506999</v>
      </c>
      <c r="BB407" s="18">
        <v>0.94986852960372503</v>
      </c>
      <c r="BC407" s="18">
        <v>0.95982752284767003</v>
      </c>
      <c r="BD407" s="18">
        <v>0.99997514724094605</v>
      </c>
      <c r="BE407" s="18">
        <v>1.00997639474776</v>
      </c>
      <c r="BF407" s="18">
        <v>0.99991835406371998</v>
      </c>
      <c r="BG407" s="18">
        <v>1.0401578477529601</v>
      </c>
      <c r="BH407" s="18">
        <v>0.970038811056257</v>
      </c>
      <c r="BI407" s="18">
        <v>0.95992759482045098</v>
      </c>
      <c r="BJ407" s="19"/>
      <c r="BK407" s="18">
        <v>11.764705882352892</v>
      </c>
      <c r="BL407" s="18">
        <v>3.0588235294117645</v>
      </c>
      <c r="BM407" s="18">
        <v>2.2352941176470589</v>
      </c>
      <c r="BN407" s="18">
        <v>5.6470588235294121</v>
      </c>
      <c r="BO407" s="18"/>
      <c r="BP407" s="18">
        <v>120</v>
      </c>
      <c r="BQ407" s="18">
        <v>36.70588235294106</v>
      </c>
      <c r="BR407" s="18">
        <v>1.240274896950647</v>
      </c>
      <c r="BS407" s="18">
        <v>1.2368994399214235</v>
      </c>
      <c r="BT407" s="19"/>
      <c r="BU407" s="18">
        <v>977.64705882352939</v>
      </c>
      <c r="BV407" s="18">
        <v>628.34924369747876</v>
      </c>
      <c r="BW407" s="18">
        <v>69.831921600000115</v>
      </c>
      <c r="BX407" s="18">
        <v>604</v>
      </c>
      <c r="BY407" s="18">
        <v>21.000000000000004</v>
      </c>
      <c r="BZ407" s="18">
        <v>55.999999999999879</v>
      </c>
      <c r="CA407" s="18">
        <v>165</v>
      </c>
      <c r="CB407" s="19"/>
      <c r="CC407" s="19">
        <v>0.47000000000000003</v>
      </c>
      <c r="CD407" s="19">
        <v>3.0999999999999996</v>
      </c>
      <c r="CE407" s="19">
        <v>0.17</v>
      </c>
      <c r="CF407" s="19">
        <v>1.2749999999999997</v>
      </c>
      <c r="CG407" s="19">
        <v>4.8449999999999998</v>
      </c>
      <c r="CH407" s="19">
        <v>1.02</v>
      </c>
      <c r="CI407" s="19">
        <v>0.93500000000000005</v>
      </c>
      <c r="CJ407" s="19"/>
      <c r="CK407" s="19">
        <v>28.9</v>
      </c>
      <c r="CL407" s="19">
        <v>2.4649999999999999</v>
      </c>
      <c r="CM407" s="19">
        <v>11.9</v>
      </c>
      <c r="CN407" s="19">
        <v>23.8</v>
      </c>
      <c r="CO407" s="19">
        <v>0</v>
      </c>
      <c r="CP407" s="19">
        <v>3.4000000000000002E-2</v>
      </c>
      <c r="CQ407" s="19">
        <v>77.578592571428203</v>
      </c>
      <c r="CR407" s="19">
        <v>73.587664042357972</v>
      </c>
      <c r="HM407" s="620">
        <f t="shared" ref="HM407:HU407" si="192">HM37</f>
        <v>0.47300000000000003</v>
      </c>
      <c r="HN407" s="620">
        <f t="shared" si="192"/>
        <v>0.13</v>
      </c>
      <c r="HO407" s="620">
        <f t="shared" si="192"/>
        <v>0.39100000000000001</v>
      </c>
      <c r="HP407" s="620">
        <f t="shared" si="192"/>
        <v>5.5E-2</v>
      </c>
      <c r="HQ407" s="620">
        <f t="shared" si="192"/>
        <v>3.97</v>
      </c>
      <c r="HR407" s="620">
        <f t="shared" si="192"/>
        <v>4.5999999999999999E-3</v>
      </c>
      <c r="HS407" s="620">
        <f t="shared" si="192"/>
        <v>2.73</v>
      </c>
      <c r="HT407" s="620">
        <f t="shared" si="192"/>
        <v>0</v>
      </c>
      <c r="HU407" s="620" t="str">
        <f t="shared" si="192"/>
        <v>offfarm</v>
      </c>
      <c r="HV407" s="22" t="s">
        <v>817</v>
      </c>
      <c r="IB407" s="11">
        <f t="shared" ref="IB407:II407" si="193">IB37</f>
        <v>0.47300000000000003</v>
      </c>
      <c r="IC407" s="11">
        <f t="shared" si="193"/>
        <v>0.13</v>
      </c>
      <c r="ID407" s="11">
        <f t="shared" si="193"/>
        <v>0.39100000000000001</v>
      </c>
      <c r="IE407" s="11">
        <f t="shared" si="193"/>
        <v>5.5E-2</v>
      </c>
      <c r="IF407" s="11">
        <f t="shared" si="193"/>
        <v>3.97</v>
      </c>
      <c r="IG407" s="11">
        <f t="shared" si="193"/>
        <v>4.5999999999999999E-3</v>
      </c>
      <c r="IH407" s="11">
        <f t="shared" si="193"/>
        <v>2.73</v>
      </c>
      <c r="II407" s="11">
        <f t="shared" si="193"/>
        <v>0</v>
      </c>
      <c r="IJ407" s="11" t="s">
        <v>817</v>
      </c>
    </row>
    <row r="408" spans="4:244" x14ac:dyDescent="0.25">
      <c r="D408" s="20" t="s">
        <v>262</v>
      </c>
      <c r="E408" s="14">
        <v>41753</v>
      </c>
      <c r="F408" s="18">
        <v>1.05139609756097</v>
      </c>
      <c r="G408" s="18">
        <v>1.0077017142857101</v>
      </c>
      <c r="H408" s="21">
        <v>100</v>
      </c>
      <c r="I408" s="21">
        <v>100</v>
      </c>
      <c r="J408" s="21">
        <v>0</v>
      </c>
      <c r="K408" s="18">
        <v>1</v>
      </c>
      <c r="L408" s="18">
        <v>99</v>
      </c>
      <c r="M408" s="18">
        <v>0</v>
      </c>
      <c r="N408" s="18">
        <v>0</v>
      </c>
      <c r="O408" s="18">
        <v>30.492000000000001</v>
      </c>
      <c r="P408" s="18">
        <v>0</v>
      </c>
      <c r="Q408" s="19"/>
      <c r="R408" s="18">
        <v>0</v>
      </c>
      <c r="S408" s="18">
        <v>0</v>
      </c>
      <c r="T408" s="18">
        <v>0</v>
      </c>
      <c r="U408" s="18">
        <v>0</v>
      </c>
      <c r="V408" s="18">
        <v>0</v>
      </c>
      <c r="W408" s="18">
        <v>0</v>
      </c>
      <c r="X408" s="18"/>
      <c r="Y408" s="18">
        <v>308</v>
      </c>
      <c r="Z408" s="18">
        <v>0</v>
      </c>
      <c r="AA408" s="18">
        <v>0</v>
      </c>
      <c r="AB408" s="18">
        <v>0</v>
      </c>
      <c r="AC408" s="18">
        <v>0</v>
      </c>
      <c r="AD408" s="18">
        <v>0</v>
      </c>
      <c r="AE408" s="18">
        <v>0</v>
      </c>
      <c r="AF408" s="18">
        <v>0</v>
      </c>
      <c r="AG408" s="18">
        <v>0</v>
      </c>
      <c r="AH408" s="18">
        <v>0</v>
      </c>
      <c r="AI408" s="18">
        <v>0</v>
      </c>
      <c r="AJ408" s="18">
        <v>0</v>
      </c>
      <c r="AK408" s="18">
        <v>0</v>
      </c>
      <c r="AL408" s="18"/>
      <c r="AM408" s="18">
        <v>0</v>
      </c>
      <c r="AN408" s="18">
        <v>0</v>
      </c>
      <c r="AO408" s="18">
        <v>0</v>
      </c>
      <c r="AP408" s="18">
        <v>0</v>
      </c>
      <c r="AQ408" s="18">
        <v>0</v>
      </c>
      <c r="AR408" s="18">
        <v>0</v>
      </c>
      <c r="AS408" s="18">
        <v>0</v>
      </c>
      <c r="AT408" s="18">
        <v>0</v>
      </c>
      <c r="AU408" s="18">
        <v>0</v>
      </c>
      <c r="AV408" s="18">
        <v>0</v>
      </c>
      <c r="AW408" s="18">
        <v>0</v>
      </c>
      <c r="AX408" s="18"/>
      <c r="AY408" s="18">
        <v>1</v>
      </c>
      <c r="AZ408" s="18">
        <v>1</v>
      </c>
      <c r="BA408" s="18">
        <v>1</v>
      </c>
      <c r="BB408" s="18">
        <v>1</v>
      </c>
      <c r="BC408" s="18">
        <v>1</v>
      </c>
      <c r="BD408" s="18">
        <v>1</v>
      </c>
      <c r="BE408" s="18">
        <v>1</v>
      </c>
      <c r="BF408" s="18">
        <v>1</v>
      </c>
      <c r="BG408" s="18">
        <v>1</v>
      </c>
      <c r="BH408" s="18">
        <v>1</v>
      </c>
      <c r="BI408" s="18">
        <v>1</v>
      </c>
      <c r="BJ408" s="19"/>
      <c r="BK408" s="18">
        <v>0</v>
      </c>
      <c r="BL408" s="18">
        <v>0</v>
      </c>
      <c r="BM408" s="18">
        <v>30.8</v>
      </c>
      <c r="BN408" s="18">
        <v>0</v>
      </c>
      <c r="BO408" s="18"/>
      <c r="BP408" s="18">
        <v>0</v>
      </c>
      <c r="BQ408" s="18">
        <v>0</v>
      </c>
      <c r="BR408" s="18">
        <v>1.062016260162596</v>
      </c>
      <c r="BS408" s="18">
        <v>1.0178805194805152</v>
      </c>
      <c r="BT408" s="19"/>
      <c r="BU408" s="18">
        <v>692</v>
      </c>
      <c r="BV408" s="18">
        <v>692</v>
      </c>
      <c r="BW408" s="18">
        <v>0</v>
      </c>
      <c r="BX408" s="18" t="s">
        <v>217</v>
      </c>
      <c r="BY408" s="18" t="s">
        <v>217</v>
      </c>
      <c r="BZ408" s="18" t="s">
        <v>217</v>
      </c>
      <c r="CA408" s="18" t="s">
        <v>217</v>
      </c>
      <c r="CB408" s="19"/>
      <c r="CC408" s="19">
        <v>304.92</v>
      </c>
      <c r="CD408" s="19">
        <v>0</v>
      </c>
      <c r="CE408" s="19">
        <v>0</v>
      </c>
      <c r="CF408" s="19">
        <v>0</v>
      </c>
      <c r="CG408" s="19">
        <v>0</v>
      </c>
      <c r="CH408" s="19">
        <v>0</v>
      </c>
      <c r="CI408" s="19">
        <v>0</v>
      </c>
      <c r="CJ408" s="19"/>
      <c r="CK408" s="19">
        <v>0</v>
      </c>
      <c r="CL408" s="19">
        <v>0</v>
      </c>
      <c r="CM408" s="19">
        <v>0</v>
      </c>
      <c r="CN408" s="19">
        <v>0</v>
      </c>
      <c r="CO408" s="19">
        <v>0</v>
      </c>
      <c r="CP408" s="19">
        <v>0</v>
      </c>
      <c r="CQ408" s="19">
        <v>0</v>
      </c>
      <c r="CR408" s="19">
        <v>0</v>
      </c>
      <c r="HM408" s="620">
        <f t="shared" ref="HM408:HU408" si="194">HM38</f>
        <v>0</v>
      </c>
      <c r="HN408" s="620">
        <f t="shared" si="194"/>
        <v>0</v>
      </c>
      <c r="HO408" s="620">
        <f t="shared" si="194"/>
        <v>0</v>
      </c>
      <c r="HP408" s="620">
        <f t="shared" si="194"/>
        <v>0</v>
      </c>
      <c r="HQ408" s="620">
        <f t="shared" si="194"/>
        <v>0</v>
      </c>
      <c r="HR408" s="620">
        <f t="shared" si="194"/>
        <v>0</v>
      </c>
      <c r="HS408" s="620">
        <f t="shared" si="194"/>
        <v>0</v>
      </c>
      <c r="HT408" s="620">
        <f t="shared" si="194"/>
        <v>0</v>
      </c>
      <c r="HU408" s="620" t="str">
        <f t="shared" si="194"/>
        <v>offfarm</v>
      </c>
      <c r="HV408" s="22" t="s">
        <v>2013</v>
      </c>
      <c r="IB408" s="11">
        <f t="shared" ref="IB408:II408" si="195">IB38</f>
        <v>0.47300000000000003</v>
      </c>
      <c r="IC408" s="11">
        <f t="shared" si="195"/>
        <v>0.13</v>
      </c>
      <c r="ID408" s="11">
        <f t="shared" si="195"/>
        <v>0.39100000000000001</v>
      </c>
      <c r="IE408" s="11">
        <f t="shared" si="195"/>
        <v>5.5E-2</v>
      </c>
      <c r="IF408" s="11">
        <f t="shared" si="195"/>
        <v>3.97</v>
      </c>
      <c r="IG408" s="11">
        <f t="shared" si="195"/>
        <v>4.5999999999999999E-3</v>
      </c>
      <c r="IH408" s="11">
        <f t="shared" si="195"/>
        <v>2.73</v>
      </c>
      <c r="II408" s="11">
        <f t="shared" si="195"/>
        <v>0</v>
      </c>
    </row>
    <row r="409" spans="4:244" x14ac:dyDescent="0.25">
      <c r="D409" s="185" t="s">
        <v>264</v>
      </c>
      <c r="E409" s="14">
        <v>40310</v>
      </c>
      <c r="F409" s="18">
        <v>-0.112682926829268</v>
      </c>
      <c r="G409" s="18">
        <v>-0.108</v>
      </c>
      <c r="H409" s="21">
        <v>70</v>
      </c>
      <c r="I409" s="21">
        <v>70</v>
      </c>
      <c r="J409" s="21">
        <v>0</v>
      </c>
      <c r="K409" s="18">
        <v>1</v>
      </c>
      <c r="L409" s="18">
        <v>99</v>
      </c>
      <c r="M409" s="18">
        <v>0</v>
      </c>
      <c r="N409" s="18">
        <v>0</v>
      </c>
      <c r="O409" s="18">
        <v>99</v>
      </c>
      <c r="P409" s="18">
        <v>0</v>
      </c>
      <c r="Q409" s="19"/>
      <c r="R409" s="18">
        <v>0</v>
      </c>
      <c r="S409" s="18">
        <v>0</v>
      </c>
      <c r="T409" s="18">
        <v>0</v>
      </c>
      <c r="U409" s="18">
        <v>0</v>
      </c>
      <c r="V409" s="18">
        <v>0</v>
      </c>
      <c r="W409" s="18">
        <v>0</v>
      </c>
      <c r="X409" s="18"/>
      <c r="Y409" s="18">
        <v>1.0383838383838384</v>
      </c>
      <c r="Z409" s="18">
        <v>0</v>
      </c>
      <c r="AA409" s="18">
        <v>0</v>
      </c>
      <c r="AB409" s="18">
        <v>0</v>
      </c>
      <c r="AC409" s="18">
        <v>0</v>
      </c>
      <c r="AD409" s="18">
        <v>0</v>
      </c>
      <c r="AE409" s="18">
        <v>0</v>
      </c>
      <c r="AF409" s="18">
        <v>0</v>
      </c>
      <c r="AG409" s="18">
        <v>0</v>
      </c>
      <c r="AH409" s="18">
        <v>0</v>
      </c>
      <c r="AI409" s="18">
        <v>0</v>
      </c>
      <c r="AJ409" s="18">
        <v>5959.5959595959594</v>
      </c>
      <c r="AK409" s="18">
        <v>0</v>
      </c>
      <c r="AL409" s="18"/>
      <c r="AM409" s="18">
        <v>0</v>
      </c>
      <c r="AN409" s="18">
        <v>0</v>
      </c>
      <c r="AO409" s="18">
        <v>0</v>
      </c>
      <c r="AP409" s="18">
        <v>0</v>
      </c>
      <c r="AQ409" s="18">
        <v>0</v>
      </c>
      <c r="AR409" s="18">
        <v>0</v>
      </c>
      <c r="AS409" s="18">
        <v>0</v>
      </c>
      <c r="AT409" s="18">
        <v>0</v>
      </c>
      <c r="AU409" s="18">
        <v>0</v>
      </c>
      <c r="AV409" s="18">
        <v>0</v>
      </c>
      <c r="AW409" s="18">
        <v>0</v>
      </c>
      <c r="AX409" s="18"/>
      <c r="AY409" s="18">
        <v>1</v>
      </c>
      <c r="AZ409" s="18">
        <v>1</v>
      </c>
      <c r="BA409" s="18">
        <v>1</v>
      </c>
      <c r="BB409" s="18">
        <v>1</v>
      </c>
      <c r="BC409" s="18">
        <v>1</v>
      </c>
      <c r="BD409" s="18">
        <v>1</v>
      </c>
      <c r="BE409" s="18">
        <v>1</v>
      </c>
      <c r="BF409" s="18">
        <v>1</v>
      </c>
      <c r="BG409" s="18">
        <v>1</v>
      </c>
      <c r="BH409" s="18">
        <v>1</v>
      </c>
      <c r="BI409" s="18">
        <v>1</v>
      </c>
      <c r="BJ409" s="19"/>
      <c r="BK409" s="18">
        <v>0</v>
      </c>
      <c r="BL409" s="18">
        <v>0</v>
      </c>
      <c r="BM409" s="18">
        <v>100</v>
      </c>
      <c r="BN409" s="18">
        <v>0</v>
      </c>
      <c r="BO409" s="18"/>
      <c r="BP409" s="18">
        <v>0</v>
      </c>
      <c r="BQ409" s="18">
        <v>0</v>
      </c>
      <c r="BR409" s="18">
        <v>-0.11382113821138182</v>
      </c>
      <c r="BS409" s="18">
        <v>-0.10909090909090909</v>
      </c>
      <c r="BT409" s="19"/>
      <c r="BU409" s="18">
        <v>0</v>
      </c>
      <c r="BV409" s="18">
        <v>0</v>
      </c>
      <c r="BW409" s="18">
        <v>0</v>
      </c>
      <c r="BX409" s="18" t="s">
        <v>217</v>
      </c>
      <c r="BY409" s="18" t="s">
        <v>217</v>
      </c>
      <c r="BZ409" s="18" t="s">
        <v>217</v>
      </c>
      <c r="CA409" s="18" t="s">
        <v>217</v>
      </c>
      <c r="CB409" s="19"/>
      <c r="CC409" s="19">
        <v>1.028</v>
      </c>
      <c r="CD409" s="19">
        <v>0</v>
      </c>
      <c r="CE409" s="19">
        <v>0</v>
      </c>
      <c r="CF409" s="19">
        <v>0</v>
      </c>
      <c r="CG409" s="19">
        <v>0</v>
      </c>
      <c r="CH409" s="19">
        <v>0</v>
      </c>
      <c r="CI409" s="19">
        <v>0</v>
      </c>
      <c r="CJ409" s="19"/>
      <c r="CK409" s="19">
        <v>0</v>
      </c>
      <c r="CL409" s="19">
        <v>0</v>
      </c>
      <c r="CM409" s="19">
        <v>0</v>
      </c>
      <c r="CN409" s="19">
        <v>0</v>
      </c>
      <c r="CO409" s="19">
        <v>5900</v>
      </c>
      <c r="CP409" s="19">
        <v>0</v>
      </c>
      <c r="CQ409" s="19">
        <v>0</v>
      </c>
      <c r="CR409" s="19">
        <v>0</v>
      </c>
      <c r="HM409" s="620">
        <f t="shared" ref="HM409:HU409" si="196">HM39</f>
        <v>0</v>
      </c>
      <c r="HN409" s="620">
        <f t="shared" si="196"/>
        <v>0</v>
      </c>
      <c r="HO409" s="620">
        <f t="shared" si="196"/>
        <v>0</v>
      </c>
      <c r="HP409" s="620">
        <f t="shared" si="196"/>
        <v>0</v>
      </c>
      <c r="HQ409" s="620">
        <f t="shared" si="196"/>
        <v>0</v>
      </c>
      <c r="HR409" s="620">
        <f t="shared" si="196"/>
        <v>0</v>
      </c>
      <c r="HS409" s="620">
        <f t="shared" si="196"/>
        <v>0</v>
      </c>
      <c r="HT409" s="620">
        <f t="shared" si="196"/>
        <v>0</v>
      </c>
      <c r="HU409" s="620" t="str">
        <f t="shared" si="196"/>
        <v>offfarm</v>
      </c>
      <c r="HV409" s="22" t="s">
        <v>2013</v>
      </c>
      <c r="IB409" s="11">
        <f t="shared" ref="IB409:II409" si="197">IB39</f>
        <v>0.47300000000000003</v>
      </c>
      <c r="IC409" s="11">
        <f t="shared" si="197"/>
        <v>0.13</v>
      </c>
      <c r="ID409" s="11">
        <f t="shared" si="197"/>
        <v>0.39100000000000001</v>
      </c>
      <c r="IE409" s="11">
        <f t="shared" si="197"/>
        <v>5.5E-2</v>
      </c>
      <c r="IF409" s="11">
        <f t="shared" si="197"/>
        <v>3.97</v>
      </c>
      <c r="IG409" s="11">
        <f t="shared" si="197"/>
        <v>4.5999999999999999E-3</v>
      </c>
      <c r="IH409" s="11">
        <f t="shared" si="197"/>
        <v>2.73</v>
      </c>
      <c r="II409" s="11">
        <f t="shared" si="197"/>
        <v>0</v>
      </c>
    </row>
    <row r="410" spans="4:244" x14ac:dyDescent="0.25">
      <c r="D410" s="20" t="s">
        <v>1051</v>
      </c>
      <c r="E410" s="14">
        <v>42695</v>
      </c>
      <c r="F410" s="18">
        <v>1.22</v>
      </c>
      <c r="G410" s="18">
        <v>1.2380368068575101</v>
      </c>
      <c r="H410" s="21">
        <v>96.3</v>
      </c>
      <c r="I410" s="21">
        <v>88.8</v>
      </c>
      <c r="J410" s="21">
        <v>90</v>
      </c>
      <c r="K410" s="18">
        <v>1</v>
      </c>
      <c r="L410" s="18">
        <v>95.4</v>
      </c>
      <c r="M410" s="18">
        <v>6.3</v>
      </c>
      <c r="N410" s="18">
        <v>0.40253164556962001</v>
      </c>
      <c r="O410" s="18">
        <v>5.0316455696202604</v>
      </c>
      <c r="P410" s="18">
        <v>4.78006329113924</v>
      </c>
      <c r="Q410" s="19"/>
      <c r="R410" s="18">
        <v>50</v>
      </c>
      <c r="S410" s="18">
        <v>50</v>
      </c>
      <c r="T410" s="18">
        <v>50</v>
      </c>
      <c r="U410" s="18">
        <v>50</v>
      </c>
      <c r="V410" s="18">
        <v>50</v>
      </c>
      <c r="W410" s="18">
        <v>50</v>
      </c>
      <c r="X410" s="18"/>
      <c r="Y410" s="18">
        <v>2.5786163522012577</v>
      </c>
      <c r="Z410" s="18">
        <v>2.4213836477987418</v>
      </c>
      <c r="AA410" s="18">
        <v>1.4240506329113942</v>
      </c>
      <c r="AB410" s="18">
        <v>0</v>
      </c>
      <c r="AC410" s="18">
        <v>13.502109704641404</v>
      </c>
      <c r="AD410" s="18">
        <v>1.2341772151898742</v>
      </c>
      <c r="AE410" s="18">
        <v>0</v>
      </c>
      <c r="AF410" s="18">
        <v>360.75949367088572</v>
      </c>
      <c r="AG410" s="18">
        <v>19.514767932489519</v>
      </c>
      <c r="AH410" s="18">
        <v>59.071729957805864</v>
      </c>
      <c r="AI410" s="18">
        <v>129.74683544303775</v>
      </c>
      <c r="AJ410" s="18">
        <v>0</v>
      </c>
      <c r="AK410" s="18">
        <v>0</v>
      </c>
      <c r="AL410" s="18"/>
      <c r="AM410" s="18">
        <v>2.8730158730158699</v>
      </c>
      <c r="AN410" s="18">
        <v>0.73015873015873001</v>
      </c>
      <c r="AO410" s="18">
        <v>0.55559142857142896</v>
      </c>
      <c r="AP410" s="18">
        <v>2.5238095238095202</v>
      </c>
      <c r="AQ410" s="18">
        <v>0.92727272727272703</v>
      </c>
      <c r="AR410" s="18">
        <v>2.4363636363636401</v>
      </c>
      <c r="AS410" s="18">
        <v>3.2727272727272698</v>
      </c>
      <c r="AT410" s="18">
        <v>1.25454545454545</v>
      </c>
      <c r="AU410" s="18">
        <v>2.16363636363636</v>
      </c>
      <c r="AV410" s="18">
        <v>1.2</v>
      </c>
      <c r="AW410" s="18">
        <v>2.9272727272727299</v>
      </c>
      <c r="AX410" s="18"/>
      <c r="AY410" s="18">
        <v>1</v>
      </c>
      <c r="AZ410" s="18">
        <v>1</v>
      </c>
      <c r="BA410" s="18">
        <v>1</v>
      </c>
      <c r="BB410" s="18">
        <v>1</v>
      </c>
      <c r="BC410" s="18">
        <v>1</v>
      </c>
      <c r="BD410" s="18">
        <v>1</v>
      </c>
      <c r="BE410" s="18">
        <v>1</v>
      </c>
      <c r="BF410" s="18">
        <v>1</v>
      </c>
      <c r="BG410" s="18">
        <v>1</v>
      </c>
      <c r="BH410" s="18">
        <v>1</v>
      </c>
      <c r="BI410" s="18">
        <v>1</v>
      </c>
      <c r="BJ410" s="19"/>
      <c r="BK410" s="18">
        <v>6.6037735849056602</v>
      </c>
      <c r="BL410" s="18">
        <v>0.42194092827004187</v>
      </c>
      <c r="BM410" s="18">
        <v>5.2742616033755345</v>
      </c>
      <c r="BN410" s="18">
        <v>5.0105485232067499</v>
      </c>
      <c r="BO410" s="18"/>
      <c r="BP410" s="18">
        <v>0</v>
      </c>
      <c r="BQ410" s="18">
        <v>0</v>
      </c>
      <c r="BR410" s="18">
        <v>1.2788259958071277</v>
      </c>
      <c r="BS410" s="18">
        <v>1.2977325019470753</v>
      </c>
      <c r="BT410" s="19"/>
      <c r="BU410" s="18">
        <v>947.25738396624536</v>
      </c>
      <c r="BV410" s="18">
        <v>746.5298315648206</v>
      </c>
      <c r="BW410" s="18">
        <v>101.49186256781203</v>
      </c>
      <c r="BX410" s="18" t="s">
        <v>217</v>
      </c>
      <c r="BY410" s="18">
        <v>156</v>
      </c>
      <c r="BZ410" s="18">
        <v>62.308814357364767</v>
      </c>
      <c r="CA410" s="18">
        <v>67.501215553811946</v>
      </c>
      <c r="CB410" s="19"/>
      <c r="CC410" s="19">
        <v>2.46</v>
      </c>
      <c r="CD410" s="19">
        <v>2.31</v>
      </c>
      <c r="CE410" s="19">
        <v>1.3585443037974703</v>
      </c>
      <c r="CF410" s="19">
        <v>0</v>
      </c>
      <c r="CG410" s="19">
        <v>12.881012658227901</v>
      </c>
      <c r="CH410" s="19">
        <v>1.1774050632911401</v>
      </c>
      <c r="CI410" s="19">
        <v>0</v>
      </c>
      <c r="CJ410" s="19"/>
      <c r="CK410" s="19">
        <v>344.16455696202502</v>
      </c>
      <c r="CL410" s="19">
        <v>18.617088607595004</v>
      </c>
      <c r="CM410" s="19">
        <v>56.354430379746802</v>
      </c>
      <c r="CN410" s="19">
        <v>123.77848101265802</v>
      </c>
      <c r="CO410" s="19">
        <v>0</v>
      </c>
      <c r="CP410" s="19">
        <v>0</v>
      </c>
      <c r="CQ410" s="19">
        <v>31.5</v>
      </c>
      <c r="CR410" s="19">
        <v>25.819672131147541</v>
      </c>
      <c r="HM410" s="620">
        <f t="shared" ref="HM410:HU410" si="198">HM40</f>
        <v>0</v>
      </c>
      <c r="HN410" s="620">
        <f t="shared" si="198"/>
        <v>0</v>
      </c>
      <c r="HO410" s="620">
        <f t="shared" si="198"/>
        <v>0</v>
      </c>
      <c r="HP410" s="620">
        <f t="shared" si="198"/>
        <v>0</v>
      </c>
      <c r="HQ410" s="620">
        <f t="shared" si="198"/>
        <v>0</v>
      </c>
      <c r="HR410" s="620">
        <f t="shared" si="198"/>
        <v>0</v>
      </c>
      <c r="HS410" s="620">
        <f t="shared" si="198"/>
        <v>0</v>
      </c>
      <c r="HT410" s="620">
        <f t="shared" si="198"/>
        <v>0</v>
      </c>
      <c r="HU410" s="620" t="str">
        <f t="shared" si="198"/>
        <v>offfarm</v>
      </c>
      <c r="HV410" s="22" t="s">
        <v>2017</v>
      </c>
      <c r="IB410" s="11">
        <f t="shared" ref="IB410:II410" si="199">IB40</f>
        <v>0.47300000000000003</v>
      </c>
      <c r="IC410" s="11">
        <f t="shared" si="199"/>
        <v>0.13</v>
      </c>
      <c r="ID410" s="11">
        <f t="shared" si="199"/>
        <v>0.39100000000000001</v>
      </c>
      <c r="IE410" s="11">
        <f t="shared" si="199"/>
        <v>5.5E-2</v>
      </c>
      <c r="IF410" s="11">
        <f t="shared" si="199"/>
        <v>3.97</v>
      </c>
      <c r="IG410" s="11">
        <f t="shared" si="199"/>
        <v>4.5999999999999999E-3</v>
      </c>
      <c r="IH410" s="11">
        <f t="shared" si="199"/>
        <v>2.73</v>
      </c>
      <c r="II410" s="11">
        <f t="shared" si="199"/>
        <v>0</v>
      </c>
    </row>
    <row r="411" spans="4:244" x14ac:dyDescent="0.25">
      <c r="D411" s="20" t="s">
        <v>1052</v>
      </c>
      <c r="E411" s="14">
        <v>40310</v>
      </c>
      <c r="F411" s="18">
        <v>1.5695119733062399</v>
      </c>
      <c r="G411" s="18">
        <v>1.5042855016883101</v>
      </c>
      <c r="H411" s="21">
        <v>100</v>
      </c>
      <c r="I411" s="21">
        <v>100</v>
      </c>
      <c r="J411" s="21">
        <v>100</v>
      </c>
      <c r="K411" s="18">
        <v>1</v>
      </c>
      <c r="L411" s="18">
        <v>99</v>
      </c>
      <c r="M411" s="18">
        <v>1E-4</v>
      </c>
      <c r="N411" s="18">
        <v>0</v>
      </c>
      <c r="O411" s="18">
        <v>0</v>
      </c>
      <c r="P411" s="18">
        <v>0</v>
      </c>
      <c r="Q411" s="19"/>
      <c r="R411" s="18">
        <v>0</v>
      </c>
      <c r="S411" s="18">
        <v>0</v>
      </c>
      <c r="T411" s="18">
        <v>0</v>
      </c>
      <c r="U411" s="18">
        <v>0</v>
      </c>
      <c r="V411" s="18">
        <v>0</v>
      </c>
      <c r="W411" s="18">
        <v>0</v>
      </c>
      <c r="X411" s="18"/>
      <c r="Y411" s="18">
        <v>0</v>
      </c>
      <c r="Z411" s="18">
        <v>0</v>
      </c>
      <c r="AA411" s="18">
        <v>0</v>
      </c>
      <c r="AB411" s="18">
        <v>0</v>
      </c>
      <c r="AC411" s="18">
        <v>0</v>
      </c>
      <c r="AD411" s="18">
        <v>0</v>
      </c>
      <c r="AE411" s="18">
        <v>0</v>
      </c>
      <c r="AF411" s="18">
        <v>0</v>
      </c>
      <c r="AG411" s="18">
        <v>0</v>
      </c>
      <c r="AH411" s="18">
        <v>0</v>
      </c>
      <c r="AI411" s="18">
        <v>0</v>
      </c>
      <c r="AJ411" s="18">
        <v>0</v>
      </c>
      <c r="AK411" s="18">
        <v>0</v>
      </c>
      <c r="AL411" s="18"/>
      <c r="AM411" s="18">
        <v>0</v>
      </c>
      <c r="AN411" s="18">
        <v>0</v>
      </c>
      <c r="AO411" s="18">
        <v>0</v>
      </c>
      <c r="AP411" s="18">
        <v>0</v>
      </c>
      <c r="AQ411" s="18">
        <v>0</v>
      </c>
      <c r="AR411" s="18">
        <v>0</v>
      </c>
      <c r="AS411" s="18">
        <v>0</v>
      </c>
      <c r="AT411" s="18">
        <v>0</v>
      </c>
      <c r="AU411" s="18">
        <v>0</v>
      </c>
      <c r="AV411" s="18">
        <v>0</v>
      </c>
      <c r="AW411" s="18">
        <v>0</v>
      </c>
      <c r="AX411" s="18"/>
      <c r="AY411" s="18">
        <v>1</v>
      </c>
      <c r="AZ411" s="18">
        <v>1</v>
      </c>
      <c r="BA411" s="18">
        <v>1</v>
      </c>
      <c r="BB411" s="18">
        <v>1</v>
      </c>
      <c r="BC411" s="18">
        <v>1</v>
      </c>
      <c r="BD411" s="18">
        <v>1</v>
      </c>
      <c r="BE411" s="18">
        <v>1</v>
      </c>
      <c r="BF411" s="18">
        <v>1</v>
      </c>
      <c r="BG411" s="18">
        <v>1</v>
      </c>
      <c r="BH411" s="18">
        <v>1</v>
      </c>
      <c r="BI411" s="18">
        <v>1</v>
      </c>
      <c r="BJ411" s="19"/>
      <c r="BK411" s="18">
        <v>1.0101010101010101E-4</v>
      </c>
      <c r="BL411" s="18">
        <v>0</v>
      </c>
      <c r="BM411" s="18">
        <v>0</v>
      </c>
      <c r="BN411" s="18">
        <v>0</v>
      </c>
      <c r="BO411" s="18"/>
      <c r="BP411" s="18">
        <v>0</v>
      </c>
      <c r="BQ411" s="18">
        <v>0</v>
      </c>
      <c r="BR411" s="18">
        <v>1.5853656296022625</v>
      </c>
      <c r="BS411" s="18">
        <v>1.5194803047356669</v>
      </c>
      <c r="BT411" s="19"/>
      <c r="BU411" s="18">
        <v>1000</v>
      </c>
      <c r="BV411" s="18">
        <v>999.99908080808086</v>
      </c>
      <c r="BW411" s="18">
        <v>0</v>
      </c>
      <c r="BX411" s="18" t="s">
        <v>217</v>
      </c>
      <c r="BY411" s="18" t="s">
        <v>217</v>
      </c>
      <c r="BZ411" s="18" t="s">
        <v>217</v>
      </c>
      <c r="CA411" s="18" t="s">
        <v>217</v>
      </c>
      <c r="CB411" s="19"/>
      <c r="CC411" s="19">
        <v>0</v>
      </c>
      <c r="CD411" s="19">
        <v>0</v>
      </c>
      <c r="CE411" s="19">
        <v>0</v>
      </c>
      <c r="CF411" s="19">
        <v>0</v>
      </c>
      <c r="CG411" s="19">
        <v>0</v>
      </c>
      <c r="CH411" s="19">
        <v>0</v>
      </c>
      <c r="CI411" s="19">
        <v>0</v>
      </c>
      <c r="CJ411" s="19"/>
      <c r="CK411" s="19">
        <v>0</v>
      </c>
      <c r="CL411" s="19">
        <v>0</v>
      </c>
      <c r="CM411" s="19">
        <v>0</v>
      </c>
      <c r="CN411" s="19">
        <v>0</v>
      </c>
      <c r="CO411" s="19">
        <v>0</v>
      </c>
      <c r="CP411" s="19">
        <v>0</v>
      </c>
      <c r="CQ411" s="19">
        <v>0</v>
      </c>
      <c r="CR411" s="19">
        <v>0</v>
      </c>
      <c r="HM411" s="620">
        <f t="shared" ref="HM411:HU411" si="200">HM41</f>
        <v>0</v>
      </c>
      <c r="HN411" s="620">
        <f t="shared" si="200"/>
        <v>0</v>
      </c>
      <c r="HO411" s="620">
        <f t="shared" si="200"/>
        <v>0</v>
      </c>
      <c r="HP411" s="620">
        <f t="shared" si="200"/>
        <v>0</v>
      </c>
      <c r="HQ411" s="620">
        <f t="shared" si="200"/>
        <v>0</v>
      </c>
      <c r="HR411" s="620">
        <f t="shared" si="200"/>
        <v>0</v>
      </c>
      <c r="HS411" s="620">
        <f t="shared" si="200"/>
        <v>0</v>
      </c>
      <c r="HT411" s="620">
        <f t="shared" si="200"/>
        <v>0</v>
      </c>
      <c r="HU411" s="620" t="str">
        <f t="shared" si="200"/>
        <v>offfarm</v>
      </c>
      <c r="HV411" s="22" t="s">
        <v>2014</v>
      </c>
      <c r="IB411" s="11">
        <f t="shared" ref="IB411:II411" si="201">IB41</f>
        <v>0.47300000000000003</v>
      </c>
      <c r="IC411" s="11">
        <f t="shared" si="201"/>
        <v>0.13</v>
      </c>
      <c r="ID411" s="11">
        <f t="shared" si="201"/>
        <v>0.39100000000000001</v>
      </c>
      <c r="IE411" s="11">
        <f t="shared" si="201"/>
        <v>5.5E-2</v>
      </c>
      <c r="IF411" s="11">
        <f t="shared" si="201"/>
        <v>3.97</v>
      </c>
      <c r="IG411" s="11">
        <f t="shared" si="201"/>
        <v>4.5999999999999999E-3</v>
      </c>
      <c r="IH411" s="11">
        <f t="shared" si="201"/>
        <v>2.73</v>
      </c>
      <c r="II411" s="11">
        <f t="shared" si="201"/>
        <v>0</v>
      </c>
    </row>
    <row r="412" spans="4:244" x14ac:dyDescent="0.25">
      <c r="D412" s="20" t="s">
        <v>1053</v>
      </c>
      <c r="E412" s="14">
        <v>40310</v>
      </c>
      <c r="F412" s="18">
        <v>0.669398910975609</v>
      </c>
      <c r="G412" s="18">
        <v>0.79532880545454498</v>
      </c>
      <c r="H412" s="21">
        <v>92.5</v>
      </c>
      <c r="I412" s="21">
        <v>46.4</v>
      </c>
      <c r="J412" s="21">
        <v>80</v>
      </c>
      <c r="K412" s="18">
        <v>1</v>
      </c>
      <c r="L412" s="18">
        <v>88.2</v>
      </c>
      <c r="M412" s="18">
        <v>5.9976000000000003</v>
      </c>
      <c r="N412" s="18">
        <v>2.4695999999999998</v>
      </c>
      <c r="O412" s="18">
        <v>5.9093999999999998</v>
      </c>
      <c r="P412" s="18">
        <v>11.6424</v>
      </c>
      <c r="Q412" s="19"/>
      <c r="R412" s="18">
        <v>11.4296743697479</v>
      </c>
      <c r="S412" s="18" t="s">
        <v>217</v>
      </c>
      <c r="T412" s="18" t="s">
        <v>217</v>
      </c>
      <c r="U412" s="18" t="s">
        <v>217</v>
      </c>
      <c r="V412" s="18" t="s">
        <v>217</v>
      </c>
      <c r="W412" s="18" t="s">
        <v>217</v>
      </c>
      <c r="X412" s="18"/>
      <c r="Y412" s="18">
        <v>14.700000000000001</v>
      </c>
      <c r="Z412" s="18">
        <v>1.3</v>
      </c>
      <c r="AA412" s="18">
        <v>0.39999999999999997</v>
      </c>
      <c r="AB412" s="18">
        <v>0</v>
      </c>
      <c r="AC412" s="18">
        <v>10</v>
      </c>
      <c r="AD412" s="18">
        <v>1.7</v>
      </c>
      <c r="AE412" s="18">
        <v>1.1000000000000001</v>
      </c>
      <c r="AF412" s="18">
        <v>100</v>
      </c>
      <c r="AG412" s="18">
        <v>5.8</v>
      </c>
      <c r="AH412" s="18">
        <v>12</v>
      </c>
      <c r="AI412" s="18">
        <v>12</v>
      </c>
      <c r="AJ412" s="18">
        <v>0</v>
      </c>
      <c r="AK412" s="18">
        <v>4.9999999999999996E-2</v>
      </c>
      <c r="AL412" s="18"/>
      <c r="AM412" s="18">
        <v>2.62</v>
      </c>
      <c r="AN412" s="18">
        <v>1.0900000000000001</v>
      </c>
      <c r="AO412" s="18">
        <v>1.38</v>
      </c>
      <c r="AP412" s="18">
        <v>2.9</v>
      </c>
      <c r="AQ412" s="18">
        <v>0.78</v>
      </c>
      <c r="AR412" s="18">
        <v>2.8</v>
      </c>
      <c r="AS412" s="18">
        <v>5.0199999999999996</v>
      </c>
      <c r="AT412" s="18">
        <v>1.78</v>
      </c>
      <c r="AU412" s="18">
        <v>3.41</v>
      </c>
      <c r="AV412" s="18">
        <v>2.21</v>
      </c>
      <c r="AW412" s="18">
        <v>3.71</v>
      </c>
      <c r="AX412" s="18"/>
      <c r="AY412" s="18">
        <v>1</v>
      </c>
      <c r="AZ412" s="18">
        <v>1</v>
      </c>
      <c r="BA412" s="18">
        <v>1</v>
      </c>
      <c r="BB412" s="18">
        <v>1</v>
      </c>
      <c r="BC412" s="18">
        <v>1</v>
      </c>
      <c r="BD412" s="18">
        <v>1</v>
      </c>
      <c r="BE412" s="18">
        <v>1</v>
      </c>
      <c r="BF412" s="18">
        <v>1</v>
      </c>
      <c r="BG412" s="18">
        <v>1</v>
      </c>
      <c r="BH412" s="18">
        <v>1</v>
      </c>
      <c r="BI412" s="18">
        <v>1</v>
      </c>
      <c r="BJ412" s="19"/>
      <c r="BK412" s="18">
        <v>6.8</v>
      </c>
      <c r="BL412" s="18">
        <v>2.8</v>
      </c>
      <c r="BM412" s="18">
        <v>6.6999999999999993</v>
      </c>
      <c r="BN412" s="18">
        <v>13.2</v>
      </c>
      <c r="BO412" s="18"/>
      <c r="BP412" s="18">
        <v>0</v>
      </c>
      <c r="BQ412" s="18">
        <v>0</v>
      </c>
      <c r="BR412" s="18">
        <v>0.75895568137824143</v>
      </c>
      <c r="BS412" s="18">
        <v>0.90173333951762469</v>
      </c>
      <c r="BT412" s="19"/>
      <c r="BU412" s="18">
        <v>932.99999999999989</v>
      </c>
      <c r="BV412" s="18">
        <v>159.53785714285715</v>
      </c>
      <c r="BW412" s="18">
        <v>614.44714285714281</v>
      </c>
      <c r="BX412" s="18" t="s">
        <v>217</v>
      </c>
      <c r="BY412" s="18" t="s">
        <v>217</v>
      </c>
      <c r="BZ412" s="18" t="s">
        <v>217</v>
      </c>
      <c r="CA412" s="18" t="s">
        <v>217</v>
      </c>
      <c r="CB412" s="19"/>
      <c r="CC412" s="19">
        <v>12.965400000000001</v>
      </c>
      <c r="CD412" s="19">
        <v>1.1466000000000001</v>
      </c>
      <c r="CE412" s="19">
        <v>0.35279999999999995</v>
      </c>
      <c r="CF412" s="19">
        <v>0</v>
      </c>
      <c r="CG412" s="19">
        <v>8.82</v>
      </c>
      <c r="CH412" s="19">
        <v>1.4994000000000001</v>
      </c>
      <c r="CI412" s="19">
        <v>0.97020000000000006</v>
      </c>
      <c r="CJ412" s="19"/>
      <c r="CK412" s="19">
        <v>88.2</v>
      </c>
      <c r="CL412" s="19">
        <v>5.1155999999999997</v>
      </c>
      <c r="CM412" s="19">
        <v>10.584</v>
      </c>
      <c r="CN412" s="19">
        <v>10.584</v>
      </c>
      <c r="CO412" s="19">
        <v>0</v>
      </c>
      <c r="CP412" s="19">
        <v>4.4099999999999993E-2</v>
      </c>
      <c r="CQ412" s="19">
        <v>6.8550614999999899</v>
      </c>
      <c r="CR412" s="19">
        <v>10.240622426482808</v>
      </c>
      <c r="HM412" s="620">
        <f t="shared" ref="HM412:HU412" si="202">HM42</f>
        <v>0</v>
      </c>
      <c r="HN412" s="620">
        <f t="shared" si="202"/>
        <v>0</v>
      </c>
      <c r="HO412" s="620">
        <f t="shared" si="202"/>
        <v>0</v>
      </c>
      <c r="HP412" s="620">
        <f t="shared" si="202"/>
        <v>0</v>
      </c>
      <c r="HQ412" s="620">
        <f t="shared" si="202"/>
        <v>0</v>
      </c>
      <c r="HR412" s="620">
        <f t="shared" si="202"/>
        <v>0</v>
      </c>
      <c r="HS412" s="620">
        <f t="shared" si="202"/>
        <v>0</v>
      </c>
      <c r="HT412" s="620">
        <f t="shared" si="202"/>
        <v>0</v>
      </c>
      <c r="HU412" s="620" t="str">
        <f t="shared" si="202"/>
        <v>offfarm</v>
      </c>
      <c r="HV412" s="22" t="s">
        <v>2015</v>
      </c>
      <c r="IB412" s="11">
        <f t="shared" ref="IB412:II412" si="203">IB42</f>
        <v>0.47300000000000003</v>
      </c>
      <c r="IC412" s="11">
        <f t="shared" si="203"/>
        <v>0.13</v>
      </c>
      <c r="ID412" s="11">
        <f t="shared" si="203"/>
        <v>0.39100000000000001</v>
      </c>
      <c r="IE412" s="11">
        <f t="shared" si="203"/>
        <v>5.5E-2</v>
      </c>
      <c r="IF412" s="11">
        <f t="shared" si="203"/>
        <v>3.97</v>
      </c>
      <c r="IG412" s="11">
        <f t="shared" si="203"/>
        <v>4.5999999999999999E-3</v>
      </c>
      <c r="IH412" s="11">
        <f t="shared" si="203"/>
        <v>2.73</v>
      </c>
      <c r="II412" s="11">
        <f t="shared" si="203"/>
        <v>0</v>
      </c>
    </row>
    <row r="413" spans="4:244" x14ac:dyDescent="0.25">
      <c r="D413" s="20" t="s">
        <v>1298</v>
      </c>
      <c r="E413" s="14">
        <v>40310</v>
      </c>
      <c r="F413" s="18">
        <v>1.1389897018970201</v>
      </c>
      <c r="G413" s="18">
        <v>1.09165506493506</v>
      </c>
      <c r="H413" s="21">
        <v>100</v>
      </c>
      <c r="I413" s="21">
        <v>100</v>
      </c>
      <c r="J413" s="21">
        <v>100</v>
      </c>
      <c r="K413" s="18">
        <v>1</v>
      </c>
      <c r="L413" s="18">
        <v>100</v>
      </c>
      <c r="M413" s="18">
        <v>84.8</v>
      </c>
      <c r="N413" s="18">
        <v>0</v>
      </c>
      <c r="O413" s="18">
        <v>15.2</v>
      </c>
      <c r="P413" s="18">
        <v>0</v>
      </c>
      <c r="Q413" s="19"/>
      <c r="R413" s="18">
        <v>100</v>
      </c>
      <c r="S413" s="18">
        <v>0</v>
      </c>
      <c r="T413" s="18">
        <v>0</v>
      </c>
      <c r="U413" s="18">
        <v>0</v>
      </c>
      <c r="V413" s="18">
        <v>0</v>
      </c>
      <c r="W413" s="18">
        <v>0</v>
      </c>
      <c r="X413" s="18"/>
      <c r="Y413" s="18">
        <v>0</v>
      </c>
      <c r="Z413" s="18">
        <v>0</v>
      </c>
      <c r="AA413" s="18">
        <v>0</v>
      </c>
      <c r="AB413" s="18">
        <v>0</v>
      </c>
      <c r="AC413" s="18">
        <v>0</v>
      </c>
      <c r="AD413" s="18">
        <v>0</v>
      </c>
      <c r="AE413" s="18">
        <v>0</v>
      </c>
      <c r="AF413" s="18">
        <v>0</v>
      </c>
      <c r="AG413" s="18">
        <v>0</v>
      </c>
      <c r="AH413" s="18">
        <v>0</v>
      </c>
      <c r="AI413" s="18">
        <v>0</v>
      </c>
      <c r="AJ413" s="18">
        <v>0</v>
      </c>
      <c r="AK413" s="18">
        <v>0</v>
      </c>
      <c r="AL413" s="18"/>
      <c r="AM413" s="18">
        <v>0</v>
      </c>
      <c r="AN413" s="18">
        <v>0</v>
      </c>
      <c r="AO413" s="18">
        <v>116.700019</v>
      </c>
      <c r="AP413" s="18">
        <v>0</v>
      </c>
      <c r="AQ413" s="18">
        <v>0</v>
      </c>
      <c r="AR413" s="18">
        <v>0</v>
      </c>
      <c r="AS413" s="18">
        <v>0</v>
      </c>
      <c r="AT413" s="18">
        <v>0</v>
      </c>
      <c r="AU413" s="18">
        <v>0</v>
      </c>
      <c r="AV413" s="18">
        <v>0</v>
      </c>
      <c r="AW413" s="18">
        <v>0</v>
      </c>
      <c r="AX413" s="18"/>
      <c r="AY413" s="18">
        <v>1</v>
      </c>
      <c r="AZ413" s="18">
        <v>1</v>
      </c>
      <c r="BA413" s="18">
        <v>1</v>
      </c>
      <c r="BB413" s="18">
        <v>1</v>
      </c>
      <c r="BC413" s="18">
        <v>1</v>
      </c>
      <c r="BD413" s="18">
        <v>1</v>
      </c>
      <c r="BE413" s="18">
        <v>1</v>
      </c>
      <c r="BF413" s="18">
        <v>1</v>
      </c>
      <c r="BG413" s="18">
        <v>1</v>
      </c>
      <c r="BH413" s="18">
        <v>1</v>
      </c>
      <c r="BI413" s="18">
        <v>1</v>
      </c>
      <c r="BJ413" s="19"/>
      <c r="BK413" s="18">
        <v>84.8</v>
      </c>
      <c r="BL413" s="18">
        <v>0</v>
      </c>
      <c r="BM413" s="18">
        <v>15.2</v>
      </c>
      <c r="BN413" s="18">
        <v>0</v>
      </c>
      <c r="BO413" s="18"/>
      <c r="BP413" s="18">
        <v>0</v>
      </c>
      <c r="BQ413" s="18">
        <v>0</v>
      </c>
      <c r="BR413" s="18">
        <v>1.1389897018970201</v>
      </c>
      <c r="BS413" s="18">
        <v>1.09165506493506</v>
      </c>
      <c r="BT413" s="19"/>
      <c r="BU413" s="18">
        <v>848</v>
      </c>
      <c r="BV413" s="18">
        <v>76.320000000000107</v>
      </c>
      <c r="BW413" s="18">
        <v>0</v>
      </c>
      <c r="BX413" s="18">
        <v>0</v>
      </c>
      <c r="BY413" s="18">
        <v>0</v>
      </c>
      <c r="BZ413" s="18" t="s">
        <v>217</v>
      </c>
      <c r="CA413" s="18" t="s">
        <v>217</v>
      </c>
      <c r="CB413" s="19"/>
      <c r="CC413" s="19">
        <v>0</v>
      </c>
      <c r="CD413" s="19">
        <v>0</v>
      </c>
      <c r="CE413" s="19">
        <v>0</v>
      </c>
      <c r="CF413" s="19">
        <v>0</v>
      </c>
      <c r="CG413" s="19">
        <v>0</v>
      </c>
      <c r="CH413" s="19">
        <v>0</v>
      </c>
      <c r="CI413" s="19">
        <v>0</v>
      </c>
      <c r="CJ413" s="19"/>
      <c r="CK413" s="19">
        <v>0</v>
      </c>
      <c r="CL413" s="19">
        <v>0</v>
      </c>
      <c r="CM413" s="19">
        <v>0</v>
      </c>
      <c r="CN413" s="19">
        <v>0</v>
      </c>
      <c r="CO413" s="19">
        <v>0</v>
      </c>
      <c r="CP413" s="19">
        <v>0</v>
      </c>
      <c r="CQ413" s="19">
        <v>848</v>
      </c>
      <c r="CR413" s="19">
        <v>744.51946192984155</v>
      </c>
      <c r="HM413" s="620">
        <f t="shared" ref="HM413:HU413" si="204">HM43</f>
        <v>0</v>
      </c>
      <c r="HN413" s="620">
        <f t="shared" si="204"/>
        <v>0</v>
      </c>
      <c r="HO413" s="620">
        <f t="shared" si="204"/>
        <v>0</v>
      </c>
      <c r="HP413" s="620">
        <f t="shared" si="204"/>
        <v>0</v>
      </c>
      <c r="HQ413" s="620">
        <f t="shared" si="204"/>
        <v>0</v>
      </c>
      <c r="HR413" s="620">
        <f t="shared" si="204"/>
        <v>0</v>
      </c>
      <c r="HS413" s="620">
        <f t="shared" si="204"/>
        <v>0</v>
      </c>
      <c r="HT413" s="620">
        <f t="shared" si="204"/>
        <v>0</v>
      </c>
      <c r="HU413" s="620" t="str">
        <f t="shared" si="204"/>
        <v>offfarm</v>
      </c>
      <c r="HV413" s="22" t="s">
        <v>2013</v>
      </c>
      <c r="IB413" s="11">
        <f t="shared" ref="IB413:II413" si="205">IB43</f>
        <v>0.47300000000000003</v>
      </c>
      <c r="IC413" s="11">
        <f t="shared" si="205"/>
        <v>0.13</v>
      </c>
      <c r="ID413" s="11">
        <f t="shared" si="205"/>
        <v>0.39100000000000001</v>
      </c>
      <c r="IE413" s="11">
        <f t="shared" si="205"/>
        <v>5.5E-2</v>
      </c>
      <c r="IF413" s="11">
        <f t="shared" si="205"/>
        <v>3.97</v>
      </c>
      <c r="IG413" s="11">
        <f t="shared" si="205"/>
        <v>4.5999999999999999E-3</v>
      </c>
      <c r="IH413" s="11">
        <f t="shared" si="205"/>
        <v>2.73</v>
      </c>
      <c r="II413" s="11">
        <f t="shared" si="205"/>
        <v>0</v>
      </c>
    </row>
    <row r="414" spans="4:244" x14ac:dyDescent="0.25">
      <c r="D414" s="20" t="s">
        <v>273</v>
      </c>
      <c r="E414" s="14">
        <v>40310</v>
      </c>
      <c r="F414" s="18">
        <v>-0.112682926829268</v>
      </c>
      <c r="G414" s="18">
        <v>-0.108</v>
      </c>
      <c r="H414" s="21">
        <v>70</v>
      </c>
      <c r="I414" s="21">
        <v>70</v>
      </c>
      <c r="J414" s="21">
        <v>0</v>
      </c>
      <c r="K414" s="18">
        <v>1</v>
      </c>
      <c r="L414" s="18">
        <v>99</v>
      </c>
      <c r="M414" s="18">
        <v>0</v>
      </c>
      <c r="N414" s="18">
        <v>0</v>
      </c>
      <c r="O414" s="18">
        <v>99</v>
      </c>
      <c r="P414" s="18">
        <v>0</v>
      </c>
      <c r="Q414" s="19"/>
      <c r="R414" s="18">
        <v>0</v>
      </c>
      <c r="S414" s="18">
        <v>50</v>
      </c>
      <c r="T414" s="18">
        <v>50</v>
      </c>
      <c r="U414" s="18">
        <v>50</v>
      </c>
      <c r="V414" s="18">
        <v>50</v>
      </c>
      <c r="W414" s="18">
        <v>50</v>
      </c>
      <c r="X414" s="18"/>
      <c r="Y414" s="18">
        <v>303.03030000000098</v>
      </c>
      <c r="Z414" s="18">
        <v>181.81817999999998</v>
      </c>
      <c r="AA414" s="18">
        <v>50.505050505050505</v>
      </c>
      <c r="AB414" s="18">
        <v>0</v>
      </c>
      <c r="AC414" s="18">
        <v>0</v>
      </c>
      <c r="AD414" s="18">
        <v>0</v>
      </c>
      <c r="AE414" s="18">
        <v>0</v>
      </c>
      <c r="AF414" s="18">
        <v>0</v>
      </c>
      <c r="AG414" s="18">
        <v>0</v>
      </c>
      <c r="AH414" s="18">
        <v>0</v>
      </c>
      <c r="AI414" s="18">
        <v>0</v>
      </c>
      <c r="AJ414" s="18">
        <v>0</v>
      </c>
      <c r="AK414" s="18">
        <v>0</v>
      </c>
      <c r="AL414" s="18"/>
      <c r="AM414" s="18">
        <v>0</v>
      </c>
      <c r="AN414" s="18">
        <v>0</v>
      </c>
      <c r="AO414" s="18">
        <v>0</v>
      </c>
      <c r="AP414" s="18">
        <v>0</v>
      </c>
      <c r="AQ414" s="18">
        <v>0</v>
      </c>
      <c r="AR414" s="18">
        <v>0</v>
      </c>
      <c r="AS414" s="18">
        <v>0</v>
      </c>
      <c r="AT414" s="18">
        <v>0</v>
      </c>
      <c r="AU414" s="18">
        <v>0</v>
      </c>
      <c r="AV414" s="18">
        <v>0</v>
      </c>
      <c r="AW414" s="18">
        <v>0</v>
      </c>
      <c r="AX414" s="18"/>
      <c r="AY414" s="18">
        <v>1</v>
      </c>
      <c r="AZ414" s="18">
        <v>1</v>
      </c>
      <c r="BA414" s="18">
        <v>1</v>
      </c>
      <c r="BB414" s="18">
        <v>1</v>
      </c>
      <c r="BC414" s="18">
        <v>1</v>
      </c>
      <c r="BD414" s="18">
        <v>1</v>
      </c>
      <c r="BE414" s="18">
        <v>1</v>
      </c>
      <c r="BF414" s="18">
        <v>1</v>
      </c>
      <c r="BG414" s="18">
        <v>1</v>
      </c>
      <c r="BH414" s="18">
        <v>1</v>
      </c>
      <c r="BI414" s="18">
        <v>1</v>
      </c>
      <c r="BJ414" s="19"/>
      <c r="BK414" s="18">
        <v>0</v>
      </c>
      <c r="BL414" s="18">
        <v>0</v>
      </c>
      <c r="BM414" s="18">
        <v>100</v>
      </c>
      <c r="BN414" s="18">
        <v>0</v>
      </c>
      <c r="BO414" s="18"/>
      <c r="BP414" s="18">
        <v>0</v>
      </c>
      <c r="BQ414" s="18">
        <v>0</v>
      </c>
      <c r="BR414" s="18">
        <v>-0.11382113821138182</v>
      </c>
      <c r="BS414" s="18">
        <v>-0.10909090909090909</v>
      </c>
      <c r="BT414" s="19"/>
      <c r="BU414" s="18">
        <v>0</v>
      </c>
      <c r="BV414" s="18">
        <v>0</v>
      </c>
      <c r="BW414" s="18">
        <v>0</v>
      </c>
      <c r="BX414" s="18" t="s">
        <v>217</v>
      </c>
      <c r="BY414" s="18" t="s">
        <v>217</v>
      </c>
      <c r="BZ414" s="18" t="s">
        <v>217</v>
      </c>
      <c r="CA414" s="18" t="s">
        <v>217</v>
      </c>
      <c r="CB414" s="19"/>
      <c r="CC414" s="19">
        <v>299.99999700000097</v>
      </c>
      <c r="CD414" s="19">
        <v>179.99999819999999</v>
      </c>
      <c r="CE414" s="19">
        <v>50</v>
      </c>
      <c r="CF414" s="19">
        <v>0</v>
      </c>
      <c r="CG414" s="19">
        <v>0</v>
      </c>
      <c r="CH414" s="19">
        <v>0</v>
      </c>
      <c r="CI414" s="19">
        <v>0</v>
      </c>
      <c r="CJ414" s="19"/>
      <c r="CK414" s="19">
        <v>0</v>
      </c>
      <c r="CL414" s="19">
        <v>0</v>
      </c>
      <c r="CM414" s="19">
        <v>0</v>
      </c>
      <c r="CN414" s="19">
        <v>0</v>
      </c>
      <c r="CO414" s="19">
        <v>0</v>
      </c>
      <c r="CP414" s="19">
        <v>0</v>
      </c>
      <c r="CQ414" s="19">
        <v>0</v>
      </c>
      <c r="CR414" s="19">
        <v>0</v>
      </c>
      <c r="HM414" s="620">
        <f t="shared" ref="HM414:HU414" si="206">HM44</f>
        <v>0</v>
      </c>
      <c r="HN414" s="620">
        <f t="shared" si="206"/>
        <v>0</v>
      </c>
      <c r="HO414" s="620">
        <f t="shared" si="206"/>
        <v>0</v>
      </c>
      <c r="HP414" s="620">
        <f t="shared" si="206"/>
        <v>0</v>
      </c>
      <c r="HQ414" s="620">
        <f t="shared" si="206"/>
        <v>0</v>
      </c>
      <c r="HR414" s="620">
        <f t="shared" si="206"/>
        <v>0</v>
      </c>
      <c r="HS414" s="620">
        <f t="shared" si="206"/>
        <v>0</v>
      </c>
      <c r="HT414" s="620">
        <f t="shared" si="206"/>
        <v>0</v>
      </c>
      <c r="HU414" s="620" t="str">
        <f t="shared" si="206"/>
        <v>offfarm</v>
      </c>
      <c r="HV414" s="22" t="s">
        <v>2013</v>
      </c>
      <c r="IB414" s="11">
        <f t="shared" ref="IB414:II414" si="207">IB44</f>
        <v>0.47300000000000003</v>
      </c>
      <c r="IC414" s="11">
        <f t="shared" si="207"/>
        <v>0.13</v>
      </c>
      <c r="ID414" s="11">
        <f t="shared" si="207"/>
        <v>0.39100000000000001</v>
      </c>
      <c r="IE414" s="11">
        <f t="shared" si="207"/>
        <v>5.5E-2</v>
      </c>
      <c r="IF414" s="11">
        <f t="shared" si="207"/>
        <v>3.97</v>
      </c>
      <c r="IG414" s="11">
        <f t="shared" si="207"/>
        <v>4.5999999999999999E-3</v>
      </c>
      <c r="IH414" s="11">
        <f t="shared" si="207"/>
        <v>2.73</v>
      </c>
      <c r="II414" s="11">
        <f t="shared" si="207"/>
        <v>0</v>
      </c>
    </row>
    <row r="415" spans="4:244" x14ac:dyDescent="0.25">
      <c r="D415" s="185" t="s">
        <v>275</v>
      </c>
      <c r="E415" s="14">
        <v>40310</v>
      </c>
      <c r="F415" s="18">
        <v>-0.112682926829268</v>
      </c>
      <c r="G415" s="18">
        <v>-0.108</v>
      </c>
      <c r="H415" s="21">
        <v>70</v>
      </c>
      <c r="I415" s="21">
        <v>70</v>
      </c>
      <c r="J415" s="21">
        <v>0</v>
      </c>
      <c r="K415" s="18">
        <v>1</v>
      </c>
      <c r="L415" s="18">
        <v>99</v>
      </c>
      <c r="M415" s="18">
        <v>0</v>
      </c>
      <c r="N415" s="18">
        <v>0</v>
      </c>
      <c r="O415" s="18">
        <v>99</v>
      </c>
      <c r="P415" s="18">
        <v>0</v>
      </c>
      <c r="Q415" s="19"/>
      <c r="R415" s="18">
        <v>0</v>
      </c>
      <c r="S415" s="18">
        <v>59</v>
      </c>
      <c r="T415" s="18">
        <v>59</v>
      </c>
      <c r="U415" s="18">
        <v>59</v>
      </c>
      <c r="V415" s="18">
        <v>59</v>
      </c>
      <c r="W415" s="18">
        <v>59</v>
      </c>
      <c r="X415" s="18"/>
      <c r="Y415" s="18">
        <v>309.09090909090907</v>
      </c>
      <c r="Z415" s="18">
        <v>181.81817999999998</v>
      </c>
      <c r="AA415" s="18">
        <v>51.515151515151516</v>
      </c>
      <c r="AB415" s="18">
        <v>0</v>
      </c>
      <c r="AC415" s="18">
        <v>0</v>
      </c>
      <c r="AD415" s="18">
        <v>0</v>
      </c>
      <c r="AE415" s="18">
        <v>0</v>
      </c>
      <c r="AF415" s="18">
        <v>0</v>
      </c>
      <c r="AG415" s="18">
        <v>0</v>
      </c>
      <c r="AH415" s="18">
        <v>0</v>
      </c>
      <c r="AI415" s="18">
        <v>0</v>
      </c>
      <c r="AJ415" s="18">
        <v>0</v>
      </c>
      <c r="AK415" s="18">
        <v>0</v>
      </c>
      <c r="AL415" s="18"/>
      <c r="AM415" s="18">
        <v>0</v>
      </c>
      <c r="AN415" s="18">
        <v>0</v>
      </c>
      <c r="AO415" s="18">
        <v>0</v>
      </c>
      <c r="AP415" s="18">
        <v>0</v>
      </c>
      <c r="AQ415" s="18">
        <v>0</v>
      </c>
      <c r="AR415" s="18">
        <v>0</v>
      </c>
      <c r="AS415" s="18">
        <v>0</v>
      </c>
      <c r="AT415" s="18">
        <v>0</v>
      </c>
      <c r="AU415" s="18">
        <v>0</v>
      </c>
      <c r="AV415" s="18">
        <v>0</v>
      </c>
      <c r="AW415" s="18">
        <v>0</v>
      </c>
      <c r="AX415" s="18"/>
      <c r="AY415" s="18">
        <v>1</v>
      </c>
      <c r="AZ415" s="18">
        <v>1</v>
      </c>
      <c r="BA415" s="18">
        <v>1</v>
      </c>
      <c r="BB415" s="18">
        <v>1</v>
      </c>
      <c r="BC415" s="18">
        <v>1</v>
      </c>
      <c r="BD415" s="18">
        <v>1</v>
      </c>
      <c r="BE415" s="18">
        <v>1</v>
      </c>
      <c r="BF415" s="18">
        <v>1</v>
      </c>
      <c r="BG415" s="18">
        <v>1</v>
      </c>
      <c r="BH415" s="18">
        <v>1</v>
      </c>
      <c r="BI415" s="18">
        <v>1</v>
      </c>
      <c r="BJ415" s="19"/>
      <c r="BK415" s="18">
        <v>0</v>
      </c>
      <c r="BL415" s="18">
        <v>0</v>
      </c>
      <c r="BM415" s="18">
        <v>100</v>
      </c>
      <c r="BN415" s="18">
        <v>0</v>
      </c>
      <c r="BO415" s="18"/>
      <c r="BP415" s="18">
        <v>0</v>
      </c>
      <c r="BQ415" s="18">
        <v>0</v>
      </c>
      <c r="BR415" s="18">
        <v>-0.11382113821138182</v>
      </c>
      <c r="BS415" s="18">
        <v>-0.10909090909090909</v>
      </c>
      <c r="BT415" s="19"/>
      <c r="BU415" s="18">
        <v>0</v>
      </c>
      <c r="BV415" s="18">
        <v>0</v>
      </c>
      <c r="BW415" s="18">
        <v>0</v>
      </c>
      <c r="BX415" s="18" t="s">
        <v>217</v>
      </c>
      <c r="BY415" s="18" t="s">
        <v>217</v>
      </c>
      <c r="BZ415" s="18" t="s">
        <v>217</v>
      </c>
      <c r="CA415" s="18" t="s">
        <v>217</v>
      </c>
      <c r="CB415" s="19"/>
      <c r="CC415" s="19">
        <v>306</v>
      </c>
      <c r="CD415" s="19">
        <v>179.99999819999999</v>
      </c>
      <c r="CE415" s="19">
        <v>51</v>
      </c>
      <c r="CF415" s="19">
        <v>0</v>
      </c>
      <c r="CG415" s="19">
        <v>0</v>
      </c>
      <c r="CH415" s="19">
        <v>0</v>
      </c>
      <c r="CI415" s="19">
        <v>0</v>
      </c>
      <c r="CJ415" s="19"/>
      <c r="CK415" s="19">
        <v>0</v>
      </c>
      <c r="CL415" s="19">
        <v>0</v>
      </c>
      <c r="CM415" s="19">
        <v>0</v>
      </c>
      <c r="CN415" s="19">
        <v>0</v>
      </c>
      <c r="CO415" s="19">
        <v>0</v>
      </c>
      <c r="CP415" s="19">
        <v>0</v>
      </c>
      <c r="CQ415" s="19">
        <v>0</v>
      </c>
      <c r="CR415" s="19">
        <v>0</v>
      </c>
      <c r="HM415" s="620">
        <f t="shared" ref="HM415:HU415" si="208">HM45</f>
        <v>0</v>
      </c>
      <c r="HN415" s="620">
        <f t="shared" si="208"/>
        <v>0</v>
      </c>
      <c r="HO415" s="620">
        <f t="shared" si="208"/>
        <v>0</v>
      </c>
      <c r="HP415" s="620">
        <f t="shared" si="208"/>
        <v>0</v>
      </c>
      <c r="HQ415" s="620">
        <f t="shared" si="208"/>
        <v>0</v>
      </c>
      <c r="HR415" s="620">
        <f t="shared" si="208"/>
        <v>0</v>
      </c>
      <c r="HS415" s="620">
        <f t="shared" si="208"/>
        <v>0</v>
      </c>
      <c r="HT415" s="620">
        <f t="shared" si="208"/>
        <v>0</v>
      </c>
      <c r="HU415" s="620" t="str">
        <f t="shared" si="208"/>
        <v>offfarm</v>
      </c>
      <c r="HV415" s="22" t="s">
        <v>2013</v>
      </c>
      <c r="IB415" s="11">
        <f t="shared" ref="IB415:II415" si="209">IB45</f>
        <v>0.47300000000000003</v>
      </c>
      <c r="IC415" s="11">
        <f t="shared" si="209"/>
        <v>0.13</v>
      </c>
      <c r="ID415" s="11">
        <f t="shared" si="209"/>
        <v>0.39100000000000001</v>
      </c>
      <c r="IE415" s="11">
        <f t="shared" si="209"/>
        <v>5.5E-2</v>
      </c>
      <c r="IF415" s="11">
        <f t="shared" si="209"/>
        <v>3.97</v>
      </c>
      <c r="IG415" s="11">
        <f t="shared" si="209"/>
        <v>4.5999999999999999E-3</v>
      </c>
      <c r="IH415" s="11">
        <f t="shared" si="209"/>
        <v>2.73</v>
      </c>
      <c r="II415" s="11">
        <f t="shared" si="209"/>
        <v>0</v>
      </c>
    </row>
    <row r="416" spans="4:244" x14ac:dyDescent="0.25">
      <c r="D416" s="20" t="s">
        <v>1054</v>
      </c>
      <c r="E416" s="14">
        <v>40310</v>
      </c>
      <c r="F416" s="18">
        <v>-0.112682926829268</v>
      </c>
      <c r="G416" s="18">
        <v>-0.108</v>
      </c>
      <c r="H416" s="21">
        <v>70</v>
      </c>
      <c r="I416" s="21">
        <v>70</v>
      </c>
      <c r="J416" s="21">
        <v>0</v>
      </c>
      <c r="K416" s="18">
        <v>1</v>
      </c>
      <c r="L416" s="18">
        <v>99</v>
      </c>
      <c r="M416" s="18">
        <v>0</v>
      </c>
      <c r="N416" s="18">
        <v>0</v>
      </c>
      <c r="O416" s="18">
        <v>99</v>
      </c>
      <c r="P416" s="18">
        <v>0</v>
      </c>
      <c r="Q416" s="19"/>
      <c r="R416" s="18">
        <v>0</v>
      </c>
      <c r="S416" s="18">
        <v>55</v>
      </c>
      <c r="T416" s="18">
        <v>55</v>
      </c>
      <c r="U416" s="18">
        <v>55</v>
      </c>
      <c r="V416" s="18">
        <v>55</v>
      </c>
      <c r="W416" s="18">
        <v>55</v>
      </c>
      <c r="X416" s="18"/>
      <c r="Y416" s="18">
        <v>202.02020202020202</v>
      </c>
      <c r="Z416" s="18">
        <v>207.07070707070707</v>
      </c>
      <c r="AA416" s="18">
        <v>30.303030303030305</v>
      </c>
      <c r="AB416" s="18">
        <v>0</v>
      </c>
      <c r="AC416" s="18">
        <v>0</v>
      </c>
      <c r="AD416" s="18">
        <v>0</v>
      </c>
      <c r="AE416" s="18">
        <v>0</v>
      </c>
      <c r="AF416" s="18">
        <v>0</v>
      </c>
      <c r="AG416" s="18">
        <v>0</v>
      </c>
      <c r="AH416" s="18">
        <v>0</v>
      </c>
      <c r="AI416" s="18">
        <v>0</v>
      </c>
      <c r="AJ416" s="18">
        <v>0</v>
      </c>
      <c r="AK416" s="18">
        <v>0</v>
      </c>
      <c r="AL416" s="18"/>
      <c r="AM416" s="18">
        <v>0</v>
      </c>
      <c r="AN416" s="18">
        <v>0</v>
      </c>
      <c r="AO416" s="18">
        <v>0</v>
      </c>
      <c r="AP416" s="18">
        <v>0</v>
      </c>
      <c r="AQ416" s="18">
        <v>0</v>
      </c>
      <c r="AR416" s="18">
        <v>0</v>
      </c>
      <c r="AS416" s="18">
        <v>0</v>
      </c>
      <c r="AT416" s="18">
        <v>0</v>
      </c>
      <c r="AU416" s="18">
        <v>0</v>
      </c>
      <c r="AV416" s="18">
        <v>0</v>
      </c>
      <c r="AW416" s="18">
        <v>0</v>
      </c>
      <c r="AX416" s="18"/>
      <c r="AY416" s="18">
        <v>1</v>
      </c>
      <c r="AZ416" s="18">
        <v>1</v>
      </c>
      <c r="BA416" s="18">
        <v>1</v>
      </c>
      <c r="BB416" s="18">
        <v>1</v>
      </c>
      <c r="BC416" s="18">
        <v>1</v>
      </c>
      <c r="BD416" s="18">
        <v>1</v>
      </c>
      <c r="BE416" s="18">
        <v>1</v>
      </c>
      <c r="BF416" s="18">
        <v>1</v>
      </c>
      <c r="BG416" s="18">
        <v>1</v>
      </c>
      <c r="BH416" s="18">
        <v>1</v>
      </c>
      <c r="BI416" s="18">
        <v>1</v>
      </c>
      <c r="BJ416" s="19"/>
      <c r="BK416" s="18">
        <v>0</v>
      </c>
      <c r="BL416" s="18">
        <v>0</v>
      </c>
      <c r="BM416" s="18">
        <v>100</v>
      </c>
      <c r="BN416" s="18">
        <v>0</v>
      </c>
      <c r="BO416" s="18"/>
      <c r="BP416" s="18">
        <v>0</v>
      </c>
      <c r="BQ416" s="18">
        <v>0</v>
      </c>
      <c r="BR416" s="18">
        <v>-0.11382113821138182</v>
      </c>
      <c r="BS416" s="18">
        <v>-0.10909090909090909</v>
      </c>
      <c r="BT416" s="19"/>
      <c r="BU416" s="18">
        <v>0</v>
      </c>
      <c r="BV416" s="18">
        <v>0</v>
      </c>
      <c r="BW416" s="18">
        <v>0</v>
      </c>
      <c r="BX416" s="18" t="s">
        <v>217</v>
      </c>
      <c r="BY416" s="18" t="s">
        <v>217</v>
      </c>
      <c r="BZ416" s="18" t="s">
        <v>217</v>
      </c>
      <c r="CA416" s="18" t="s">
        <v>217</v>
      </c>
      <c r="CB416" s="19"/>
      <c r="CC416" s="19">
        <v>200</v>
      </c>
      <c r="CD416" s="19">
        <v>205</v>
      </c>
      <c r="CE416" s="19">
        <v>30</v>
      </c>
      <c r="CF416" s="19">
        <v>0</v>
      </c>
      <c r="CG416" s="19">
        <v>0</v>
      </c>
      <c r="CH416" s="19">
        <v>0</v>
      </c>
      <c r="CI416" s="19">
        <v>0</v>
      </c>
      <c r="CJ416" s="19"/>
      <c r="CK416" s="19">
        <v>0</v>
      </c>
      <c r="CL416" s="19">
        <v>0</v>
      </c>
      <c r="CM416" s="19">
        <v>0</v>
      </c>
      <c r="CN416" s="19">
        <v>0</v>
      </c>
      <c r="CO416" s="19">
        <v>0</v>
      </c>
      <c r="CP416" s="19">
        <v>0</v>
      </c>
      <c r="CQ416" s="19">
        <v>0</v>
      </c>
      <c r="CR416" s="19">
        <v>0</v>
      </c>
      <c r="HM416" s="620">
        <f t="shared" ref="HM416:HU416" si="210">HM46</f>
        <v>0</v>
      </c>
      <c r="HN416" s="620">
        <f t="shared" si="210"/>
        <v>0</v>
      </c>
      <c r="HO416" s="620">
        <f t="shared" si="210"/>
        <v>0</v>
      </c>
      <c r="HP416" s="620">
        <f t="shared" si="210"/>
        <v>0</v>
      </c>
      <c r="HQ416" s="620">
        <f t="shared" si="210"/>
        <v>0</v>
      </c>
      <c r="HR416" s="620">
        <f t="shared" si="210"/>
        <v>0</v>
      </c>
      <c r="HS416" s="620">
        <f t="shared" si="210"/>
        <v>0</v>
      </c>
      <c r="HT416" s="620">
        <f t="shared" si="210"/>
        <v>0</v>
      </c>
      <c r="HU416" s="620" t="str">
        <f t="shared" si="210"/>
        <v>offfarm</v>
      </c>
      <c r="HV416" s="22" t="s">
        <v>2013</v>
      </c>
      <c r="IB416" s="11">
        <f t="shared" ref="IB416:II416" si="211">IB46</f>
        <v>0.47300000000000003</v>
      </c>
      <c r="IC416" s="11">
        <f t="shared" si="211"/>
        <v>0.13</v>
      </c>
      <c r="ID416" s="11">
        <f t="shared" si="211"/>
        <v>0.39100000000000001</v>
      </c>
      <c r="IE416" s="11">
        <f t="shared" si="211"/>
        <v>5.5E-2</v>
      </c>
      <c r="IF416" s="11">
        <f t="shared" si="211"/>
        <v>3.97</v>
      </c>
      <c r="IG416" s="11">
        <f t="shared" si="211"/>
        <v>4.5999999999999999E-3</v>
      </c>
      <c r="IH416" s="11">
        <f t="shared" si="211"/>
        <v>2.73</v>
      </c>
      <c r="II416" s="11">
        <f t="shared" si="211"/>
        <v>0</v>
      </c>
    </row>
    <row r="417" spans="4:243" x14ac:dyDescent="0.25">
      <c r="D417" s="185" t="s">
        <v>1055</v>
      </c>
      <c r="E417" s="14">
        <v>40310</v>
      </c>
      <c r="F417" s="18">
        <v>-0.112682926829268</v>
      </c>
      <c r="G417" s="18">
        <v>-0.108</v>
      </c>
      <c r="H417" s="21">
        <v>70</v>
      </c>
      <c r="I417" s="21">
        <v>70</v>
      </c>
      <c r="J417" s="21">
        <v>0</v>
      </c>
      <c r="K417" s="18">
        <v>1</v>
      </c>
      <c r="L417" s="18">
        <v>99</v>
      </c>
      <c r="M417" s="18">
        <v>0</v>
      </c>
      <c r="N417" s="18">
        <v>0</v>
      </c>
      <c r="O417" s="18">
        <v>99</v>
      </c>
      <c r="P417" s="18">
        <v>0</v>
      </c>
      <c r="Q417" s="19"/>
      <c r="R417" s="18">
        <v>0</v>
      </c>
      <c r="S417" s="18">
        <v>63</v>
      </c>
      <c r="T417" s="18">
        <v>63</v>
      </c>
      <c r="U417" s="18">
        <v>63</v>
      </c>
      <c r="V417" s="18">
        <v>63</v>
      </c>
      <c r="W417" s="18">
        <v>63</v>
      </c>
      <c r="X417" s="18"/>
      <c r="Y417" s="18">
        <v>203.03030303030303</v>
      </c>
      <c r="Z417" s="18">
        <v>208.08080808080808</v>
      </c>
      <c r="AA417" s="18">
        <v>32.323232323232325</v>
      </c>
      <c r="AB417" s="18">
        <v>0</v>
      </c>
      <c r="AC417" s="18">
        <v>0</v>
      </c>
      <c r="AD417" s="18">
        <v>0</v>
      </c>
      <c r="AE417" s="18">
        <v>0</v>
      </c>
      <c r="AF417" s="18">
        <v>0</v>
      </c>
      <c r="AG417" s="18">
        <v>0</v>
      </c>
      <c r="AH417" s="18">
        <v>0</v>
      </c>
      <c r="AI417" s="18">
        <v>0</v>
      </c>
      <c r="AJ417" s="18">
        <v>0</v>
      </c>
      <c r="AK417" s="18">
        <v>0</v>
      </c>
      <c r="AL417" s="18"/>
      <c r="AM417" s="18">
        <v>0</v>
      </c>
      <c r="AN417" s="18">
        <v>0</v>
      </c>
      <c r="AO417" s="18">
        <v>0</v>
      </c>
      <c r="AP417" s="18">
        <v>0</v>
      </c>
      <c r="AQ417" s="18">
        <v>0</v>
      </c>
      <c r="AR417" s="18">
        <v>0</v>
      </c>
      <c r="AS417" s="18">
        <v>0</v>
      </c>
      <c r="AT417" s="18">
        <v>0</v>
      </c>
      <c r="AU417" s="18">
        <v>0</v>
      </c>
      <c r="AV417" s="18">
        <v>0</v>
      </c>
      <c r="AW417" s="18">
        <v>0</v>
      </c>
      <c r="AX417" s="18"/>
      <c r="AY417" s="18">
        <v>1</v>
      </c>
      <c r="AZ417" s="18">
        <v>1</v>
      </c>
      <c r="BA417" s="18">
        <v>1</v>
      </c>
      <c r="BB417" s="18">
        <v>1</v>
      </c>
      <c r="BC417" s="18">
        <v>1</v>
      </c>
      <c r="BD417" s="18">
        <v>1</v>
      </c>
      <c r="BE417" s="18">
        <v>1</v>
      </c>
      <c r="BF417" s="18">
        <v>1</v>
      </c>
      <c r="BG417" s="18">
        <v>1</v>
      </c>
      <c r="BH417" s="18">
        <v>1</v>
      </c>
      <c r="BI417" s="18">
        <v>1</v>
      </c>
      <c r="BJ417" s="19"/>
      <c r="BK417" s="18">
        <v>0</v>
      </c>
      <c r="BL417" s="18">
        <v>0</v>
      </c>
      <c r="BM417" s="18">
        <v>100</v>
      </c>
      <c r="BN417" s="18">
        <v>0</v>
      </c>
      <c r="BO417" s="18"/>
      <c r="BP417" s="18">
        <v>0</v>
      </c>
      <c r="BQ417" s="18">
        <v>0</v>
      </c>
      <c r="BR417" s="18">
        <v>-0.11382113821138182</v>
      </c>
      <c r="BS417" s="18">
        <v>-0.10909090909090909</v>
      </c>
      <c r="BT417" s="19"/>
      <c r="BU417" s="18">
        <v>0</v>
      </c>
      <c r="BV417" s="18">
        <v>0</v>
      </c>
      <c r="BW417" s="18">
        <v>0</v>
      </c>
      <c r="BX417" s="18" t="s">
        <v>217</v>
      </c>
      <c r="BY417" s="18" t="s">
        <v>217</v>
      </c>
      <c r="BZ417" s="18" t="s">
        <v>217</v>
      </c>
      <c r="CA417" s="18" t="s">
        <v>217</v>
      </c>
      <c r="CB417" s="19"/>
      <c r="CC417" s="19">
        <v>201</v>
      </c>
      <c r="CD417" s="19">
        <v>206</v>
      </c>
      <c r="CE417" s="19">
        <v>32</v>
      </c>
      <c r="CF417" s="19">
        <v>0</v>
      </c>
      <c r="CG417" s="19">
        <v>0</v>
      </c>
      <c r="CH417" s="19">
        <v>0</v>
      </c>
      <c r="CI417" s="19">
        <v>0</v>
      </c>
      <c r="CJ417" s="19"/>
      <c r="CK417" s="19">
        <v>0</v>
      </c>
      <c r="CL417" s="19">
        <v>0</v>
      </c>
      <c r="CM417" s="19">
        <v>0</v>
      </c>
      <c r="CN417" s="19">
        <v>0</v>
      </c>
      <c r="CO417" s="19">
        <v>0</v>
      </c>
      <c r="CP417" s="19">
        <v>0</v>
      </c>
      <c r="CQ417" s="19">
        <v>0</v>
      </c>
      <c r="CR417" s="19">
        <v>0</v>
      </c>
      <c r="HM417" s="620">
        <f t="shared" ref="HM417:HU417" si="212">HM47</f>
        <v>0</v>
      </c>
      <c r="HN417" s="620">
        <f t="shared" si="212"/>
        <v>0</v>
      </c>
      <c r="HO417" s="620">
        <f t="shared" si="212"/>
        <v>0</v>
      </c>
      <c r="HP417" s="620">
        <f t="shared" si="212"/>
        <v>0</v>
      </c>
      <c r="HQ417" s="620">
        <f t="shared" si="212"/>
        <v>0</v>
      </c>
      <c r="HR417" s="620">
        <f t="shared" si="212"/>
        <v>0</v>
      </c>
      <c r="HS417" s="620">
        <f t="shared" si="212"/>
        <v>0</v>
      </c>
      <c r="HT417" s="620">
        <f t="shared" si="212"/>
        <v>0</v>
      </c>
      <c r="HU417" s="620" t="str">
        <f t="shared" si="212"/>
        <v>offfarm</v>
      </c>
      <c r="HV417" s="22" t="s">
        <v>2013</v>
      </c>
      <c r="IB417" s="11">
        <f t="shared" ref="IB417:II417" si="213">IB47</f>
        <v>0.47300000000000003</v>
      </c>
      <c r="IC417" s="11">
        <f t="shared" si="213"/>
        <v>0.13</v>
      </c>
      <c r="ID417" s="11">
        <f t="shared" si="213"/>
        <v>0.39100000000000001</v>
      </c>
      <c r="IE417" s="11">
        <f t="shared" si="213"/>
        <v>5.5E-2</v>
      </c>
      <c r="IF417" s="11">
        <f t="shared" si="213"/>
        <v>3.97</v>
      </c>
      <c r="IG417" s="11">
        <f t="shared" si="213"/>
        <v>4.5999999999999999E-3</v>
      </c>
      <c r="IH417" s="11">
        <f t="shared" si="213"/>
        <v>2.73</v>
      </c>
      <c r="II417" s="11">
        <f t="shared" si="213"/>
        <v>0</v>
      </c>
    </row>
    <row r="418" spans="4:243" x14ac:dyDescent="0.25">
      <c r="D418" s="185" t="s">
        <v>278</v>
      </c>
      <c r="E418" s="14">
        <v>40310</v>
      </c>
      <c r="F418" s="18">
        <v>-0.112682926829268</v>
      </c>
      <c r="G418" s="18">
        <v>-0.108</v>
      </c>
      <c r="H418" s="21">
        <v>70</v>
      </c>
      <c r="I418" s="21">
        <v>70</v>
      </c>
      <c r="J418" s="21">
        <v>0</v>
      </c>
      <c r="K418" s="18">
        <v>1</v>
      </c>
      <c r="L418" s="18">
        <v>99</v>
      </c>
      <c r="M418" s="18">
        <v>0</v>
      </c>
      <c r="N418" s="18">
        <v>0</v>
      </c>
      <c r="O418" s="18">
        <v>99</v>
      </c>
      <c r="P418" s="18">
        <v>0</v>
      </c>
      <c r="Q418" s="19"/>
      <c r="R418" s="18">
        <v>0</v>
      </c>
      <c r="S418" s="18">
        <v>55</v>
      </c>
      <c r="T418" s="18">
        <v>55</v>
      </c>
      <c r="U418" s="18">
        <v>55</v>
      </c>
      <c r="V418" s="18">
        <v>55</v>
      </c>
      <c r="W418" s="18">
        <v>55</v>
      </c>
      <c r="X418" s="18"/>
      <c r="Y418" s="18">
        <v>252.52525000000102</v>
      </c>
      <c r="Z418" s="18">
        <v>183.83838</v>
      </c>
      <c r="AA418" s="18">
        <v>0</v>
      </c>
      <c r="AB418" s="18">
        <v>0</v>
      </c>
      <c r="AC418" s="18">
        <v>0</v>
      </c>
      <c r="AD418" s="18">
        <v>0</v>
      </c>
      <c r="AE418" s="18">
        <v>0</v>
      </c>
      <c r="AF418" s="18">
        <v>0</v>
      </c>
      <c r="AG418" s="18">
        <v>0</v>
      </c>
      <c r="AH418" s="18">
        <v>0</v>
      </c>
      <c r="AI418" s="18">
        <v>0</v>
      </c>
      <c r="AJ418" s="18">
        <v>0</v>
      </c>
      <c r="AK418" s="18">
        <v>0</v>
      </c>
      <c r="AL418" s="18"/>
      <c r="AM418" s="18">
        <v>0</v>
      </c>
      <c r="AN418" s="18">
        <v>0</v>
      </c>
      <c r="AO418" s="18">
        <v>0</v>
      </c>
      <c r="AP418" s="18">
        <v>0</v>
      </c>
      <c r="AQ418" s="18">
        <v>0</v>
      </c>
      <c r="AR418" s="18">
        <v>0</v>
      </c>
      <c r="AS418" s="18">
        <v>0</v>
      </c>
      <c r="AT418" s="18">
        <v>0</v>
      </c>
      <c r="AU418" s="18">
        <v>0</v>
      </c>
      <c r="AV418" s="18">
        <v>0</v>
      </c>
      <c r="AW418" s="18">
        <v>0</v>
      </c>
      <c r="AX418" s="18"/>
      <c r="AY418" s="18">
        <v>1</v>
      </c>
      <c r="AZ418" s="18">
        <v>1</v>
      </c>
      <c r="BA418" s="18">
        <v>1</v>
      </c>
      <c r="BB418" s="18">
        <v>1</v>
      </c>
      <c r="BC418" s="18">
        <v>1</v>
      </c>
      <c r="BD418" s="18">
        <v>1</v>
      </c>
      <c r="BE418" s="18">
        <v>1</v>
      </c>
      <c r="BF418" s="18">
        <v>1</v>
      </c>
      <c r="BG418" s="18">
        <v>1</v>
      </c>
      <c r="BH418" s="18">
        <v>1</v>
      </c>
      <c r="BI418" s="18">
        <v>1</v>
      </c>
      <c r="BJ418" s="19"/>
      <c r="BK418" s="18">
        <v>0</v>
      </c>
      <c r="BL418" s="18">
        <v>0</v>
      </c>
      <c r="BM418" s="18">
        <v>100</v>
      </c>
      <c r="BN418" s="18">
        <v>0</v>
      </c>
      <c r="BO418" s="18"/>
      <c r="BP418" s="18">
        <v>0</v>
      </c>
      <c r="BQ418" s="18">
        <v>0</v>
      </c>
      <c r="BR418" s="18">
        <v>-0.11382113821138182</v>
      </c>
      <c r="BS418" s="18">
        <v>-0.10909090909090909</v>
      </c>
      <c r="BT418" s="19"/>
      <c r="BU418" s="18">
        <v>0</v>
      </c>
      <c r="BV418" s="18">
        <v>0</v>
      </c>
      <c r="BW418" s="18">
        <v>0</v>
      </c>
      <c r="BX418" s="18" t="s">
        <v>217</v>
      </c>
      <c r="BY418" s="18" t="s">
        <v>217</v>
      </c>
      <c r="BZ418" s="18" t="s">
        <v>217</v>
      </c>
      <c r="CA418" s="18" t="s">
        <v>217</v>
      </c>
      <c r="CB418" s="19"/>
      <c r="CC418" s="19">
        <v>249.999997500001</v>
      </c>
      <c r="CD418" s="19">
        <v>181.9999962</v>
      </c>
      <c r="CE418" s="19">
        <v>0</v>
      </c>
      <c r="CF418" s="19">
        <v>0</v>
      </c>
      <c r="CG418" s="19">
        <v>0</v>
      </c>
      <c r="CH418" s="19">
        <v>0</v>
      </c>
      <c r="CI418" s="19">
        <v>0</v>
      </c>
      <c r="CJ418" s="19"/>
      <c r="CK418" s="19">
        <v>0</v>
      </c>
      <c r="CL418" s="19">
        <v>0</v>
      </c>
      <c r="CM418" s="19">
        <v>0</v>
      </c>
      <c r="CN418" s="19">
        <v>0</v>
      </c>
      <c r="CO418" s="19">
        <v>0</v>
      </c>
      <c r="CP418" s="19">
        <v>0</v>
      </c>
      <c r="CQ418" s="19">
        <v>0</v>
      </c>
      <c r="CR418" s="19">
        <v>0</v>
      </c>
      <c r="HM418" s="620">
        <f t="shared" ref="HM418:HU418" si="214">HM48</f>
        <v>0</v>
      </c>
      <c r="HN418" s="620">
        <f t="shared" si="214"/>
        <v>0</v>
      </c>
      <c r="HO418" s="620">
        <f t="shared" si="214"/>
        <v>0</v>
      </c>
      <c r="HP418" s="620">
        <f t="shared" si="214"/>
        <v>0</v>
      </c>
      <c r="HQ418" s="620">
        <f t="shared" si="214"/>
        <v>0</v>
      </c>
      <c r="HR418" s="620">
        <f t="shared" si="214"/>
        <v>0</v>
      </c>
      <c r="HS418" s="620">
        <f t="shared" si="214"/>
        <v>0</v>
      </c>
      <c r="HT418" s="620">
        <f t="shared" si="214"/>
        <v>0</v>
      </c>
      <c r="HU418" s="620" t="str">
        <f t="shared" si="214"/>
        <v>offfarm</v>
      </c>
      <c r="HV418" s="22" t="s">
        <v>2013</v>
      </c>
      <c r="IB418" s="11">
        <f t="shared" ref="IB418:II418" si="215">IB48</f>
        <v>0.47300000000000003</v>
      </c>
      <c r="IC418" s="11">
        <f t="shared" si="215"/>
        <v>0.13</v>
      </c>
      <c r="ID418" s="11">
        <f t="shared" si="215"/>
        <v>0.39100000000000001</v>
      </c>
      <c r="IE418" s="11">
        <f t="shared" si="215"/>
        <v>5.5E-2</v>
      </c>
      <c r="IF418" s="11">
        <f t="shared" si="215"/>
        <v>3.97</v>
      </c>
      <c r="IG418" s="11">
        <f t="shared" si="215"/>
        <v>4.5999999999999999E-3</v>
      </c>
      <c r="IH418" s="11">
        <f t="shared" si="215"/>
        <v>2.73</v>
      </c>
      <c r="II418" s="11">
        <f t="shared" si="215"/>
        <v>0</v>
      </c>
    </row>
    <row r="419" spans="4:243" x14ac:dyDescent="0.25">
      <c r="D419" s="20" t="s">
        <v>279</v>
      </c>
      <c r="E419" s="14">
        <v>40310</v>
      </c>
      <c r="F419" s="18">
        <v>-0.112682926829268</v>
      </c>
      <c r="G419" s="18">
        <v>-0.108</v>
      </c>
      <c r="H419" s="21">
        <v>70</v>
      </c>
      <c r="I419" s="21">
        <v>70</v>
      </c>
      <c r="J419" s="21">
        <v>0</v>
      </c>
      <c r="K419" s="18">
        <v>1</v>
      </c>
      <c r="L419" s="18">
        <v>99</v>
      </c>
      <c r="M419" s="18">
        <v>0</v>
      </c>
      <c r="N419" s="18">
        <v>0</v>
      </c>
      <c r="O419" s="18">
        <v>99</v>
      </c>
      <c r="P419" s="18">
        <v>0</v>
      </c>
      <c r="Q419" s="19"/>
      <c r="R419" s="18">
        <v>0</v>
      </c>
      <c r="S419" s="18">
        <v>50</v>
      </c>
      <c r="T419" s="18">
        <v>50</v>
      </c>
      <c r="U419" s="18">
        <v>50</v>
      </c>
      <c r="V419" s="18">
        <v>50</v>
      </c>
      <c r="W419" s="18">
        <v>50</v>
      </c>
      <c r="X419" s="18"/>
      <c r="Y419" s="18">
        <v>252.52525000000102</v>
      </c>
      <c r="Z419" s="18">
        <v>181.81817999999998</v>
      </c>
      <c r="AA419" s="18">
        <v>0</v>
      </c>
      <c r="AB419" s="18">
        <v>0</v>
      </c>
      <c r="AC419" s="18">
        <v>0</v>
      </c>
      <c r="AD419" s="18">
        <v>0</v>
      </c>
      <c r="AE419" s="18">
        <v>0</v>
      </c>
      <c r="AF419" s="18">
        <v>0</v>
      </c>
      <c r="AG419" s="18">
        <v>0</v>
      </c>
      <c r="AH419" s="18">
        <v>0</v>
      </c>
      <c r="AI419" s="18">
        <v>0</v>
      </c>
      <c r="AJ419" s="18">
        <v>0</v>
      </c>
      <c r="AK419" s="18">
        <v>0</v>
      </c>
      <c r="AL419" s="18"/>
      <c r="AM419" s="18">
        <v>0</v>
      </c>
      <c r="AN419" s="18">
        <v>0</v>
      </c>
      <c r="AO419" s="18">
        <v>0</v>
      </c>
      <c r="AP419" s="18">
        <v>0</v>
      </c>
      <c r="AQ419" s="18">
        <v>0</v>
      </c>
      <c r="AR419" s="18">
        <v>0</v>
      </c>
      <c r="AS419" s="18">
        <v>0</v>
      </c>
      <c r="AT419" s="18">
        <v>0</v>
      </c>
      <c r="AU419" s="18">
        <v>0</v>
      </c>
      <c r="AV419" s="18">
        <v>0</v>
      </c>
      <c r="AW419" s="18">
        <v>0</v>
      </c>
      <c r="AX419" s="18"/>
      <c r="AY419" s="18">
        <v>1</v>
      </c>
      <c r="AZ419" s="18">
        <v>1</v>
      </c>
      <c r="BA419" s="18">
        <v>1</v>
      </c>
      <c r="BB419" s="18">
        <v>1</v>
      </c>
      <c r="BC419" s="18">
        <v>1</v>
      </c>
      <c r="BD419" s="18">
        <v>1</v>
      </c>
      <c r="BE419" s="18">
        <v>1</v>
      </c>
      <c r="BF419" s="18">
        <v>1</v>
      </c>
      <c r="BG419" s="18">
        <v>1</v>
      </c>
      <c r="BH419" s="18">
        <v>1</v>
      </c>
      <c r="BI419" s="18">
        <v>1</v>
      </c>
      <c r="BJ419" s="19"/>
      <c r="BK419" s="18">
        <v>0</v>
      </c>
      <c r="BL419" s="18">
        <v>0</v>
      </c>
      <c r="BM419" s="18">
        <v>100</v>
      </c>
      <c r="BN419" s="18">
        <v>0</v>
      </c>
      <c r="BO419" s="18"/>
      <c r="BP419" s="18">
        <v>0</v>
      </c>
      <c r="BQ419" s="18">
        <v>0</v>
      </c>
      <c r="BR419" s="18">
        <v>-0.11382113821138182</v>
      </c>
      <c r="BS419" s="18">
        <v>-0.10909090909090909</v>
      </c>
      <c r="BT419" s="19"/>
      <c r="BU419" s="18">
        <v>0</v>
      </c>
      <c r="BV419" s="18">
        <v>0</v>
      </c>
      <c r="BW419" s="18">
        <v>0</v>
      </c>
      <c r="BX419" s="18" t="s">
        <v>217</v>
      </c>
      <c r="BY419" s="18" t="s">
        <v>217</v>
      </c>
      <c r="BZ419" s="18" t="s">
        <v>217</v>
      </c>
      <c r="CA419" s="18" t="s">
        <v>217</v>
      </c>
      <c r="CB419" s="19"/>
      <c r="CC419" s="19">
        <v>249.999997500001</v>
      </c>
      <c r="CD419" s="19">
        <v>179.99999819999999</v>
      </c>
      <c r="CE419" s="19">
        <v>0</v>
      </c>
      <c r="CF419" s="19">
        <v>0</v>
      </c>
      <c r="CG419" s="19">
        <v>0</v>
      </c>
      <c r="CH419" s="19">
        <v>0</v>
      </c>
      <c r="CI419" s="19">
        <v>0</v>
      </c>
      <c r="CJ419" s="19"/>
      <c r="CK419" s="19">
        <v>0</v>
      </c>
      <c r="CL419" s="19">
        <v>0</v>
      </c>
      <c r="CM419" s="19">
        <v>0</v>
      </c>
      <c r="CN419" s="19">
        <v>0</v>
      </c>
      <c r="CO419" s="19">
        <v>0</v>
      </c>
      <c r="CP419" s="19">
        <v>0</v>
      </c>
      <c r="CQ419" s="19">
        <v>0</v>
      </c>
      <c r="CR419" s="19">
        <v>0</v>
      </c>
      <c r="HM419" s="620">
        <f t="shared" ref="HM419:HU419" si="216">HM49</f>
        <v>0</v>
      </c>
      <c r="HN419" s="620">
        <f t="shared" si="216"/>
        <v>0</v>
      </c>
      <c r="HO419" s="620">
        <f t="shared" si="216"/>
        <v>0</v>
      </c>
      <c r="HP419" s="620">
        <f t="shared" si="216"/>
        <v>0</v>
      </c>
      <c r="HQ419" s="620">
        <f t="shared" si="216"/>
        <v>0</v>
      </c>
      <c r="HR419" s="620">
        <f t="shared" si="216"/>
        <v>0</v>
      </c>
      <c r="HS419" s="620">
        <f t="shared" si="216"/>
        <v>0</v>
      </c>
      <c r="HT419" s="620">
        <f t="shared" si="216"/>
        <v>0</v>
      </c>
      <c r="HU419" s="620" t="str">
        <f t="shared" si="216"/>
        <v>offfarm</v>
      </c>
      <c r="HV419" s="22" t="s">
        <v>2013</v>
      </c>
      <c r="IB419" s="11">
        <f t="shared" ref="IB419:II419" si="217">IB49</f>
        <v>0.47300000000000003</v>
      </c>
      <c r="IC419" s="11">
        <f t="shared" si="217"/>
        <v>0.13</v>
      </c>
      <c r="ID419" s="11">
        <f t="shared" si="217"/>
        <v>0.39100000000000001</v>
      </c>
      <c r="IE419" s="11">
        <f t="shared" si="217"/>
        <v>5.5E-2</v>
      </c>
      <c r="IF419" s="11">
        <f t="shared" si="217"/>
        <v>3.97</v>
      </c>
      <c r="IG419" s="11">
        <f t="shared" si="217"/>
        <v>4.5999999999999999E-3</v>
      </c>
      <c r="IH419" s="11">
        <f t="shared" si="217"/>
        <v>2.73</v>
      </c>
      <c r="II419" s="11">
        <f t="shared" si="217"/>
        <v>0</v>
      </c>
    </row>
    <row r="420" spans="4:243" x14ac:dyDescent="0.25">
      <c r="D420" s="20" t="s">
        <v>1056</v>
      </c>
      <c r="E420" s="14">
        <v>40310</v>
      </c>
      <c r="F420" s="18">
        <v>0.400229055361982</v>
      </c>
      <c r="G420" s="18">
        <v>0.40812811354360001</v>
      </c>
      <c r="H420" s="21">
        <v>64.2</v>
      </c>
      <c r="I420" s="21">
        <v>70</v>
      </c>
      <c r="J420" s="21">
        <v>30</v>
      </c>
      <c r="K420" s="18">
        <v>1</v>
      </c>
      <c r="L420" s="18">
        <v>97.3</v>
      </c>
      <c r="M420" s="18">
        <v>1</v>
      </c>
      <c r="N420" s="18">
        <v>0.9</v>
      </c>
      <c r="O420" s="18">
        <v>51.7</v>
      </c>
      <c r="P420" s="18">
        <v>18.2</v>
      </c>
      <c r="Q420" s="19"/>
      <c r="R420" s="18">
        <v>0</v>
      </c>
      <c r="S420" s="18">
        <v>0</v>
      </c>
      <c r="T420" s="18">
        <v>0</v>
      </c>
      <c r="U420" s="18">
        <v>0</v>
      </c>
      <c r="V420" s="18">
        <v>0</v>
      </c>
      <c r="W420" s="18">
        <v>0</v>
      </c>
      <c r="X420" s="18"/>
      <c r="Y420" s="18">
        <v>0</v>
      </c>
      <c r="Z420" s="18">
        <v>0</v>
      </c>
      <c r="AA420" s="18">
        <v>0</v>
      </c>
      <c r="AB420" s="18">
        <v>0</v>
      </c>
      <c r="AC420" s="18">
        <v>0</v>
      </c>
      <c r="AD420" s="18">
        <v>0</v>
      </c>
      <c r="AE420" s="18">
        <v>0</v>
      </c>
      <c r="AF420" s="18">
        <v>0</v>
      </c>
      <c r="AG420" s="18">
        <v>0</v>
      </c>
      <c r="AH420" s="18">
        <v>0</v>
      </c>
      <c r="AI420" s="18">
        <v>0</v>
      </c>
      <c r="AJ420" s="18">
        <v>0</v>
      </c>
      <c r="AK420" s="18">
        <v>0</v>
      </c>
      <c r="AL420" s="18"/>
      <c r="AM420" s="18">
        <v>0</v>
      </c>
      <c r="AN420" s="18">
        <v>0</v>
      </c>
      <c r="AO420" s="18">
        <v>0</v>
      </c>
      <c r="AP420" s="18">
        <v>0</v>
      </c>
      <c r="AQ420" s="18">
        <v>0</v>
      </c>
      <c r="AR420" s="18">
        <v>0</v>
      </c>
      <c r="AS420" s="18">
        <v>0</v>
      </c>
      <c r="AT420" s="18">
        <v>0</v>
      </c>
      <c r="AU420" s="18">
        <v>0</v>
      </c>
      <c r="AV420" s="18">
        <v>0</v>
      </c>
      <c r="AW420" s="18">
        <v>0</v>
      </c>
      <c r="AX420" s="18"/>
      <c r="AY420" s="18">
        <v>1</v>
      </c>
      <c r="AZ420" s="18">
        <v>1</v>
      </c>
      <c r="BA420" s="18">
        <v>1</v>
      </c>
      <c r="BB420" s="18">
        <v>1</v>
      </c>
      <c r="BC420" s="18">
        <v>1</v>
      </c>
      <c r="BD420" s="18">
        <v>1</v>
      </c>
      <c r="BE420" s="18">
        <v>1</v>
      </c>
      <c r="BF420" s="18">
        <v>1</v>
      </c>
      <c r="BG420" s="18">
        <v>1</v>
      </c>
      <c r="BH420" s="18">
        <v>1</v>
      </c>
      <c r="BI420" s="18">
        <v>1</v>
      </c>
      <c r="BJ420" s="19"/>
      <c r="BK420" s="18">
        <v>1.0277492291880781</v>
      </c>
      <c r="BL420" s="18">
        <v>0.92497430626927035</v>
      </c>
      <c r="BM420" s="18">
        <v>53.134635149023644</v>
      </c>
      <c r="BN420" s="18">
        <v>18.705035971223023</v>
      </c>
      <c r="BO420" s="18"/>
      <c r="BP420" s="18">
        <v>0</v>
      </c>
      <c r="BQ420" s="18">
        <v>0</v>
      </c>
      <c r="BR420" s="18">
        <v>0.41133510314694965</v>
      </c>
      <c r="BS420" s="18">
        <v>0.41945335410441936</v>
      </c>
      <c r="BT420" s="19"/>
      <c r="BU420" s="18">
        <v>468.65364850976363</v>
      </c>
      <c r="BV420" s="18">
        <v>321.38217589194039</v>
      </c>
      <c r="BW420" s="18">
        <v>-38.831302305094653</v>
      </c>
      <c r="BX420" s="18">
        <v>0</v>
      </c>
      <c r="BY420" s="18">
        <v>0</v>
      </c>
      <c r="BZ420" s="18" t="s">
        <v>217</v>
      </c>
      <c r="CA420" s="18" t="s">
        <v>217</v>
      </c>
      <c r="CB420" s="19"/>
      <c r="CC420" s="19">
        <v>0</v>
      </c>
      <c r="CD420" s="19">
        <v>0</v>
      </c>
      <c r="CE420" s="19">
        <v>0</v>
      </c>
      <c r="CF420" s="19">
        <v>0</v>
      </c>
      <c r="CG420" s="19">
        <v>0</v>
      </c>
      <c r="CH420" s="19">
        <v>0</v>
      </c>
      <c r="CI420" s="19">
        <v>0</v>
      </c>
      <c r="CJ420" s="19"/>
      <c r="CK420" s="19">
        <v>0</v>
      </c>
      <c r="CL420" s="19">
        <v>0</v>
      </c>
      <c r="CM420" s="19">
        <v>0</v>
      </c>
      <c r="CN420" s="19">
        <v>0</v>
      </c>
      <c r="CO420" s="19">
        <v>0</v>
      </c>
      <c r="CP420" s="19">
        <v>0</v>
      </c>
      <c r="CQ420" s="19">
        <v>0</v>
      </c>
      <c r="CR420" s="19">
        <v>0</v>
      </c>
      <c r="HM420" s="620">
        <f t="shared" ref="HM420:HU420" si="218">HM50</f>
        <v>0</v>
      </c>
      <c r="HN420" s="620">
        <f t="shared" si="218"/>
        <v>0</v>
      </c>
      <c r="HO420" s="620">
        <f t="shared" si="218"/>
        <v>0</v>
      </c>
      <c r="HP420" s="620">
        <f t="shared" si="218"/>
        <v>0</v>
      </c>
      <c r="HQ420" s="620">
        <f t="shared" si="218"/>
        <v>0</v>
      </c>
      <c r="HR420" s="620">
        <f t="shared" si="218"/>
        <v>0</v>
      </c>
      <c r="HS420" s="620">
        <f t="shared" si="218"/>
        <v>0</v>
      </c>
      <c r="HT420" s="620">
        <f t="shared" si="218"/>
        <v>0</v>
      </c>
      <c r="HU420" s="620" t="str">
        <f t="shared" si="218"/>
        <v>offfarm</v>
      </c>
      <c r="HV420" s="22" t="s">
        <v>2013</v>
      </c>
      <c r="IB420" s="11">
        <f t="shared" ref="IB420:II420" si="219">IB50</f>
        <v>0.47300000000000003</v>
      </c>
      <c r="IC420" s="11">
        <f t="shared" si="219"/>
        <v>0.13</v>
      </c>
      <c r="ID420" s="11">
        <f t="shared" si="219"/>
        <v>0.39100000000000001</v>
      </c>
      <c r="IE420" s="11">
        <f t="shared" si="219"/>
        <v>5.5E-2</v>
      </c>
      <c r="IF420" s="11">
        <f t="shared" si="219"/>
        <v>3.97</v>
      </c>
      <c r="IG420" s="11">
        <f t="shared" si="219"/>
        <v>4.5999999999999999E-3</v>
      </c>
      <c r="IH420" s="11">
        <f t="shared" si="219"/>
        <v>2.73</v>
      </c>
      <c r="II420" s="11">
        <f t="shared" si="219"/>
        <v>0</v>
      </c>
    </row>
    <row r="421" spans="4:243" x14ac:dyDescent="0.25">
      <c r="D421" s="20" t="s">
        <v>1057</v>
      </c>
      <c r="E421" s="14">
        <v>40310</v>
      </c>
      <c r="F421" s="18">
        <v>0.39516743128145598</v>
      </c>
      <c r="G421" s="18">
        <v>0.40159457291280098</v>
      </c>
      <c r="H421" s="21">
        <v>61.7</v>
      </c>
      <c r="I421" s="21">
        <v>70</v>
      </c>
      <c r="J421" s="21">
        <v>30</v>
      </c>
      <c r="K421" s="18">
        <v>1</v>
      </c>
      <c r="L421" s="18">
        <v>97.4</v>
      </c>
      <c r="M421" s="18">
        <v>1</v>
      </c>
      <c r="N421" s="18">
        <v>0.8</v>
      </c>
      <c r="O421" s="18">
        <v>51.5</v>
      </c>
      <c r="P421" s="18">
        <v>17.100000000000001</v>
      </c>
      <c r="Q421" s="19"/>
      <c r="R421" s="18">
        <v>0</v>
      </c>
      <c r="S421" s="18">
        <v>0</v>
      </c>
      <c r="T421" s="18">
        <v>0</v>
      </c>
      <c r="U421" s="18">
        <v>0</v>
      </c>
      <c r="V421" s="18">
        <v>0</v>
      </c>
      <c r="W421" s="18">
        <v>0</v>
      </c>
      <c r="X421" s="18"/>
      <c r="Y421" s="18">
        <v>0</v>
      </c>
      <c r="Z421" s="18">
        <v>0</v>
      </c>
      <c r="AA421" s="18">
        <v>0</v>
      </c>
      <c r="AB421" s="18">
        <v>0</v>
      </c>
      <c r="AC421" s="18">
        <v>0</v>
      </c>
      <c r="AD421" s="18">
        <v>0</v>
      </c>
      <c r="AE421" s="18">
        <v>0</v>
      </c>
      <c r="AF421" s="18">
        <v>0</v>
      </c>
      <c r="AG421" s="18">
        <v>0</v>
      </c>
      <c r="AH421" s="18">
        <v>0</v>
      </c>
      <c r="AI421" s="18">
        <v>0</v>
      </c>
      <c r="AJ421" s="18">
        <v>0</v>
      </c>
      <c r="AK421" s="18">
        <v>0</v>
      </c>
      <c r="AL421" s="18"/>
      <c r="AM421" s="18">
        <v>0</v>
      </c>
      <c r="AN421" s="18">
        <v>0</v>
      </c>
      <c r="AO421" s="18">
        <v>0</v>
      </c>
      <c r="AP421" s="18">
        <v>0</v>
      </c>
      <c r="AQ421" s="18">
        <v>0</v>
      </c>
      <c r="AR421" s="18">
        <v>0</v>
      </c>
      <c r="AS421" s="18">
        <v>0</v>
      </c>
      <c r="AT421" s="18">
        <v>0</v>
      </c>
      <c r="AU421" s="18">
        <v>0</v>
      </c>
      <c r="AV421" s="18">
        <v>0</v>
      </c>
      <c r="AW421" s="18">
        <v>0</v>
      </c>
      <c r="AX421" s="18"/>
      <c r="AY421" s="18">
        <v>1</v>
      </c>
      <c r="AZ421" s="18">
        <v>1</v>
      </c>
      <c r="BA421" s="18">
        <v>1</v>
      </c>
      <c r="BB421" s="18">
        <v>1</v>
      </c>
      <c r="BC421" s="18">
        <v>1</v>
      </c>
      <c r="BD421" s="18">
        <v>1</v>
      </c>
      <c r="BE421" s="18">
        <v>1</v>
      </c>
      <c r="BF421" s="18">
        <v>1</v>
      </c>
      <c r="BG421" s="18">
        <v>1</v>
      </c>
      <c r="BH421" s="18">
        <v>1</v>
      </c>
      <c r="BI421" s="18">
        <v>1</v>
      </c>
      <c r="BJ421" s="19"/>
      <c r="BK421" s="18">
        <v>1.0266940451745379</v>
      </c>
      <c r="BL421" s="18">
        <v>0.82135523613963035</v>
      </c>
      <c r="BM421" s="18">
        <v>52.874743326488705</v>
      </c>
      <c r="BN421" s="18">
        <v>17.5564681724846</v>
      </c>
      <c r="BO421" s="18"/>
      <c r="BP421" s="18">
        <v>59</v>
      </c>
      <c r="BQ421" s="18">
        <v>4.8459958932238187</v>
      </c>
      <c r="BR421" s="18">
        <v>0.40571604854358928</v>
      </c>
      <c r="BS421" s="18">
        <v>0.41231475658398453</v>
      </c>
      <c r="BT421" s="19"/>
      <c r="BU421" s="18">
        <v>471.25256673511291</v>
      </c>
      <c r="BV421" s="18">
        <v>329.32986212965704</v>
      </c>
      <c r="BW421" s="18">
        <v>-55.877090055734804</v>
      </c>
      <c r="BX421" s="18">
        <v>0</v>
      </c>
      <c r="BY421" s="18">
        <v>0</v>
      </c>
      <c r="BZ421" s="18" t="s">
        <v>217</v>
      </c>
      <c r="CA421" s="18" t="s">
        <v>217</v>
      </c>
      <c r="CB421" s="19"/>
      <c r="CC421" s="19">
        <v>0</v>
      </c>
      <c r="CD421" s="19">
        <v>0</v>
      </c>
      <c r="CE421" s="19">
        <v>0</v>
      </c>
      <c r="CF421" s="19">
        <v>0</v>
      </c>
      <c r="CG421" s="19">
        <v>0</v>
      </c>
      <c r="CH421" s="19">
        <v>0</v>
      </c>
      <c r="CI421" s="19">
        <v>0</v>
      </c>
      <c r="CJ421" s="19"/>
      <c r="CK421" s="19">
        <v>0</v>
      </c>
      <c r="CL421" s="19">
        <v>0</v>
      </c>
      <c r="CM421" s="19">
        <v>0</v>
      </c>
      <c r="CN421" s="19">
        <v>0</v>
      </c>
      <c r="CO421" s="19">
        <v>0</v>
      </c>
      <c r="CP421" s="19">
        <v>0</v>
      </c>
      <c r="CQ421" s="19">
        <v>0</v>
      </c>
      <c r="CR421" s="19">
        <v>0</v>
      </c>
      <c r="HM421" s="620">
        <f t="shared" ref="HM421:HU421" si="220">HM51</f>
        <v>0</v>
      </c>
      <c r="HN421" s="620">
        <f t="shared" si="220"/>
        <v>0</v>
      </c>
      <c r="HO421" s="620">
        <f t="shared" si="220"/>
        <v>0</v>
      </c>
      <c r="HP421" s="620">
        <f t="shared" si="220"/>
        <v>0</v>
      </c>
      <c r="HQ421" s="620">
        <f t="shared" si="220"/>
        <v>0</v>
      </c>
      <c r="HR421" s="620">
        <f t="shared" si="220"/>
        <v>0</v>
      </c>
      <c r="HS421" s="620">
        <f t="shared" si="220"/>
        <v>0</v>
      </c>
      <c r="HT421" s="620">
        <f t="shared" si="220"/>
        <v>0</v>
      </c>
      <c r="HU421" s="620" t="str">
        <f t="shared" si="220"/>
        <v>offfarm</v>
      </c>
      <c r="HV421" s="22" t="s">
        <v>2013</v>
      </c>
      <c r="IB421" s="11">
        <f t="shared" ref="IB421:II421" si="221">IB51</f>
        <v>0.47300000000000003</v>
      </c>
      <c r="IC421" s="11">
        <f t="shared" si="221"/>
        <v>0.13</v>
      </c>
      <c r="ID421" s="11">
        <f t="shared" si="221"/>
        <v>0.39100000000000001</v>
      </c>
      <c r="IE421" s="11">
        <f t="shared" si="221"/>
        <v>5.5E-2</v>
      </c>
      <c r="IF421" s="11">
        <f t="shared" si="221"/>
        <v>3.97</v>
      </c>
      <c r="IG421" s="11">
        <f t="shared" si="221"/>
        <v>4.5999999999999999E-3</v>
      </c>
      <c r="IH421" s="11">
        <f t="shared" si="221"/>
        <v>2.73</v>
      </c>
      <c r="II421" s="11">
        <f t="shared" si="221"/>
        <v>0</v>
      </c>
    </row>
    <row r="422" spans="4:243" x14ac:dyDescent="0.25">
      <c r="D422" s="185" t="s">
        <v>1058</v>
      </c>
      <c r="E422" s="14">
        <v>42698</v>
      </c>
      <c r="F422" s="18">
        <v>0.816414869054648</v>
      </c>
      <c r="G422" s="18">
        <v>0.86143758411910198</v>
      </c>
      <c r="H422" s="21">
        <v>78.900000000000006</v>
      </c>
      <c r="I422" s="21">
        <v>64.699972500000001</v>
      </c>
      <c r="J422" s="21">
        <v>86</v>
      </c>
      <c r="K422" s="18">
        <v>1</v>
      </c>
      <c r="L422" s="18">
        <v>88.3</v>
      </c>
      <c r="M422" s="18">
        <v>29.668800000000001</v>
      </c>
      <c r="N422" s="18">
        <v>4.5915999999999997</v>
      </c>
      <c r="O422" s="18">
        <v>6.9756999999999998</v>
      </c>
      <c r="P422" s="18" t="s">
        <v>217</v>
      </c>
      <c r="Q422" s="19"/>
      <c r="R422" s="18">
        <v>72.5</v>
      </c>
      <c r="S422" s="18">
        <v>27</v>
      </c>
      <c r="T422" s="18">
        <v>40</v>
      </c>
      <c r="U422" s="18">
        <v>45</v>
      </c>
      <c r="V422" s="18">
        <v>50</v>
      </c>
      <c r="W422" s="18">
        <v>53</v>
      </c>
      <c r="X422" s="18"/>
      <c r="Y422" s="18">
        <v>7.0000000000000009</v>
      </c>
      <c r="Z422" s="18">
        <v>10.4</v>
      </c>
      <c r="AA422" s="18">
        <v>1.1000000000000001</v>
      </c>
      <c r="AB422" s="18" t="s">
        <v>217</v>
      </c>
      <c r="AC422" s="18">
        <v>15.799999999999999</v>
      </c>
      <c r="AD422" s="18">
        <v>5.3000000000000007</v>
      </c>
      <c r="AE422" s="18">
        <v>6.2</v>
      </c>
      <c r="AF422" s="18">
        <v>481.00000000000006</v>
      </c>
      <c r="AG422" s="18">
        <v>12.999999999999998</v>
      </c>
      <c r="AH422" s="18">
        <v>69</v>
      </c>
      <c r="AI422" s="18">
        <v>79.000000000000014</v>
      </c>
      <c r="AJ422" s="18">
        <v>0</v>
      </c>
      <c r="AK422" s="18">
        <v>7.9999999999999988E-2</v>
      </c>
      <c r="AL422" s="18"/>
      <c r="AM422" s="18">
        <v>4.9404761904761898</v>
      </c>
      <c r="AN422" s="18">
        <v>1.9047619047619</v>
      </c>
      <c r="AO422" s="18">
        <v>2.2023809523809499</v>
      </c>
      <c r="AP422" s="18">
        <v>4.375</v>
      </c>
      <c r="AQ422" s="18">
        <v>1.36904761904762</v>
      </c>
      <c r="AR422" s="18">
        <v>3.8095238095238102</v>
      </c>
      <c r="AS422" s="18">
        <v>6.7559523809523796</v>
      </c>
      <c r="AT422" s="18">
        <v>2.6488095238095202</v>
      </c>
      <c r="AU422" s="18">
        <v>4.0178571428571397</v>
      </c>
      <c r="AV422" s="18">
        <v>3.3630952380952399</v>
      </c>
      <c r="AW422" s="18">
        <v>4.8214285714285703</v>
      </c>
      <c r="AX422" s="18"/>
      <c r="AY422" s="18">
        <v>0.91</v>
      </c>
      <c r="AZ422" s="18">
        <v>1.19</v>
      </c>
      <c r="BA422" s="18">
        <v>0.99</v>
      </c>
      <c r="BB422" s="18">
        <v>1</v>
      </c>
      <c r="BC422" s="18">
        <v>1.21</v>
      </c>
      <c r="BD422" s="18">
        <v>1.05</v>
      </c>
      <c r="BE422" s="18">
        <v>1.1100000000000001</v>
      </c>
      <c r="BF422" s="18">
        <v>1.1299999999999999</v>
      </c>
      <c r="BG422" s="18">
        <v>1.1299999999999999</v>
      </c>
      <c r="BH422" s="18">
        <v>1.0900000000000001</v>
      </c>
      <c r="BI422" s="18">
        <v>1.01</v>
      </c>
      <c r="BJ422" s="19"/>
      <c r="BK422" s="18">
        <v>33.6</v>
      </c>
      <c r="BL422" s="18">
        <v>5.2</v>
      </c>
      <c r="BM422" s="18">
        <v>7.8999999999999995</v>
      </c>
      <c r="BN422" s="18" t="s">
        <v>217</v>
      </c>
      <c r="BO422" s="18"/>
      <c r="BP422" s="18">
        <v>116</v>
      </c>
      <c r="BQ422" s="18">
        <v>60.320000000000007</v>
      </c>
      <c r="BR422" s="18">
        <v>0.92459215068476563</v>
      </c>
      <c r="BS422" s="18">
        <v>0.97558050296614041</v>
      </c>
      <c r="BT422" s="19"/>
      <c r="BU422" s="18">
        <v>921.00000000000011</v>
      </c>
      <c r="BV422" s="18">
        <v>183.63720960714272</v>
      </c>
      <c r="BW422" s="18">
        <v>186.8317903928573</v>
      </c>
      <c r="BX422" s="18" t="s">
        <v>217</v>
      </c>
      <c r="BY422" s="18" t="s">
        <v>217</v>
      </c>
      <c r="BZ422" s="18">
        <v>49.884418558928537</v>
      </c>
      <c r="CA422" s="18">
        <v>282.67837183392754</v>
      </c>
      <c r="CB422" s="19"/>
      <c r="CC422" s="19">
        <v>6.1810000000000009</v>
      </c>
      <c r="CD422" s="19">
        <v>9.1832000000000011</v>
      </c>
      <c r="CE422" s="19">
        <v>0.97130000000000005</v>
      </c>
      <c r="CF422" s="19" t="s">
        <v>217</v>
      </c>
      <c r="CG422" s="19">
        <v>13.9514</v>
      </c>
      <c r="CH422" s="19">
        <v>4.6799000000000008</v>
      </c>
      <c r="CI422" s="19">
        <v>5.4746000000000006</v>
      </c>
      <c r="CJ422" s="19"/>
      <c r="CK422" s="19">
        <v>424.72300000000007</v>
      </c>
      <c r="CL422" s="19">
        <v>11.478999999999999</v>
      </c>
      <c r="CM422" s="19">
        <v>60.927</v>
      </c>
      <c r="CN422" s="19">
        <v>69.757000000000019</v>
      </c>
      <c r="CO422" s="19">
        <v>0</v>
      </c>
      <c r="CP422" s="19">
        <v>7.0639999999999994E-2</v>
      </c>
      <c r="CQ422" s="19">
        <v>215.09880000000001</v>
      </c>
      <c r="CR422" s="19">
        <v>263.46751896994425</v>
      </c>
      <c r="HM422" s="620">
        <f t="shared" ref="HM422:HU422" si="222">HM52</f>
        <v>0</v>
      </c>
      <c r="HN422" s="620">
        <f t="shared" si="222"/>
        <v>0</v>
      </c>
      <c r="HO422" s="620">
        <f t="shared" si="222"/>
        <v>0</v>
      </c>
      <c r="HP422" s="620">
        <f t="shared" si="222"/>
        <v>0</v>
      </c>
      <c r="HQ422" s="620">
        <f t="shared" si="222"/>
        <v>0</v>
      </c>
      <c r="HR422" s="620">
        <f t="shared" si="222"/>
        <v>0</v>
      </c>
      <c r="HS422" s="620">
        <f t="shared" si="222"/>
        <v>0</v>
      </c>
      <c r="HT422" s="620">
        <f t="shared" si="222"/>
        <v>0</v>
      </c>
      <c r="HU422" s="620" t="str">
        <f t="shared" si="222"/>
        <v>offfarm</v>
      </c>
      <c r="HV422" s="22" t="s">
        <v>2013</v>
      </c>
      <c r="IB422" s="11">
        <f t="shared" ref="IB422:II422" si="223">IB52</f>
        <v>0.47300000000000003</v>
      </c>
      <c r="IC422" s="11">
        <f t="shared" si="223"/>
        <v>0.13</v>
      </c>
      <c r="ID422" s="11">
        <f t="shared" si="223"/>
        <v>0.39100000000000001</v>
      </c>
      <c r="IE422" s="11">
        <f t="shared" si="223"/>
        <v>5.5E-2</v>
      </c>
      <c r="IF422" s="11">
        <f t="shared" si="223"/>
        <v>3.97</v>
      </c>
      <c r="IG422" s="11">
        <f t="shared" si="223"/>
        <v>4.5999999999999999E-3</v>
      </c>
      <c r="IH422" s="11">
        <f t="shared" si="223"/>
        <v>2.73</v>
      </c>
      <c r="II422" s="11">
        <f t="shared" si="223"/>
        <v>0</v>
      </c>
    </row>
    <row r="423" spans="4:243" x14ac:dyDescent="0.25">
      <c r="D423" s="20" t="s">
        <v>1299</v>
      </c>
      <c r="E423" s="14">
        <v>40310</v>
      </c>
      <c r="F423" s="18">
        <v>1.1974318292682899</v>
      </c>
      <c r="G423" s="18">
        <v>1.14766842857143</v>
      </c>
      <c r="H423" s="21">
        <v>100</v>
      </c>
      <c r="I423" s="21">
        <v>100</v>
      </c>
      <c r="J423" s="21">
        <v>100</v>
      </c>
      <c r="K423" s="18">
        <v>1</v>
      </c>
      <c r="L423" s="18">
        <v>99</v>
      </c>
      <c r="M423" s="18">
        <v>52.47</v>
      </c>
      <c r="N423" s="18">
        <v>0</v>
      </c>
      <c r="O423" s="18">
        <v>15.048</v>
      </c>
      <c r="P423" s="18">
        <v>0</v>
      </c>
      <c r="Q423" s="19"/>
      <c r="R423" s="18">
        <v>100</v>
      </c>
      <c r="S423" s="18">
        <v>0</v>
      </c>
      <c r="T423" s="18">
        <v>0</v>
      </c>
      <c r="U423" s="18">
        <v>0</v>
      </c>
      <c r="V423" s="18">
        <v>0</v>
      </c>
      <c r="W423" s="18">
        <v>0</v>
      </c>
      <c r="X423" s="18"/>
      <c r="Y423" s="18">
        <v>0</v>
      </c>
      <c r="Z423" s="18">
        <v>0</v>
      </c>
      <c r="AA423" s="18">
        <v>0</v>
      </c>
      <c r="AB423" s="18">
        <v>0</v>
      </c>
      <c r="AC423" s="18">
        <v>0</v>
      </c>
      <c r="AD423" s="18">
        <v>0</v>
      </c>
      <c r="AE423" s="18">
        <v>0</v>
      </c>
      <c r="AF423" s="18">
        <v>0</v>
      </c>
      <c r="AG423" s="18">
        <v>0</v>
      </c>
      <c r="AH423" s="18">
        <v>0</v>
      </c>
      <c r="AI423" s="18">
        <v>0</v>
      </c>
      <c r="AJ423" s="18">
        <v>0</v>
      </c>
      <c r="AK423" s="18">
        <v>0</v>
      </c>
      <c r="AL423" s="18"/>
      <c r="AM423" s="18">
        <v>0</v>
      </c>
      <c r="AN423" s="18">
        <v>0</v>
      </c>
      <c r="AO423" s="18">
        <v>0</v>
      </c>
      <c r="AP423" s="18">
        <v>0</v>
      </c>
      <c r="AQ423" s="18">
        <v>0</v>
      </c>
      <c r="AR423" s="18">
        <v>0</v>
      </c>
      <c r="AS423" s="18">
        <v>0</v>
      </c>
      <c r="AT423" s="18">
        <v>0</v>
      </c>
      <c r="AU423" s="18">
        <v>188.67924500000001</v>
      </c>
      <c r="AV423" s="18">
        <v>0</v>
      </c>
      <c r="AW423" s="18">
        <v>0</v>
      </c>
      <c r="AX423" s="18"/>
      <c r="AY423" s="18">
        <v>1</v>
      </c>
      <c r="AZ423" s="18">
        <v>1</v>
      </c>
      <c r="BA423" s="18">
        <v>1</v>
      </c>
      <c r="BB423" s="18">
        <v>1</v>
      </c>
      <c r="BC423" s="18">
        <v>1</v>
      </c>
      <c r="BD423" s="18">
        <v>1</v>
      </c>
      <c r="BE423" s="18">
        <v>1</v>
      </c>
      <c r="BF423" s="18">
        <v>1</v>
      </c>
      <c r="BG423" s="18">
        <v>1</v>
      </c>
      <c r="BH423" s="18">
        <v>1</v>
      </c>
      <c r="BI423" s="18">
        <v>1</v>
      </c>
      <c r="BJ423" s="19"/>
      <c r="BK423" s="18">
        <v>53</v>
      </c>
      <c r="BL423" s="18">
        <v>0</v>
      </c>
      <c r="BM423" s="18">
        <v>15.2</v>
      </c>
      <c r="BN423" s="18">
        <v>0</v>
      </c>
      <c r="BO423" s="18"/>
      <c r="BP423" s="18">
        <v>0</v>
      </c>
      <c r="BQ423" s="18">
        <v>0</v>
      </c>
      <c r="BR423" s="18">
        <v>1.209527100271</v>
      </c>
      <c r="BS423" s="18">
        <v>1.1592610389610405</v>
      </c>
      <c r="BT423" s="19"/>
      <c r="BU423" s="18">
        <v>848</v>
      </c>
      <c r="BV423" s="18">
        <v>365.7</v>
      </c>
      <c r="BW423" s="18">
        <v>0</v>
      </c>
      <c r="BX423" s="18">
        <v>0</v>
      </c>
      <c r="BY423" s="18">
        <v>0</v>
      </c>
      <c r="BZ423" s="18" t="s">
        <v>217</v>
      </c>
      <c r="CA423" s="18" t="s">
        <v>217</v>
      </c>
      <c r="CB423" s="19"/>
      <c r="CC423" s="19">
        <v>0</v>
      </c>
      <c r="CD423" s="19">
        <v>0</v>
      </c>
      <c r="CE423" s="19">
        <v>0</v>
      </c>
      <c r="CF423" s="19">
        <v>0</v>
      </c>
      <c r="CG423" s="19">
        <v>0</v>
      </c>
      <c r="CH423" s="19">
        <v>0</v>
      </c>
      <c r="CI423" s="19">
        <v>0</v>
      </c>
      <c r="CJ423" s="19"/>
      <c r="CK423" s="19">
        <v>0</v>
      </c>
      <c r="CL423" s="19">
        <v>0</v>
      </c>
      <c r="CM423" s="19">
        <v>0</v>
      </c>
      <c r="CN423" s="19">
        <v>0</v>
      </c>
      <c r="CO423" s="19">
        <v>0</v>
      </c>
      <c r="CP423" s="19">
        <v>0</v>
      </c>
      <c r="CQ423" s="19">
        <v>524.70000000000005</v>
      </c>
      <c r="CR423" s="19">
        <v>438.18778420198373</v>
      </c>
      <c r="HM423" s="620">
        <f t="shared" ref="HM423:HU423" si="224">HM53</f>
        <v>0</v>
      </c>
      <c r="HN423" s="620">
        <f t="shared" si="224"/>
        <v>0</v>
      </c>
      <c r="HO423" s="620">
        <f t="shared" si="224"/>
        <v>0</v>
      </c>
      <c r="HP423" s="620">
        <f t="shared" si="224"/>
        <v>0</v>
      </c>
      <c r="HQ423" s="620">
        <f t="shared" si="224"/>
        <v>0</v>
      </c>
      <c r="HR423" s="620">
        <f t="shared" si="224"/>
        <v>0</v>
      </c>
      <c r="HS423" s="620">
        <f t="shared" si="224"/>
        <v>0</v>
      </c>
      <c r="HT423" s="620">
        <f t="shared" si="224"/>
        <v>0</v>
      </c>
      <c r="HU423" s="620" t="str">
        <f t="shared" si="224"/>
        <v>offfarm</v>
      </c>
      <c r="HV423" s="22" t="s">
        <v>2013</v>
      </c>
      <c r="IB423" s="11">
        <f t="shared" ref="IB423:II423" si="225">IB53</f>
        <v>0.47300000000000003</v>
      </c>
      <c r="IC423" s="11">
        <f t="shared" si="225"/>
        <v>0.13</v>
      </c>
      <c r="ID423" s="11">
        <f t="shared" si="225"/>
        <v>0.39100000000000001</v>
      </c>
      <c r="IE423" s="11">
        <f t="shared" si="225"/>
        <v>5.5E-2</v>
      </c>
      <c r="IF423" s="11">
        <f t="shared" si="225"/>
        <v>3.97</v>
      </c>
      <c r="IG423" s="11">
        <f t="shared" si="225"/>
        <v>4.5999999999999999E-3</v>
      </c>
      <c r="IH423" s="11">
        <f t="shared" si="225"/>
        <v>2.73</v>
      </c>
      <c r="II423" s="11">
        <f t="shared" si="225"/>
        <v>0</v>
      </c>
    </row>
    <row r="424" spans="4:243" x14ac:dyDescent="0.25">
      <c r="D424" s="20" t="s">
        <v>1059</v>
      </c>
      <c r="E424" s="14">
        <v>42695</v>
      </c>
      <c r="F424" s="18">
        <v>1.14322762119628</v>
      </c>
      <c r="G424" s="18">
        <v>1.10549164563043</v>
      </c>
      <c r="H424" s="21">
        <v>94.1</v>
      </c>
      <c r="I424" s="21">
        <v>93.999971700000003</v>
      </c>
      <c r="J424" s="21">
        <v>95</v>
      </c>
      <c r="K424" s="18">
        <v>1</v>
      </c>
      <c r="L424" s="18">
        <v>91.9</v>
      </c>
      <c r="M424" s="18">
        <v>69.476399999999998</v>
      </c>
      <c r="N424" s="18">
        <v>8.3628999999999998</v>
      </c>
      <c r="O424" s="18">
        <v>15.4392</v>
      </c>
      <c r="P424" s="18">
        <v>0</v>
      </c>
      <c r="Q424" s="19"/>
      <c r="R424" s="18">
        <v>91.1</v>
      </c>
      <c r="S424" s="18">
        <v>70</v>
      </c>
      <c r="T424" s="18">
        <v>70</v>
      </c>
      <c r="U424" s="18">
        <v>70</v>
      </c>
      <c r="V424" s="18">
        <v>70</v>
      </c>
      <c r="W424" s="18">
        <v>70</v>
      </c>
      <c r="X424" s="18"/>
      <c r="Y424" s="18">
        <v>31.447225244831337</v>
      </c>
      <c r="Z424" s="18">
        <v>23.068552774755169</v>
      </c>
      <c r="AA424" s="18">
        <v>10</v>
      </c>
      <c r="AB424" s="18">
        <v>11.999999999999998</v>
      </c>
      <c r="AC424" s="18">
        <v>11.999999999999998</v>
      </c>
      <c r="AD424" s="18">
        <v>2.2999999999999998</v>
      </c>
      <c r="AE424" s="18">
        <v>9.3000000000000007</v>
      </c>
      <c r="AF424" s="18">
        <v>140</v>
      </c>
      <c r="AG424" s="18">
        <v>4.5999999999999996</v>
      </c>
      <c r="AH424" s="18">
        <v>5.9</v>
      </c>
      <c r="AI424" s="18">
        <v>83.999999999999986</v>
      </c>
      <c r="AJ424" s="18">
        <v>0</v>
      </c>
      <c r="AK424" s="18">
        <v>2.3799999999999994</v>
      </c>
      <c r="AL424" s="18"/>
      <c r="AM424" s="18">
        <v>7.52</v>
      </c>
      <c r="AN424" s="18">
        <v>2.79</v>
      </c>
      <c r="AO424" s="18">
        <v>0.94</v>
      </c>
      <c r="AP424" s="18">
        <v>4.1900000000000004</v>
      </c>
      <c r="AQ424" s="18">
        <v>0.97</v>
      </c>
      <c r="AR424" s="18">
        <v>4.07</v>
      </c>
      <c r="AS424" s="18">
        <v>7.32</v>
      </c>
      <c r="AT424" s="18">
        <v>2.54</v>
      </c>
      <c r="AU424" s="18">
        <v>3.82</v>
      </c>
      <c r="AV424" s="18">
        <v>3.11</v>
      </c>
      <c r="AW424" s="18">
        <v>4.93</v>
      </c>
      <c r="AX424" s="18"/>
      <c r="AY424" s="18">
        <v>1.02</v>
      </c>
      <c r="AZ424" s="18">
        <v>1.05</v>
      </c>
      <c r="BA424" s="18">
        <v>0.98</v>
      </c>
      <c r="BB424" s="18">
        <v>1.03</v>
      </c>
      <c r="BC424" s="18">
        <v>1</v>
      </c>
      <c r="BD424" s="18">
        <v>1.02</v>
      </c>
      <c r="BE424" s="18">
        <v>1.03</v>
      </c>
      <c r="BF424" s="18">
        <v>1</v>
      </c>
      <c r="BG424" s="18">
        <v>1.02</v>
      </c>
      <c r="BH424" s="18">
        <v>0.95</v>
      </c>
      <c r="BI424" s="18">
        <v>1.02</v>
      </c>
      <c r="BJ424" s="19"/>
      <c r="BK424" s="18">
        <v>75.599999999999994</v>
      </c>
      <c r="BL424" s="18">
        <v>9.1</v>
      </c>
      <c r="BM424" s="18">
        <v>16.8</v>
      </c>
      <c r="BN424" s="18">
        <v>0</v>
      </c>
      <c r="BO424" s="18"/>
      <c r="BP424" s="18">
        <v>159</v>
      </c>
      <c r="BQ424" s="18">
        <v>144.69</v>
      </c>
      <c r="BR424" s="18">
        <v>1.2439908826945374</v>
      </c>
      <c r="BS424" s="18">
        <v>1.2029288853432318</v>
      </c>
      <c r="BT424" s="19"/>
      <c r="BU424" s="18">
        <v>831.99999999999977</v>
      </c>
      <c r="BV424" s="18">
        <v>5.4934285714286615</v>
      </c>
      <c r="BW424" s="18">
        <v>1.1889077942857778</v>
      </c>
      <c r="BX424" s="18">
        <v>0</v>
      </c>
      <c r="BY424" s="18">
        <v>0</v>
      </c>
      <c r="BZ424" s="18">
        <v>0</v>
      </c>
      <c r="CA424" s="18">
        <v>0</v>
      </c>
      <c r="CB424" s="19"/>
      <c r="CC424" s="19">
        <v>28.9</v>
      </c>
      <c r="CD424" s="19">
        <v>21.200000000000003</v>
      </c>
      <c r="CE424" s="19">
        <v>9.1900000000000013</v>
      </c>
      <c r="CF424" s="19">
        <v>11.027999999999999</v>
      </c>
      <c r="CG424" s="19">
        <v>11.027999999999999</v>
      </c>
      <c r="CH424" s="19">
        <v>2.1137000000000001</v>
      </c>
      <c r="CI424" s="19">
        <v>8.5467000000000013</v>
      </c>
      <c r="CJ424" s="19"/>
      <c r="CK424" s="19">
        <v>128.66</v>
      </c>
      <c r="CL424" s="19">
        <v>4.2274000000000003</v>
      </c>
      <c r="CM424" s="19">
        <v>5.4221000000000004</v>
      </c>
      <c r="CN424" s="19">
        <v>77.195999999999984</v>
      </c>
      <c r="CO424" s="19">
        <v>0</v>
      </c>
      <c r="CP424" s="19">
        <v>2.1872199999999995</v>
      </c>
      <c r="CQ424" s="19">
        <v>632.93000400000005</v>
      </c>
      <c r="CR424" s="19">
        <v>553.63428267915572</v>
      </c>
      <c r="HM424" s="620">
        <f t="shared" ref="HM424:HU424" si="226">HM54</f>
        <v>0.54099999999999993</v>
      </c>
      <c r="HN424" s="620">
        <f t="shared" si="226"/>
        <v>0.11600000000000001</v>
      </c>
      <c r="HO424" s="620">
        <f t="shared" si="226"/>
        <v>0.25</v>
      </c>
      <c r="HP424" s="620">
        <f t="shared" si="226"/>
        <v>1.2999999999999999E-2</v>
      </c>
      <c r="HQ424" s="620">
        <f t="shared" si="226"/>
        <v>8.86</v>
      </c>
      <c r="HR424" s="620">
        <f t="shared" si="226"/>
        <v>6.9299999999999995E-3</v>
      </c>
      <c r="HS424" s="620">
        <f t="shared" si="226"/>
        <v>1.75</v>
      </c>
      <c r="HT424" s="620" t="str">
        <f t="shared" si="226"/>
        <v>as soybean cake</v>
      </c>
      <c r="HU424" s="620" t="str">
        <f t="shared" si="226"/>
        <v>offfarm</v>
      </c>
      <c r="HV424" s="22" t="s">
        <v>2018</v>
      </c>
      <c r="IB424" s="11">
        <f t="shared" ref="IB424:II424" si="227">IB54</f>
        <v>0.54099999999999993</v>
      </c>
      <c r="IC424" s="11">
        <f t="shared" si="227"/>
        <v>0.11600000000000001</v>
      </c>
      <c r="ID424" s="11">
        <f t="shared" si="227"/>
        <v>0.25</v>
      </c>
      <c r="IE424" s="11">
        <f t="shared" si="227"/>
        <v>1.2999999999999999E-2</v>
      </c>
      <c r="IF424" s="11">
        <f t="shared" si="227"/>
        <v>8.86</v>
      </c>
      <c r="IG424" s="11">
        <f t="shared" si="227"/>
        <v>6.9299999999999995E-3</v>
      </c>
      <c r="IH424" s="11">
        <f t="shared" si="227"/>
        <v>1.75</v>
      </c>
      <c r="II424" s="11" t="str">
        <f t="shared" si="227"/>
        <v>as soybean cake</v>
      </c>
    </row>
    <row r="425" spans="4:243" x14ac:dyDescent="0.25">
      <c r="D425" s="20" t="s">
        <v>1060</v>
      </c>
      <c r="E425" s="14">
        <v>41498</v>
      </c>
      <c r="F425" s="18">
        <v>1.17361420162601</v>
      </c>
      <c r="G425" s="18">
        <v>1.13877048623377</v>
      </c>
      <c r="H425" s="21">
        <v>95.2</v>
      </c>
      <c r="I425" s="21">
        <v>93.1</v>
      </c>
      <c r="J425" s="21">
        <v>96</v>
      </c>
      <c r="K425" s="18">
        <v>1</v>
      </c>
      <c r="L425" s="18">
        <v>91.6</v>
      </c>
      <c r="M425" s="18">
        <v>70.623599999999996</v>
      </c>
      <c r="N425" s="18">
        <v>9.0684000000000005</v>
      </c>
      <c r="O425" s="18">
        <v>13.74</v>
      </c>
      <c r="P425" s="18">
        <v>0</v>
      </c>
      <c r="Q425" s="19"/>
      <c r="R425" s="18">
        <v>92</v>
      </c>
      <c r="S425" s="18">
        <v>70</v>
      </c>
      <c r="T425" s="18">
        <v>70</v>
      </c>
      <c r="U425" s="18">
        <v>70</v>
      </c>
      <c r="V425" s="18">
        <v>70</v>
      </c>
      <c r="W425" s="18">
        <v>70</v>
      </c>
      <c r="X425" s="18"/>
      <c r="Y425" s="18">
        <v>35.200000000000003</v>
      </c>
      <c r="Z425" s="18">
        <v>23.9</v>
      </c>
      <c r="AA425" s="18">
        <v>7.2999828331707102</v>
      </c>
      <c r="AB425" s="18">
        <v>18</v>
      </c>
      <c r="AC425" s="18">
        <v>13</v>
      </c>
      <c r="AD425" s="18">
        <v>2.2000000000000002</v>
      </c>
      <c r="AE425" s="18">
        <v>10</v>
      </c>
      <c r="AF425" s="18">
        <v>332.00000000000006</v>
      </c>
      <c r="AG425" s="18">
        <v>5</v>
      </c>
      <c r="AH425" s="18">
        <v>15.000000000000002</v>
      </c>
      <c r="AI425" s="18">
        <v>106.00000000000001</v>
      </c>
      <c r="AJ425" s="18">
        <v>0</v>
      </c>
      <c r="AK425" s="18">
        <v>2.38</v>
      </c>
      <c r="AL425" s="18"/>
      <c r="AM425" s="18">
        <v>8.5706874189364495</v>
      </c>
      <c r="AN425" s="18">
        <v>3.38132295719844</v>
      </c>
      <c r="AO425" s="18">
        <v>1.06874189364462</v>
      </c>
      <c r="AP425" s="18">
        <v>4.6549935149156898</v>
      </c>
      <c r="AQ425" s="18">
        <v>1.2075226977950699</v>
      </c>
      <c r="AR425" s="18">
        <v>5.0259403372243803</v>
      </c>
      <c r="AS425" s="18">
        <v>8.1024643320363197</v>
      </c>
      <c r="AT425" s="18">
        <v>2.6796368352788602</v>
      </c>
      <c r="AU425" s="18">
        <v>4.4643320363164696</v>
      </c>
      <c r="AV425" s="18">
        <v>3.7626459143968898</v>
      </c>
      <c r="AW425" s="18">
        <v>6.0648508430609596</v>
      </c>
      <c r="AX425" s="18"/>
      <c r="AY425" s="18">
        <v>1.02</v>
      </c>
      <c r="AZ425" s="18">
        <v>1.05</v>
      </c>
      <c r="BA425" s="18">
        <v>0.98</v>
      </c>
      <c r="BB425" s="18">
        <v>1.03</v>
      </c>
      <c r="BC425" s="18">
        <v>1</v>
      </c>
      <c r="BD425" s="18">
        <v>1.02</v>
      </c>
      <c r="BE425" s="18">
        <v>1.03</v>
      </c>
      <c r="BF425" s="18">
        <v>1</v>
      </c>
      <c r="BG425" s="18">
        <v>1.02</v>
      </c>
      <c r="BH425" s="18">
        <v>0.95</v>
      </c>
      <c r="BI425" s="18">
        <v>1.02</v>
      </c>
      <c r="BJ425" s="19"/>
      <c r="BK425" s="18">
        <v>77.099999999999994</v>
      </c>
      <c r="BL425" s="18">
        <v>9.9</v>
      </c>
      <c r="BM425" s="18">
        <v>15.000000000000002</v>
      </c>
      <c r="BN425" s="18">
        <v>0</v>
      </c>
      <c r="BO425" s="18"/>
      <c r="BP425" s="18">
        <v>159</v>
      </c>
      <c r="BQ425" s="18">
        <v>157.41</v>
      </c>
      <c r="BR425" s="18">
        <v>1.281238211382107</v>
      </c>
      <c r="BS425" s="18">
        <v>1.2431992207792248</v>
      </c>
      <c r="BT425" s="19"/>
      <c r="BU425" s="18">
        <v>850.00000000000011</v>
      </c>
      <c r="BV425" s="18">
        <v>-13.939999999999891</v>
      </c>
      <c r="BW425" s="18">
        <v>25.50000000000011</v>
      </c>
      <c r="BX425" s="18">
        <v>0</v>
      </c>
      <c r="BY425" s="18">
        <v>0</v>
      </c>
      <c r="BZ425" s="18">
        <v>0</v>
      </c>
      <c r="CA425" s="18">
        <v>0</v>
      </c>
      <c r="CB425" s="19"/>
      <c r="CC425" s="19">
        <v>32.243200000000002</v>
      </c>
      <c r="CD425" s="19">
        <v>21.892399999999999</v>
      </c>
      <c r="CE425" s="19">
        <v>6.6867842751843698</v>
      </c>
      <c r="CF425" s="19">
        <v>16.488</v>
      </c>
      <c r="CG425" s="19">
        <v>11.907999999999999</v>
      </c>
      <c r="CH425" s="19">
        <v>2.0152000000000001</v>
      </c>
      <c r="CI425" s="19">
        <v>9.16</v>
      </c>
      <c r="CJ425" s="19"/>
      <c r="CK425" s="19">
        <v>304.11200000000002</v>
      </c>
      <c r="CL425" s="19">
        <v>4.58</v>
      </c>
      <c r="CM425" s="19">
        <v>13.74</v>
      </c>
      <c r="CN425" s="19">
        <v>97.096000000000004</v>
      </c>
      <c r="CO425" s="19">
        <v>0</v>
      </c>
      <c r="CP425" s="19">
        <v>2.1800799999999998</v>
      </c>
      <c r="CQ425" s="19">
        <v>649.73712</v>
      </c>
      <c r="CR425" s="19">
        <v>553.62070354960531</v>
      </c>
      <c r="HM425" s="620">
        <f t="shared" ref="HM425:HU425" si="228">HM55</f>
        <v>0.54099999999999993</v>
      </c>
      <c r="HN425" s="620">
        <f t="shared" si="228"/>
        <v>0.11600000000000001</v>
      </c>
      <c r="HO425" s="620">
        <f t="shared" si="228"/>
        <v>0.25</v>
      </c>
      <c r="HP425" s="620">
        <f t="shared" si="228"/>
        <v>1.2999999999999999E-2</v>
      </c>
      <c r="HQ425" s="620">
        <f t="shared" si="228"/>
        <v>8.86</v>
      </c>
      <c r="HR425" s="620">
        <f t="shared" si="228"/>
        <v>6.9299999999999995E-3</v>
      </c>
      <c r="HS425" s="620">
        <f t="shared" si="228"/>
        <v>1.75</v>
      </c>
      <c r="HT425" s="620">
        <f t="shared" si="228"/>
        <v>0</v>
      </c>
      <c r="HU425" s="620" t="str">
        <f t="shared" si="228"/>
        <v>offfarm</v>
      </c>
      <c r="HV425" s="22" t="s">
        <v>2018</v>
      </c>
      <c r="IB425" s="11">
        <f t="shared" ref="IB425:II425" si="229">IB55</f>
        <v>0.54099999999999993</v>
      </c>
      <c r="IC425" s="11">
        <f t="shared" si="229"/>
        <v>0.11600000000000001</v>
      </c>
      <c r="ID425" s="11">
        <f t="shared" si="229"/>
        <v>0.25</v>
      </c>
      <c r="IE425" s="11">
        <f t="shared" si="229"/>
        <v>1.2999999999999999E-2</v>
      </c>
      <c r="IF425" s="11">
        <f t="shared" si="229"/>
        <v>8.86</v>
      </c>
      <c r="IG425" s="11">
        <f t="shared" si="229"/>
        <v>6.9299999999999995E-3</v>
      </c>
      <c r="IH425" s="11">
        <f t="shared" si="229"/>
        <v>1.75</v>
      </c>
      <c r="II425" s="11">
        <f t="shared" si="229"/>
        <v>0</v>
      </c>
    </row>
    <row r="426" spans="4:243" x14ac:dyDescent="0.25">
      <c r="D426" s="20" t="s">
        <v>1061</v>
      </c>
      <c r="E426" s="14">
        <v>40310</v>
      </c>
      <c r="F426" s="18">
        <v>1.3382661088207599</v>
      </c>
      <c r="G426" s="18">
        <v>1.2933860367168299</v>
      </c>
      <c r="H426" s="21">
        <v>93.7</v>
      </c>
      <c r="I426" s="21">
        <v>93.7</v>
      </c>
      <c r="J426" s="21">
        <v>93.7</v>
      </c>
      <c r="K426" s="18">
        <v>1</v>
      </c>
      <c r="L426" s="18">
        <v>91.3</v>
      </c>
      <c r="M426" s="18">
        <v>68.3</v>
      </c>
      <c r="N426" s="18">
        <v>13.799999565</v>
      </c>
      <c r="O426" s="18">
        <v>10.300000369999999</v>
      </c>
      <c r="P426" s="18">
        <v>0</v>
      </c>
      <c r="Q426" s="19"/>
      <c r="R426" s="18">
        <v>91</v>
      </c>
      <c r="S426" s="18">
        <v>70</v>
      </c>
      <c r="T426" s="18">
        <v>70</v>
      </c>
      <c r="U426" s="18">
        <v>70</v>
      </c>
      <c r="V426" s="18">
        <v>70</v>
      </c>
      <c r="W426" s="18">
        <v>70</v>
      </c>
      <c r="X426" s="18"/>
      <c r="Y426" s="18">
        <v>16.648410000000002</v>
      </c>
      <c r="Z426" s="18">
        <v>18.181820000000002</v>
      </c>
      <c r="AA426" s="18">
        <v>8.3423600000000011</v>
      </c>
      <c r="AB426" s="18">
        <v>0</v>
      </c>
      <c r="AC426" s="18">
        <v>15.92633</v>
      </c>
      <c r="AD426" s="18">
        <v>2.2000000000000002</v>
      </c>
      <c r="AE426" s="18">
        <v>0</v>
      </c>
      <c r="AF426" s="18">
        <v>332</v>
      </c>
      <c r="AG426" s="18">
        <v>5.0000000000000009</v>
      </c>
      <c r="AH426" s="18">
        <v>15</v>
      </c>
      <c r="AI426" s="18">
        <v>106.00000000000001</v>
      </c>
      <c r="AJ426" s="18">
        <v>0</v>
      </c>
      <c r="AK426" s="18">
        <v>2.3800000000000003</v>
      </c>
      <c r="AL426" s="18"/>
      <c r="AM426" s="18">
        <v>7.22</v>
      </c>
      <c r="AN426" s="18">
        <v>2.79</v>
      </c>
      <c r="AO426" s="18">
        <v>0.91</v>
      </c>
      <c r="AP426" s="18">
        <v>4.09</v>
      </c>
      <c r="AQ426" s="18">
        <v>1.1599999999999999</v>
      </c>
      <c r="AR426" s="18">
        <v>4.51</v>
      </c>
      <c r="AS426" s="18">
        <v>7.59</v>
      </c>
      <c r="AT426" s="18">
        <v>2.0499999999999998</v>
      </c>
      <c r="AU426" s="18">
        <v>3.77</v>
      </c>
      <c r="AV426" s="18">
        <v>3.3</v>
      </c>
      <c r="AW426" s="18">
        <v>5.46</v>
      </c>
      <c r="AX426" s="18"/>
      <c r="AY426" s="18">
        <v>1.02</v>
      </c>
      <c r="AZ426" s="18">
        <v>1.05</v>
      </c>
      <c r="BA426" s="18">
        <v>0.98</v>
      </c>
      <c r="BB426" s="18">
        <v>1.03</v>
      </c>
      <c r="BC426" s="18">
        <v>1</v>
      </c>
      <c r="BD426" s="18">
        <v>1.02</v>
      </c>
      <c r="BE426" s="18">
        <v>1.03</v>
      </c>
      <c r="BF426" s="18">
        <v>1</v>
      </c>
      <c r="BG426" s="18">
        <v>1.02</v>
      </c>
      <c r="BH426" s="18">
        <v>0.95</v>
      </c>
      <c r="BI426" s="18">
        <v>1.02</v>
      </c>
      <c r="BJ426" s="19"/>
      <c r="BK426" s="18">
        <v>74.808324205914573</v>
      </c>
      <c r="BL426" s="18">
        <v>15.115005</v>
      </c>
      <c r="BM426" s="18">
        <v>11.28149</v>
      </c>
      <c r="BN426" s="18">
        <v>0</v>
      </c>
      <c r="BO426" s="18"/>
      <c r="BP426" s="18">
        <v>159</v>
      </c>
      <c r="BQ426" s="18">
        <v>240.32857950000002</v>
      </c>
      <c r="BR426" s="18">
        <v>1.4657898234619495</v>
      </c>
      <c r="BS426" s="18">
        <v>1.416633117981194</v>
      </c>
      <c r="BT426" s="19"/>
      <c r="BU426" s="18">
        <v>887.18510000000003</v>
      </c>
      <c r="BV426" s="18">
        <v>3.9211399261770317</v>
      </c>
      <c r="BW426" s="18">
        <v>0</v>
      </c>
      <c r="BX426" s="18">
        <v>0</v>
      </c>
      <c r="BY426" s="18">
        <v>0</v>
      </c>
      <c r="BZ426" s="18">
        <v>0</v>
      </c>
      <c r="CA426" s="18" t="s">
        <v>217</v>
      </c>
      <c r="CB426" s="19"/>
      <c r="CC426" s="19">
        <v>15.19999833</v>
      </c>
      <c r="CD426" s="19">
        <v>16.60000166</v>
      </c>
      <c r="CE426" s="19">
        <v>7.6165746800000003</v>
      </c>
      <c r="CF426" s="19">
        <v>0</v>
      </c>
      <c r="CG426" s="19">
        <v>14.540739289999999</v>
      </c>
      <c r="CH426" s="19">
        <v>2.0085999999999999</v>
      </c>
      <c r="CI426" s="19">
        <v>0</v>
      </c>
      <c r="CJ426" s="19"/>
      <c r="CK426" s="19">
        <v>303.11599999999999</v>
      </c>
      <c r="CL426" s="19">
        <v>4.5650000000000004</v>
      </c>
      <c r="CM426" s="19">
        <v>13.694999999999999</v>
      </c>
      <c r="CN426" s="19">
        <v>96.778000000000006</v>
      </c>
      <c r="CO426" s="19">
        <v>0</v>
      </c>
      <c r="CP426" s="19">
        <v>2.1729400000000001</v>
      </c>
      <c r="CQ426" s="19">
        <v>621.53</v>
      </c>
      <c r="CR426" s="19">
        <v>464.42930587824094</v>
      </c>
      <c r="HM426" s="620">
        <f t="shared" ref="HM426:HU426" si="230">HM56</f>
        <v>0.54099999999999993</v>
      </c>
      <c r="HN426" s="620">
        <f t="shared" si="230"/>
        <v>0.11600000000000001</v>
      </c>
      <c r="HO426" s="620">
        <f t="shared" si="230"/>
        <v>0.25</v>
      </c>
      <c r="HP426" s="620">
        <f t="shared" si="230"/>
        <v>1.2999999999999999E-2</v>
      </c>
      <c r="HQ426" s="620">
        <f t="shared" si="230"/>
        <v>8.86</v>
      </c>
      <c r="HR426" s="620">
        <f t="shared" si="230"/>
        <v>6.9299999999999995E-3</v>
      </c>
      <c r="HS426" s="620">
        <f t="shared" si="230"/>
        <v>1.75</v>
      </c>
      <c r="HT426" s="620">
        <f t="shared" si="230"/>
        <v>0</v>
      </c>
      <c r="HU426" s="620" t="str">
        <f t="shared" si="230"/>
        <v>offfarm</v>
      </c>
      <c r="HV426" s="22" t="s">
        <v>2018</v>
      </c>
      <c r="IB426" s="11">
        <f t="shared" ref="IB426:II426" si="231">IB56</f>
        <v>0.54099999999999993</v>
      </c>
      <c r="IC426" s="11">
        <f t="shared" si="231"/>
        <v>0.11600000000000001</v>
      </c>
      <c r="ID426" s="11">
        <f t="shared" si="231"/>
        <v>0.25</v>
      </c>
      <c r="IE426" s="11">
        <f t="shared" si="231"/>
        <v>1.2999999999999999E-2</v>
      </c>
      <c r="IF426" s="11">
        <f t="shared" si="231"/>
        <v>8.86</v>
      </c>
      <c r="IG426" s="11">
        <f t="shared" si="231"/>
        <v>6.9299999999999995E-3</v>
      </c>
      <c r="IH426" s="11">
        <f t="shared" si="231"/>
        <v>1.75</v>
      </c>
      <c r="II426" s="11">
        <f t="shared" si="231"/>
        <v>0</v>
      </c>
    </row>
    <row r="427" spans="4:243" x14ac:dyDescent="0.25">
      <c r="D427" s="185" t="s">
        <v>1062</v>
      </c>
      <c r="E427" s="14">
        <v>41505</v>
      </c>
      <c r="F427" s="18">
        <v>0.73852807039743495</v>
      </c>
      <c r="G427" s="18">
        <v>0.71244586487442496</v>
      </c>
      <c r="H427" s="21">
        <v>97.6</v>
      </c>
      <c r="I427" s="21">
        <v>96.2</v>
      </c>
      <c r="J427" s="21">
        <v>97.7</v>
      </c>
      <c r="K427" s="18">
        <v>1</v>
      </c>
      <c r="L427" s="18">
        <v>50</v>
      </c>
      <c r="M427" s="18">
        <v>35</v>
      </c>
      <c r="N427" s="18">
        <v>6.0311284046692499</v>
      </c>
      <c r="O427" s="18">
        <v>5</v>
      </c>
      <c r="P427" s="18">
        <v>0</v>
      </c>
      <c r="Q427" s="19"/>
      <c r="R427" s="18">
        <v>92</v>
      </c>
      <c r="S427" s="18">
        <v>70</v>
      </c>
      <c r="T427" s="18">
        <v>70</v>
      </c>
      <c r="U427" s="18">
        <v>70</v>
      </c>
      <c r="V427" s="18">
        <v>70</v>
      </c>
      <c r="W427" s="18">
        <v>70</v>
      </c>
      <c r="X427" s="18"/>
      <c r="Y427" s="18">
        <v>13.999981219296</v>
      </c>
      <c r="Z427" s="18">
        <v>15</v>
      </c>
      <c r="AA427" s="18">
        <v>10</v>
      </c>
      <c r="AB427" s="18">
        <v>13</v>
      </c>
      <c r="AC427" s="18">
        <v>10</v>
      </c>
      <c r="AD427" s="18">
        <v>2</v>
      </c>
      <c r="AE427" s="18">
        <v>0</v>
      </c>
      <c r="AF427" s="18">
        <v>700</v>
      </c>
      <c r="AG427" s="18">
        <v>100</v>
      </c>
      <c r="AH427" s="18">
        <v>9</v>
      </c>
      <c r="AI427" s="18">
        <v>1000</v>
      </c>
      <c r="AJ427" s="18">
        <v>0</v>
      </c>
      <c r="AK427" s="18">
        <v>2.38</v>
      </c>
      <c r="AL427" s="18"/>
      <c r="AM427" s="18">
        <v>6.4</v>
      </c>
      <c r="AN427" s="18">
        <v>2.5</v>
      </c>
      <c r="AO427" s="18">
        <v>0.8</v>
      </c>
      <c r="AP427" s="18">
        <v>3.8</v>
      </c>
      <c r="AQ427" s="18">
        <v>0.66</v>
      </c>
      <c r="AR427" s="18">
        <v>4.0999999999999996</v>
      </c>
      <c r="AS427" s="18">
        <v>6.5</v>
      </c>
      <c r="AT427" s="18">
        <v>2.2999999999999998</v>
      </c>
      <c r="AU427" s="18">
        <v>3.3</v>
      </c>
      <c r="AV427" s="18">
        <v>2.7</v>
      </c>
      <c r="AW427" s="18">
        <v>4.9000000000000004</v>
      </c>
      <c r="AX427" s="18"/>
      <c r="AY427" s="18">
        <v>1.02</v>
      </c>
      <c r="AZ427" s="18">
        <v>1.05</v>
      </c>
      <c r="BA427" s="18">
        <v>0.98</v>
      </c>
      <c r="BB427" s="18">
        <v>1.03</v>
      </c>
      <c r="BC427" s="18">
        <v>1</v>
      </c>
      <c r="BD427" s="18">
        <v>1.02</v>
      </c>
      <c r="BE427" s="18">
        <v>1.03</v>
      </c>
      <c r="BF427" s="18">
        <v>1</v>
      </c>
      <c r="BG427" s="18">
        <v>1.02</v>
      </c>
      <c r="BH427" s="18">
        <v>0.95</v>
      </c>
      <c r="BI427" s="18">
        <v>1.02</v>
      </c>
      <c r="BJ427" s="19"/>
      <c r="BK427" s="18">
        <v>70</v>
      </c>
      <c r="BL427" s="18">
        <v>12.0622568093385</v>
      </c>
      <c r="BM427" s="18">
        <v>10</v>
      </c>
      <c r="BN427" s="18">
        <v>0</v>
      </c>
      <c r="BO427" s="18"/>
      <c r="BP427" s="18">
        <v>159</v>
      </c>
      <c r="BQ427" s="18">
        <v>191.78988326848199</v>
      </c>
      <c r="BR427" s="18">
        <v>1.4770561407948699</v>
      </c>
      <c r="BS427" s="18">
        <v>1.4248917297488499</v>
      </c>
      <c r="BT427" s="19"/>
      <c r="BU427" s="18">
        <v>900</v>
      </c>
      <c r="BV427" s="18">
        <v>106.396108949417</v>
      </c>
      <c r="BW427" s="18">
        <v>17.999999999999901</v>
      </c>
      <c r="BX427" s="18">
        <v>0</v>
      </c>
      <c r="BY427" s="18">
        <v>0</v>
      </c>
      <c r="BZ427" s="18">
        <v>0</v>
      </c>
      <c r="CA427" s="18" t="s">
        <v>217</v>
      </c>
      <c r="CB427" s="19"/>
      <c r="CC427" s="19">
        <v>6.999990609648</v>
      </c>
      <c r="CD427" s="19">
        <v>7.5</v>
      </c>
      <c r="CE427" s="19">
        <v>5</v>
      </c>
      <c r="CF427" s="19">
        <v>6.5</v>
      </c>
      <c r="CG427" s="19">
        <v>5</v>
      </c>
      <c r="CH427" s="19">
        <v>1</v>
      </c>
      <c r="CI427" s="19">
        <v>0</v>
      </c>
      <c r="CJ427" s="19"/>
      <c r="CK427" s="19">
        <v>350</v>
      </c>
      <c r="CL427" s="19">
        <v>50</v>
      </c>
      <c r="CM427" s="19">
        <v>4.5</v>
      </c>
      <c r="CN427" s="19">
        <v>500</v>
      </c>
      <c r="CO427" s="19">
        <v>0</v>
      </c>
      <c r="CP427" s="19">
        <v>1.19</v>
      </c>
      <c r="CQ427" s="19">
        <v>322</v>
      </c>
      <c r="CR427" s="19">
        <v>436.0023848879805</v>
      </c>
      <c r="HM427" s="620">
        <f t="shared" ref="HM427:HU427" si="232">HM57</f>
        <v>0.54099999999999993</v>
      </c>
      <c r="HN427" s="620">
        <f t="shared" si="232"/>
        <v>0.11600000000000001</v>
      </c>
      <c r="HO427" s="620">
        <f t="shared" si="232"/>
        <v>0.25</v>
      </c>
      <c r="HP427" s="620">
        <f t="shared" si="232"/>
        <v>1.2999999999999999E-2</v>
      </c>
      <c r="HQ427" s="620">
        <f t="shared" si="232"/>
        <v>8.86</v>
      </c>
      <c r="HR427" s="620">
        <f t="shared" si="232"/>
        <v>6.9299999999999995E-3</v>
      </c>
      <c r="HS427" s="620">
        <f t="shared" si="232"/>
        <v>1.75</v>
      </c>
      <c r="HT427" s="620">
        <f t="shared" si="232"/>
        <v>0</v>
      </c>
      <c r="HU427" s="620" t="str">
        <f t="shared" si="232"/>
        <v>offfarm</v>
      </c>
      <c r="HV427" s="22" t="s">
        <v>2019</v>
      </c>
      <c r="IB427" s="11">
        <f t="shared" ref="IB427:II427" si="233">IB57</f>
        <v>0.54099999999999993</v>
      </c>
      <c r="IC427" s="11">
        <f t="shared" si="233"/>
        <v>0.11600000000000001</v>
      </c>
      <c r="ID427" s="11">
        <f t="shared" si="233"/>
        <v>0.25</v>
      </c>
      <c r="IE427" s="11">
        <f t="shared" si="233"/>
        <v>1.2999999999999999E-2</v>
      </c>
      <c r="IF427" s="11">
        <f t="shared" si="233"/>
        <v>8.86</v>
      </c>
      <c r="IG427" s="11">
        <f t="shared" si="233"/>
        <v>6.9299999999999995E-3</v>
      </c>
      <c r="IH427" s="11">
        <f t="shared" si="233"/>
        <v>1.75</v>
      </c>
      <c r="II427" s="11">
        <f t="shared" si="233"/>
        <v>0</v>
      </c>
    </row>
    <row r="428" spans="4:243" x14ac:dyDescent="0.25">
      <c r="D428" s="185" t="s">
        <v>1063</v>
      </c>
      <c r="E428" s="14">
        <v>41505</v>
      </c>
      <c r="F428" s="18">
        <v>0.63652148229347505</v>
      </c>
      <c r="G428" s="18">
        <v>0.614063862250111</v>
      </c>
      <c r="H428" s="21">
        <v>97.6</v>
      </c>
      <c r="I428" s="21">
        <v>96.2</v>
      </c>
      <c r="J428" s="21">
        <v>97.7</v>
      </c>
      <c r="K428" s="18">
        <v>1</v>
      </c>
      <c r="L428" s="18">
        <v>43</v>
      </c>
      <c r="M428" s="18">
        <v>30</v>
      </c>
      <c r="N428" s="18">
        <v>5.0247191011236101</v>
      </c>
      <c r="O428" s="18">
        <v>4</v>
      </c>
      <c r="P428" s="18">
        <v>0</v>
      </c>
      <c r="Q428" s="19"/>
      <c r="R428" s="18">
        <v>92</v>
      </c>
      <c r="S428" s="18">
        <v>70</v>
      </c>
      <c r="T428" s="18">
        <v>70</v>
      </c>
      <c r="U428" s="18">
        <v>70</v>
      </c>
      <c r="V428" s="18">
        <v>70</v>
      </c>
      <c r="W428" s="18">
        <v>70</v>
      </c>
      <c r="X428" s="18"/>
      <c r="Y428" s="18">
        <v>13.999999999999998</v>
      </c>
      <c r="Z428" s="18">
        <v>15</v>
      </c>
      <c r="AA428" s="18">
        <v>10</v>
      </c>
      <c r="AB428" s="18">
        <v>13</v>
      </c>
      <c r="AC428" s="18">
        <v>10</v>
      </c>
      <c r="AD428" s="18">
        <v>2</v>
      </c>
      <c r="AE428" s="18">
        <v>0</v>
      </c>
      <c r="AF428" s="18">
        <v>700</v>
      </c>
      <c r="AG428" s="18">
        <v>100</v>
      </c>
      <c r="AH428" s="18">
        <v>9</v>
      </c>
      <c r="AI428" s="18">
        <v>1000</v>
      </c>
      <c r="AJ428" s="18">
        <v>0</v>
      </c>
      <c r="AK428" s="18">
        <v>2.3800000000000003</v>
      </c>
      <c r="AL428" s="18"/>
      <c r="AM428" s="18">
        <v>7</v>
      </c>
      <c r="AN428" s="18">
        <v>2.6</v>
      </c>
      <c r="AO428" s="18">
        <v>0.9</v>
      </c>
      <c r="AP428" s="18">
        <v>4.2</v>
      </c>
      <c r="AQ428" s="18">
        <v>0.8</v>
      </c>
      <c r="AR428" s="18">
        <v>4</v>
      </c>
      <c r="AS428" s="18">
        <v>6.6</v>
      </c>
      <c r="AT428" s="18">
        <v>2.2999999999999998</v>
      </c>
      <c r="AU428" s="18">
        <v>3.5</v>
      </c>
      <c r="AV428" s="18">
        <v>3</v>
      </c>
      <c r="AW428" s="18">
        <v>4.9000000000000004</v>
      </c>
      <c r="AX428" s="18"/>
      <c r="AY428" s="18">
        <v>1.02</v>
      </c>
      <c r="AZ428" s="18">
        <v>1.05</v>
      </c>
      <c r="BA428" s="18">
        <v>0.98</v>
      </c>
      <c r="BB428" s="18">
        <v>1.03</v>
      </c>
      <c r="BC428" s="18">
        <v>1</v>
      </c>
      <c r="BD428" s="18">
        <v>1.02</v>
      </c>
      <c r="BE428" s="18">
        <v>1.03</v>
      </c>
      <c r="BF428" s="18">
        <v>1</v>
      </c>
      <c r="BG428" s="18">
        <v>1.02</v>
      </c>
      <c r="BH428" s="18">
        <v>0.95</v>
      </c>
      <c r="BI428" s="18">
        <v>1.02</v>
      </c>
      <c r="BJ428" s="19"/>
      <c r="BK428" s="18">
        <v>69.767441860465112</v>
      </c>
      <c r="BL428" s="18">
        <v>11.685393258427</v>
      </c>
      <c r="BM428" s="18">
        <v>9.3023255813953494</v>
      </c>
      <c r="BN428" s="18">
        <v>0</v>
      </c>
      <c r="BO428" s="18"/>
      <c r="BP428" s="18">
        <v>159</v>
      </c>
      <c r="BQ428" s="18">
        <v>185.79775280898906</v>
      </c>
      <c r="BR428" s="18">
        <v>1.4802825169615699</v>
      </c>
      <c r="BS428" s="18">
        <v>1.4280554936049092</v>
      </c>
      <c r="BT428" s="19"/>
      <c r="BU428" s="18">
        <v>906.97674418604652</v>
      </c>
      <c r="BV428" s="18">
        <v>118.83773190488604</v>
      </c>
      <c r="BW428" s="18">
        <v>18.139534883720792</v>
      </c>
      <c r="BX428" s="18">
        <v>0</v>
      </c>
      <c r="BY428" s="18">
        <v>0</v>
      </c>
      <c r="BZ428" s="18">
        <v>0</v>
      </c>
      <c r="CA428" s="18">
        <v>0</v>
      </c>
      <c r="CB428" s="19"/>
      <c r="CC428" s="19">
        <v>6.02</v>
      </c>
      <c r="CD428" s="19">
        <v>6.45</v>
      </c>
      <c r="CE428" s="19">
        <v>4.3</v>
      </c>
      <c r="CF428" s="19">
        <v>5.59</v>
      </c>
      <c r="CG428" s="19">
        <v>4.3</v>
      </c>
      <c r="CH428" s="19">
        <v>0.86</v>
      </c>
      <c r="CI428" s="19">
        <v>0</v>
      </c>
      <c r="CJ428" s="19"/>
      <c r="CK428" s="19">
        <v>301</v>
      </c>
      <c r="CL428" s="19">
        <v>43</v>
      </c>
      <c r="CM428" s="19">
        <v>3.87</v>
      </c>
      <c r="CN428" s="19">
        <v>430</v>
      </c>
      <c r="CO428" s="19">
        <v>0</v>
      </c>
      <c r="CP428" s="19">
        <v>1.0234000000000001</v>
      </c>
      <c r="CQ428" s="19">
        <v>276</v>
      </c>
      <c r="CR428" s="19">
        <v>433.60673233766403</v>
      </c>
      <c r="HM428" s="620">
        <f t="shared" ref="HM428:HU428" si="234">HM58</f>
        <v>0.54099999999999993</v>
      </c>
      <c r="HN428" s="620">
        <f t="shared" si="234"/>
        <v>0.11600000000000001</v>
      </c>
      <c r="HO428" s="620">
        <f t="shared" si="234"/>
        <v>0.25</v>
      </c>
      <c r="HP428" s="620">
        <f t="shared" si="234"/>
        <v>1.2999999999999999E-2</v>
      </c>
      <c r="HQ428" s="620">
        <f t="shared" si="234"/>
        <v>8.86</v>
      </c>
      <c r="HR428" s="620">
        <f t="shared" si="234"/>
        <v>6.9299999999999995E-3</v>
      </c>
      <c r="HS428" s="620">
        <f t="shared" si="234"/>
        <v>1.75</v>
      </c>
      <c r="HT428" s="620">
        <f t="shared" si="234"/>
        <v>0</v>
      </c>
      <c r="HU428" s="620" t="str">
        <f t="shared" si="234"/>
        <v>offfarm</v>
      </c>
      <c r="HV428" s="22" t="s">
        <v>2019</v>
      </c>
      <c r="IB428" s="11">
        <f t="shared" ref="IB428:II428" si="235">IB58</f>
        <v>0.54099999999999993</v>
      </c>
      <c r="IC428" s="11">
        <f t="shared" si="235"/>
        <v>0.11600000000000001</v>
      </c>
      <c r="ID428" s="11">
        <f t="shared" si="235"/>
        <v>0.25</v>
      </c>
      <c r="IE428" s="11">
        <f t="shared" si="235"/>
        <v>1.2999999999999999E-2</v>
      </c>
      <c r="IF428" s="11">
        <f t="shared" si="235"/>
        <v>8.86</v>
      </c>
      <c r="IG428" s="11">
        <f t="shared" si="235"/>
        <v>6.9299999999999995E-3</v>
      </c>
      <c r="IH428" s="11">
        <f t="shared" si="235"/>
        <v>1.75</v>
      </c>
      <c r="II428" s="11">
        <f t="shared" si="235"/>
        <v>0</v>
      </c>
    </row>
    <row r="429" spans="4:243" x14ac:dyDescent="0.25">
      <c r="D429" s="20" t="s">
        <v>1064</v>
      </c>
      <c r="E429" s="14">
        <v>41582</v>
      </c>
      <c r="F429" s="18">
        <v>-0.112682926829268</v>
      </c>
      <c r="G429" s="18">
        <v>-0.108</v>
      </c>
      <c r="H429" s="21">
        <v>70</v>
      </c>
      <c r="I429" s="21">
        <v>70</v>
      </c>
      <c r="J429" s="21">
        <v>0</v>
      </c>
      <c r="K429" s="18">
        <v>1</v>
      </c>
      <c r="L429" s="18">
        <v>99</v>
      </c>
      <c r="M429" s="18">
        <v>0</v>
      </c>
      <c r="N429" s="18">
        <v>0</v>
      </c>
      <c r="O429" s="18">
        <v>99</v>
      </c>
      <c r="P429" s="18">
        <v>0</v>
      </c>
      <c r="Q429" s="19"/>
      <c r="R429" s="18">
        <v>0</v>
      </c>
      <c r="S429" s="18">
        <v>0</v>
      </c>
      <c r="T429" s="18">
        <v>0</v>
      </c>
      <c r="U429" s="18">
        <v>0</v>
      </c>
      <c r="V429" s="18">
        <v>0</v>
      </c>
      <c r="W429" s="18">
        <v>0</v>
      </c>
      <c r="X429" s="18"/>
      <c r="Y429" s="18">
        <v>363.63636363636363</v>
      </c>
      <c r="Z429" s="18">
        <v>0</v>
      </c>
      <c r="AA429" s="18">
        <v>0</v>
      </c>
      <c r="AB429" s="18">
        <v>0</v>
      </c>
      <c r="AC429" s="18">
        <v>0</v>
      </c>
      <c r="AD429" s="18">
        <v>0</v>
      </c>
      <c r="AE429" s="18">
        <v>0</v>
      </c>
      <c r="AF429" s="18">
        <v>0</v>
      </c>
      <c r="AG429" s="18">
        <v>0</v>
      </c>
      <c r="AH429" s="18">
        <v>0</v>
      </c>
      <c r="AI429" s="18">
        <v>0</v>
      </c>
      <c r="AJ429" s="18">
        <v>0</v>
      </c>
      <c r="AK429" s="18">
        <v>0</v>
      </c>
      <c r="AL429" s="18"/>
      <c r="AM429" s="18">
        <v>0</v>
      </c>
      <c r="AN429" s="18">
        <v>0</v>
      </c>
      <c r="AO429" s="18">
        <v>0</v>
      </c>
      <c r="AP429" s="18">
        <v>0</v>
      </c>
      <c r="AQ429" s="18">
        <v>0</v>
      </c>
      <c r="AR429" s="18">
        <v>0</v>
      </c>
      <c r="AS429" s="18">
        <v>0</v>
      </c>
      <c r="AT429" s="18">
        <v>0</v>
      </c>
      <c r="AU429" s="18">
        <v>0</v>
      </c>
      <c r="AV429" s="18">
        <v>0</v>
      </c>
      <c r="AW429" s="18">
        <v>0</v>
      </c>
      <c r="AX429" s="18"/>
      <c r="AY429" s="18">
        <v>1</v>
      </c>
      <c r="AZ429" s="18">
        <v>1</v>
      </c>
      <c r="BA429" s="18">
        <v>1</v>
      </c>
      <c r="BB429" s="18">
        <v>1</v>
      </c>
      <c r="BC429" s="18">
        <v>1</v>
      </c>
      <c r="BD429" s="18">
        <v>1</v>
      </c>
      <c r="BE429" s="18">
        <v>1</v>
      </c>
      <c r="BF429" s="18">
        <v>1</v>
      </c>
      <c r="BG429" s="18">
        <v>1</v>
      </c>
      <c r="BH429" s="18">
        <v>1</v>
      </c>
      <c r="BI429" s="18">
        <v>1</v>
      </c>
      <c r="BJ429" s="19"/>
      <c r="BK429" s="18">
        <v>0</v>
      </c>
      <c r="BL429" s="18">
        <v>0</v>
      </c>
      <c r="BM429" s="18">
        <v>100</v>
      </c>
      <c r="BN429" s="18">
        <v>0</v>
      </c>
      <c r="BO429" s="18"/>
      <c r="BP429" s="18">
        <v>0</v>
      </c>
      <c r="BQ429" s="18">
        <v>0</v>
      </c>
      <c r="BR429" s="18">
        <v>-0.11382113821138182</v>
      </c>
      <c r="BS429" s="18">
        <v>-0.10909090909090909</v>
      </c>
      <c r="BT429" s="19"/>
      <c r="BU429" s="18">
        <v>0</v>
      </c>
      <c r="BV429" s="18">
        <v>0</v>
      </c>
      <c r="BW429" s="18">
        <v>0</v>
      </c>
      <c r="BX429" s="18" t="s">
        <v>217</v>
      </c>
      <c r="BY429" s="18" t="s">
        <v>217</v>
      </c>
      <c r="BZ429" s="18" t="s">
        <v>217</v>
      </c>
      <c r="CA429" s="18" t="s">
        <v>217</v>
      </c>
      <c r="CB429" s="19"/>
      <c r="CC429" s="19">
        <v>360</v>
      </c>
      <c r="CD429" s="19">
        <v>0</v>
      </c>
      <c r="CE429" s="19">
        <v>0</v>
      </c>
      <c r="CF429" s="19">
        <v>0</v>
      </c>
      <c r="CG429" s="19">
        <v>0</v>
      </c>
      <c r="CH429" s="19">
        <v>0</v>
      </c>
      <c r="CI429" s="19">
        <v>0</v>
      </c>
      <c r="CJ429" s="19"/>
      <c r="CK429" s="19">
        <v>0</v>
      </c>
      <c r="CL429" s="19">
        <v>0</v>
      </c>
      <c r="CM429" s="19">
        <v>0</v>
      </c>
      <c r="CN429" s="19">
        <v>0</v>
      </c>
      <c r="CO429" s="19">
        <v>0</v>
      </c>
      <c r="CP429" s="19">
        <v>0</v>
      </c>
      <c r="CQ429" s="19">
        <v>0</v>
      </c>
      <c r="CR429" s="19">
        <v>0</v>
      </c>
      <c r="HM429" s="620">
        <f t="shared" ref="HM429:HU429" si="236">HM59</f>
        <v>0</v>
      </c>
      <c r="HN429" s="620">
        <f t="shared" si="236"/>
        <v>0</v>
      </c>
      <c r="HO429" s="620">
        <f t="shared" si="236"/>
        <v>0</v>
      </c>
      <c r="HP429" s="620">
        <f t="shared" si="236"/>
        <v>0</v>
      </c>
      <c r="HQ429" s="620">
        <f t="shared" si="236"/>
        <v>0</v>
      </c>
      <c r="HR429" s="620">
        <f t="shared" si="236"/>
        <v>0</v>
      </c>
      <c r="HS429" s="620">
        <f t="shared" si="236"/>
        <v>0</v>
      </c>
      <c r="HT429" s="620">
        <f t="shared" si="236"/>
        <v>0</v>
      </c>
      <c r="HU429" s="620" t="str">
        <f t="shared" si="236"/>
        <v>offfarm</v>
      </c>
      <c r="HV429" s="22" t="s">
        <v>2020</v>
      </c>
      <c r="IB429" s="11">
        <f t="shared" ref="IB429:II429" si="237">IB59</f>
        <v>0.47300000000000003</v>
      </c>
      <c r="IC429" s="11">
        <f t="shared" si="237"/>
        <v>0.13</v>
      </c>
      <c r="ID429" s="11">
        <f t="shared" si="237"/>
        <v>0.39100000000000001</v>
      </c>
      <c r="IE429" s="11">
        <f t="shared" si="237"/>
        <v>5.5E-2</v>
      </c>
      <c r="IF429" s="11">
        <f t="shared" si="237"/>
        <v>3.97</v>
      </c>
      <c r="IG429" s="11">
        <f t="shared" si="237"/>
        <v>4.5999999999999999E-3</v>
      </c>
      <c r="IH429" s="11">
        <f t="shared" si="237"/>
        <v>2.73</v>
      </c>
      <c r="II429" s="11">
        <f t="shared" si="237"/>
        <v>0</v>
      </c>
    </row>
    <row r="430" spans="4:243" x14ac:dyDescent="0.25">
      <c r="D430" s="20" t="s">
        <v>1065</v>
      </c>
      <c r="E430" s="14">
        <v>40310</v>
      </c>
      <c r="F430" s="18">
        <v>1.34595729318622</v>
      </c>
      <c r="G430" s="18">
        <v>1.29708708379963</v>
      </c>
      <c r="H430" s="21">
        <v>97.9</v>
      </c>
      <c r="I430" s="21">
        <v>96.9</v>
      </c>
      <c r="J430" s="21">
        <v>93</v>
      </c>
      <c r="K430" s="18">
        <v>1</v>
      </c>
      <c r="L430" s="18">
        <v>87.8</v>
      </c>
      <c r="M430" s="18">
        <v>7.6386000000000003</v>
      </c>
      <c r="N430" s="18">
        <v>1.4925999999999999</v>
      </c>
      <c r="O430" s="18">
        <v>0.878</v>
      </c>
      <c r="P430" s="18">
        <v>0.96579999999999999</v>
      </c>
      <c r="Q430" s="19"/>
      <c r="R430" s="18">
        <v>90.244305882352904</v>
      </c>
      <c r="S430" s="18">
        <v>28</v>
      </c>
      <c r="T430" s="18">
        <v>45</v>
      </c>
      <c r="U430" s="18">
        <v>52</v>
      </c>
      <c r="V430" s="18">
        <v>58</v>
      </c>
      <c r="W430" s="18">
        <v>61</v>
      </c>
      <c r="X430" s="18"/>
      <c r="Y430" s="18">
        <v>0.5</v>
      </c>
      <c r="Z430" s="18">
        <v>2.3000000000000003</v>
      </c>
      <c r="AA430" s="18">
        <v>0.4</v>
      </c>
      <c r="AB430" s="18">
        <v>0.8</v>
      </c>
      <c r="AC430" s="18">
        <v>2.5</v>
      </c>
      <c r="AD430" s="18">
        <v>1.5</v>
      </c>
      <c r="AE430" s="18">
        <v>0.70000000000000007</v>
      </c>
      <c r="AF430" s="18">
        <v>20</v>
      </c>
      <c r="AG430" s="18">
        <v>24</v>
      </c>
      <c r="AH430" s="18">
        <v>13</v>
      </c>
      <c r="AI430" s="18">
        <v>19</v>
      </c>
      <c r="AJ430" s="18">
        <v>0</v>
      </c>
      <c r="AK430" s="18">
        <v>0.30000000000000004</v>
      </c>
      <c r="AL430" s="18"/>
      <c r="AM430" s="18">
        <v>3.9</v>
      </c>
      <c r="AN430" s="18">
        <v>2.7</v>
      </c>
      <c r="AO430" s="18">
        <v>2.2000000000000002</v>
      </c>
      <c r="AP430" s="18">
        <v>3.5</v>
      </c>
      <c r="AQ430" s="18">
        <v>1.3</v>
      </c>
      <c r="AR430" s="18">
        <v>4.5</v>
      </c>
      <c r="AS430" s="18">
        <v>8.6999999999999993</v>
      </c>
      <c r="AT430" s="18">
        <v>2.5</v>
      </c>
      <c r="AU430" s="18">
        <v>5.2</v>
      </c>
      <c r="AV430" s="18">
        <v>4.9000000000000004</v>
      </c>
      <c r="AW430" s="18">
        <v>6.3</v>
      </c>
      <c r="AX430" s="18"/>
      <c r="AY430" s="18">
        <v>1</v>
      </c>
      <c r="AZ430" s="18">
        <v>1</v>
      </c>
      <c r="BA430" s="18">
        <v>1</v>
      </c>
      <c r="BB430" s="18">
        <v>1</v>
      </c>
      <c r="BC430" s="18">
        <v>1</v>
      </c>
      <c r="BD430" s="18">
        <v>1</v>
      </c>
      <c r="BE430" s="18">
        <v>1</v>
      </c>
      <c r="BF430" s="18">
        <v>1</v>
      </c>
      <c r="BG430" s="18">
        <v>1</v>
      </c>
      <c r="BH430" s="18">
        <v>1</v>
      </c>
      <c r="BI430" s="18">
        <v>1</v>
      </c>
      <c r="BJ430" s="19"/>
      <c r="BK430" s="18">
        <v>8.7000000000000011</v>
      </c>
      <c r="BL430" s="18">
        <v>1.7</v>
      </c>
      <c r="BM430" s="18">
        <v>1</v>
      </c>
      <c r="BN430" s="18">
        <v>1.1000000000000001</v>
      </c>
      <c r="BO430" s="18"/>
      <c r="BP430" s="18">
        <v>92</v>
      </c>
      <c r="BQ430" s="18">
        <v>15.64</v>
      </c>
      <c r="BR430" s="18">
        <v>1.5329809717382916</v>
      </c>
      <c r="BS430" s="18">
        <v>1.4773201410018566</v>
      </c>
      <c r="BT430" s="19"/>
      <c r="BU430" s="18">
        <v>990.00000000000011</v>
      </c>
      <c r="BV430" s="18">
        <v>859.40714285714353</v>
      </c>
      <c r="BW430" s="18">
        <v>14.142857142857062</v>
      </c>
      <c r="BX430" s="18" t="s">
        <v>217</v>
      </c>
      <c r="BY430" s="18" t="s">
        <v>217</v>
      </c>
      <c r="BZ430" s="18" t="s">
        <v>217</v>
      </c>
      <c r="CA430" s="18" t="s">
        <v>217</v>
      </c>
      <c r="CB430" s="19"/>
      <c r="CC430" s="19">
        <v>0.439</v>
      </c>
      <c r="CD430" s="19">
        <v>2.0194000000000001</v>
      </c>
      <c r="CE430" s="19">
        <v>0.35120000000000001</v>
      </c>
      <c r="CF430" s="19">
        <v>0.70240000000000002</v>
      </c>
      <c r="CG430" s="19">
        <v>2.1949999999999998</v>
      </c>
      <c r="CH430" s="19">
        <v>1.3169999999999999</v>
      </c>
      <c r="CI430" s="19">
        <v>0.61460000000000004</v>
      </c>
      <c r="CJ430" s="19"/>
      <c r="CK430" s="19">
        <v>17.559999999999999</v>
      </c>
      <c r="CL430" s="19">
        <v>21.071999999999999</v>
      </c>
      <c r="CM430" s="19">
        <v>11.414</v>
      </c>
      <c r="CN430" s="19">
        <v>16.681999999999999</v>
      </c>
      <c r="CO430" s="19">
        <v>0</v>
      </c>
      <c r="CP430" s="19">
        <v>0.26340000000000002</v>
      </c>
      <c r="CQ430" s="19">
        <v>68.934015491294105</v>
      </c>
      <c r="CR430" s="19">
        <v>51.215603823587834</v>
      </c>
      <c r="HM430" s="620">
        <f t="shared" ref="HM430:HU430" si="238">HM60</f>
        <v>0</v>
      </c>
      <c r="HN430" s="620">
        <f t="shared" si="238"/>
        <v>0</v>
      </c>
      <c r="HO430" s="620">
        <f t="shared" si="238"/>
        <v>0</v>
      </c>
      <c r="HP430" s="620">
        <f t="shared" si="238"/>
        <v>0</v>
      </c>
      <c r="HQ430" s="620">
        <f t="shared" si="238"/>
        <v>0</v>
      </c>
      <c r="HR430" s="620">
        <f t="shared" si="238"/>
        <v>0</v>
      </c>
      <c r="HS430" s="620">
        <f t="shared" si="238"/>
        <v>0</v>
      </c>
      <c r="HT430" s="620">
        <f t="shared" si="238"/>
        <v>0</v>
      </c>
      <c r="HU430" s="620" t="str">
        <f t="shared" si="238"/>
        <v>offfarm</v>
      </c>
      <c r="HV430" s="22" t="s">
        <v>2021</v>
      </c>
      <c r="IB430" s="11">
        <f t="shared" ref="IB430:II430" si="239">IB60</f>
        <v>0.47300000000000003</v>
      </c>
      <c r="IC430" s="11">
        <f t="shared" si="239"/>
        <v>0.13</v>
      </c>
      <c r="ID430" s="11">
        <f t="shared" si="239"/>
        <v>0.39100000000000001</v>
      </c>
      <c r="IE430" s="11">
        <f t="shared" si="239"/>
        <v>5.5E-2</v>
      </c>
      <c r="IF430" s="11">
        <f t="shared" si="239"/>
        <v>3.97</v>
      </c>
      <c r="IG430" s="11">
        <f t="shared" si="239"/>
        <v>4.5999999999999999E-3</v>
      </c>
      <c r="IH430" s="11">
        <f t="shared" si="239"/>
        <v>2.73</v>
      </c>
      <c r="II430" s="11">
        <f t="shared" si="239"/>
        <v>0</v>
      </c>
    </row>
    <row r="431" spans="4:243" x14ac:dyDescent="0.25">
      <c r="D431" s="20" t="s">
        <v>1066</v>
      </c>
      <c r="E431" s="14">
        <v>40310</v>
      </c>
      <c r="F431" s="18">
        <v>1.4423562926829301</v>
      </c>
      <c r="G431" s="18">
        <v>1.3843612425973999</v>
      </c>
      <c r="H431" s="21">
        <v>99</v>
      </c>
      <c r="I431" s="21">
        <v>99</v>
      </c>
      <c r="J431" s="21">
        <v>90</v>
      </c>
      <c r="K431" s="18">
        <v>1</v>
      </c>
      <c r="L431" s="18">
        <v>96</v>
      </c>
      <c r="M431" s="18">
        <v>2.2080000000000002</v>
      </c>
      <c r="N431" s="18">
        <v>9.6000000000000002E-2</v>
      </c>
      <c r="O431" s="18">
        <v>3.456</v>
      </c>
      <c r="P431" s="18">
        <v>0.38400000000000001</v>
      </c>
      <c r="Q431" s="19"/>
      <c r="R431" s="18" t="s">
        <v>217</v>
      </c>
      <c r="S431" s="18">
        <v>0</v>
      </c>
      <c r="T431" s="18">
        <v>0</v>
      </c>
      <c r="U431" s="18">
        <v>0</v>
      </c>
      <c r="V431" s="18">
        <v>0</v>
      </c>
      <c r="W431" s="18">
        <v>0</v>
      </c>
      <c r="X431" s="18"/>
      <c r="Y431" s="18">
        <v>0</v>
      </c>
      <c r="Z431" s="18">
        <v>0</v>
      </c>
      <c r="AA431" s="18">
        <v>0</v>
      </c>
      <c r="AB431" s="18">
        <v>0</v>
      </c>
      <c r="AC431" s="18">
        <v>0</v>
      </c>
      <c r="AD431" s="18">
        <v>0</v>
      </c>
      <c r="AE431" s="18">
        <v>0</v>
      </c>
      <c r="AF431" s="18">
        <v>0</v>
      </c>
      <c r="AG431" s="18">
        <v>0</v>
      </c>
      <c r="AH431" s="18">
        <v>0</v>
      </c>
      <c r="AI431" s="18">
        <v>0</v>
      </c>
      <c r="AJ431" s="18">
        <v>0</v>
      </c>
      <c r="AK431" s="18">
        <v>0</v>
      </c>
      <c r="AL431" s="18"/>
      <c r="AM431" s="18">
        <v>0</v>
      </c>
      <c r="AN431" s="18">
        <v>0</v>
      </c>
      <c r="AO431" s="18">
        <v>0</v>
      </c>
      <c r="AP431" s="18">
        <v>0</v>
      </c>
      <c r="AQ431" s="18">
        <v>0</v>
      </c>
      <c r="AR431" s="18">
        <v>0</v>
      </c>
      <c r="AS431" s="18">
        <v>0</v>
      </c>
      <c r="AT431" s="18">
        <v>0</v>
      </c>
      <c r="AU431" s="18">
        <v>0</v>
      </c>
      <c r="AV431" s="18">
        <v>0</v>
      </c>
      <c r="AW431" s="18">
        <v>0</v>
      </c>
      <c r="AX431" s="18"/>
      <c r="AY431" s="18">
        <v>1</v>
      </c>
      <c r="AZ431" s="18">
        <v>1</v>
      </c>
      <c r="BA431" s="18">
        <v>1</v>
      </c>
      <c r="BB431" s="18">
        <v>1</v>
      </c>
      <c r="BC431" s="18">
        <v>1</v>
      </c>
      <c r="BD431" s="18">
        <v>1</v>
      </c>
      <c r="BE431" s="18">
        <v>1</v>
      </c>
      <c r="BF431" s="18">
        <v>1</v>
      </c>
      <c r="BG431" s="18">
        <v>1</v>
      </c>
      <c r="BH431" s="18">
        <v>1</v>
      </c>
      <c r="BI431" s="18">
        <v>1</v>
      </c>
      <c r="BJ431" s="19"/>
      <c r="BK431" s="18">
        <v>2.3000000000000003</v>
      </c>
      <c r="BL431" s="18">
        <v>0.1</v>
      </c>
      <c r="BM431" s="18">
        <v>3.6</v>
      </c>
      <c r="BN431" s="18">
        <v>0.4</v>
      </c>
      <c r="BO431" s="18"/>
      <c r="BP431" s="18">
        <v>0</v>
      </c>
      <c r="BQ431" s="18">
        <v>0</v>
      </c>
      <c r="BR431" s="18">
        <v>1.5024544715447188</v>
      </c>
      <c r="BS431" s="18">
        <v>1.4420429610389582</v>
      </c>
      <c r="BT431" s="19"/>
      <c r="BU431" s="18">
        <v>964</v>
      </c>
      <c r="BV431" s="18">
        <v>932.46</v>
      </c>
      <c r="BW431" s="18">
        <v>0</v>
      </c>
      <c r="BX431" s="18" t="s">
        <v>217</v>
      </c>
      <c r="BY431" s="18" t="s">
        <v>217</v>
      </c>
      <c r="BZ431" s="18" t="s">
        <v>217</v>
      </c>
      <c r="CA431" s="18" t="s">
        <v>217</v>
      </c>
      <c r="CB431" s="19"/>
      <c r="CC431" s="19">
        <v>0</v>
      </c>
      <c r="CD431" s="19">
        <v>0</v>
      </c>
      <c r="CE431" s="19">
        <v>0</v>
      </c>
      <c r="CF431" s="19">
        <v>0</v>
      </c>
      <c r="CG431" s="19">
        <v>0</v>
      </c>
      <c r="CH431" s="19">
        <v>0</v>
      </c>
      <c r="CI431" s="19">
        <v>0</v>
      </c>
      <c r="CJ431" s="19"/>
      <c r="CK431" s="19">
        <v>0</v>
      </c>
      <c r="CL431" s="19">
        <v>0</v>
      </c>
      <c r="CM431" s="19">
        <v>0</v>
      </c>
      <c r="CN431" s="19">
        <v>0</v>
      </c>
      <c r="CO431" s="19">
        <v>0</v>
      </c>
      <c r="CP431" s="19">
        <v>0</v>
      </c>
      <c r="CQ431" s="19">
        <v>0</v>
      </c>
      <c r="CR431" s="19">
        <v>0</v>
      </c>
      <c r="HM431" s="620">
        <f t="shared" ref="HM431:HU431" si="240">HM61</f>
        <v>0.25600000000000001</v>
      </c>
      <c r="HN431" s="620">
        <f t="shared" si="240"/>
        <v>3.7999999999999999E-2</v>
      </c>
      <c r="HO431" s="620">
        <f t="shared" si="240"/>
        <v>0.11799999999999999</v>
      </c>
      <c r="HP431" s="620">
        <f t="shared" si="240"/>
        <v>1.6E-2</v>
      </c>
      <c r="HQ431" s="620">
        <f t="shared" si="240"/>
        <v>1.3</v>
      </c>
      <c r="HR431" s="620">
        <f t="shared" si="240"/>
        <v>0</v>
      </c>
      <c r="HS431" s="620">
        <f t="shared" si="240"/>
        <v>0.82</v>
      </c>
      <c r="HT431" s="620" t="str">
        <f t="shared" si="240"/>
        <v>as conventional (roer (rod) - Mogensen et al., 2018)</v>
      </c>
      <c r="HU431" s="620" t="str">
        <f t="shared" si="240"/>
        <v>offfarm</v>
      </c>
      <c r="HV431" s="22" t="s">
        <v>2022</v>
      </c>
      <c r="IB431" s="11">
        <f t="shared" ref="IB431:II431" si="241">IB61</f>
        <v>0.47300000000000003</v>
      </c>
      <c r="IC431" s="11">
        <f t="shared" si="241"/>
        <v>0.13</v>
      </c>
      <c r="ID431" s="11">
        <f t="shared" si="241"/>
        <v>0.39100000000000001</v>
      </c>
      <c r="IE431" s="11">
        <f t="shared" si="241"/>
        <v>5.5E-2</v>
      </c>
      <c r="IF431" s="11">
        <f t="shared" si="241"/>
        <v>3.97</v>
      </c>
      <c r="IG431" s="11">
        <f t="shared" si="241"/>
        <v>4.5999999999999999E-3</v>
      </c>
      <c r="IH431" s="11">
        <f t="shared" si="241"/>
        <v>2.73</v>
      </c>
      <c r="II431" s="11">
        <f t="shared" si="241"/>
        <v>0</v>
      </c>
    </row>
    <row r="432" spans="4:243" x14ac:dyDescent="0.25">
      <c r="D432" s="20" t="s">
        <v>1300</v>
      </c>
      <c r="E432" s="14">
        <v>40310</v>
      </c>
      <c r="F432" s="18">
        <v>0.45799119794648102</v>
      </c>
      <c r="G432" s="18">
        <v>0.44025273257937703</v>
      </c>
      <c r="H432" s="21">
        <v>65</v>
      </c>
      <c r="I432" s="21">
        <v>84</v>
      </c>
      <c r="J432" s="21">
        <v>90</v>
      </c>
      <c r="K432" s="18">
        <v>1</v>
      </c>
      <c r="L432" s="18">
        <v>91.1</v>
      </c>
      <c r="M432" s="18">
        <v>1</v>
      </c>
      <c r="N432" s="18">
        <v>1.4000002030000001</v>
      </c>
      <c r="O432" s="18">
        <v>49.799999933000002</v>
      </c>
      <c r="P432" s="18">
        <v>15.999999587</v>
      </c>
      <c r="Q432" s="19"/>
      <c r="R432" s="18">
        <v>70</v>
      </c>
      <c r="S432" s="18">
        <v>0</v>
      </c>
      <c r="T432" s="18">
        <v>0</v>
      </c>
      <c r="U432" s="18">
        <v>0</v>
      </c>
      <c r="V432" s="18">
        <v>0</v>
      </c>
      <c r="W432" s="18">
        <v>0</v>
      </c>
      <c r="X432" s="18"/>
      <c r="Y432" s="18">
        <v>0</v>
      </c>
      <c r="Z432" s="18">
        <v>0</v>
      </c>
      <c r="AA432" s="18">
        <v>0</v>
      </c>
      <c r="AB432" s="18">
        <v>0</v>
      </c>
      <c r="AC432" s="18">
        <v>0</v>
      </c>
      <c r="AD432" s="18">
        <v>0</v>
      </c>
      <c r="AE432" s="18">
        <v>0</v>
      </c>
      <c r="AF432" s="18">
        <v>0</v>
      </c>
      <c r="AG432" s="18">
        <v>0</v>
      </c>
      <c r="AH432" s="18">
        <v>0</v>
      </c>
      <c r="AI432" s="18">
        <v>0</v>
      </c>
      <c r="AJ432" s="18">
        <v>0</v>
      </c>
      <c r="AK432" s="18">
        <v>0</v>
      </c>
      <c r="AL432" s="18"/>
      <c r="AM432" s="18">
        <v>0</v>
      </c>
      <c r="AN432" s="18">
        <v>0</v>
      </c>
      <c r="AO432" s="18">
        <v>0</v>
      </c>
      <c r="AP432" s="18">
        <v>0</v>
      </c>
      <c r="AQ432" s="18">
        <v>0</v>
      </c>
      <c r="AR432" s="18">
        <v>0</v>
      </c>
      <c r="AS432" s="18">
        <v>0</v>
      </c>
      <c r="AT432" s="18">
        <v>0</v>
      </c>
      <c r="AU432" s="18">
        <v>0</v>
      </c>
      <c r="AV432" s="18">
        <v>0</v>
      </c>
      <c r="AW432" s="18">
        <v>0</v>
      </c>
      <c r="AX432" s="18"/>
      <c r="AY432" s="18">
        <v>1</v>
      </c>
      <c r="AZ432" s="18">
        <v>1</v>
      </c>
      <c r="BA432" s="18">
        <v>1</v>
      </c>
      <c r="BB432" s="18">
        <v>1</v>
      </c>
      <c r="BC432" s="18">
        <v>1</v>
      </c>
      <c r="BD432" s="18">
        <v>0</v>
      </c>
      <c r="BE432" s="18">
        <v>0</v>
      </c>
      <c r="BF432" s="18">
        <v>0</v>
      </c>
      <c r="BG432" s="18">
        <v>0</v>
      </c>
      <c r="BH432" s="18">
        <v>0.8</v>
      </c>
      <c r="BI432" s="18">
        <v>0</v>
      </c>
      <c r="BJ432" s="19"/>
      <c r="BK432" s="18">
        <v>1.0976948408342482</v>
      </c>
      <c r="BL432" s="18">
        <v>1.5367730000000002</v>
      </c>
      <c r="BM432" s="18">
        <v>54.665203000000005</v>
      </c>
      <c r="BN432" s="18">
        <v>17.563117000000002</v>
      </c>
      <c r="BO432" s="18"/>
      <c r="BP432" s="18">
        <v>0</v>
      </c>
      <c r="BQ432" s="18">
        <v>0</v>
      </c>
      <c r="BR432" s="18">
        <v>0.50273457513334907</v>
      </c>
      <c r="BS432" s="18">
        <v>0.48326315321556207</v>
      </c>
      <c r="BT432" s="19"/>
      <c r="BU432" s="18">
        <v>453.34797000000003</v>
      </c>
      <c r="BV432" s="18">
        <v>392.83205120555107</v>
      </c>
      <c r="BW432" s="18">
        <v>-123.05159185714271</v>
      </c>
      <c r="BX432" s="18" t="s">
        <v>217</v>
      </c>
      <c r="BY432" s="18" t="s">
        <v>217</v>
      </c>
      <c r="BZ432" s="18" t="s">
        <v>217</v>
      </c>
      <c r="CA432" s="18" t="s">
        <v>217</v>
      </c>
      <c r="CB432" s="19"/>
      <c r="CC432" s="19">
        <v>0</v>
      </c>
      <c r="CD432" s="19">
        <v>0</v>
      </c>
      <c r="CE432" s="19">
        <v>0</v>
      </c>
      <c r="CF432" s="19">
        <v>0</v>
      </c>
      <c r="CG432" s="19">
        <v>0</v>
      </c>
      <c r="CH432" s="19">
        <v>0</v>
      </c>
      <c r="CI432" s="19">
        <v>0</v>
      </c>
      <c r="CJ432" s="19"/>
      <c r="CK432" s="19">
        <v>0</v>
      </c>
      <c r="CL432" s="19">
        <v>0</v>
      </c>
      <c r="CM432" s="19">
        <v>0</v>
      </c>
      <c r="CN432" s="19">
        <v>0</v>
      </c>
      <c r="CO432" s="19">
        <v>0</v>
      </c>
      <c r="CP432" s="19">
        <v>0</v>
      </c>
      <c r="CQ432" s="19">
        <v>7.0000000000000098</v>
      </c>
      <c r="CR432" s="19">
        <v>15.284136532287683</v>
      </c>
      <c r="HM432" s="620">
        <f t="shared" ref="HM432:HU432" si="242">HM62</f>
        <v>0</v>
      </c>
      <c r="HN432" s="620">
        <f t="shared" si="242"/>
        <v>0</v>
      </c>
      <c r="HO432" s="620">
        <f t="shared" si="242"/>
        <v>0</v>
      </c>
      <c r="HP432" s="620">
        <f t="shared" si="242"/>
        <v>0</v>
      </c>
      <c r="HQ432" s="620">
        <f t="shared" si="242"/>
        <v>0</v>
      </c>
      <c r="HR432" s="620">
        <f t="shared" si="242"/>
        <v>0</v>
      </c>
      <c r="HS432" s="620">
        <f t="shared" si="242"/>
        <v>0</v>
      </c>
      <c r="HT432" s="620">
        <f t="shared" si="242"/>
        <v>0</v>
      </c>
      <c r="HU432" s="620" t="str">
        <f t="shared" si="242"/>
        <v>offfarm</v>
      </c>
      <c r="HV432" s="22" t="s">
        <v>2013</v>
      </c>
      <c r="IB432" s="11">
        <f t="shared" ref="IB432:II432" si="243">IB62</f>
        <v>0.47300000000000003</v>
      </c>
      <c r="IC432" s="11">
        <f t="shared" si="243"/>
        <v>0.13</v>
      </c>
      <c r="ID432" s="11">
        <f t="shared" si="243"/>
        <v>0.39100000000000001</v>
      </c>
      <c r="IE432" s="11">
        <f t="shared" si="243"/>
        <v>5.5E-2</v>
      </c>
      <c r="IF432" s="11">
        <f t="shared" si="243"/>
        <v>3.97</v>
      </c>
      <c r="IG432" s="11">
        <f t="shared" si="243"/>
        <v>4.5999999999999999E-3</v>
      </c>
      <c r="IH432" s="11">
        <f t="shared" si="243"/>
        <v>2.73</v>
      </c>
      <c r="II432" s="11">
        <f t="shared" si="243"/>
        <v>0</v>
      </c>
    </row>
    <row r="433" spans="4:244" x14ac:dyDescent="0.25">
      <c r="D433" s="20" t="s">
        <v>1301</v>
      </c>
      <c r="E433" s="14">
        <v>40310</v>
      </c>
      <c r="F433" s="18">
        <v>0.45799119794648102</v>
      </c>
      <c r="G433" s="18">
        <v>0.44025273257937703</v>
      </c>
      <c r="H433" s="21">
        <v>65</v>
      </c>
      <c r="I433" s="21">
        <v>84</v>
      </c>
      <c r="J433" s="21">
        <v>90</v>
      </c>
      <c r="K433" s="18">
        <v>1</v>
      </c>
      <c r="L433" s="18">
        <v>91.1</v>
      </c>
      <c r="M433" s="18">
        <v>1</v>
      </c>
      <c r="N433" s="18">
        <v>1.4000002030000001</v>
      </c>
      <c r="O433" s="18">
        <v>49.799999933000002</v>
      </c>
      <c r="P433" s="18">
        <v>15.999999587</v>
      </c>
      <c r="Q433" s="19"/>
      <c r="R433" s="18">
        <v>70</v>
      </c>
      <c r="S433" s="18">
        <v>0</v>
      </c>
      <c r="T433" s="18">
        <v>0</v>
      </c>
      <c r="U433" s="18">
        <v>0</v>
      </c>
      <c r="V433" s="18">
        <v>0</v>
      </c>
      <c r="W433" s="18">
        <v>0</v>
      </c>
      <c r="X433" s="18"/>
      <c r="Y433" s="18">
        <v>0</v>
      </c>
      <c r="Z433" s="18">
        <v>0</v>
      </c>
      <c r="AA433" s="18">
        <v>0</v>
      </c>
      <c r="AB433" s="18">
        <v>0</v>
      </c>
      <c r="AC433" s="18">
        <v>0</v>
      </c>
      <c r="AD433" s="18">
        <v>0</v>
      </c>
      <c r="AE433" s="18">
        <v>0</v>
      </c>
      <c r="AF433" s="18">
        <v>0</v>
      </c>
      <c r="AG433" s="18">
        <v>0</v>
      </c>
      <c r="AH433" s="18">
        <v>0</v>
      </c>
      <c r="AI433" s="18">
        <v>0</v>
      </c>
      <c r="AJ433" s="18">
        <v>0</v>
      </c>
      <c r="AK433" s="18">
        <v>0</v>
      </c>
      <c r="AL433" s="18"/>
      <c r="AM433" s="18">
        <v>0</v>
      </c>
      <c r="AN433" s="18">
        <v>0</v>
      </c>
      <c r="AO433" s="18">
        <v>0</v>
      </c>
      <c r="AP433" s="18">
        <v>0</v>
      </c>
      <c r="AQ433" s="18">
        <v>0</v>
      </c>
      <c r="AR433" s="18">
        <v>0</v>
      </c>
      <c r="AS433" s="18">
        <v>0</v>
      </c>
      <c r="AT433" s="18">
        <v>0</v>
      </c>
      <c r="AU433" s="18">
        <v>0</v>
      </c>
      <c r="AV433" s="18">
        <v>0</v>
      </c>
      <c r="AW433" s="18">
        <v>0</v>
      </c>
      <c r="AX433" s="18"/>
      <c r="AY433" s="18">
        <v>1</v>
      </c>
      <c r="AZ433" s="18">
        <v>1</v>
      </c>
      <c r="BA433" s="18">
        <v>1</v>
      </c>
      <c r="BB433" s="18">
        <v>1</v>
      </c>
      <c r="BC433" s="18">
        <v>1</v>
      </c>
      <c r="BD433" s="18">
        <v>0</v>
      </c>
      <c r="BE433" s="18">
        <v>0</v>
      </c>
      <c r="BF433" s="18">
        <v>0</v>
      </c>
      <c r="BG433" s="18">
        <v>0</v>
      </c>
      <c r="BH433" s="18">
        <v>0.8</v>
      </c>
      <c r="BI433" s="18">
        <v>0</v>
      </c>
      <c r="BJ433" s="19"/>
      <c r="BK433" s="18">
        <v>1.0976948408342482</v>
      </c>
      <c r="BL433" s="18">
        <v>1.5367730000000002</v>
      </c>
      <c r="BM433" s="18">
        <v>54.665203000000005</v>
      </c>
      <c r="BN433" s="18">
        <v>17.563117000000002</v>
      </c>
      <c r="BO433" s="18"/>
      <c r="BP433" s="18">
        <v>0</v>
      </c>
      <c r="BQ433" s="18">
        <v>0</v>
      </c>
      <c r="BR433" s="18">
        <v>0.50273457513334907</v>
      </c>
      <c r="BS433" s="18">
        <v>0.48326315321556207</v>
      </c>
      <c r="BT433" s="19"/>
      <c r="BU433" s="18">
        <v>453.34797000000003</v>
      </c>
      <c r="BV433" s="18">
        <v>392.83205120555107</v>
      </c>
      <c r="BW433" s="18">
        <v>-123.05159185714271</v>
      </c>
      <c r="BX433" s="18" t="s">
        <v>217</v>
      </c>
      <c r="BY433" s="18" t="s">
        <v>217</v>
      </c>
      <c r="BZ433" s="18" t="s">
        <v>217</v>
      </c>
      <c r="CA433" s="18" t="s">
        <v>217</v>
      </c>
      <c r="CB433" s="19"/>
      <c r="CC433" s="19">
        <v>0</v>
      </c>
      <c r="CD433" s="19">
        <v>0</v>
      </c>
      <c r="CE433" s="19">
        <v>0</v>
      </c>
      <c r="CF433" s="19">
        <v>0</v>
      </c>
      <c r="CG433" s="19">
        <v>0</v>
      </c>
      <c r="CH433" s="19">
        <v>0</v>
      </c>
      <c r="CI433" s="19">
        <v>0</v>
      </c>
      <c r="CJ433" s="19"/>
      <c r="CK433" s="19">
        <v>0</v>
      </c>
      <c r="CL433" s="19">
        <v>0</v>
      </c>
      <c r="CM433" s="19">
        <v>0</v>
      </c>
      <c r="CN433" s="19">
        <v>0</v>
      </c>
      <c r="CO433" s="19">
        <v>0</v>
      </c>
      <c r="CP433" s="19">
        <v>0</v>
      </c>
      <c r="CQ433" s="19">
        <v>7.0000000000000098</v>
      </c>
      <c r="CR433" s="19">
        <v>15.284136532287683</v>
      </c>
      <c r="HM433" s="620">
        <f t="shared" ref="HM433:HU433" si="244">HM63</f>
        <v>0</v>
      </c>
      <c r="HN433" s="620">
        <f t="shared" si="244"/>
        <v>0</v>
      </c>
      <c r="HO433" s="620">
        <f t="shared" si="244"/>
        <v>0</v>
      </c>
      <c r="HP433" s="620">
        <f t="shared" si="244"/>
        <v>0</v>
      </c>
      <c r="HQ433" s="620">
        <f t="shared" si="244"/>
        <v>0</v>
      </c>
      <c r="HR433" s="620">
        <f t="shared" si="244"/>
        <v>0</v>
      </c>
      <c r="HS433" s="620">
        <f t="shared" si="244"/>
        <v>0</v>
      </c>
      <c r="HT433" s="620">
        <f t="shared" si="244"/>
        <v>0</v>
      </c>
      <c r="HU433" s="620" t="str">
        <f t="shared" si="244"/>
        <v>offfarm</v>
      </c>
      <c r="HV433" s="22" t="s">
        <v>2013</v>
      </c>
      <c r="IB433" s="11">
        <f t="shared" ref="IB433:II433" si="245">IB63</f>
        <v>0.47300000000000003</v>
      </c>
      <c r="IC433" s="11">
        <f t="shared" si="245"/>
        <v>0.13</v>
      </c>
      <c r="ID433" s="11">
        <f t="shared" si="245"/>
        <v>0.39100000000000001</v>
      </c>
      <c r="IE433" s="11">
        <f t="shared" si="245"/>
        <v>5.5E-2</v>
      </c>
      <c r="IF433" s="11">
        <f t="shared" si="245"/>
        <v>3.97</v>
      </c>
      <c r="IG433" s="11">
        <f t="shared" si="245"/>
        <v>4.5999999999999999E-3</v>
      </c>
      <c r="IH433" s="11">
        <f t="shared" si="245"/>
        <v>2.73</v>
      </c>
      <c r="II433" s="11">
        <f t="shared" si="245"/>
        <v>0</v>
      </c>
    </row>
    <row r="434" spans="4:244" x14ac:dyDescent="0.25">
      <c r="D434" s="20" t="s">
        <v>1067</v>
      </c>
      <c r="E434" s="14">
        <v>40310</v>
      </c>
      <c r="F434" s="18">
        <v>-8.5365853658536495E-2</v>
      </c>
      <c r="G434" s="18">
        <v>-8.1818181818181707E-2</v>
      </c>
      <c r="H434" s="21">
        <v>70</v>
      </c>
      <c r="I434" s="21">
        <v>70</v>
      </c>
      <c r="J434" s="21">
        <v>0</v>
      </c>
      <c r="K434" s="18">
        <v>1</v>
      </c>
      <c r="L434" s="18">
        <v>75</v>
      </c>
      <c r="M434" s="18">
        <v>0</v>
      </c>
      <c r="N434" s="18">
        <v>0</v>
      </c>
      <c r="O434" s="18">
        <v>75</v>
      </c>
      <c r="P434" s="18">
        <v>0</v>
      </c>
      <c r="Q434" s="19"/>
      <c r="R434" s="18">
        <v>0</v>
      </c>
      <c r="S434" s="18">
        <v>75</v>
      </c>
      <c r="T434" s="18">
        <v>75</v>
      </c>
      <c r="U434" s="18">
        <v>75</v>
      </c>
      <c r="V434" s="18">
        <v>75</v>
      </c>
      <c r="W434" s="18">
        <v>75</v>
      </c>
      <c r="X434" s="18"/>
      <c r="Y434" s="18">
        <v>0</v>
      </c>
      <c r="Z434" s="18">
        <v>332</v>
      </c>
      <c r="AA434" s="18">
        <v>0</v>
      </c>
      <c r="AB434" s="18">
        <v>0</v>
      </c>
      <c r="AC434" s="18">
        <v>0</v>
      </c>
      <c r="AD434" s="18">
        <v>0</v>
      </c>
      <c r="AE434" s="18">
        <v>0</v>
      </c>
      <c r="AF434" s="18">
        <v>0</v>
      </c>
      <c r="AG434" s="18">
        <v>0</v>
      </c>
      <c r="AH434" s="18">
        <v>0</v>
      </c>
      <c r="AI434" s="18">
        <v>0</v>
      </c>
      <c r="AJ434" s="18">
        <v>0</v>
      </c>
      <c r="AK434" s="18">
        <v>0</v>
      </c>
      <c r="AL434" s="18"/>
      <c r="AM434" s="18">
        <v>0</v>
      </c>
      <c r="AN434" s="18">
        <v>0</v>
      </c>
      <c r="AO434" s="18">
        <v>0</v>
      </c>
      <c r="AP434" s="18">
        <v>0</v>
      </c>
      <c r="AQ434" s="18">
        <v>0</v>
      </c>
      <c r="AR434" s="18">
        <v>0</v>
      </c>
      <c r="AS434" s="18">
        <v>0</v>
      </c>
      <c r="AT434" s="18">
        <v>0</v>
      </c>
      <c r="AU434" s="18">
        <v>0</v>
      </c>
      <c r="AV434" s="18">
        <v>0</v>
      </c>
      <c r="AW434" s="18">
        <v>0</v>
      </c>
      <c r="AX434" s="18"/>
      <c r="AY434" s="18">
        <v>1</v>
      </c>
      <c r="AZ434" s="18">
        <v>1</v>
      </c>
      <c r="BA434" s="18">
        <v>1</v>
      </c>
      <c r="BB434" s="18">
        <v>1</v>
      </c>
      <c r="BC434" s="18">
        <v>1</v>
      </c>
      <c r="BD434" s="18">
        <v>1</v>
      </c>
      <c r="BE434" s="18">
        <v>1</v>
      </c>
      <c r="BF434" s="18">
        <v>1</v>
      </c>
      <c r="BG434" s="18">
        <v>1</v>
      </c>
      <c r="BH434" s="18">
        <v>1</v>
      </c>
      <c r="BI434" s="18">
        <v>1</v>
      </c>
      <c r="BJ434" s="19"/>
      <c r="BK434" s="18">
        <v>0</v>
      </c>
      <c r="BL434" s="18">
        <v>0</v>
      </c>
      <c r="BM434" s="18">
        <v>100</v>
      </c>
      <c r="BN434" s="18">
        <v>0</v>
      </c>
      <c r="BO434" s="18"/>
      <c r="BP434" s="18">
        <v>0</v>
      </c>
      <c r="BQ434" s="18">
        <v>0</v>
      </c>
      <c r="BR434" s="18">
        <v>-0.113821138211382</v>
      </c>
      <c r="BS434" s="18">
        <v>-0.10909090909090895</v>
      </c>
      <c r="BT434" s="19"/>
      <c r="BU434" s="18">
        <v>0</v>
      </c>
      <c r="BV434" s="18">
        <v>0</v>
      </c>
      <c r="BW434" s="18">
        <v>0</v>
      </c>
      <c r="BX434" s="18" t="s">
        <v>217</v>
      </c>
      <c r="BY434" s="18" t="s">
        <v>217</v>
      </c>
      <c r="BZ434" s="18" t="s">
        <v>217</v>
      </c>
      <c r="CA434" s="18" t="s">
        <v>217</v>
      </c>
      <c r="CB434" s="19"/>
      <c r="CC434" s="19">
        <v>0</v>
      </c>
      <c r="CD434" s="19">
        <v>249</v>
      </c>
      <c r="CE434" s="19">
        <v>0</v>
      </c>
      <c r="CF434" s="19">
        <v>0</v>
      </c>
      <c r="CG434" s="19">
        <v>0</v>
      </c>
      <c r="CH434" s="19">
        <v>0</v>
      </c>
      <c r="CI434" s="19">
        <v>0</v>
      </c>
      <c r="CJ434" s="19"/>
      <c r="CK434" s="19">
        <v>0</v>
      </c>
      <c r="CL434" s="19">
        <v>0</v>
      </c>
      <c r="CM434" s="19">
        <v>0</v>
      </c>
      <c r="CN434" s="19">
        <v>0</v>
      </c>
      <c r="CO434" s="19">
        <v>0</v>
      </c>
      <c r="CP434" s="19">
        <v>0</v>
      </c>
      <c r="CQ434" s="19">
        <v>0</v>
      </c>
      <c r="CR434" s="19">
        <v>0</v>
      </c>
      <c r="HM434" s="620">
        <f t="shared" ref="HM434:HU434" si="246">HM64</f>
        <v>0</v>
      </c>
      <c r="HN434" s="620">
        <f t="shared" si="246"/>
        <v>0</v>
      </c>
      <c r="HO434" s="620">
        <f t="shared" si="246"/>
        <v>0</v>
      </c>
      <c r="HP434" s="620">
        <f t="shared" si="246"/>
        <v>0</v>
      </c>
      <c r="HQ434" s="620">
        <f t="shared" si="246"/>
        <v>0</v>
      </c>
      <c r="HR434" s="620">
        <f t="shared" si="246"/>
        <v>0</v>
      </c>
      <c r="HS434" s="620">
        <f t="shared" si="246"/>
        <v>0</v>
      </c>
      <c r="HT434" s="620">
        <f t="shared" si="246"/>
        <v>0</v>
      </c>
      <c r="HU434" s="620" t="str">
        <f t="shared" si="246"/>
        <v>offfarm</v>
      </c>
      <c r="HV434" s="22" t="s">
        <v>2013</v>
      </c>
      <c r="IB434" s="11">
        <f t="shared" ref="IB434:II434" si="247">IB64</f>
        <v>0.47300000000000003</v>
      </c>
      <c r="IC434" s="11">
        <f t="shared" si="247"/>
        <v>0.13</v>
      </c>
      <c r="ID434" s="11">
        <f t="shared" si="247"/>
        <v>0.39100000000000001</v>
      </c>
      <c r="IE434" s="11">
        <f t="shared" si="247"/>
        <v>5.5E-2</v>
      </c>
      <c r="IF434" s="11">
        <f t="shared" si="247"/>
        <v>3.97</v>
      </c>
      <c r="IG434" s="11">
        <f t="shared" si="247"/>
        <v>4.5999999999999999E-3</v>
      </c>
      <c r="IH434" s="11">
        <f t="shared" si="247"/>
        <v>2.73</v>
      </c>
      <c r="II434" s="11">
        <f t="shared" si="247"/>
        <v>0</v>
      </c>
    </row>
    <row r="435" spans="4:244" x14ac:dyDescent="0.25">
      <c r="D435" s="20" t="s">
        <v>1068</v>
      </c>
      <c r="E435" s="14">
        <v>40310</v>
      </c>
      <c r="F435" s="18">
        <v>3.7704943592503599</v>
      </c>
      <c r="G435" s="18">
        <v>3.62001550276204</v>
      </c>
      <c r="H435" s="21">
        <v>97</v>
      </c>
      <c r="I435" s="21">
        <v>97</v>
      </c>
      <c r="J435" s="21">
        <v>90</v>
      </c>
      <c r="K435" s="18">
        <v>1</v>
      </c>
      <c r="L435" s="18">
        <v>98.5</v>
      </c>
      <c r="M435" s="18">
        <v>9.9494949494949495E-5</v>
      </c>
      <c r="N435" s="18">
        <v>98.5</v>
      </c>
      <c r="O435" s="18">
        <v>0</v>
      </c>
      <c r="P435" s="18">
        <v>0</v>
      </c>
      <c r="Q435" s="19"/>
      <c r="R435" s="18">
        <v>0</v>
      </c>
      <c r="S435" s="18">
        <v>0</v>
      </c>
      <c r="T435" s="18">
        <v>0</v>
      </c>
      <c r="U435" s="18">
        <v>0</v>
      </c>
      <c r="V435" s="18">
        <v>0</v>
      </c>
      <c r="W435" s="18">
        <v>0</v>
      </c>
      <c r="X435" s="18"/>
      <c r="Y435" s="18">
        <v>0</v>
      </c>
      <c r="Z435" s="18">
        <v>0</v>
      </c>
      <c r="AA435" s="18">
        <v>0</v>
      </c>
      <c r="AB435" s="18">
        <v>0</v>
      </c>
      <c r="AC435" s="18">
        <v>0</v>
      </c>
      <c r="AD435" s="18">
        <v>0</v>
      </c>
      <c r="AE435" s="18">
        <v>0</v>
      </c>
      <c r="AF435" s="18">
        <v>0</v>
      </c>
      <c r="AG435" s="18">
        <v>0</v>
      </c>
      <c r="AH435" s="18">
        <v>0</v>
      </c>
      <c r="AI435" s="18">
        <v>0</v>
      </c>
      <c r="AJ435" s="18">
        <v>0</v>
      </c>
      <c r="AK435" s="18">
        <v>0</v>
      </c>
      <c r="AL435" s="18"/>
      <c r="AM435" s="18">
        <v>0</v>
      </c>
      <c r="AN435" s="18">
        <v>0</v>
      </c>
      <c r="AO435" s="18">
        <v>0</v>
      </c>
      <c r="AP435" s="18">
        <v>0</v>
      </c>
      <c r="AQ435" s="18">
        <v>0</v>
      </c>
      <c r="AR435" s="18">
        <v>0</v>
      </c>
      <c r="AS435" s="18">
        <v>0</v>
      </c>
      <c r="AT435" s="18">
        <v>0</v>
      </c>
      <c r="AU435" s="18">
        <v>0</v>
      </c>
      <c r="AV435" s="18">
        <v>0</v>
      </c>
      <c r="AW435" s="18">
        <v>0</v>
      </c>
      <c r="AX435" s="18"/>
      <c r="AY435" s="18">
        <v>1</v>
      </c>
      <c r="AZ435" s="18">
        <v>1</v>
      </c>
      <c r="BA435" s="18">
        <v>1</v>
      </c>
      <c r="BB435" s="18">
        <v>1</v>
      </c>
      <c r="BC435" s="18">
        <v>1</v>
      </c>
      <c r="BD435" s="18">
        <v>1</v>
      </c>
      <c r="BE435" s="18">
        <v>1</v>
      </c>
      <c r="BF435" s="18">
        <v>1</v>
      </c>
      <c r="BG435" s="18">
        <v>1</v>
      </c>
      <c r="BH435" s="18">
        <v>1</v>
      </c>
      <c r="BI435" s="18">
        <v>1</v>
      </c>
      <c r="BJ435" s="19"/>
      <c r="BK435" s="18">
        <v>1.0101010101010101E-4</v>
      </c>
      <c r="BL435" s="18">
        <v>100</v>
      </c>
      <c r="BM435" s="18">
        <v>0</v>
      </c>
      <c r="BN435" s="18">
        <v>0</v>
      </c>
      <c r="BO435" s="18"/>
      <c r="BP435" s="18">
        <v>57</v>
      </c>
      <c r="BQ435" s="18">
        <v>570</v>
      </c>
      <c r="BR435" s="18">
        <v>3.8279130550765075</v>
      </c>
      <c r="BS435" s="18">
        <v>3.67514264239801</v>
      </c>
      <c r="BT435" s="19"/>
      <c r="BU435" s="18">
        <v>1000</v>
      </c>
      <c r="BV435" s="18">
        <v>-9.1919191907823146E-4</v>
      </c>
      <c r="BW435" s="18">
        <v>0</v>
      </c>
      <c r="BX435" s="18">
        <v>0</v>
      </c>
      <c r="BY435" s="18">
        <v>0</v>
      </c>
      <c r="BZ435" s="18">
        <v>0</v>
      </c>
      <c r="CA435" s="18">
        <v>0</v>
      </c>
      <c r="CB435" s="19"/>
      <c r="CC435" s="19">
        <v>0</v>
      </c>
      <c r="CD435" s="19">
        <v>0</v>
      </c>
      <c r="CE435" s="19">
        <v>0</v>
      </c>
      <c r="CF435" s="19">
        <v>0</v>
      </c>
      <c r="CG435" s="19">
        <v>0</v>
      </c>
      <c r="CH435" s="19">
        <v>0</v>
      </c>
      <c r="CI435" s="19">
        <v>0</v>
      </c>
      <c r="CJ435" s="19"/>
      <c r="CK435" s="19">
        <v>0</v>
      </c>
      <c r="CL435" s="19">
        <v>0</v>
      </c>
      <c r="CM435" s="19">
        <v>0</v>
      </c>
      <c r="CN435" s="19">
        <v>0</v>
      </c>
      <c r="CO435" s="19">
        <v>0</v>
      </c>
      <c r="CP435" s="19">
        <v>0</v>
      </c>
      <c r="CQ435" s="19">
        <v>0</v>
      </c>
      <c r="CR435" s="19">
        <v>0</v>
      </c>
      <c r="HM435" s="620">
        <f t="shared" ref="HM435:HU435" si="248">HM65</f>
        <v>0</v>
      </c>
      <c r="HN435" s="620">
        <f t="shared" si="248"/>
        <v>0</v>
      </c>
      <c r="HO435" s="620">
        <f t="shared" si="248"/>
        <v>0</v>
      </c>
      <c r="HP435" s="620">
        <f t="shared" si="248"/>
        <v>0</v>
      </c>
      <c r="HQ435" s="620">
        <f t="shared" si="248"/>
        <v>0</v>
      </c>
      <c r="HR435" s="620">
        <f t="shared" si="248"/>
        <v>0</v>
      </c>
      <c r="HS435" s="620">
        <f t="shared" si="248"/>
        <v>0</v>
      </c>
      <c r="HT435" s="620">
        <f t="shared" si="248"/>
        <v>0</v>
      </c>
      <c r="HU435" s="620" t="str">
        <f t="shared" si="248"/>
        <v>offfarm</v>
      </c>
      <c r="HV435" s="22" t="s">
        <v>1934</v>
      </c>
      <c r="IB435" s="11">
        <f t="shared" ref="IB435:II435" si="249">IB65</f>
        <v>0.47300000000000003</v>
      </c>
      <c r="IC435" s="11">
        <f t="shared" si="249"/>
        <v>0.13</v>
      </c>
      <c r="ID435" s="11">
        <f t="shared" si="249"/>
        <v>0.39100000000000001</v>
      </c>
      <c r="IE435" s="11">
        <f t="shared" si="249"/>
        <v>5.5E-2</v>
      </c>
      <c r="IF435" s="11">
        <f t="shared" si="249"/>
        <v>3.97</v>
      </c>
      <c r="IG435" s="11">
        <f t="shared" si="249"/>
        <v>4.5999999999999999E-3</v>
      </c>
      <c r="IH435" s="11">
        <f t="shared" si="249"/>
        <v>2.73</v>
      </c>
      <c r="II435" s="11">
        <f t="shared" si="249"/>
        <v>0</v>
      </c>
    </row>
    <row r="436" spans="4:244" x14ac:dyDescent="0.25">
      <c r="D436" s="185" t="s">
        <v>1069</v>
      </c>
      <c r="E436" s="14">
        <v>40310</v>
      </c>
      <c r="F436" s="18">
        <v>3.5622558890542</v>
      </c>
      <c r="G436" s="18">
        <v>3.42008774301559</v>
      </c>
      <c r="H436" s="21">
        <v>97</v>
      </c>
      <c r="I436" s="21">
        <v>97</v>
      </c>
      <c r="J436" s="21">
        <v>90</v>
      </c>
      <c r="K436" s="18">
        <v>0.94</v>
      </c>
      <c r="L436" s="18">
        <v>99</v>
      </c>
      <c r="M436" s="18">
        <v>1E-4</v>
      </c>
      <c r="N436" s="18">
        <v>99</v>
      </c>
      <c r="O436" s="18">
        <v>0</v>
      </c>
      <c r="P436" s="18">
        <v>0</v>
      </c>
      <c r="Q436" s="19"/>
      <c r="R436" s="18">
        <v>0</v>
      </c>
      <c r="S436" s="18">
        <v>0</v>
      </c>
      <c r="T436" s="18">
        <v>0</v>
      </c>
      <c r="U436" s="18">
        <v>0</v>
      </c>
      <c r="V436" s="18">
        <v>0</v>
      </c>
      <c r="W436" s="18">
        <v>0</v>
      </c>
      <c r="X436" s="18"/>
      <c r="Y436" s="18">
        <v>0</v>
      </c>
      <c r="Z436" s="18">
        <v>0</v>
      </c>
      <c r="AA436" s="18">
        <v>0</v>
      </c>
      <c r="AB436" s="18">
        <v>0</v>
      </c>
      <c r="AC436" s="18">
        <v>0</v>
      </c>
      <c r="AD436" s="18">
        <v>0</v>
      </c>
      <c r="AE436" s="18">
        <v>0</v>
      </c>
      <c r="AF436" s="18">
        <v>0</v>
      </c>
      <c r="AG436" s="18">
        <v>0</v>
      </c>
      <c r="AH436" s="18">
        <v>0</v>
      </c>
      <c r="AI436" s="18">
        <v>0</v>
      </c>
      <c r="AJ436" s="18">
        <v>0</v>
      </c>
      <c r="AK436" s="18">
        <v>0</v>
      </c>
      <c r="AL436" s="18"/>
      <c r="AM436" s="18">
        <v>0</v>
      </c>
      <c r="AN436" s="18">
        <v>0</v>
      </c>
      <c r="AO436" s="18">
        <v>0</v>
      </c>
      <c r="AP436" s="18">
        <v>0</v>
      </c>
      <c r="AQ436" s="18">
        <v>0</v>
      </c>
      <c r="AR436" s="18">
        <v>0</v>
      </c>
      <c r="AS436" s="18">
        <v>0</v>
      </c>
      <c r="AT436" s="18">
        <v>0</v>
      </c>
      <c r="AU436" s="18">
        <v>0</v>
      </c>
      <c r="AV436" s="18">
        <v>0</v>
      </c>
      <c r="AW436" s="18">
        <v>0</v>
      </c>
      <c r="AX436" s="18"/>
      <c r="AY436" s="18">
        <v>1</v>
      </c>
      <c r="AZ436" s="18">
        <v>1</v>
      </c>
      <c r="BA436" s="18">
        <v>1</v>
      </c>
      <c r="BB436" s="18">
        <v>1</v>
      </c>
      <c r="BC436" s="18">
        <v>1</v>
      </c>
      <c r="BD436" s="18">
        <v>1</v>
      </c>
      <c r="BE436" s="18">
        <v>1</v>
      </c>
      <c r="BF436" s="18">
        <v>1</v>
      </c>
      <c r="BG436" s="18">
        <v>1</v>
      </c>
      <c r="BH436" s="18">
        <v>1</v>
      </c>
      <c r="BI436" s="18">
        <v>1</v>
      </c>
      <c r="BJ436" s="19"/>
      <c r="BK436" s="18">
        <v>1.0101010101010101E-4</v>
      </c>
      <c r="BL436" s="18">
        <v>100</v>
      </c>
      <c r="BM436" s="18">
        <v>0</v>
      </c>
      <c r="BN436" s="18">
        <v>0</v>
      </c>
      <c r="BO436" s="18"/>
      <c r="BP436" s="18">
        <v>65</v>
      </c>
      <c r="BQ436" s="18">
        <v>650</v>
      </c>
      <c r="BR436" s="18">
        <v>3.598238271771919</v>
      </c>
      <c r="BS436" s="18">
        <v>3.4546340838541312</v>
      </c>
      <c r="BT436" s="19"/>
      <c r="BU436" s="18">
        <v>1000</v>
      </c>
      <c r="BV436" s="18">
        <v>-9.1919191907823222E-4</v>
      </c>
      <c r="BW436" s="18">
        <v>0</v>
      </c>
      <c r="BX436" s="18">
        <v>0</v>
      </c>
      <c r="BY436" s="18">
        <v>0</v>
      </c>
      <c r="BZ436" s="18" t="s">
        <v>217</v>
      </c>
      <c r="CA436" s="18" t="s">
        <v>217</v>
      </c>
      <c r="CB436" s="19"/>
      <c r="CC436" s="19">
        <v>0</v>
      </c>
      <c r="CD436" s="19">
        <v>0</v>
      </c>
      <c r="CE436" s="19">
        <v>0</v>
      </c>
      <c r="CF436" s="19">
        <v>0</v>
      </c>
      <c r="CG436" s="19">
        <v>0</v>
      </c>
      <c r="CH436" s="19">
        <v>0</v>
      </c>
      <c r="CI436" s="19">
        <v>0</v>
      </c>
      <c r="CJ436" s="19"/>
      <c r="CK436" s="19">
        <v>0</v>
      </c>
      <c r="CL436" s="19">
        <v>0</v>
      </c>
      <c r="CM436" s="19">
        <v>0</v>
      </c>
      <c r="CN436" s="19">
        <v>0</v>
      </c>
      <c r="CO436" s="19">
        <v>0</v>
      </c>
      <c r="CP436" s="19">
        <v>0</v>
      </c>
      <c r="CQ436" s="19">
        <v>0</v>
      </c>
      <c r="CR436" s="19">
        <v>0</v>
      </c>
      <c r="HM436" s="620">
        <f t="shared" ref="HM436:HU436" si="250">HM66</f>
        <v>0</v>
      </c>
      <c r="HN436" s="620">
        <f t="shared" si="250"/>
        <v>0</v>
      </c>
      <c r="HO436" s="620">
        <f t="shared" si="250"/>
        <v>0</v>
      </c>
      <c r="HP436" s="620">
        <f t="shared" si="250"/>
        <v>0</v>
      </c>
      <c r="HQ436" s="620">
        <f t="shared" si="250"/>
        <v>0</v>
      </c>
      <c r="HR436" s="620">
        <f t="shared" si="250"/>
        <v>0</v>
      </c>
      <c r="HS436" s="620">
        <f t="shared" si="250"/>
        <v>0</v>
      </c>
      <c r="HT436" s="620">
        <f t="shared" si="250"/>
        <v>0</v>
      </c>
      <c r="HU436" s="620" t="str">
        <f t="shared" si="250"/>
        <v>offfarm</v>
      </c>
      <c r="HV436" s="22" t="s">
        <v>2023</v>
      </c>
      <c r="IB436" s="11">
        <f t="shared" ref="IB436:II436" si="251">IB66</f>
        <v>0.47300000000000003</v>
      </c>
      <c r="IC436" s="11">
        <f t="shared" si="251"/>
        <v>0.13</v>
      </c>
      <c r="ID436" s="11">
        <f t="shared" si="251"/>
        <v>0.39100000000000001</v>
      </c>
      <c r="IE436" s="11">
        <f t="shared" si="251"/>
        <v>5.5E-2</v>
      </c>
      <c r="IF436" s="11">
        <f t="shared" si="251"/>
        <v>3.97</v>
      </c>
      <c r="IG436" s="11">
        <f t="shared" si="251"/>
        <v>4.5999999999999999E-3</v>
      </c>
      <c r="IH436" s="11">
        <f t="shared" si="251"/>
        <v>2.73</v>
      </c>
      <c r="II436" s="11">
        <f t="shared" si="251"/>
        <v>0</v>
      </c>
    </row>
    <row r="437" spans="4:244" x14ac:dyDescent="0.25">
      <c r="D437" s="20" t="s">
        <v>319</v>
      </c>
      <c r="E437" s="14">
        <v>40310</v>
      </c>
      <c r="F437" s="18">
        <v>1.2529276351783201</v>
      </c>
      <c r="G437" s="18">
        <v>1.20085791527481</v>
      </c>
      <c r="H437" s="21">
        <v>100</v>
      </c>
      <c r="I437" s="21">
        <v>100</v>
      </c>
      <c r="J437" s="21">
        <v>91</v>
      </c>
      <c r="K437" s="18">
        <v>1</v>
      </c>
      <c r="L437" s="18">
        <v>85.2</v>
      </c>
      <c r="M437" s="18">
        <v>0.70000320000000005</v>
      </c>
      <c r="N437" s="18">
        <v>9.99999999999997E-2</v>
      </c>
      <c r="O437" s="18">
        <v>5.8</v>
      </c>
      <c r="P437" s="18">
        <v>0</v>
      </c>
      <c r="Q437" s="19"/>
      <c r="R437" s="18">
        <v>50</v>
      </c>
      <c r="S437" s="18">
        <v>67</v>
      </c>
      <c r="T437" s="18">
        <v>67</v>
      </c>
      <c r="U437" s="18">
        <v>67</v>
      </c>
      <c r="V437" s="18">
        <v>67</v>
      </c>
      <c r="W437" s="18">
        <v>67</v>
      </c>
      <c r="X437" s="18"/>
      <c r="Y437" s="18">
        <v>4.9999999999999996E-2</v>
      </c>
      <c r="Z437" s="18">
        <v>0.91</v>
      </c>
      <c r="AA437" s="18">
        <v>22.3</v>
      </c>
      <c r="AB437" s="18">
        <v>0</v>
      </c>
      <c r="AC437" s="18">
        <v>48.999999999999993</v>
      </c>
      <c r="AD437" s="18">
        <v>3.9999999999999996</v>
      </c>
      <c r="AE437" s="18">
        <v>6.6999999999999993</v>
      </c>
      <c r="AF437" s="18">
        <v>150</v>
      </c>
      <c r="AG437" s="18">
        <v>4.5999999999999996</v>
      </c>
      <c r="AH437" s="18">
        <v>13</v>
      </c>
      <c r="AI437" s="18">
        <v>7.8</v>
      </c>
      <c r="AJ437" s="18">
        <v>0</v>
      </c>
      <c r="AK437" s="18">
        <v>0.44</v>
      </c>
      <c r="AL437" s="18"/>
      <c r="AM437" s="18">
        <v>0</v>
      </c>
      <c r="AN437" s="18">
        <v>0</v>
      </c>
      <c r="AO437" s="18">
        <v>0</v>
      </c>
      <c r="AP437" s="18">
        <v>0</v>
      </c>
      <c r="AQ437" s="18">
        <v>0</v>
      </c>
      <c r="AR437" s="18">
        <v>0</v>
      </c>
      <c r="AS437" s="18">
        <v>0</v>
      </c>
      <c r="AT437" s="18">
        <v>0</v>
      </c>
      <c r="AU437" s="18">
        <v>0</v>
      </c>
      <c r="AV437" s="18">
        <v>0</v>
      </c>
      <c r="AW437" s="18">
        <v>0</v>
      </c>
      <c r="AX437" s="18"/>
      <c r="AY437" s="18">
        <v>1</v>
      </c>
      <c r="AZ437" s="18">
        <v>1</v>
      </c>
      <c r="BA437" s="18">
        <v>1</v>
      </c>
      <c r="BB437" s="18">
        <v>1</v>
      </c>
      <c r="BC437" s="18">
        <v>1</v>
      </c>
      <c r="BD437" s="18">
        <v>1</v>
      </c>
      <c r="BE437" s="18">
        <v>1</v>
      </c>
      <c r="BF437" s="18">
        <v>1</v>
      </c>
      <c r="BG437" s="18">
        <v>1</v>
      </c>
      <c r="BH437" s="18">
        <v>1</v>
      </c>
      <c r="BI437" s="18">
        <v>1</v>
      </c>
      <c r="BJ437" s="19"/>
      <c r="BK437" s="18">
        <v>0.8216</v>
      </c>
      <c r="BL437" s="18">
        <v>0.11737089201877898</v>
      </c>
      <c r="BM437" s="18">
        <v>6.8075117370892011</v>
      </c>
      <c r="BN437" s="18">
        <v>0</v>
      </c>
      <c r="BO437" s="18"/>
      <c r="BP437" s="18">
        <v>0</v>
      </c>
      <c r="BQ437" s="18">
        <v>0</v>
      </c>
      <c r="BR437" s="18">
        <v>1.4705723417585916</v>
      </c>
      <c r="BS437" s="18">
        <v>1.4094576470361619</v>
      </c>
      <c r="BT437" s="19"/>
      <c r="BU437" s="18">
        <v>931.92488262910797</v>
      </c>
      <c r="BV437" s="18">
        <v>923.30982497652576</v>
      </c>
      <c r="BW437" s="18">
        <v>0</v>
      </c>
      <c r="BX437" s="18">
        <v>0</v>
      </c>
      <c r="BY437" s="18">
        <v>0</v>
      </c>
      <c r="BZ437" s="18">
        <v>0</v>
      </c>
      <c r="CA437" s="18">
        <v>0</v>
      </c>
      <c r="CB437" s="19"/>
      <c r="CC437" s="19">
        <v>4.2599999999999992E-2</v>
      </c>
      <c r="CD437" s="19">
        <v>0.77532000000000001</v>
      </c>
      <c r="CE437" s="19">
        <v>18.999600000000001</v>
      </c>
      <c r="CF437" s="19">
        <v>0</v>
      </c>
      <c r="CG437" s="19">
        <v>41.74799999999999</v>
      </c>
      <c r="CH437" s="19">
        <v>3.4079999999999995</v>
      </c>
      <c r="CI437" s="19">
        <v>5.7083999999999993</v>
      </c>
      <c r="CJ437" s="19"/>
      <c r="CK437" s="19">
        <v>127.8</v>
      </c>
      <c r="CL437" s="19">
        <v>3.9191999999999996</v>
      </c>
      <c r="CM437" s="19">
        <v>11.076000000000001</v>
      </c>
      <c r="CN437" s="19">
        <v>6.6456</v>
      </c>
      <c r="CO437" s="19">
        <v>0</v>
      </c>
      <c r="CP437" s="19">
        <v>0.37487999999999999</v>
      </c>
      <c r="CQ437" s="19">
        <v>3.500016</v>
      </c>
      <c r="CR437" s="19">
        <v>2.7934701907200474</v>
      </c>
      <c r="HM437" s="620">
        <f t="shared" ref="HM437:HU437" si="252">HM67</f>
        <v>0</v>
      </c>
      <c r="HN437" s="620">
        <f t="shared" si="252"/>
        <v>0</v>
      </c>
      <c r="HO437" s="620">
        <f t="shared" si="252"/>
        <v>0</v>
      </c>
      <c r="HP437" s="620">
        <f t="shared" si="252"/>
        <v>0</v>
      </c>
      <c r="HQ437" s="620">
        <f t="shared" si="252"/>
        <v>0</v>
      </c>
      <c r="HR437" s="620">
        <f t="shared" si="252"/>
        <v>0</v>
      </c>
      <c r="HS437" s="620">
        <f t="shared" si="252"/>
        <v>0</v>
      </c>
      <c r="HT437" s="620">
        <f t="shared" si="252"/>
        <v>0</v>
      </c>
      <c r="HU437" s="620" t="str">
        <f t="shared" si="252"/>
        <v>offfarm</v>
      </c>
      <c r="HV437" s="22" t="s">
        <v>2013</v>
      </c>
      <c r="IB437" s="11">
        <f t="shared" ref="IB437:II437" si="253">IB67</f>
        <v>0.47300000000000003</v>
      </c>
      <c r="IC437" s="11">
        <f t="shared" si="253"/>
        <v>0.13</v>
      </c>
      <c r="ID437" s="11">
        <f t="shared" si="253"/>
        <v>0.39100000000000001</v>
      </c>
      <c r="IE437" s="11">
        <f t="shared" si="253"/>
        <v>5.5E-2</v>
      </c>
      <c r="IF437" s="11">
        <f t="shared" si="253"/>
        <v>3.97</v>
      </c>
      <c r="IG437" s="11">
        <f t="shared" si="253"/>
        <v>4.5999999999999999E-3</v>
      </c>
      <c r="IH437" s="11">
        <f t="shared" si="253"/>
        <v>2.73</v>
      </c>
      <c r="II437" s="11">
        <f t="shared" si="253"/>
        <v>0</v>
      </c>
    </row>
    <row r="438" spans="4:244" x14ac:dyDescent="0.25">
      <c r="D438" s="20" t="s">
        <v>1070</v>
      </c>
      <c r="E438" s="14">
        <v>41533</v>
      </c>
      <c r="F438" s="18">
        <v>0.20593777346109199</v>
      </c>
      <c r="G438" s="18">
        <v>0.23176176203784801</v>
      </c>
      <c r="H438" s="21">
        <v>60.15</v>
      </c>
      <c r="I438" s="21">
        <v>50.2</v>
      </c>
      <c r="J438" s="21">
        <v>75</v>
      </c>
      <c r="K438" s="18">
        <v>1</v>
      </c>
      <c r="L438" s="18">
        <v>31.6</v>
      </c>
      <c r="M438" s="18">
        <v>5.0876000000000001</v>
      </c>
      <c r="N438" s="18">
        <v>1.4536</v>
      </c>
      <c r="O438" s="18">
        <v>3.1284000000000001</v>
      </c>
      <c r="P438" s="18">
        <v>8.0896000000000008</v>
      </c>
      <c r="Q438" s="19"/>
      <c r="R438" s="18">
        <v>53.681622271517298</v>
      </c>
      <c r="S438" s="18">
        <v>27</v>
      </c>
      <c r="T438" s="18">
        <v>27</v>
      </c>
      <c r="U438" s="18">
        <v>27</v>
      </c>
      <c r="V438" s="18">
        <v>27</v>
      </c>
      <c r="W438" s="18">
        <v>27</v>
      </c>
      <c r="X438" s="18"/>
      <c r="Y438" s="18">
        <v>5.9</v>
      </c>
      <c r="Z438" s="18">
        <v>3.5</v>
      </c>
      <c r="AA438" s="18">
        <v>1.3</v>
      </c>
      <c r="AB438" s="18">
        <v>11.999999999999998</v>
      </c>
      <c r="AC438" s="18">
        <v>30.5</v>
      </c>
      <c r="AD438" s="18">
        <v>1.6</v>
      </c>
      <c r="AE438" s="18">
        <v>0</v>
      </c>
      <c r="AF438" s="18">
        <v>219.99999999999997</v>
      </c>
      <c r="AG438" s="18">
        <v>6.4999999999999991</v>
      </c>
      <c r="AH438" s="18">
        <v>77</v>
      </c>
      <c r="AI438" s="18">
        <v>51</v>
      </c>
      <c r="AJ438" s="18">
        <v>0</v>
      </c>
      <c r="AK438" s="18">
        <v>0.02</v>
      </c>
      <c r="AL438" s="18"/>
      <c r="AM438" s="18">
        <v>3.63</v>
      </c>
      <c r="AN438" s="18">
        <v>1.31</v>
      </c>
      <c r="AO438" s="18">
        <v>0.74</v>
      </c>
      <c r="AP438" s="18">
        <v>3.67</v>
      </c>
      <c r="AQ438" s="18">
        <v>1.1200000000000001</v>
      </c>
      <c r="AR438" s="18">
        <v>3.89</v>
      </c>
      <c r="AS438" s="18">
        <v>6.63</v>
      </c>
      <c r="AT438" s="18">
        <v>1.53</v>
      </c>
      <c r="AU438" s="18">
        <v>4.29</v>
      </c>
      <c r="AV438" s="18">
        <v>2.31</v>
      </c>
      <c r="AW438" s="18">
        <v>5.14</v>
      </c>
      <c r="AX438" s="18"/>
      <c r="AY438" s="18">
        <v>1</v>
      </c>
      <c r="AZ438" s="18">
        <v>1</v>
      </c>
      <c r="BA438" s="18">
        <v>1</v>
      </c>
      <c r="BB438" s="18">
        <v>1</v>
      </c>
      <c r="BC438" s="18">
        <v>1</v>
      </c>
      <c r="BD438" s="18">
        <v>1</v>
      </c>
      <c r="BE438" s="18">
        <v>1</v>
      </c>
      <c r="BF438" s="18">
        <v>1</v>
      </c>
      <c r="BG438" s="18">
        <v>1</v>
      </c>
      <c r="BH438" s="18">
        <v>1</v>
      </c>
      <c r="BI438" s="18">
        <v>1</v>
      </c>
      <c r="BJ438" s="19"/>
      <c r="BK438" s="18">
        <v>16.100000000000001</v>
      </c>
      <c r="BL438" s="18">
        <v>4.5999999999999996</v>
      </c>
      <c r="BM438" s="18">
        <v>9.9</v>
      </c>
      <c r="BN438" s="18">
        <v>25.6</v>
      </c>
      <c r="BO438" s="18"/>
      <c r="BP438" s="18">
        <v>120</v>
      </c>
      <c r="BQ438" s="18">
        <v>55.2</v>
      </c>
      <c r="BR438" s="18">
        <v>0.6517018147502911</v>
      </c>
      <c r="BS438" s="18">
        <v>0.73342329758812663</v>
      </c>
      <c r="BT438" s="19"/>
      <c r="BU438" s="18">
        <v>901</v>
      </c>
      <c r="BV438" s="18">
        <v>222.75078571428608</v>
      </c>
      <c r="BW438" s="18">
        <v>128.0707142857139</v>
      </c>
      <c r="BX438" s="18">
        <v>0</v>
      </c>
      <c r="BY438" s="18">
        <v>45</v>
      </c>
      <c r="BZ438" s="18">
        <v>37.999999999999993</v>
      </c>
      <c r="CA438" s="18">
        <v>489</v>
      </c>
      <c r="CB438" s="19"/>
      <c r="CC438" s="19">
        <v>1.8644000000000001</v>
      </c>
      <c r="CD438" s="19">
        <v>1.1060000000000001</v>
      </c>
      <c r="CE438" s="19">
        <v>0.4108</v>
      </c>
      <c r="CF438" s="19">
        <v>3.7919999999999994</v>
      </c>
      <c r="CG438" s="19">
        <v>9.6379999999999999</v>
      </c>
      <c r="CH438" s="19">
        <v>0.50560000000000005</v>
      </c>
      <c r="CI438" s="19">
        <v>0</v>
      </c>
      <c r="CJ438" s="19"/>
      <c r="CK438" s="19">
        <v>69.52</v>
      </c>
      <c r="CL438" s="19">
        <v>2.0539999999999998</v>
      </c>
      <c r="CM438" s="19">
        <v>24.332000000000001</v>
      </c>
      <c r="CN438" s="19">
        <v>16.116</v>
      </c>
      <c r="CO438" s="19">
        <v>0</v>
      </c>
      <c r="CP438" s="19">
        <v>6.3200000000000001E-3</v>
      </c>
      <c r="CQ438" s="19">
        <v>27.3110621468572</v>
      </c>
      <c r="CR438" s="19">
        <v>132.61803159203868</v>
      </c>
      <c r="HM438" s="620">
        <f t="shared" ref="HM438:HU438" si="254">HM68</f>
        <v>0.252</v>
      </c>
      <c r="HN438" s="620">
        <f t="shared" si="254"/>
        <v>-4.5999999999999999E-2</v>
      </c>
      <c r="HO438" s="620">
        <f t="shared" si="254"/>
        <v>0.219</v>
      </c>
      <c r="HP438" s="620">
        <f t="shared" si="254"/>
        <v>1.0999999999999999E-2</v>
      </c>
      <c r="HQ438" s="620">
        <f t="shared" si="254"/>
        <v>1.65</v>
      </c>
      <c r="HR438" s="620">
        <f t="shared" si="254"/>
        <v>1.9E-3</v>
      </c>
      <c r="HS438" s="620">
        <f t="shared" si="254"/>
        <v>1.53</v>
      </c>
      <c r="HT438" s="620">
        <f t="shared" si="254"/>
        <v>0</v>
      </c>
      <c r="HU438" s="620" t="str">
        <f t="shared" si="254"/>
        <v>offfarm</v>
      </c>
      <c r="HV438" s="22" t="s">
        <v>2024</v>
      </c>
      <c r="IB438" s="11">
        <f t="shared" ref="IB438:II438" si="255">IB68</f>
        <v>0.252</v>
      </c>
      <c r="IC438" s="11">
        <f t="shared" si="255"/>
        <v>-4.5999999999999999E-2</v>
      </c>
      <c r="ID438" s="11">
        <f t="shared" si="255"/>
        <v>0.219</v>
      </c>
      <c r="IE438" s="11">
        <f t="shared" si="255"/>
        <v>1.0999999999999999E-2</v>
      </c>
      <c r="IF438" s="11">
        <f t="shared" si="255"/>
        <v>1.65</v>
      </c>
      <c r="IG438" s="11">
        <f t="shared" si="255"/>
        <v>1.9E-3</v>
      </c>
      <c r="IH438" s="11">
        <f t="shared" si="255"/>
        <v>1.53</v>
      </c>
      <c r="II438" s="11">
        <f t="shared" si="255"/>
        <v>0</v>
      </c>
      <c r="IJ438" s="11" t="str">
        <f>topdowntables!R23</f>
        <v>grass-clover silage - on farm</v>
      </c>
    </row>
    <row r="439" spans="4:244" x14ac:dyDescent="0.25">
      <c r="D439" s="20" t="s">
        <v>1071</v>
      </c>
      <c r="E439" s="14">
        <v>41533</v>
      </c>
      <c r="F439" s="18">
        <v>0.21901364552845501</v>
      </c>
      <c r="G439" s="18">
        <v>0.246454042597402</v>
      </c>
      <c r="H439" s="21">
        <v>60.2</v>
      </c>
      <c r="I439" s="21">
        <v>50.2</v>
      </c>
      <c r="J439" s="21">
        <v>75</v>
      </c>
      <c r="K439" s="18">
        <v>1</v>
      </c>
      <c r="L439" s="18">
        <v>33.6</v>
      </c>
      <c r="M439" s="18">
        <v>5.3087999999999997</v>
      </c>
      <c r="N439" s="18">
        <v>1.5456000000000001</v>
      </c>
      <c r="O439" s="18">
        <v>3.36</v>
      </c>
      <c r="P439" s="18">
        <v>9.0719999999999992</v>
      </c>
      <c r="Q439" s="19"/>
      <c r="R439" s="18">
        <v>53.278839059674503</v>
      </c>
      <c r="S439" s="18">
        <v>27</v>
      </c>
      <c r="T439" s="18">
        <v>27</v>
      </c>
      <c r="U439" s="18">
        <v>27</v>
      </c>
      <c r="V439" s="18">
        <v>27</v>
      </c>
      <c r="W439" s="18">
        <v>27</v>
      </c>
      <c r="X439" s="18"/>
      <c r="Y439" s="18">
        <v>6.5</v>
      </c>
      <c r="Z439" s="18">
        <v>3.7</v>
      </c>
      <c r="AA439" s="18">
        <v>2</v>
      </c>
      <c r="AB439" s="18">
        <v>12</v>
      </c>
      <c r="AC439" s="18">
        <v>28.099999999999998</v>
      </c>
      <c r="AD439" s="18">
        <v>2</v>
      </c>
      <c r="AE439" s="18">
        <v>0</v>
      </c>
      <c r="AF439" s="18">
        <v>220</v>
      </c>
      <c r="AG439" s="18">
        <v>6.8999999999999995</v>
      </c>
      <c r="AH439" s="18">
        <v>99</v>
      </c>
      <c r="AI439" s="18">
        <v>55</v>
      </c>
      <c r="AJ439" s="18">
        <v>0</v>
      </c>
      <c r="AK439" s="18">
        <v>0.02</v>
      </c>
      <c r="AL439" s="18"/>
      <c r="AM439" s="18">
        <v>3.63</v>
      </c>
      <c r="AN439" s="18">
        <v>1.31</v>
      </c>
      <c r="AO439" s="18">
        <v>0.74</v>
      </c>
      <c r="AP439" s="18">
        <v>3.67</v>
      </c>
      <c r="AQ439" s="18">
        <v>1.1200000000000001</v>
      </c>
      <c r="AR439" s="18">
        <v>3.89</v>
      </c>
      <c r="AS439" s="18">
        <v>6.63</v>
      </c>
      <c r="AT439" s="18">
        <v>1.53</v>
      </c>
      <c r="AU439" s="18">
        <v>4.29</v>
      </c>
      <c r="AV439" s="18">
        <v>2.31</v>
      </c>
      <c r="AW439" s="18">
        <v>5.14</v>
      </c>
      <c r="AX439" s="18"/>
      <c r="AY439" s="18">
        <v>1</v>
      </c>
      <c r="AZ439" s="18">
        <v>1</v>
      </c>
      <c r="BA439" s="18">
        <v>1</v>
      </c>
      <c r="BB439" s="18">
        <v>1</v>
      </c>
      <c r="BC439" s="18">
        <v>1</v>
      </c>
      <c r="BD439" s="18">
        <v>1</v>
      </c>
      <c r="BE439" s="18">
        <v>1</v>
      </c>
      <c r="BF439" s="18">
        <v>1</v>
      </c>
      <c r="BG439" s="18">
        <v>1</v>
      </c>
      <c r="BH439" s="18">
        <v>1</v>
      </c>
      <c r="BI439" s="18">
        <v>1</v>
      </c>
      <c r="BJ439" s="19"/>
      <c r="BK439" s="18">
        <v>15.799999999999999</v>
      </c>
      <c r="BL439" s="18">
        <v>4.5999999999999996</v>
      </c>
      <c r="BM439" s="18">
        <v>10</v>
      </c>
      <c r="BN439" s="18">
        <v>26.999999999999996</v>
      </c>
      <c r="BO439" s="18"/>
      <c r="BP439" s="18">
        <v>120</v>
      </c>
      <c r="BQ439" s="18">
        <v>55.199999999999996</v>
      </c>
      <c r="BR439" s="18">
        <v>0.65182632597754464</v>
      </c>
      <c r="BS439" s="18">
        <v>0.73349417439702969</v>
      </c>
      <c r="BT439" s="19"/>
      <c r="BU439" s="18">
        <v>899.99999999999989</v>
      </c>
      <c r="BV439" s="18">
        <v>224.82857142857114</v>
      </c>
      <c r="BW439" s="18">
        <v>128.57142857142887</v>
      </c>
      <c r="BX439" s="18">
        <v>0</v>
      </c>
      <c r="BY439" s="18">
        <v>18</v>
      </c>
      <c r="BZ439" s="18">
        <v>24</v>
      </c>
      <c r="CA439" s="18">
        <v>572</v>
      </c>
      <c r="CB439" s="19"/>
      <c r="CC439" s="19">
        <v>2.1840000000000002</v>
      </c>
      <c r="CD439" s="19">
        <v>1.2432000000000001</v>
      </c>
      <c r="CE439" s="19">
        <v>0.67200000000000004</v>
      </c>
      <c r="CF439" s="19">
        <v>4.032</v>
      </c>
      <c r="CG439" s="19">
        <v>9.4415999999999993</v>
      </c>
      <c r="CH439" s="19">
        <v>0.67200000000000004</v>
      </c>
      <c r="CI439" s="19">
        <v>0</v>
      </c>
      <c r="CJ439" s="19"/>
      <c r="CK439" s="19">
        <v>73.92</v>
      </c>
      <c r="CL439" s="19">
        <v>2.3184</v>
      </c>
      <c r="CM439" s="19">
        <v>33.264000000000003</v>
      </c>
      <c r="CN439" s="19">
        <v>18.48</v>
      </c>
      <c r="CO439" s="19">
        <v>0</v>
      </c>
      <c r="CP439" s="19">
        <v>6.7200000000000003E-3</v>
      </c>
      <c r="CQ439" s="19">
        <v>28.284670080000001</v>
      </c>
      <c r="CR439" s="19">
        <v>129.14569780230957</v>
      </c>
      <c r="HM439" s="620">
        <f t="shared" ref="HM439:HU439" si="256">HM69</f>
        <v>0.252</v>
      </c>
      <c r="HN439" s="620">
        <f t="shared" si="256"/>
        <v>-4.5999999999999999E-2</v>
      </c>
      <c r="HO439" s="620">
        <f t="shared" si="256"/>
        <v>0.219</v>
      </c>
      <c r="HP439" s="620">
        <f t="shared" si="256"/>
        <v>1.0999999999999999E-2</v>
      </c>
      <c r="HQ439" s="620">
        <f t="shared" si="256"/>
        <v>1.65</v>
      </c>
      <c r="HR439" s="620">
        <f t="shared" si="256"/>
        <v>1.9E-3</v>
      </c>
      <c r="HS439" s="620">
        <f t="shared" si="256"/>
        <v>1.53</v>
      </c>
      <c r="HT439" s="620">
        <f t="shared" si="256"/>
        <v>0</v>
      </c>
      <c r="HU439" s="620" t="str">
        <f t="shared" si="256"/>
        <v>offfarm</v>
      </c>
      <c r="HV439" s="22" t="s">
        <v>2024</v>
      </c>
      <c r="IB439" s="11">
        <f t="shared" ref="IB439:II439" si="257">IB69</f>
        <v>0.252</v>
      </c>
      <c r="IC439" s="11">
        <f t="shared" si="257"/>
        <v>-4.5999999999999999E-2</v>
      </c>
      <c r="ID439" s="11">
        <f t="shared" si="257"/>
        <v>0.219</v>
      </c>
      <c r="IE439" s="11">
        <f t="shared" si="257"/>
        <v>1.0999999999999999E-2</v>
      </c>
      <c r="IF439" s="11">
        <f t="shared" si="257"/>
        <v>1.65</v>
      </c>
      <c r="IG439" s="11">
        <f t="shared" si="257"/>
        <v>1.9E-3</v>
      </c>
      <c r="IH439" s="11">
        <f t="shared" si="257"/>
        <v>1.53</v>
      </c>
      <c r="II439" s="11">
        <f t="shared" si="257"/>
        <v>0</v>
      </c>
      <c r="IJ439" s="11" t="str">
        <f>IJ438</f>
        <v>grass-clover silage - on farm</v>
      </c>
    </row>
    <row r="440" spans="4:244" x14ac:dyDescent="0.25">
      <c r="D440" s="20" t="s">
        <v>1072</v>
      </c>
      <c r="E440" s="14">
        <v>42695</v>
      </c>
      <c r="F440" s="18">
        <v>0.36370000000000002</v>
      </c>
      <c r="G440" s="18">
        <v>0.47570000000000001</v>
      </c>
      <c r="H440" s="21">
        <v>45.97</v>
      </c>
      <c r="I440" s="21">
        <v>36.069992740000004</v>
      </c>
      <c r="J440" s="21">
        <v>77</v>
      </c>
      <c r="K440" s="18">
        <v>1</v>
      </c>
      <c r="L440" s="18">
        <v>93.63</v>
      </c>
      <c r="M440" s="18">
        <v>13.53</v>
      </c>
      <c r="N440" s="18">
        <v>3.57</v>
      </c>
      <c r="O440" s="18">
        <v>9.07</v>
      </c>
      <c r="P440" s="18">
        <v>27.07</v>
      </c>
      <c r="Q440" s="19"/>
      <c r="R440" s="18">
        <v>47.430308292682902</v>
      </c>
      <c r="S440" s="18">
        <v>50</v>
      </c>
      <c r="T440" s="18">
        <v>50</v>
      </c>
      <c r="U440" s="18">
        <v>50</v>
      </c>
      <c r="V440" s="18">
        <v>50</v>
      </c>
      <c r="W440" s="18">
        <v>50</v>
      </c>
      <c r="X440" s="18"/>
      <c r="Y440" s="18">
        <v>8.1170564989853684</v>
      </c>
      <c r="Z440" s="18">
        <v>3.2041012495994874</v>
      </c>
      <c r="AA440" s="18">
        <v>2.2000000000000002</v>
      </c>
      <c r="AB440" s="18">
        <v>0</v>
      </c>
      <c r="AC440" s="18">
        <v>19</v>
      </c>
      <c r="AD440" s="18">
        <v>2.2000000000000002</v>
      </c>
      <c r="AE440" s="18">
        <v>2.5</v>
      </c>
      <c r="AF440" s="18">
        <v>420</v>
      </c>
      <c r="AG440" s="18">
        <v>8.1000000000000014</v>
      </c>
      <c r="AH440" s="18">
        <v>89</v>
      </c>
      <c r="AI440" s="18">
        <v>34</v>
      </c>
      <c r="AJ440" s="18">
        <v>0</v>
      </c>
      <c r="AK440" s="18">
        <v>6.9999999999999896E-2</v>
      </c>
      <c r="AL440" s="18"/>
      <c r="AM440" s="18">
        <v>4.08</v>
      </c>
      <c r="AN440" s="18">
        <v>1.59</v>
      </c>
      <c r="AO440" s="18">
        <v>0.83</v>
      </c>
      <c r="AP440" s="18">
        <v>3.98</v>
      </c>
      <c r="AQ440" s="18">
        <v>1.38</v>
      </c>
      <c r="AR440" s="18">
        <v>4.0199999999999996</v>
      </c>
      <c r="AS440" s="18">
        <v>7.13</v>
      </c>
      <c r="AT440" s="18">
        <v>1.92</v>
      </c>
      <c r="AU440" s="18">
        <v>4.6900000000000004</v>
      </c>
      <c r="AV440" s="18">
        <v>2.98</v>
      </c>
      <c r="AW440" s="18">
        <v>5.12</v>
      </c>
      <c r="AX440" s="18"/>
      <c r="AY440" s="18">
        <v>1</v>
      </c>
      <c r="AZ440" s="18">
        <v>1</v>
      </c>
      <c r="BA440" s="18">
        <v>1</v>
      </c>
      <c r="BB440" s="18">
        <v>1</v>
      </c>
      <c r="BC440" s="18">
        <v>1</v>
      </c>
      <c r="BD440" s="18">
        <v>1</v>
      </c>
      <c r="BE440" s="18">
        <v>1</v>
      </c>
      <c r="BF440" s="18">
        <v>1</v>
      </c>
      <c r="BG440" s="18">
        <v>1</v>
      </c>
      <c r="BH440" s="18">
        <v>1</v>
      </c>
      <c r="BI440" s="18">
        <v>1</v>
      </c>
      <c r="BJ440" s="19"/>
      <c r="BK440" s="18">
        <v>14.450496635693689</v>
      </c>
      <c r="BL440" s="18">
        <v>3.8128804870233903</v>
      </c>
      <c r="BM440" s="18">
        <v>9.6870661112891163</v>
      </c>
      <c r="BN440" s="18">
        <v>28.911673608886041</v>
      </c>
      <c r="BO440" s="18"/>
      <c r="BP440" s="18">
        <v>0</v>
      </c>
      <c r="BQ440" s="18">
        <v>0</v>
      </c>
      <c r="BR440" s="18">
        <v>0.3884438748264446</v>
      </c>
      <c r="BS440" s="18">
        <v>0.50806365481149207</v>
      </c>
      <c r="BT440" s="19"/>
      <c r="BU440" s="18">
        <v>903.12933888710893</v>
      </c>
      <c r="BV440" s="18">
        <v>118.95580476342944</v>
      </c>
      <c r="BW440" s="18">
        <v>127.72838588144826</v>
      </c>
      <c r="BX440" s="18">
        <v>21</v>
      </c>
      <c r="BY440" s="18">
        <v>70</v>
      </c>
      <c r="BZ440" s="18">
        <v>255.77598974687604</v>
      </c>
      <c r="CA440" s="18">
        <v>325.53307785966143</v>
      </c>
      <c r="CB440" s="19"/>
      <c r="CC440" s="19">
        <v>7.6</v>
      </c>
      <c r="CD440" s="19">
        <v>2.9999999999999996</v>
      </c>
      <c r="CE440" s="19">
        <v>2.05986</v>
      </c>
      <c r="CF440" s="19">
        <v>0</v>
      </c>
      <c r="CG440" s="19">
        <v>17.7897</v>
      </c>
      <c r="CH440" s="19">
        <v>2.05986</v>
      </c>
      <c r="CI440" s="19">
        <v>2.3407499999999999</v>
      </c>
      <c r="CJ440" s="19"/>
      <c r="CK440" s="19">
        <v>393.24599999999998</v>
      </c>
      <c r="CL440" s="19">
        <v>7.5840300000000003</v>
      </c>
      <c r="CM440" s="19">
        <v>83.330699999999993</v>
      </c>
      <c r="CN440" s="19">
        <v>31.834199999999996</v>
      </c>
      <c r="CO440" s="19">
        <v>0</v>
      </c>
      <c r="CP440" s="19">
        <v>6.5540999999999891E-2</v>
      </c>
      <c r="CQ440" s="19">
        <v>64.173207120000001</v>
      </c>
      <c r="CR440" s="19">
        <v>176.44544162771513</v>
      </c>
      <c r="HM440" s="620">
        <f t="shared" ref="HM440:HU440" si="258">HM70</f>
        <v>0.252</v>
      </c>
      <c r="HN440" s="620">
        <f t="shared" si="258"/>
        <v>-4.5999999999999999E-2</v>
      </c>
      <c r="HO440" s="620">
        <f t="shared" si="258"/>
        <v>0.219</v>
      </c>
      <c r="HP440" s="620">
        <f t="shared" si="258"/>
        <v>1.0999999999999999E-2</v>
      </c>
      <c r="HQ440" s="620">
        <f t="shared" si="258"/>
        <v>1.65</v>
      </c>
      <c r="HR440" s="620">
        <f t="shared" si="258"/>
        <v>1.9E-3</v>
      </c>
      <c r="HS440" s="620">
        <f t="shared" si="258"/>
        <v>1.53</v>
      </c>
      <c r="HT440" s="620" t="str">
        <f t="shared" si="258"/>
        <v>as grass clover silage</v>
      </c>
      <c r="HU440" s="620" t="str">
        <f t="shared" si="258"/>
        <v>offfarm</v>
      </c>
      <c r="HV440" s="22" t="s">
        <v>2025</v>
      </c>
      <c r="IB440" s="11">
        <f t="shared" ref="IB440:II440" si="259">IB70</f>
        <v>0.252</v>
      </c>
      <c r="IC440" s="11">
        <f t="shared" si="259"/>
        <v>-4.5999999999999999E-2</v>
      </c>
      <c r="ID440" s="11">
        <f t="shared" si="259"/>
        <v>0.219</v>
      </c>
      <c r="IE440" s="11">
        <f t="shared" si="259"/>
        <v>1.0999999999999999E-2</v>
      </c>
      <c r="IF440" s="11">
        <f t="shared" si="259"/>
        <v>1.65</v>
      </c>
      <c r="IG440" s="11">
        <f t="shared" si="259"/>
        <v>1.9E-3</v>
      </c>
      <c r="IH440" s="11">
        <f t="shared" si="259"/>
        <v>1.53</v>
      </c>
      <c r="II440" s="11" t="str">
        <f t="shared" si="259"/>
        <v>as grass clover silage</v>
      </c>
    </row>
    <row r="441" spans="4:244" x14ac:dyDescent="0.25">
      <c r="D441" s="185" t="s">
        <v>1073</v>
      </c>
      <c r="E441" s="14">
        <v>40310</v>
      </c>
      <c r="F441" s="18">
        <v>0.22336864823848199</v>
      </c>
      <c r="G441" s="18">
        <v>0.237100033953247</v>
      </c>
      <c r="H441" s="21">
        <v>86.9</v>
      </c>
      <c r="I441" s="21">
        <v>65.5</v>
      </c>
      <c r="J441" s="21">
        <v>95</v>
      </c>
      <c r="K441" s="18">
        <v>1</v>
      </c>
      <c r="L441" s="18">
        <v>23.8</v>
      </c>
      <c r="M441" s="18">
        <v>10.8766</v>
      </c>
      <c r="N441" s="18">
        <v>1.3566</v>
      </c>
      <c r="O441" s="18">
        <v>2.2848000000000002</v>
      </c>
      <c r="P441" s="18">
        <v>0</v>
      </c>
      <c r="Q441" s="19"/>
      <c r="R441" s="18">
        <v>85</v>
      </c>
      <c r="S441" s="18">
        <v>50</v>
      </c>
      <c r="T441" s="18">
        <v>50</v>
      </c>
      <c r="U441" s="18">
        <v>50</v>
      </c>
      <c r="V441" s="18">
        <v>50</v>
      </c>
      <c r="W441" s="18">
        <v>50</v>
      </c>
      <c r="X441" s="18"/>
      <c r="Y441" s="18">
        <v>10.199999999999999</v>
      </c>
      <c r="Z441" s="18">
        <v>5.6</v>
      </c>
      <c r="AA441" s="18">
        <v>3.4999999999999996</v>
      </c>
      <c r="AB441" s="18">
        <v>5.6</v>
      </c>
      <c r="AC441" s="18">
        <v>22</v>
      </c>
      <c r="AD441" s="18">
        <v>0.3</v>
      </c>
      <c r="AE441" s="18">
        <v>0</v>
      </c>
      <c r="AF441" s="18">
        <v>180</v>
      </c>
      <c r="AG441" s="18">
        <v>33</v>
      </c>
      <c r="AH441" s="18">
        <v>50</v>
      </c>
      <c r="AI441" s="18">
        <v>76</v>
      </c>
      <c r="AJ441" s="18">
        <v>0</v>
      </c>
      <c r="AK441" s="18">
        <v>0.12</v>
      </c>
      <c r="AL441" s="18"/>
      <c r="AM441" s="18">
        <v>6.7</v>
      </c>
      <c r="AN441" s="18">
        <v>1.6</v>
      </c>
      <c r="AO441" s="18">
        <v>1</v>
      </c>
      <c r="AP441" s="18">
        <v>4.9000000000000004</v>
      </c>
      <c r="AQ441" s="18">
        <v>1.3</v>
      </c>
      <c r="AR441" s="18">
        <v>4.0999999999999996</v>
      </c>
      <c r="AS441" s="18">
        <v>7</v>
      </c>
      <c r="AT441" s="18">
        <v>2.2999999999999998</v>
      </c>
      <c r="AU441" s="18">
        <v>4.2</v>
      </c>
      <c r="AV441" s="18">
        <v>3.6</v>
      </c>
      <c r="AW441" s="18">
        <v>2.6</v>
      </c>
      <c r="AX441" s="18"/>
      <c r="AY441" s="18">
        <v>1</v>
      </c>
      <c r="AZ441" s="18">
        <v>1</v>
      </c>
      <c r="BA441" s="18">
        <v>1</v>
      </c>
      <c r="BB441" s="18">
        <v>1</v>
      </c>
      <c r="BC441" s="18">
        <v>1</v>
      </c>
      <c r="BD441" s="18">
        <v>1</v>
      </c>
      <c r="BE441" s="18">
        <v>1</v>
      </c>
      <c r="BF441" s="18">
        <v>1</v>
      </c>
      <c r="BG441" s="18">
        <v>1</v>
      </c>
      <c r="BH441" s="18">
        <v>1</v>
      </c>
      <c r="BI441" s="18">
        <v>1</v>
      </c>
      <c r="BJ441" s="19"/>
      <c r="BK441" s="18">
        <v>45.699999999999996</v>
      </c>
      <c r="BL441" s="18">
        <v>5.7</v>
      </c>
      <c r="BM441" s="18">
        <v>9.6</v>
      </c>
      <c r="BN441" s="18">
        <v>0</v>
      </c>
      <c r="BO441" s="18"/>
      <c r="BP441" s="18">
        <v>0</v>
      </c>
      <c r="BQ441" s="18">
        <v>0</v>
      </c>
      <c r="BR441" s="18">
        <v>0.93852373209446205</v>
      </c>
      <c r="BS441" s="18">
        <v>0.99621863005565958</v>
      </c>
      <c r="BT441" s="19"/>
      <c r="BU441" s="18">
        <v>903.99999999999989</v>
      </c>
      <c r="BV441" s="18">
        <v>38.050285714285714</v>
      </c>
      <c r="BW441" s="18">
        <v>276.36571428571386</v>
      </c>
      <c r="BX441" s="18" t="s">
        <v>217</v>
      </c>
      <c r="BY441" s="18" t="s">
        <v>217</v>
      </c>
      <c r="BZ441" s="18" t="s">
        <v>217</v>
      </c>
      <c r="CA441" s="18" t="s">
        <v>217</v>
      </c>
      <c r="CB441" s="19"/>
      <c r="CC441" s="19">
        <v>2.4276</v>
      </c>
      <c r="CD441" s="19">
        <v>1.3328</v>
      </c>
      <c r="CE441" s="19">
        <v>0.83299999999999996</v>
      </c>
      <c r="CF441" s="19">
        <v>1.3328</v>
      </c>
      <c r="CG441" s="19">
        <v>5.2360000000000007</v>
      </c>
      <c r="CH441" s="19">
        <v>7.1400000000000005E-2</v>
      </c>
      <c r="CI441" s="19">
        <v>0</v>
      </c>
      <c r="CJ441" s="19"/>
      <c r="CK441" s="19">
        <v>42.84</v>
      </c>
      <c r="CL441" s="19">
        <v>7.854000000000001</v>
      </c>
      <c r="CM441" s="19">
        <v>11.9</v>
      </c>
      <c r="CN441" s="19">
        <v>18.088000000000001</v>
      </c>
      <c r="CO441" s="19">
        <v>0</v>
      </c>
      <c r="CP441" s="19">
        <v>2.8560000000000002E-2</v>
      </c>
      <c r="CQ441" s="19">
        <v>92.451099999999997</v>
      </c>
      <c r="CR441" s="19">
        <v>413.89470155764013</v>
      </c>
      <c r="HM441" s="620">
        <f t="shared" ref="HM441:HU441" si="260">HM71</f>
        <v>0</v>
      </c>
      <c r="HN441" s="620">
        <f t="shared" si="260"/>
        <v>0</v>
      </c>
      <c r="HO441" s="620">
        <f t="shared" si="260"/>
        <v>0</v>
      </c>
      <c r="HP441" s="620">
        <f t="shared" si="260"/>
        <v>0</v>
      </c>
      <c r="HQ441" s="620">
        <f t="shared" si="260"/>
        <v>0</v>
      </c>
      <c r="HR441" s="620">
        <f t="shared" si="260"/>
        <v>0</v>
      </c>
      <c r="HS441" s="620">
        <f t="shared" si="260"/>
        <v>0</v>
      </c>
      <c r="HT441" s="620">
        <f t="shared" si="260"/>
        <v>0</v>
      </c>
      <c r="HU441" s="620" t="str">
        <f t="shared" si="260"/>
        <v>offfarm</v>
      </c>
      <c r="HV441" s="22" t="s">
        <v>2026</v>
      </c>
      <c r="IB441" s="11">
        <f t="shared" ref="IB441:II441" si="261">IB71</f>
        <v>0.47300000000000003</v>
      </c>
      <c r="IC441" s="11">
        <f t="shared" si="261"/>
        <v>0.13</v>
      </c>
      <c r="ID441" s="11">
        <f t="shared" si="261"/>
        <v>0.39100000000000001</v>
      </c>
      <c r="IE441" s="11">
        <f t="shared" si="261"/>
        <v>5.5E-2</v>
      </c>
      <c r="IF441" s="11">
        <f t="shared" si="261"/>
        <v>3.97</v>
      </c>
      <c r="IG441" s="11">
        <f t="shared" si="261"/>
        <v>4.5999999999999999E-3</v>
      </c>
      <c r="IH441" s="11">
        <f t="shared" si="261"/>
        <v>2.73</v>
      </c>
      <c r="II441" s="11">
        <f t="shared" si="261"/>
        <v>0</v>
      </c>
    </row>
    <row r="442" spans="4:244" x14ac:dyDescent="0.25">
      <c r="D442" s="185" t="s">
        <v>1074</v>
      </c>
      <c r="E442" s="14">
        <v>40310</v>
      </c>
      <c r="F442" s="18">
        <v>0.114078565311653</v>
      </c>
      <c r="G442" s="18">
        <v>0.119653671584416</v>
      </c>
      <c r="H442" s="21">
        <v>89.6</v>
      </c>
      <c r="I442" s="21">
        <v>70</v>
      </c>
      <c r="J442" s="21">
        <v>90</v>
      </c>
      <c r="K442" s="18">
        <v>1</v>
      </c>
      <c r="L442" s="18">
        <v>11.6</v>
      </c>
      <c r="M442" s="18">
        <v>4.2804000000000002</v>
      </c>
      <c r="N442" s="18">
        <v>0.20880000000000001</v>
      </c>
      <c r="O442" s="18">
        <v>0.69599999999999995</v>
      </c>
      <c r="P442" s="18">
        <v>0.27839999999999998</v>
      </c>
      <c r="Q442" s="19"/>
      <c r="R442" s="18">
        <v>85</v>
      </c>
      <c r="S442" s="18">
        <v>50</v>
      </c>
      <c r="T442" s="18">
        <v>50</v>
      </c>
      <c r="U442" s="18">
        <v>50</v>
      </c>
      <c r="V442" s="18">
        <v>50</v>
      </c>
      <c r="W442" s="18">
        <v>50</v>
      </c>
      <c r="X442" s="18"/>
      <c r="Y442" s="18">
        <v>2.5862100000000003</v>
      </c>
      <c r="Z442" s="18">
        <v>11.6</v>
      </c>
      <c r="AA442" s="18">
        <v>0</v>
      </c>
      <c r="AB442" s="18">
        <v>0</v>
      </c>
      <c r="AC442" s="18">
        <v>18.103450000000002</v>
      </c>
      <c r="AD442" s="18">
        <v>1.8000000000000003</v>
      </c>
      <c r="AE442" s="18">
        <v>0</v>
      </c>
      <c r="AF442" s="18">
        <v>570</v>
      </c>
      <c r="AG442" s="18">
        <v>22</v>
      </c>
      <c r="AH442" s="18">
        <v>12</v>
      </c>
      <c r="AI442" s="18">
        <v>54.000000000000007</v>
      </c>
      <c r="AJ442" s="18">
        <v>0</v>
      </c>
      <c r="AK442" s="18">
        <v>0.12000000000000001</v>
      </c>
      <c r="AL442" s="18"/>
      <c r="AM442" s="18">
        <v>6.2</v>
      </c>
      <c r="AN442" s="18">
        <v>1.4</v>
      </c>
      <c r="AO442" s="18">
        <v>1.19</v>
      </c>
      <c r="AP442" s="18">
        <v>4.3000000000000096</v>
      </c>
      <c r="AQ442" s="18">
        <v>0.6</v>
      </c>
      <c r="AR442" s="18">
        <v>0</v>
      </c>
      <c r="AS442" s="18">
        <v>0</v>
      </c>
      <c r="AT442" s="18">
        <v>0</v>
      </c>
      <c r="AU442" s="18">
        <v>0</v>
      </c>
      <c r="AV442" s="18">
        <v>0</v>
      </c>
      <c r="AW442" s="18">
        <v>0</v>
      </c>
      <c r="AX442" s="18"/>
      <c r="AY442" s="18">
        <v>1</v>
      </c>
      <c r="AZ442" s="18">
        <v>1</v>
      </c>
      <c r="BA442" s="18">
        <v>1</v>
      </c>
      <c r="BB442" s="18">
        <v>1</v>
      </c>
      <c r="BC442" s="18">
        <v>1</v>
      </c>
      <c r="BD442" s="18">
        <v>1</v>
      </c>
      <c r="BE442" s="18">
        <v>1</v>
      </c>
      <c r="BF442" s="18">
        <v>1</v>
      </c>
      <c r="BG442" s="18">
        <v>1</v>
      </c>
      <c r="BH442" s="18">
        <v>1</v>
      </c>
      <c r="BI442" s="18">
        <v>1</v>
      </c>
      <c r="BJ442" s="19"/>
      <c r="BK442" s="18">
        <v>36.900000000000006</v>
      </c>
      <c r="BL442" s="18">
        <v>1.8000000000000003</v>
      </c>
      <c r="BM442" s="18">
        <v>6</v>
      </c>
      <c r="BN442" s="18">
        <v>2.4</v>
      </c>
      <c r="BO442" s="18"/>
      <c r="BP442" s="18">
        <v>0</v>
      </c>
      <c r="BQ442" s="18">
        <v>0</v>
      </c>
      <c r="BR442" s="18">
        <v>0.98343590785907764</v>
      </c>
      <c r="BS442" s="18">
        <v>1.0314971688311725</v>
      </c>
      <c r="BT442" s="19"/>
      <c r="BU442" s="18">
        <v>940.00000000000011</v>
      </c>
      <c r="BV442" s="18">
        <v>225.79</v>
      </c>
      <c r="BW442" s="18">
        <v>263.2</v>
      </c>
      <c r="BX442" s="18" t="s">
        <v>217</v>
      </c>
      <c r="BY442" s="18" t="s">
        <v>217</v>
      </c>
      <c r="BZ442" s="18" t="s">
        <v>217</v>
      </c>
      <c r="CA442" s="18" t="s">
        <v>217</v>
      </c>
      <c r="CB442" s="19"/>
      <c r="CC442" s="19">
        <v>0.30000036000000002</v>
      </c>
      <c r="CD442" s="19">
        <v>1.3455999999999999</v>
      </c>
      <c r="CE442" s="19">
        <v>0</v>
      </c>
      <c r="CF442" s="19">
        <v>0</v>
      </c>
      <c r="CG442" s="19">
        <v>2.1000002000000002</v>
      </c>
      <c r="CH442" s="19">
        <v>0.20880000000000001</v>
      </c>
      <c r="CI442" s="19">
        <v>0</v>
      </c>
      <c r="CJ442" s="19"/>
      <c r="CK442" s="19">
        <v>66.11999999999999</v>
      </c>
      <c r="CL442" s="19">
        <v>2.5519999999999996</v>
      </c>
      <c r="CM442" s="19">
        <v>1.3919999999999999</v>
      </c>
      <c r="CN442" s="19">
        <v>6.2640000000000002</v>
      </c>
      <c r="CO442" s="19">
        <v>0</v>
      </c>
      <c r="CP442" s="19">
        <v>1.392E-2</v>
      </c>
      <c r="CQ442" s="19">
        <v>36.383400000000002</v>
      </c>
      <c r="CR442" s="19">
        <v>318.9328328297575</v>
      </c>
      <c r="HM442" s="620">
        <f t="shared" ref="HM442:HU442" si="262">HM72</f>
        <v>0</v>
      </c>
      <c r="HN442" s="620">
        <f t="shared" si="262"/>
        <v>0</v>
      </c>
      <c r="HO442" s="620">
        <f t="shared" si="262"/>
        <v>0</v>
      </c>
      <c r="HP442" s="620">
        <f t="shared" si="262"/>
        <v>0</v>
      </c>
      <c r="HQ442" s="620">
        <f t="shared" si="262"/>
        <v>0</v>
      </c>
      <c r="HR442" s="620">
        <f t="shared" si="262"/>
        <v>0</v>
      </c>
      <c r="HS442" s="620">
        <f t="shared" si="262"/>
        <v>0</v>
      </c>
      <c r="HT442" s="620">
        <f t="shared" si="262"/>
        <v>0</v>
      </c>
      <c r="HU442" s="620" t="str">
        <f t="shared" si="262"/>
        <v>offfarm</v>
      </c>
      <c r="HV442" s="22" t="s">
        <v>2026</v>
      </c>
      <c r="IB442" s="11">
        <f t="shared" ref="IB442:II442" si="263">IB72</f>
        <v>0.47300000000000003</v>
      </c>
      <c r="IC442" s="11">
        <f t="shared" si="263"/>
        <v>0.13</v>
      </c>
      <c r="ID442" s="11">
        <f t="shared" si="263"/>
        <v>0.39100000000000001</v>
      </c>
      <c r="IE442" s="11">
        <f t="shared" si="263"/>
        <v>5.5E-2</v>
      </c>
      <c r="IF442" s="11">
        <f t="shared" si="263"/>
        <v>3.97</v>
      </c>
      <c r="IG442" s="11">
        <f t="shared" si="263"/>
        <v>4.5999999999999999E-3</v>
      </c>
      <c r="IH442" s="11">
        <f t="shared" si="263"/>
        <v>2.73</v>
      </c>
      <c r="II442" s="11">
        <f t="shared" si="263"/>
        <v>0</v>
      </c>
    </row>
    <row r="443" spans="4:244" x14ac:dyDescent="0.25">
      <c r="D443" s="185" t="s">
        <v>1075</v>
      </c>
      <c r="E443" s="14">
        <v>42678</v>
      </c>
      <c r="F443" s="18">
        <v>0.83289922570654296</v>
      </c>
      <c r="G443" s="18">
        <v>0.86901812764378705</v>
      </c>
      <c r="H443" s="21">
        <v>69.400000000000006</v>
      </c>
      <c r="I443" s="21">
        <v>63.699969799999998</v>
      </c>
      <c r="J443" s="21">
        <v>91</v>
      </c>
      <c r="K443" s="18">
        <v>1</v>
      </c>
      <c r="L443" s="18">
        <v>85</v>
      </c>
      <c r="M443" s="18">
        <v>9.1999999999999904</v>
      </c>
      <c r="N443" s="18">
        <v>4.8</v>
      </c>
      <c r="O443" s="18">
        <v>2.2999999999999998</v>
      </c>
      <c r="P443" s="18">
        <v>11</v>
      </c>
      <c r="Q443" s="19"/>
      <c r="R443" s="18">
        <v>67.278493167701797</v>
      </c>
      <c r="S443" s="18">
        <v>27</v>
      </c>
      <c r="T443" s="18">
        <v>39</v>
      </c>
      <c r="U443" s="18">
        <v>43</v>
      </c>
      <c r="V443" s="18">
        <v>47</v>
      </c>
      <c r="W443" s="18">
        <v>50</v>
      </c>
      <c r="X443" s="18"/>
      <c r="Y443" s="18">
        <v>0.9882352941176471</v>
      </c>
      <c r="Z443" s="18">
        <v>3.6470588235294117</v>
      </c>
      <c r="AA443" s="18">
        <v>0.1</v>
      </c>
      <c r="AB443" s="18">
        <v>0</v>
      </c>
      <c r="AC443" s="18">
        <v>5.5</v>
      </c>
      <c r="AD443" s="18">
        <v>1.2</v>
      </c>
      <c r="AE443" s="18">
        <v>1.4</v>
      </c>
      <c r="AF443" s="18">
        <v>66</v>
      </c>
      <c r="AG443" s="18">
        <v>2.7</v>
      </c>
      <c r="AH443" s="18">
        <v>42.999999999999993</v>
      </c>
      <c r="AI443" s="18">
        <v>31</v>
      </c>
      <c r="AJ443" s="18">
        <v>0</v>
      </c>
      <c r="AK443" s="18">
        <v>0.03</v>
      </c>
      <c r="AL443" s="18"/>
      <c r="AM443" s="18">
        <v>4.18</v>
      </c>
      <c r="AN443" s="18">
        <v>1.64</v>
      </c>
      <c r="AO443" s="18">
        <v>2.73</v>
      </c>
      <c r="AP443" s="18">
        <v>3.27</v>
      </c>
      <c r="AQ443" s="18">
        <v>1.23</v>
      </c>
      <c r="AR443" s="18">
        <v>3.7</v>
      </c>
      <c r="AS443" s="18">
        <v>7.1100000000000101</v>
      </c>
      <c r="AT443" s="18">
        <v>2.1</v>
      </c>
      <c r="AU443" s="18">
        <v>4.5199999999999996</v>
      </c>
      <c r="AV443" s="18">
        <v>3.22</v>
      </c>
      <c r="AW443" s="18">
        <v>5.14</v>
      </c>
      <c r="AX443" s="18"/>
      <c r="AY443" s="18">
        <v>1.04</v>
      </c>
      <c r="AZ443" s="18">
        <v>1.1499999999999999</v>
      </c>
      <c r="BA443" s="18">
        <v>0.95</v>
      </c>
      <c r="BB443" s="18">
        <v>0.92</v>
      </c>
      <c r="BC443" s="18">
        <v>1.07</v>
      </c>
      <c r="BD443" s="18">
        <v>1.1000000000000001</v>
      </c>
      <c r="BE443" s="18">
        <v>1.1200000000000001</v>
      </c>
      <c r="BF443" s="18">
        <v>1.1599999999999999</v>
      </c>
      <c r="BG443" s="18">
        <v>1.1599999999999999</v>
      </c>
      <c r="BH443" s="18">
        <v>1.1100000000000001</v>
      </c>
      <c r="BI443" s="18">
        <v>1.08</v>
      </c>
      <c r="BJ443" s="19"/>
      <c r="BK443" s="18">
        <v>10.823529411764696</v>
      </c>
      <c r="BL443" s="18">
        <v>5.6470588235294121</v>
      </c>
      <c r="BM443" s="18">
        <v>2.7058823529411762</v>
      </c>
      <c r="BN443" s="18">
        <v>12.941176470588236</v>
      </c>
      <c r="BO443" s="18"/>
      <c r="BP443" s="18">
        <v>110</v>
      </c>
      <c r="BQ443" s="18">
        <v>62.117647058823529</v>
      </c>
      <c r="BR443" s="18">
        <v>0.97988144200769767</v>
      </c>
      <c r="BS443" s="18">
        <v>1.02237426781622</v>
      </c>
      <c r="BT443" s="19"/>
      <c r="BU443" s="18">
        <v>972.94117647058829</v>
      </c>
      <c r="BV443" s="18">
        <v>442.72537815126117</v>
      </c>
      <c r="BW443" s="18">
        <v>79.225629838655635</v>
      </c>
      <c r="BX443" s="18">
        <v>471</v>
      </c>
      <c r="BY443" s="18">
        <v>18</v>
      </c>
      <c r="BZ443" s="18">
        <v>40</v>
      </c>
      <c r="CA443" s="18">
        <v>258</v>
      </c>
      <c r="CB443" s="19"/>
      <c r="CC443" s="19">
        <v>0.84</v>
      </c>
      <c r="CD443" s="19">
        <v>3.0999999999999996</v>
      </c>
      <c r="CE443" s="19">
        <v>8.5000000000000006E-2</v>
      </c>
      <c r="CF443" s="19">
        <v>0</v>
      </c>
      <c r="CG443" s="19">
        <v>4.6749999999999998</v>
      </c>
      <c r="CH443" s="19">
        <v>1.02</v>
      </c>
      <c r="CI443" s="19">
        <v>1.19</v>
      </c>
      <c r="CJ443" s="19"/>
      <c r="CK443" s="19">
        <v>56.1</v>
      </c>
      <c r="CL443" s="19">
        <v>2.2949999999999999</v>
      </c>
      <c r="CM443" s="19">
        <v>36.54999999999999</v>
      </c>
      <c r="CN443" s="19">
        <v>26.349999999999998</v>
      </c>
      <c r="CO443" s="19">
        <v>0</v>
      </c>
      <c r="CP443" s="19">
        <v>2.5499999999999998E-2</v>
      </c>
      <c r="CQ443" s="19">
        <v>61.8962137142857</v>
      </c>
      <c r="CR443" s="19">
        <v>74.314168874127063</v>
      </c>
      <c r="HM443" s="620">
        <f t="shared" ref="HM443:HU443" si="264">HM73</f>
        <v>0.47300000000000003</v>
      </c>
      <c r="HN443" s="620">
        <f t="shared" si="264"/>
        <v>0.13</v>
      </c>
      <c r="HO443" s="620">
        <f t="shared" si="264"/>
        <v>0.39100000000000001</v>
      </c>
      <c r="HP443" s="620">
        <f t="shared" si="264"/>
        <v>5.5E-2</v>
      </c>
      <c r="HQ443" s="620">
        <f t="shared" si="264"/>
        <v>3.97</v>
      </c>
      <c r="HR443" s="620">
        <f t="shared" si="264"/>
        <v>4.5999999999999999E-3</v>
      </c>
      <c r="HS443" s="620">
        <f t="shared" si="264"/>
        <v>2.73</v>
      </c>
      <c r="HT443" s="620" t="str">
        <f t="shared" si="264"/>
        <v>as barley</v>
      </c>
      <c r="HU443" s="620" t="str">
        <f t="shared" si="264"/>
        <v>offfarm</v>
      </c>
      <c r="HV443" s="22" t="s">
        <v>2027</v>
      </c>
      <c r="IB443" s="11">
        <f t="shared" ref="IB443:II443" si="265">IB73</f>
        <v>0.47300000000000003</v>
      </c>
      <c r="IC443" s="11">
        <f t="shared" si="265"/>
        <v>0.13</v>
      </c>
      <c r="ID443" s="11">
        <f t="shared" si="265"/>
        <v>0.39100000000000001</v>
      </c>
      <c r="IE443" s="11">
        <f t="shared" si="265"/>
        <v>5.5E-2</v>
      </c>
      <c r="IF443" s="11">
        <f t="shared" si="265"/>
        <v>3.97</v>
      </c>
      <c r="IG443" s="11">
        <f t="shared" si="265"/>
        <v>4.5999999999999999E-3</v>
      </c>
      <c r="IH443" s="11">
        <f t="shared" si="265"/>
        <v>2.73</v>
      </c>
      <c r="II443" s="11" t="str">
        <f t="shared" si="265"/>
        <v>as barley</v>
      </c>
      <c r="IJ443" s="11" t="str">
        <f>topdowntables!R19</f>
        <v>oats - on farm</v>
      </c>
    </row>
    <row r="444" spans="4:244" x14ac:dyDescent="0.25">
      <c r="D444" s="20" t="s">
        <v>1076</v>
      </c>
      <c r="E444" s="14">
        <v>42678</v>
      </c>
      <c r="F444" s="18">
        <v>0.83289922570654296</v>
      </c>
      <c r="G444" s="18">
        <v>0.86901812764378705</v>
      </c>
      <c r="H444" s="21">
        <v>69.400000000000006</v>
      </c>
      <c r="I444" s="21">
        <v>63.699969799999998</v>
      </c>
      <c r="J444" s="21">
        <v>91</v>
      </c>
      <c r="K444" s="18">
        <v>1</v>
      </c>
      <c r="L444" s="18">
        <v>85</v>
      </c>
      <c r="M444" s="18">
        <v>9.1999999999999904</v>
      </c>
      <c r="N444" s="18">
        <v>4.8</v>
      </c>
      <c r="O444" s="18">
        <v>2.2999999999999998</v>
      </c>
      <c r="P444" s="18">
        <v>11</v>
      </c>
      <c r="Q444" s="19"/>
      <c r="R444" s="18">
        <v>67.278493167701797</v>
      </c>
      <c r="S444" s="18">
        <v>27</v>
      </c>
      <c r="T444" s="18">
        <v>39</v>
      </c>
      <c r="U444" s="18">
        <v>43</v>
      </c>
      <c r="V444" s="18">
        <v>47</v>
      </c>
      <c r="W444" s="18">
        <v>50</v>
      </c>
      <c r="X444" s="18"/>
      <c r="Y444" s="18">
        <v>0.9882352941176471</v>
      </c>
      <c r="Z444" s="18">
        <v>3.6470588235294117</v>
      </c>
      <c r="AA444" s="18">
        <v>0.1</v>
      </c>
      <c r="AB444" s="18">
        <v>0</v>
      </c>
      <c r="AC444" s="18">
        <v>5.5</v>
      </c>
      <c r="AD444" s="18">
        <v>1.2</v>
      </c>
      <c r="AE444" s="18">
        <v>1.4</v>
      </c>
      <c r="AF444" s="18">
        <v>66</v>
      </c>
      <c r="AG444" s="18">
        <v>2.7</v>
      </c>
      <c r="AH444" s="18">
        <v>42.999999999999993</v>
      </c>
      <c r="AI444" s="18">
        <v>31</v>
      </c>
      <c r="AJ444" s="18">
        <v>0</v>
      </c>
      <c r="AK444" s="18">
        <v>0.03</v>
      </c>
      <c r="AL444" s="18"/>
      <c r="AM444" s="18">
        <v>4.18</v>
      </c>
      <c r="AN444" s="18">
        <v>1.64</v>
      </c>
      <c r="AO444" s="18">
        <v>2.73</v>
      </c>
      <c r="AP444" s="18">
        <v>3.27</v>
      </c>
      <c r="AQ444" s="18">
        <v>1.23</v>
      </c>
      <c r="AR444" s="18">
        <v>3.7</v>
      </c>
      <c r="AS444" s="18">
        <v>7.1100000000000101</v>
      </c>
      <c r="AT444" s="18">
        <v>2.1</v>
      </c>
      <c r="AU444" s="18">
        <v>4.53</v>
      </c>
      <c r="AV444" s="18">
        <v>3.22</v>
      </c>
      <c r="AW444" s="18">
        <v>5.14</v>
      </c>
      <c r="AX444" s="18"/>
      <c r="AY444" s="18">
        <v>1.04</v>
      </c>
      <c r="AZ444" s="18">
        <v>1.1499999999999999</v>
      </c>
      <c r="BA444" s="18">
        <v>0.95</v>
      </c>
      <c r="BB444" s="18">
        <v>0.92</v>
      </c>
      <c r="BC444" s="18">
        <v>1.07</v>
      </c>
      <c r="BD444" s="18">
        <v>1.1000000000000001</v>
      </c>
      <c r="BE444" s="18">
        <v>1.1200000000000001</v>
      </c>
      <c r="BF444" s="18">
        <v>1.1599999999999999</v>
      </c>
      <c r="BG444" s="18">
        <v>1.1599999999999999</v>
      </c>
      <c r="BH444" s="18">
        <v>1.1100000000000001</v>
      </c>
      <c r="BI444" s="18">
        <v>1.08</v>
      </c>
      <c r="BJ444" s="19"/>
      <c r="BK444" s="18">
        <v>10.823529411764696</v>
      </c>
      <c r="BL444" s="18">
        <v>5.6470588235294121</v>
      </c>
      <c r="BM444" s="18">
        <v>2.7058823529411762</v>
      </c>
      <c r="BN444" s="18">
        <v>12.941176470588236</v>
      </c>
      <c r="BO444" s="18"/>
      <c r="BP444" s="18">
        <v>110</v>
      </c>
      <c r="BQ444" s="18">
        <v>62.117647058823529</v>
      </c>
      <c r="BR444" s="18">
        <v>0.97988144200769767</v>
      </c>
      <c r="BS444" s="18">
        <v>1.02237426781622</v>
      </c>
      <c r="BT444" s="19"/>
      <c r="BU444" s="18">
        <v>972.94117647058829</v>
      </c>
      <c r="BV444" s="18">
        <v>442.72537815126117</v>
      </c>
      <c r="BW444" s="18">
        <v>79.225629838655635</v>
      </c>
      <c r="BX444" s="18">
        <v>471</v>
      </c>
      <c r="BY444" s="18">
        <v>18</v>
      </c>
      <c r="BZ444" s="18">
        <v>40</v>
      </c>
      <c r="CA444" s="18">
        <v>258</v>
      </c>
      <c r="CB444" s="19"/>
      <c r="CC444" s="19">
        <v>0.84</v>
      </c>
      <c r="CD444" s="19">
        <v>3.0999999999999996</v>
      </c>
      <c r="CE444" s="19">
        <v>8.5000000000000006E-2</v>
      </c>
      <c r="CF444" s="19">
        <v>0</v>
      </c>
      <c r="CG444" s="19">
        <v>4.6749999999999998</v>
      </c>
      <c r="CH444" s="19">
        <v>1.02</v>
      </c>
      <c r="CI444" s="19">
        <v>1.19</v>
      </c>
      <c r="CJ444" s="19"/>
      <c r="CK444" s="19">
        <v>56.1</v>
      </c>
      <c r="CL444" s="19">
        <v>2.2949999999999999</v>
      </c>
      <c r="CM444" s="19">
        <v>36.54999999999999</v>
      </c>
      <c r="CN444" s="19">
        <v>26.349999999999998</v>
      </c>
      <c r="CO444" s="19">
        <v>0</v>
      </c>
      <c r="CP444" s="19">
        <v>2.5499999999999998E-2</v>
      </c>
      <c r="CQ444" s="19">
        <v>61.8962137142857</v>
      </c>
      <c r="CR444" s="19">
        <v>74.314168874127063</v>
      </c>
      <c r="HM444" s="620">
        <f t="shared" ref="HM444:HU444" si="266">HM74</f>
        <v>0.47300000000000003</v>
      </c>
      <c r="HN444" s="620">
        <f t="shared" si="266"/>
        <v>0.13</v>
      </c>
      <c r="HO444" s="620">
        <f t="shared" si="266"/>
        <v>0.39100000000000001</v>
      </c>
      <c r="HP444" s="620">
        <f t="shared" si="266"/>
        <v>5.5E-2</v>
      </c>
      <c r="HQ444" s="620">
        <f t="shared" si="266"/>
        <v>3.97</v>
      </c>
      <c r="HR444" s="620">
        <f t="shared" si="266"/>
        <v>4.5999999999999999E-3</v>
      </c>
      <c r="HS444" s="620">
        <f t="shared" si="266"/>
        <v>2.73</v>
      </c>
      <c r="HT444" s="620" t="str">
        <f t="shared" si="266"/>
        <v>as barley</v>
      </c>
      <c r="HU444" s="620" t="str">
        <f t="shared" si="266"/>
        <v>offfarm</v>
      </c>
      <c r="HV444" s="22" t="s">
        <v>2027</v>
      </c>
      <c r="IB444" s="11">
        <f t="shared" ref="IB444:II444" si="267">IB74</f>
        <v>0.47300000000000003</v>
      </c>
      <c r="IC444" s="11">
        <f t="shared" si="267"/>
        <v>0.13</v>
      </c>
      <c r="ID444" s="11">
        <f t="shared" si="267"/>
        <v>0.39100000000000001</v>
      </c>
      <c r="IE444" s="11">
        <f t="shared" si="267"/>
        <v>5.5E-2</v>
      </c>
      <c r="IF444" s="11">
        <f t="shared" si="267"/>
        <v>3.97</v>
      </c>
      <c r="IG444" s="11">
        <f t="shared" si="267"/>
        <v>4.5999999999999999E-3</v>
      </c>
      <c r="IH444" s="11">
        <f t="shared" si="267"/>
        <v>2.73</v>
      </c>
      <c r="II444" s="11" t="str">
        <f t="shared" si="267"/>
        <v>as barley</v>
      </c>
      <c r="IJ444" s="11" t="str">
        <f>IJ443</f>
        <v>oats - on farm</v>
      </c>
    </row>
    <row r="445" spans="4:244" x14ac:dyDescent="0.25">
      <c r="D445" s="20" t="s">
        <v>1302</v>
      </c>
      <c r="E445" s="14">
        <v>42678</v>
      </c>
      <c r="F445" s="18">
        <v>0.84505108401083995</v>
      </c>
      <c r="G445" s="18">
        <v>0.87572611948052104</v>
      </c>
      <c r="H445" s="21">
        <v>69.900000000000006</v>
      </c>
      <c r="I445" s="21">
        <v>65.500004700000005</v>
      </c>
      <c r="J445" s="21">
        <v>91</v>
      </c>
      <c r="K445" s="18">
        <v>1</v>
      </c>
      <c r="L445" s="18">
        <v>85</v>
      </c>
      <c r="M445" s="18">
        <v>9.8000000000000096</v>
      </c>
      <c r="N445" s="18">
        <v>4.4000000000000004</v>
      </c>
      <c r="O445" s="18">
        <v>2.4</v>
      </c>
      <c r="P445" s="18">
        <v>11</v>
      </c>
      <c r="Q445" s="19"/>
      <c r="R445" s="18">
        <v>70.066820408163295</v>
      </c>
      <c r="S445" s="18">
        <v>27</v>
      </c>
      <c r="T445" s="18">
        <v>39</v>
      </c>
      <c r="U445" s="18">
        <v>43</v>
      </c>
      <c r="V445" s="18">
        <v>47</v>
      </c>
      <c r="W445" s="18">
        <v>50</v>
      </c>
      <c r="X445" s="18"/>
      <c r="Y445" s="18">
        <v>1.03529411764706</v>
      </c>
      <c r="Z445" s="18">
        <v>3.7647058823529411</v>
      </c>
      <c r="AA445" s="18">
        <v>0.1</v>
      </c>
      <c r="AB445" s="18">
        <v>0</v>
      </c>
      <c r="AC445" s="18">
        <v>4.7058799999999996</v>
      </c>
      <c r="AD445" s="18">
        <v>1.3</v>
      </c>
      <c r="AE445" s="18">
        <v>0</v>
      </c>
      <c r="AF445" s="18">
        <v>79.000000000000014</v>
      </c>
      <c r="AG445" s="18">
        <v>4</v>
      </c>
      <c r="AH445" s="18">
        <v>45</v>
      </c>
      <c r="AI445" s="18">
        <v>40</v>
      </c>
      <c r="AJ445" s="18">
        <v>0</v>
      </c>
      <c r="AK445" s="18">
        <v>0.03</v>
      </c>
      <c r="AL445" s="18"/>
      <c r="AM445" s="18">
        <v>4.18</v>
      </c>
      <c r="AN445" s="18">
        <v>1.64</v>
      </c>
      <c r="AO445" s="18">
        <v>2.73</v>
      </c>
      <c r="AP445" s="18">
        <v>3.27</v>
      </c>
      <c r="AQ445" s="18">
        <v>1.23</v>
      </c>
      <c r="AR445" s="18">
        <v>3.7</v>
      </c>
      <c r="AS445" s="18">
        <v>7.1100000000000101</v>
      </c>
      <c r="AT445" s="18">
        <v>2.1</v>
      </c>
      <c r="AU445" s="18">
        <v>4.5199999999999996</v>
      </c>
      <c r="AV445" s="18">
        <v>3.22</v>
      </c>
      <c r="AW445" s="18">
        <v>5.14</v>
      </c>
      <c r="AX445" s="18"/>
      <c r="AY445" s="18">
        <v>1.04</v>
      </c>
      <c r="AZ445" s="18">
        <v>1.1499999999999999</v>
      </c>
      <c r="BA445" s="18">
        <v>0.95</v>
      </c>
      <c r="BB445" s="18">
        <v>0.92</v>
      </c>
      <c r="BC445" s="18">
        <v>1.07</v>
      </c>
      <c r="BD445" s="18">
        <v>1.1000000000000001</v>
      </c>
      <c r="BE445" s="18">
        <v>1.1200000000000001</v>
      </c>
      <c r="BF445" s="18">
        <v>1.1599999999999999</v>
      </c>
      <c r="BG445" s="18">
        <v>1.1599999999999999</v>
      </c>
      <c r="BH445" s="18">
        <v>1.1100000000000001</v>
      </c>
      <c r="BI445" s="18">
        <v>1.08</v>
      </c>
      <c r="BJ445" s="19"/>
      <c r="BK445" s="18">
        <v>11.529411764705893</v>
      </c>
      <c r="BL445" s="18">
        <v>5.1764705882352944</v>
      </c>
      <c r="BM445" s="18">
        <v>2.8235294117647061</v>
      </c>
      <c r="BN445" s="18">
        <v>12.941176470588236</v>
      </c>
      <c r="BO445" s="18"/>
      <c r="BP445" s="18">
        <v>110</v>
      </c>
      <c r="BQ445" s="18">
        <v>56.941176470588232</v>
      </c>
      <c r="BR445" s="18">
        <v>0.99417774589510588</v>
      </c>
      <c r="BS445" s="18">
        <v>1.0302660229182601</v>
      </c>
      <c r="BT445" s="19"/>
      <c r="BU445" s="18">
        <v>971.76470588235293</v>
      </c>
      <c r="BV445" s="18">
        <v>463.05176470588236</v>
      </c>
      <c r="BW445" s="18">
        <v>61.082287694117653</v>
      </c>
      <c r="BX445" s="18">
        <v>471</v>
      </c>
      <c r="BY445" s="18">
        <v>18</v>
      </c>
      <c r="BZ445" s="18">
        <v>40</v>
      </c>
      <c r="CA445" s="18">
        <v>258</v>
      </c>
      <c r="CB445" s="19"/>
      <c r="CC445" s="19">
        <v>0.880000000000001</v>
      </c>
      <c r="CD445" s="19">
        <v>3.1999999999999997</v>
      </c>
      <c r="CE445" s="19">
        <v>8.5000000000000006E-2</v>
      </c>
      <c r="CF445" s="19">
        <v>0</v>
      </c>
      <c r="CG445" s="19">
        <v>3.9999979999999997</v>
      </c>
      <c r="CH445" s="19">
        <v>1.105</v>
      </c>
      <c r="CI445" s="19">
        <v>0</v>
      </c>
      <c r="CJ445" s="19"/>
      <c r="CK445" s="19">
        <v>67.150000000000006</v>
      </c>
      <c r="CL445" s="19">
        <v>3.4</v>
      </c>
      <c r="CM445" s="19">
        <v>38.25</v>
      </c>
      <c r="CN445" s="19">
        <v>34</v>
      </c>
      <c r="CO445" s="19">
        <v>0</v>
      </c>
      <c r="CP445" s="19">
        <v>2.5499999999999998E-2</v>
      </c>
      <c r="CQ445" s="19">
        <v>68.665484000000006</v>
      </c>
      <c r="CR445" s="19">
        <v>81.256015522866534</v>
      </c>
      <c r="HM445" s="620">
        <f t="shared" ref="HM445:HU445" si="268">HM75</f>
        <v>0.47300000000000003</v>
      </c>
      <c r="HN445" s="620">
        <f t="shared" si="268"/>
        <v>0.13</v>
      </c>
      <c r="HO445" s="620">
        <f t="shared" si="268"/>
        <v>0.39100000000000001</v>
      </c>
      <c r="HP445" s="620">
        <f t="shared" si="268"/>
        <v>5.5E-2</v>
      </c>
      <c r="HQ445" s="620">
        <f t="shared" si="268"/>
        <v>3.97</v>
      </c>
      <c r="HR445" s="620">
        <f t="shared" si="268"/>
        <v>4.5999999999999999E-3</v>
      </c>
      <c r="HS445" s="620">
        <f t="shared" si="268"/>
        <v>2.73</v>
      </c>
      <c r="HT445" s="620" t="str">
        <f t="shared" si="268"/>
        <v>as barley</v>
      </c>
      <c r="HU445" s="620" t="str">
        <f t="shared" si="268"/>
        <v>offfarm</v>
      </c>
      <c r="HV445" s="22" t="s">
        <v>2027</v>
      </c>
      <c r="IB445" s="11">
        <f t="shared" ref="IB445:II445" si="269">IB75</f>
        <v>0.47300000000000003</v>
      </c>
      <c r="IC445" s="11">
        <f t="shared" si="269"/>
        <v>0.13</v>
      </c>
      <c r="ID445" s="11">
        <f t="shared" si="269"/>
        <v>0.39100000000000001</v>
      </c>
      <c r="IE445" s="11">
        <f t="shared" si="269"/>
        <v>5.5E-2</v>
      </c>
      <c r="IF445" s="11">
        <f t="shared" si="269"/>
        <v>3.97</v>
      </c>
      <c r="IG445" s="11">
        <f t="shared" si="269"/>
        <v>4.5999999999999999E-3</v>
      </c>
      <c r="IH445" s="11">
        <f t="shared" si="269"/>
        <v>2.73</v>
      </c>
      <c r="II445" s="11" t="str">
        <f t="shared" si="269"/>
        <v>as barley</v>
      </c>
      <c r="IJ445" s="11" t="str">
        <f t="shared" ref="IJ445:IJ449" si="270">IJ444</f>
        <v>oats - on farm</v>
      </c>
    </row>
    <row r="446" spans="4:244" x14ac:dyDescent="0.25">
      <c r="D446" s="20" t="s">
        <v>1077</v>
      </c>
      <c r="E446" s="14">
        <v>42678</v>
      </c>
      <c r="F446" s="18">
        <v>0.84505108401083995</v>
      </c>
      <c r="G446" s="18">
        <v>0.87572611948052104</v>
      </c>
      <c r="H446" s="21">
        <v>69.900000000000006</v>
      </c>
      <c r="I446" s="21">
        <v>65.500004700000005</v>
      </c>
      <c r="J446" s="21">
        <v>91</v>
      </c>
      <c r="K446" s="18">
        <v>1</v>
      </c>
      <c r="L446" s="18">
        <v>85</v>
      </c>
      <c r="M446" s="18">
        <v>9.8000000000000096</v>
      </c>
      <c r="N446" s="18">
        <v>4.4000000000000004</v>
      </c>
      <c r="O446" s="18">
        <v>2.4</v>
      </c>
      <c r="P446" s="18">
        <v>11</v>
      </c>
      <c r="Q446" s="19"/>
      <c r="R446" s="18">
        <v>70.066820408163295</v>
      </c>
      <c r="S446" s="18">
        <v>27</v>
      </c>
      <c r="T446" s="18">
        <v>39</v>
      </c>
      <c r="U446" s="18">
        <v>43</v>
      </c>
      <c r="V446" s="18">
        <v>47</v>
      </c>
      <c r="W446" s="18">
        <v>50</v>
      </c>
      <c r="X446" s="18"/>
      <c r="Y446" s="18">
        <v>1.03529411764706</v>
      </c>
      <c r="Z446" s="18">
        <v>3.7647058823529411</v>
      </c>
      <c r="AA446" s="18">
        <v>0.1</v>
      </c>
      <c r="AB446" s="18">
        <v>0</v>
      </c>
      <c r="AC446" s="18">
        <v>4.7058799999999996</v>
      </c>
      <c r="AD446" s="18">
        <v>1.3</v>
      </c>
      <c r="AE446" s="18">
        <v>0</v>
      </c>
      <c r="AF446" s="18">
        <v>79.000000000000014</v>
      </c>
      <c r="AG446" s="18">
        <v>4</v>
      </c>
      <c r="AH446" s="18">
        <v>45</v>
      </c>
      <c r="AI446" s="18">
        <v>40</v>
      </c>
      <c r="AJ446" s="18">
        <v>0</v>
      </c>
      <c r="AK446" s="18">
        <v>0.03</v>
      </c>
      <c r="AL446" s="18"/>
      <c r="AM446" s="18">
        <v>4.18</v>
      </c>
      <c r="AN446" s="18">
        <v>1.64</v>
      </c>
      <c r="AO446" s="18">
        <v>2.73</v>
      </c>
      <c r="AP446" s="18">
        <v>3.27</v>
      </c>
      <c r="AQ446" s="18">
        <v>1.23</v>
      </c>
      <c r="AR446" s="18">
        <v>3.7</v>
      </c>
      <c r="AS446" s="18">
        <v>7.1100000000000101</v>
      </c>
      <c r="AT446" s="18">
        <v>2.1</v>
      </c>
      <c r="AU446" s="18">
        <v>4.5199999999999996</v>
      </c>
      <c r="AV446" s="18">
        <v>3.22</v>
      </c>
      <c r="AW446" s="18">
        <v>5.14</v>
      </c>
      <c r="AX446" s="18"/>
      <c r="AY446" s="18">
        <v>1.04</v>
      </c>
      <c r="AZ446" s="18">
        <v>1.1499999999999999</v>
      </c>
      <c r="BA446" s="18">
        <v>0.95</v>
      </c>
      <c r="BB446" s="18">
        <v>0.92</v>
      </c>
      <c r="BC446" s="18">
        <v>1.07</v>
      </c>
      <c r="BD446" s="18">
        <v>1.1000000000000001</v>
      </c>
      <c r="BE446" s="18">
        <v>1.1200000000000001</v>
      </c>
      <c r="BF446" s="18">
        <v>1.1599999999999999</v>
      </c>
      <c r="BG446" s="18">
        <v>1.1599999999999999</v>
      </c>
      <c r="BH446" s="18">
        <v>1.1100000000000001</v>
      </c>
      <c r="BI446" s="18">
        <v>1.08</v>
      </c>
      <c r="BJ446" s="19"/>
      <c r="BK446" s="18">
        <v>11.529411764705893</v>
      </c>
      <c r="BL446" s="18">
        <v>5.1764705882352944</v>
      </c>
      <c r="BM446" s="18">
        <v>2.8235294117647061</v>
      </c>
      <c r="BN446" s="18">
        <v>12.941176470588236</v>
      </c>
      <c r="BO446" s="18"/>
      <c r="BP446" s="18">
        <v>110</v>
      </c>
      <c r="BQ446" s="18">
        <v>56.941176470588232</v>
      </c>
      <c r="BR446" s="18">
        <v>0.99417774589510588</v>
      </c>
      <c r="BS446" s="18">
        <v>1.0302660229182601</v>
      </c>
      <c r="BT446" s="19"/>
      <c r="BU446" s="18">
        <v>971.76470588235293</v>
      </c>
      <c r="BV446" s="18">
        <v>463.05176470588236</v>
      </c>
      <c r="BW446" s="18">
        <v>61.082287694117653</v>
      </c>
      <c r="BX446" s="18">
        <v>471</v>
      </c>
      <c r="BY446" s="18">
        <v>18</v>
      </c>
      <c r="BZ446" s="18">
        <v>40</v>
      </c>
      <c r="CA446" s="18">
        <v>258</v>
      </c>
      <c r="CB446" s="19"/>
      <c r="CC446" s="19">
        <v>0.880000000000001</v>
      </c>
      <c r="CD446" s="19">
        <v>3.1999999999999997</v>
      </c>
      <c r="CE446" s="19">
        <v>8.5000000000000006E-2</v>
      </c>
      <c r="CF446" s="19">
        <v>0</v>
      </c>
      <c r="CG446" s="19">
        <v>3.9999979999999997</v>
      </c>
      <c r="CH446" s="19">
        <v>1.105</v>
      </c>
      <c r="CI446" s="19">
        <v>0</v>
      </c>
      <c r="CJ446" s="19"/>
      <c r="CK446" s="19">
        <v>67.150000000000006</v>
      </c>
      <c r="CL446" s="19">
        <v>3.4</v>
      </c>
      <c r="CM446" s="19">
        <v>38.25</v>
      </c>
      <c r="CN446" s="19">
        <v>34</v>
      </c>
      <c r="CO446" s="19">
        <v>0</v>
      </c>
      <c r="CP446" s="19">
        <v>2.5499999999999998E-2</v>
      </c>
      <c r="CQ446" s="19">
        <v>68.665484000000006</v>
      </c>
      <c r="CR446" s="19">
        <v>81.256015522866534</v>
      </c>
      <c r="HM446" s="620">
        <f t="shared" ref="HM446:HU446" si="271">HM76</f>
        <v>0.47300000000000003</v>
      </c>
      <c r="HN446" s="620">
        <f t="shared" si="271"/>
        <v>0.13</v>
      </c>
      <c r="HO446" s="620">
        <f t="shared" si="271"/>
        <v>0.39100000000000001</v>
      </c>
      <c r="HP446" s="620">
        <f t="shared" si="271"/>
        <v>5.5E-2</v>
      </c>
      <c r="HQ446" s="620">
        <f t="shared" si="271"/>
        <v>3.97</v>
      </c>
      <c r="HR446" s="620">
        <f t="shared" si="271"/>
        <v>4.5999999999999999E-3</v>
      </c>
      <c r="HS446" s="620">
        <f t="shared" si="271"/>
        <v>2.73</v>
      </c>
      <c r="HT446" s="620" t="str">
        <f t="shared" si="271"/>
        <v>as barley</v>
      </c>
      <c r="HU446" s="620" t="str">
        <f t="shared" si="271"/>
        <v>offfarm</v>
      </c>
      <c r="HV446" s="22" t="s">
        <v>2027</v>
      </c>
      <c r="IB446" s="11">
        <f t="shared" ref="IB446:II446" si="272">IB76</f>
        <v>0.47300000000000003</v>
      </c>
      <c r="IC446" s="11">
        <f t="shared" si="272"/>
        <v>0.13</v>
      </c>
      <c r="ID446" s="11">
        <f t="shared" si="272"/>
        <v>0.39100000000000001</v>
      </c>
      <c r="IE446" s="11">
        <f t="shared" si="272"/>
        <v>5.5E-2</v>
      </c>
      <c r="IF446" s="11">
        <f t="shared" si="272"/>
        <v>3.97</v>
      </c>
      <c r="IG446" s="11">
        <f t="shared" si="272"/>
        <v>4.5999999999999999E-3</v>
      </c>
      <c r="IH446" s="11">
        <f t="shared" si="272"/>
        <v>2.73</v>
      </c>
      <c r="II446" s="11" t="str">
        <f t="shared" si="272"/>
        <v>as barley</v>
      </c>
      <c r="IJ446" s="11" t="str">
        <f t="shared" si="270"/>
        <v>oats - on farm</v>
      </c>
    </row>
    <row r="447" spans="4:244" x14ac:dyDescent="0.25">
      <c r="D447" s="185" t="s">
        <v>1078</v>
      </c>
      <c r="E447" s="14">
        <v>42695</v>
      </c>
      <c r="F447" s="18">
        <v>0.84460739997018897</v>
      </c>
      <c r="G447" s="18">
        <v>0.87530092467531895</v>
      </c>
      <c r="H447" s="21">
        <v>69.900000000000006</v>
      </c>
      <c r="I447" s="21">
        <v>65.500004700000005</v>
      </c>
      <c r="J447" s="21">
        <v>91</v>
      </c>
      <c r="K447" s="18">
        <v>1</v>
      </c>
      <c r="L447" s="18">
        <v>85</v>
      </c>
      <c r="M447" s="18">
        <v>9.9999999999999591</v>
      </c>
      <c r="N447" s="18">
        <v>4.4000000000000004</v>
      </c>
      <c r="O447" s="18">
        <v>2.4</v>
      </c>
      <c r="P447" s="18">
        <v>11</v>
      </c>
      <c r="Q447" s="19"/>
      <c r="R447" s="18">
        <v>70.4854839999999</v>
      </c>
      <c r="S447" s="18">
        <v>27</v>
      </c>
      <c r="T447" s="18">
        <v>39</v>
      </c>
      <c r="U447" s="18">
        <v>43</v>
      </c>
      <c r="V447" s="18">
        <v>47</v>
      </c>
      <c r="W447" s="18">
        <v>50</v>
      </c>
      <c r="X447" s="18"/>
      <c r="Y447" s="18">
        <v>1.03529411764706</v>
      </c>
      <c r="Z447" s="18">
        <v>3.7647058823529411</v>
      </c>
      <c r="AA447" s="18">
        <v>0.1</v>
      </c>
      <c r="AB447" s="18">
        <v>0</v>
      </c>
      <c r="AC447" s="18">
        <v>5.5</v>
      </c>
      <c r="AD447" s="18">
        <v>1.2</v>
      </c>
      <c r="AE447" s="18">
        <v>1.4</v>
      </c>
      <c r="AF447" s="18">
        <v>66</v>
      </c>
      <c r="AG447" s="18">
        <v>2.7</v>
      </c>
      <c r="AH447" s="18">
        <v>42.999999999999993</v>
      </c>
      <c r="AI447" s="18">
        <v>31</v>
      </c>
      <c r="AJ447" s="18">
        <v>0</v>
      </c>
      <c r="AK447" s="18">
        <v>0.03</v>
      </c>
      <c r="AL447" s="18"/>
      <c r="AM447" s="18">
        <v>4.18</v>
      </c>
      <c r="AN447" s="18">
        <v>1.64</v>
      </c>
      <c r="AO447" s="18">
        <v>2.73</v>
      </c>
      <c r="AP447" s="18">
        <v>3.27</v>
      </c>
      <c r="AQ447" s="18">
        <v>1.23</v>
      </c>
      <c r="AR447" s="18">
        <v>3.7</v>
      </c>
      <c r="AS447" s="18">
        <v>7.1100000000000101</v>
      </c>
      <c r="AT447" s="18">
        <v>2.1</v>
      </c>
      <c r="AU447" s="18">
        <v>4.5199999999999996</v>
      </c>
      <c r="AV447" s="18">
        <v>3.22</v>
      </c>
      <c r="AW447" s="18">
        <v>5.14</v>
      </c>
      <c r="AX447" s="18"/>
      <c r="AY447" s="18">
        <v>1.04</v>
      </c>
      <c r="AZ447" s="18">
        <v>1.1499999999999999</v>
      </c>
      <c r="BA447" s="18">
        <v>0.95</v>
      </c>
      <c r="BB447" s="18">
        <v>0.92</v>
      </c>
      <c r="BC447" s="18">
        <v>1.07</v>
      </c>
      <c r="BD447" s="18">
        <v>1.1000000000000001</v>
      </c>
      <c r="BE447" s="18">
        <v>1.1200000000000001</v>
      </c>
      <c r="BF447" s="18">
        <v>1.1599999999999999</v>
      </c>
      <c r="BG447" s="18">
        <v>1.1599999999999999</v>
      </c>
      <c r="BH447" s="18">
        <v>1.1100000000000001</v>
      </c>
      <c r="BI447" s="18">
        <v>1.08</v>
      </c>
      <c r="BJ447" s="19"/>
      <c r="BK447" s="18">
        <v>11.764705882352892</v>
      </c>
      <c r="BL447" s="18">
        <v>5.1764705882352944</v>
      </c>
      <c r="BM447" s="18">
        <v>2.8235294117647061</v>
      </c>
      <c r="BN447" s="18">
        <v>12.941176470588236</v>
      </c>
      <c r="BO447" s="18"/>
      <c r="BP447" s="18">
        <v>110</v>
      </c>
      <c r="BQ447" s="18">
        <v>56.941176470588232</v>
      </c>
      <c r="BR447" s="18">
        <v>0.99365576467081052</v>
      </c>
      <c r="BS447" s="18">
        <v>1.0297657937356695</v>
      </c>
      <c r="BT447" s="19"/>
      <c r="BU447" s="18">
        <v>971.76470588235293</v>
      </c>
      <c r="BV447" s="18">
        <v>460.91058823529414</v>
      </c>
      <c r="BW447" s="18">
        <v>61.082287694117653</v>
      </c>
      <c r="BX447" s="18">
        <v>471</v>
      </c>
      <c r="BY447" s="18">
        <v>18</v>
      </c>
      <c r="BZ447" s="18">
        <v>40</v>
      </c>
      <c r="CA447" s="18">
        <v>258</v>
      </c>
      <c r="CB447" s="19"/>
      <c r="CC447" s="19">
        <v>0.880000000000001</v>
      </c>
      <c r="CD447" s="19">
        <v>3.1999999999999997</v>
      </c>
      <c r="CE447" s="19">
        <v>8.5000000000000006E-2</v>
      </c>
      <c r="CF447" s="19">
        <v>0</v>
      </c>
      <c r="CG447" s="19">
        <v>4.6749999999999998</v>
      </c>
      <c r="CH447" s="19">
        <v>1.02</v>
      </c>
      <c r="CI447" s="19">
        <v>1.19</v>
      </c>
      <c r="CJ447" s="19"/>
      <c r="CK447" s="19">
        <v>56.1</v>
      </c>
      <c r="CL447" s="19">
        <v>2.2949999999999999</v>
      </c>
      <c r="CM447" s="19">
        <v>36.54999999999999</v>
      </c>
      <c r="CN447" s="19">
        <v>26.349999999999998</v>
      </c>
      <c r="CO447" s="19">
        <v>0</v>
      </c>
      <c r="CP447" s="19">
        <v>2.5499999999999998E-2</v>
      </c>
      <c r="CQ447" s="19">
        <v>70.485483999999602</v>
      </c>
      <c r="CR447" s="19">
        <v>83.453547769635264</v>
      </c>
      <c r="HM447" s="620">
        <f t="shared" ref="HM447:HU447" si="273">HM77</f>
        <v>0.47300000000000003</v>
      </c>
      <c r="HN447" s="620">
        <f t="shared" si="273"/>
        <v>0.13</v>
      </c>
      <c r="HO447" s="620">
        <f t="shared" si="273"/>
        <v>0.39100000000000001</v>
      </c>
      <c r="HP447" s="620">
        <f t="shared" si="273"/>
        <v>5.5E-2</v>
      </c>
      <c r="HQ447" s="620">
        <f t="shared" si="273"/>
        <v>3.97</v>
      </c>
      <c r="HR447" s="620">
        <f t="shared" si="273"/>
        <v>4.5999999999999999E-3</v>
      </c>
      <c r="HS447" s="620">
        <f t="shared" si="273"/>
        <v>2.73</v>
      </c>
      <c r="HT447" s="620" t="str">
        <f t="shared" si="273"/>
        <v>as barley</v>
      </c>
      <c r="HU447" s="620" t="str">
        <f t="shared" si="273"/>
        <v>offfarm</v>
      </c>
      <c r="HV447" s="22" t="s">
        <v>2027</v>
      </c>
      <c r="IB447" s="11">
        <f t="shared" ref="IB447:II447" si="274">IB77</f>
        <v>0.47300000000000003</v>
      </c>
      <c r="IC447" s="11">
        <f t="shared" si="274"/>
        <v>0.13</v>
      </c>
      <c r="ID447" s="11">
        <f t="shared" si="274"/>
        <v>0.39100000000000001</v>
      </c>
      <c r="IE447" s="11">
        <f t="shared" si="274"/>
        <v>5.5E-2</v>
      </c>
      <c r="IF447" s="11">
        <f t="shared" si="274"/>
        <v>3.97</v>
      </c>
      <c r="IG447" s="11">
        <f t="shared" si="274"/>
        <v>4.5999999999999999E-3</v>
      </c>
      <c r="IH447" s="11">
        <f t="shared" si="274"/>
        <v>2.73</v>
      </c>
      <c r="II447" s="11" t="str">
        <f t="shared" si="274"/>
        <v>as barley</v>
      </c>
      <c r="IJ447" s="11" t="str">
        <f t="shared" si="270"/>
        <v>oats - on farm</v>
      </c>
    </row>
    <row r="448" spans="4:244" x14ac:dyDescent="0.25">
      <c r="D448" s="185" t="s">
        <v>1079</v>
      </c>
      <c r="E448" s="14">
        <v>42695</v>
      </c>
      <c r="F448" s="18">
        <v>0.84128016419783203</v>
      </c>
      <c r="G448" s="18">
        <v>0.87211196363636301</v>
      </c>
      <c r="H448" s="21">
        <v>69.900000000000006</v>
      </c>
      <c r="I448" s="21">
        <v>65.500004700000005</v>
      </c>
      <c r="J448" s="21">
        <v>91</v>
      </c>
      <c r="K448" s="18">
        <v>1</v>
      </c>
      <c r="L448" s="18">
        <v>85</v>
      </c>
      <c r="M448" s="18">
        <v>11.5</v>
      </c>
      <c r="N448" s="18">
        <v>4.4000000000000004</v>
      </c>
      <c r="O448" s="18">
        <v>2.4</v>
      </c>
      <c r="P448" s="18">
        <v>11</v>
      </c>
      <c r="Q448" s="19"/>
      <c r="R448" s="18">
        <v>73.1612904347826</v>
      </c>
      <c r="S448" s="18">
        <v>27</v>
      </c>
      <c r="T448" s="18">
        <v>39</v>
      </c>
      <c r="U448" s="18">
        <v>43</v>
      </c>
      <c r="V448" s="18">
        <v>47</v>
      </c>
      <c r="W448" s="18">
        <v>50</v>
      </c>
      <c r="X448" s="18"/>
      <c r="Y448" s="18">
        <v>1.03529411764706</v>
      </c>
      <c r="Z448" s="18">
        <v>3.7647058823529411</v>
      </c>
      <c r="AA448" s="18">
        <v>0.1</v>
      </c>
      <c r="AB448" s="18">
        <v>0</v>
      </c>
      <c r="AC448" s="18">
        <v>5.5</v>
      </c>
      <c r="AD448" s="18">
        <v>1.2</v>
      </c>
      <c r="AE448" s="18">
        <v>1.4</v>
      </c>
      <c r="AF448" s="18">
        <v>66</v>
      </c>
      <c r="AG448" s="18">
        <v>2.7</v>
      </c>
      <c r="AH448" s="18">
        <v>42.999999999999993</v>
      </c>
      <c r="AI448" s="18">
        <v>31</v>
      </c>
      <c r="AJ448" s="18">
        <v>0</v>
      </c>
      <c r="AK448" s="18">
        <v>0.03</v>
      </c>
      <c r="AL448" s="18"/>
      <c r="AM448" s="18">
        <v>4.18</v>
      </c>
      <c r="AN448" s="18">
        <v>1.64</v>
      </c>
      <c r="AO448" s="18">
        <v>2.73</v>
      </c>
      <c r="AP448" s="18">
        <v>3.27</v>
      </c>
      <c r="AQ448" s="18">
        <v>1.23</v>
      </c>
      <c r="AR448" s="18">
        <v>3.7</v>
      </c>
      <c r="AS448" s="18">
        <v>7.1100000000000101</v>
      </c>
      <c r="AT448" s="18">
        <v>2.1</v>
      </c>
      <c r="AU448" s="18">
        <v>4.5199999999999996</v>
      </c>
      <c r="AV448" s="18">
        <v>3.22</v>
      </c>
      <c r="AW448" s="18">
        <v>5.14</v>
      </c>
      <c r="AX448" s="18"/>
      <c r="AY448" s="18">
        <v>1.04</v>
      </c>
      <c r="AZ448" s="18">
        <v>1.1499999999999999</v>
      </c>
      <c r="BA448" s="18">
        <v>0.95</v>
      </c>
      <c r="BB448" s="18">
        <v>0.92</v>
      </c>
      <c r="BC448" s="18">
        <v>1.07</v>
      </c>
      <c r="BD448" s="18">
        <v>1.1000000000000001</v>
      </c>
      <c r="BE448" s="18">
        <v>1.1200000000000001</v>
      </c>
      <c r="BF448" s="18">
        <v>1.1599999999999999</v>
      </c>
      <c r="BG448" s="18">
        <v>1.1599999999999999</v>
      </c>
      <c r="BH448" s="18">
        <v>1.1100000000000001</v>
      </c>
      <c r="BI448" s="18">
        <v>1.08</v>
      </c>
      <c r="BJ448" s="19"/>
      <c r="BK448" s="18">
        <v>13.529411764705882</v>
      </c>
      <c r="BL448" s="18">
        <v>5.1764705882352944</v>
      </c>
      <c r="BM448" s="18">
        <v>2.8235294117647061</v>
      </c>
      <c r="BN448" s="18">
        <v>12.941176470588236</v>
      </c>
      <c r="BO448" s="18"/>
      <c r="BP448" s="18">
        <v>110</v>
      </c>
      <c r="BQ448" s="18">
        <v>56.941176470588232</v>
      </c>
      <c r="BR448" s="18">
        <v>0.98974136964450832</v>
      </c>
      <c r="BS448" s="18">
        <v>1.0260140748663094</v>
      </c>
      <c r="BT448" s="19"/>
      <c r="BU448" s="18">
        <v>971.76470588235293</v>
      </c>
      <c r="BV448" s="18">
        <v>444.85176470588237</v>
      </c>
      <c r="BW448" s="18">
        <v>61.082287694117653</v>
      </c>
      <c r="BX448" s="18">
        <v>471</v>
      </c>
      <c r="BY448" s="18">
        <v>18</v>
      </c>
      <c r="BZ448" s="18">
        <v>40</v>
      </c>
      <c r="CA448" s="18">
        <v>258</v>
      </c>
      <c r="CB448" s="19"/>
      <c r="CC448" s="19">
        <v>0.880000000000001</v>
      </c>
      <c r="CD448" s="19">
        <v>3.1999999999999997</v>
      </c>
      <c r="CE448" s="19">
        <v>8.5000000000000006E-2</v>
      </c>
      <c r="CF448" s="19">
        <v>0</v>
      </c>
      <c r="CG448" s="19">
        <v>4.6749999999999998</v>
      </c>
      <c r="CH448" s="19">
        <v>1.02</v>
      </c>
      <c r="CI448" s="19">
        <v>1.19</v>
      </c>
      <c r="CJ448" s="19"/>
      <c r="CK448" s="19">
        <v>56.1</v>
      </c>
      <c r="CL448" s="19">
        <v>2.2949999999999999</v>
      </c>
      <c r="CM448" s="19">
        <v>36.54999999999999</v>
      </c>
      <c r="CN448" s="19">
        <v>26.349999999999998</v>
      </c>
      <c r="CO448" s="19">
        <v>0</v>
      </c>
      <c r="CP448" s="19">
        <v>2.5499999999999998E-2</v>
      </c>
      <c r="CQ448" s="19">
        <v>84.135484000000105</v>
      </c>
      <c r="CR448" s="19">
        <v>100.00887644869653</v>
      </c>
      <c r="HM448" s="620">
        <f t="shared" ref="HM448:HU448" si="275">HM78</f>
        <v>0.47300000000000003</v>
      </c>
      <c r="HN448" s="620">
        <f t="shared" si="275"/>
        <v>0.13</v>
      </c>
      <c r="HO448" s="620">
        <f t="shared" si="275"/>
        <v>0.39100000000000001</v>
      </c>
      <c r="HP448" s="620">
        <f t="shared" si="275"/>
        <v>5.5E-2</v>
      </c>
      <c r="HQ448" s="620">
        <f t="shared" si="275"/>
        <v>3.97</v>
      </c>
      <c r="HR448" s="620">
        <f t="shared" si="275"/>
        <v>4.5999999999999999E-3</v>
      </c>
      <c r="HS448" s="620">
        <f t="shared" si="275"/>
        <v>2.73</v>
      </c>
      <c r="HT448" s="620" t="str">
        <f t="shared" si="275"/>
        <v>as barley</v>
      </c>
      <c r="HU448" s="620" t="str">
        <f t="shared" si="275"/>
        <v>offfarm</v>
      </c>
      <c r="HV448" s="22" t="s">
        <v>2027</v>
      </c>
      <c r="IB448" s="11">
        <f t="shared" ref="IB448:II448" si="276">IB78</f>
        <v>0.47300000000000003</v>
      </c>
      <c r="IC448" s="11">
        <f t="shared" si="276"/>
        <v>0.13</v>
      </c>
      <c r="ID448" s="11">
        <f t="shared" si="276"/>
        <v>0.39100000000000001</v>
      </c>
      <c r="IE448" s="11">
        <f t="shared" si="276"/>
        <v>5.5E-2</v>
      </c>
      <c r="IF448" s="11">
        <f t="shared" si="276"/>
        <v>3.97</v>
      </c>
      <c r="IG448" s="11">
        <f t="shared" si="276"/>
        <v>4.5999999999999999E-3</v>
      </c>
      <c r="IH448" s="11">
        <f t="shared" si="276"/>
        <v>2.73</v>
      </c>
      <c r="II448" s="11" t="str">
        <f t="shared" si="276"/>
        <v>as barley</v>
      </c>
      <c r="IJ448" s="11" t="str">
        <f t="shared" si="270"/>
        <v>oats - on farm</v>
      </c>
    </row>
    <row r="449" spans="4:244" x14ac:dyDescent="0.25">
      <c r="D449" s="20" t="s">
        <v>1080</v>
      </c>
      <c r="E449" s="14">
        <v>40310</v>
      </c>
      <c r="F449" s="18">
        <v>1.3052531634727</v>
      </c>
      <c r="G449" s="18">
        <v>1.27459345840445</v>
      </c>
      <c r="H449" s="21">
        <v>95.7</v>
      </c>
      <c r="I449" s="21">
        <v>90.5</v>
      </c>
      <c r="J449" s="21">
        <v>98</v>
      </c>
      <c r="K449" s="18">
        <v>1</v>
      </c>
      <c r="L449" s="18">
        <v>85</v>
      </c>
      <c r="M449" s="18">
        <v>12.41</v>
      </c>
      <c r="N449" s="18">
        <v>6.46</v>
      </c>
      <c r="O449" s="18">
        <v>1.7849999999999999</v>
      </c>
      <c r="P449" s="18">
        <v>2.38</v>
      </c>
      <c r="Q449" s="19"/>
      <c r="R449" s="18">
        <v>92.284096477495098</v>
      </c>
      <c r="S449" s="18">
        <v>27</v>
      </c>
      <c r="T449" s="18">
        <v>39</v>
      </c>
      <c r="U449" s="18">
        <v>43</v>
      </c>
      <c r="V449" s="18">
        <v>47</v>
      </c>
      <c r="W449" s="18">
        <v>50</v>
      </c>
      <c r="X449" s="18"/>
      <c r="Y449" s="18">
        <v>0.9</v>
      </c>
      <c r="Z449" s="18">
        <v>5.0999999999999996</v>
      </c>
      <c r="AA449" s="18">
        <v>0.1</v>
      </c>
      <c r="AB449" s="18">
        <v>0</v>
      </c>
      <c r="AC449" s="18">
        <v>4.7</v>
      </c>
      <c r="AD449" s="18">
        <v>1.7000000000000002</v>
      </c>
      <c r="AE449" s="18">
        <v>2</v>
      </c>
      <c r="AF449" s="18">
        <v>56</v>
      </c>
      <c r="AG449" s="18">
        <v>4.2</v>
      </c>
      <c r="AH449" s="18">
        <v>53</v>
      </c>
      <c r="AI449" s="18">
        <v>40</v>
      </c>
      <c r="AJ449" s="18">
        <v>0</v>
      </c>
      <c r="AK449" s="18">
        <v>0.03</v>
      </c>
      <c r="AL449" s="18"/>
      <c r="AM449" s="18">
        <v>4.0599999999999996</v>
      </c>
      <c r="AN449" s="18">
        <v>1.81</v>
      </c>
      <c r="AO449" s="18">
        <v>3.32</v>
      </c>
      <c r="AP449" s="18">
        <v>3.76</v>
      </c>
      <c r="AQ449" s="18">
        <v>1.38</v>
      </c>
      <c r="AR449" s="18">
        <v>3.09</v>
      </c>
      <c r="AS449" s="18">
        <v>7.15</v>
      </c>
      <c r="AT449" s="18">
        <v>2.61</v>
      </c>
      <c r="AU449" s="18">
        <v>4.57</v>
      </c>
      <c r="AV449" s="18">
        <v>2.8</v>
      </c>
      <c r="AW449" s="18">
        <v>3.94</v>
      </c>
      <c r="AX449" s="18"/>
      <c r="AY449" s="18">
        <v>1.04</v>
      </c>
      <c r="AZ449" s="18">
        <v>1.1499999999999999</v>
      </c>
      <c r="BA449" s="18">
        <v>0.95</v>
      </c>
      <c r="BB449" s="18">
        <v>0.92</v>
      </c>
      <c r="BC449" s="18">
        <v>1.07</v>
      </c>
      <c r="BD449" s="18">
        <v>1.1000000000000001</v>
      </c>
      <c r="BE449" s="18">
        <v>1.1200000000000001</v>
      </c>
      <c r="BF449" s="18">
        <v>1.1599999999999999</v>
      </c>
      <c r="BG449" s="18">
        <v>1.1599999999999999</v>
      </c>
      <c r="BH449" s="18">
        <v>1.1100000000000001</v>
      </c>
      <c r="BI449" s="18">
        <v>1.08</v>
      </c>
      <c r="BJ449" s="19"/>
      <c r="BK449" s="18">
        <v>14.6</v>
      </c>
      <c r="BL449" s="18">
        <v>7.6</v>
      </c>
      <c r="BM449" s="18">
        <v>2.1</v>
      </c>
      <c r="BN449" s="18">
        <v>2.8</v>
      </c>
      <c r="BO449" s="18"/>
      <c r="BP449" s="18">
        <v>110</v>
      </c>
      <c r="BQ449" s="18">
        <v>83.600000000000009</v>
      </c>
      <c r="BR449" s="18">
        <v>1.535591957026706</v>
      </c>
      <c r="BS449" s="18">
        <v>1.4995217157699412</v>
      </c>
      <c r="BT449" s="19"/>
      <c r="BU449" s="18">
        <v>979</v>
      </c>
      <c r="BV449" s="18">
        <v>657.59728571428593</v>
      </c>
      <c r="BW449" s="18">
        <v>72.725714285714361</v>
      </c>
      <c r="BX449" s="18">
        <v>471</v>
      </c>
      <c r="BY449" s="18">
        <v>18</v>
      </c>
      <c r="BZ449" s="18">
        <v>40</v>
      </c>
      <c r="CA449" s="18">
        <v>258</v>
      </c>
      <c r="CB449" s="19"/>
      <c r="CC449" s="19">
        <v>0.76500000000000001</v>
      </c>
      <c r="CD449" s="19">
        <v>4.335</v>
      </c>
      <c r="CE449" s="19">
        <v>8.5000000000000006E-2</v>
      </c>
      <c r="CF449" s="19">
        <v>0</v>
      </c>
      <c r="CG449" s="19">
        <v>3.9950000000000001</v>
      </c>
      <c r="CH449" s="19">
        <v>1.4450000000000001</v>
      </c>
      <c r="CI449" s="19">
        <v>1.7</v>
      </c>
      <c r="CJ449" s="19"/>
      <c r="CK449" s="19">
        <v>47.6</v>
      </c>
      <c r="CL449" s="19">
        <v>3.57</v>
      </c>
      <c r="CM449" s="19">
        <v>45.05</v>
      </c>
      <c r="CN449" s="19">
        <v>34</v>
      </c>
      <c r="CO449" s="19">
        <v>0</v>
      </c>
      <c r="CP449" s="19">
        <v>2.5499999999999998E-2</v>
      </c>
      <c r="CQ449" s="19">
        <v>114.52456372857201</v>
      </c>
      <c r="CR449" s="19">
        <v>87.741265015495472</v>
      </c>
      <c r="HM449" s="620">
        <f t="shared" ref="HM449:HU449" si="277">HM79</f>
        <v>0.47300000000000003</v>
      </c>
      <c r="HN449" s="620">
        <f t="shared" si="277"/>
        <v>0.13</v>
      </c>
      <c r="HO449" s="620">
        <f t="shared" si="277"/>
        <v>0.39100000000000001</v>
      </c>
      <c r="HP449" s="620">
        <f t="shared" si="277"/>
        <v>5.5E-2</v>
      </c>
      <c r="HQ449" s="620">
        <f t="shared" si="277"/>
        <v>3.97</v>
      </c>
      <c r="HR449" s="620">
        <f t="shared" si="277"/>
        <v>4.5999999999999999E-3</v>
      </c>
      <c r="HS449" s="620">
        <f t="shared" si="277"/>
        <v>2.73</v>
      </c>
      <c r="HT449" s="620" t="str">
        <f t="shared" si="277"/>
        <v>as barley</v>
      </c>
      <c r="HU449" s="620" t="str">
        <f t="shared" si="277"/>
        <v>offfarm</v>
      </c>
      <c r="HV449" s="22" t="s">
        <v>2027</v>
      </c>
      <c r="IB449" s="11">
        <f t="shared" ref="IB449:II449" si="278">IB79</f>
        <v>0.47300000000000003</v>
      </c>
      <c r="IC449" s="11">
        <f t="shared" si="278"/>
        <v>0.13</v>
      </c>
      <c r="ID449" s="11">
        <f t="shared" si="278"/>
        <v>0.39100000000000001</v>
      </c>
      <c r="IE449" s="11">
        <f t="shared" si="278"/>
        <v>5.5E-2</v>
      </c>
      <c r="IF449" s="11">
        <f t="shared" si="278"/>
        <v>3.97</v>
      </c>
      <c r="IG449" s="11">
        <f t="shared" si="278"/>
        <v>4.5999999999999999E-3</v>
      </c>
      <c r="IH449" s="11">
        <f t="shared" si="278"/>
        <v>2.73</v>
      </c>
      <c r="II449" s="11" t="str">
        <f t="shared" si="278"/>
        <v>as barley</v>
      </c>
      <c r="IJ449" s="11" t="str">
        <f t="shared" si="270"/>
        <v>oats - on farm</v>
      </c>
    </row>
    <row r="450" spans="4:244" x14ac:dyDescent="0.25">
      <c r="D450" s="185" t="s">
        <v>1081</v>
      </c>
      <c r="E450" s="14">
        <v>41814</v>
      </c>
      <c r="F450" s="18">
        <v>7.4442403222997E-2</v>
      </c>
      <c r="G450" s="18">
        <v>0.21588845429387801</v>
      </c>
      <c r="H450" s="21">
        <v>25.1</v>
      </c>
      <c r="I450" s="21">
        <v>21.5</v>
      </c>
      <c r="J450" s="21">
        <v>82</v>
      </c>
      <c r="K450" s="18">
        <v>1</v>
      </c>
      <c r="L450" s="18">
        <v>89.1</v>
      </c>
      <c r="M450" s="18">
        <v>4.1877000000000004</v>
      </c>
      <c r="N450" s="18">
        <v>1.6037999999999999</v>
      </c>
      <c r="O450" s="18">
        <v>4.5441000000000003</v>
      </c>
      <c r="P450" s="18">
        <v>25.660799999999998</v>
      </c>
      <c r="Q450" s="19"/>
      <c r="R450" s="18">
        <v>-26.993623708206702</v>
      </c>
      <c r="S450" s="18">
        <v>20</v>
      </c>
      <c r="T450" s="18">
        <v>37</v>
      </c>
      <c r="U450" s="18">
        <v>44</v>
      </c>
      <c r="V450" s="18">
        <v>50</v>
      </c>
      <c r="W450" s="18">
        <v>54</v>
      </c>
      <c r="X450" s="18"/>
      <c r="Y450" s="18">
        <v>1.4000000000000001</v>
      </c>
      <c r="Z450" s="18">
        <v>1.7</v>
      </c>
      <c r="AA450" s="18">
        <v>0.2</v>
      </c>
      <c r="AB450" s="18">
        <v>0</v>
      </c>
      <c r="AC450" s="18">
        <v>7.0000000000000009</v>
      </c>
      <c r="AD450" s="18">
        <v>1.3000000000000003</v>
      </c>
      <c r="AE450" s="18">
        <v>1.3</v>
      </c>
      <c r="AF450" s="18">
        <v>160</v>
      </c>
      <c r="AG450" s="18">
        <v>6.3</v>
      </c>
      <c r="AH450" s="18">
        <v>36</v>
      </c>
      <c r="AI450" s="18">
        <v>30.000000000000004</v>
      </c>
      <c r="AJ450" s="18">
        <v>0</v>
      </c>
      <c r="AK450" s="18">
        <v>0.23000000000000115</v>
      </c>
      <c r="AL450" s="18"/>
      <c r="AM450" s="18">
        <v>4.13</v>
      </c>
      <c r="AN450" s="18">
        <v>1.74</v>
      </c>
      <c r="AO450" s="18">
        <v>2.39</v>
      </c>
      <c r="AP450" s="18">
        <v>3.48</v>
      </c>
      <c r="AQ450" s="18">
        <v>0.64</v>
      </c>
      <c r="AR450" s="18">
        <v>3.58</v>
      </c>
      <c r="AS450" s="18">
        <v>6.97</v>
      </c>
      <c r="AT450" s="18">
        <v>2.02</v>
      </c>
      <c r="AU450" s="18">
        <v>4.59</v>
      </c>
      <c r="AV450" s="18">
        <v>3.03</v>
      </c>
      <c r="AW450" s="18">
        <v>5.04</v>
      </c>
      <c r="AX450" s="18"/>
      <c r="AY450" s="18">
        <v>1</v>
      </c>
      <c r="AZ450" s="18">
        <v>1</v>
      </c>
      <c r="BA450" s="18">
        <v>1</v>
      </c>
      <c r="BB450" s="18">
        <v>1</v>
      </c>
      <c r="BC450" s="18">
        <v>1</v>
      </c>
      <c r="BD450" s="18">
        <v>1</v>
      </c>
      <c r="BE450" s="18">
        <v>1</v>
      </c>
      <c r="BF450" s="18">
        <v>1</v>
      </c>
      <c r="BG450" s="18">
        <v>1</v>
      </c>
      <c r="BH450" s="18">
        <v>1</v>
      </c>
      <c r="BI450" s="18">
        <v>1</v>
      </c>
      <c r="BJ450" s="19"/>
      <c r="BK450" s="18">
        <v>4.7000000000000011</v>
      </c>
      <c r="BL450" s="18">
        <v>1.8</v>
      </c>
      <c r="BM450" s="18">
        <v>5.1000000000000005</v>
      </c>
      <c r="BN450" s="18">
        <v>28.8</v>
      </c>
      <c r="BO450" s="18"/>
      <c r="BP450" s="18">
        <v>110</v>
      </c>
      <c r="BQ450" s="18">
        <v>19.8</v>
      </c>
      <c r="BR450" s="18">
        <v>8.3549274099884399E-2</v>
      </c>
      <c r="BS450" s="18">
        <v>0.24229905083487993</v>
      </c>
      <c r="BT450" s="19"/>
      <c r="BU450" s="18">
        <v>949</v>
      </c>
      <c r="BV450" s="18">
        <v>129.16328571428619</v>
      </c>
      <c r="BW450" s="18">
        <v>48.805714285714259</v>
      </c>
      <c r="BX450" s="18" t="s">
        <v>217</v>
      </c>
      <c r="BY450" s="18" t="s">
        <v>217</v>
      </c>
      <c r="BZ450" s="18">
        <v>13.000000000000002</v>
      </c>
      <c r="CA450" s="18">
        <v>640</v>
      </c>
      <c r="CB450" s="19"/>
      <c r="CC450" s="19">
        <v>1.2474000000000001</v>
      </c>
      <c r="CD450" s="19">
        <v>1.5146999999999997</v>
      </c>
      <c r="CE450" s="19">
        <v>0.1782</v>
      </c>
      <c r="CF450" s="19">
        <v>0</v>
      </c>
      <c r="CG450" s="19">
        <v>6.2370000000000001</v>
      </c>
      <c r="CH450" s="19">
        <v>1.1583000000000001</v>
      </c>
      <c r="CI450" s="19">
        <v>1.1582999999999999</v>
      </c>
      <c r="CJ450" s="19"/>
      <c r="CK450" s="19">
        <v>142.55999999999997</v>
      </c>
      <c r="CL450" s="19">
        <v>5.6132999999999988</v>
      </c>
      <c r="CM450" s="19">
        <v>32.075999999999993</v>
      </c>
      <c r="CN450" s="19">
        <v>26.73</v>
      </c>
      <c r="CO450" s="19">
        <v>0</v>
      </c>
      <c r="CP450" s="19">
        <v>0.204930000000001</v>
      </c>
      <c r="CQ450" s="19">
        <v>-11.304119800285701</v>
      </c>
      <c r="CR450" s="19">
        <v>-151.850549026789</v>
      </c>
      <c r="HM450" s="620">
        <f t="shared" ref="HM450:HU450" si="279">HM80</f>
        <v>0.47300000000000003</v>
      </c>
      <c r="HN450" s="620">
        <f t="shared" si="279"/>
        <v>0.13</v>
      </c>
      <c r="HO450" s="620">
        <f t="shared" si="279"/>
        <v>0.39100000000000001</v>
      </c>
      <c r="HP450" s="620">
        <f t="shared" si="279"/>
        <v>5.5E-2</v>
      </c>
      <c r="HQ450" s="620">
        <f t="shared" si="279"/>
        <v>3.97</v>
      </c>
      <c r="HR450" s="620">
        <f t="shared" si="279"/>
        <v>4.5999999999999999E-3</v>
      </c>
      <c r="HS450" s="620">
        <f t="shared" si="279"/>
        <v>2.73</v>
      </c>
      <c r="HT450" s="620" t="str">
        <f t="shared" si="279"/>
        <v>as barley</v>
      </c>
      <c r="HU450" s="620" t="str">
        <f t="shared" si="279"/>
        <v>offfarm</v>
      </c>
      <c r="HV450" s="22" t="s">
        <v>2028</v>
      </c>
      <c r="IB450" s="11">
        <f t="shared" ref="IB450:II450" si="280">IB80</f>
        <v>0.47300000000000003</v>
      </c>
      <c r="IC450" s="11">
        <f t="shared" si="280"/>
        <v>0.13</v>
      </c>
      <c r="ID450" s="11">
        <f t="shared" si="280"/>
        <v>0.39100000000000001</v>
      </c>
      <c r="IE450" s="11">
        <f t="shared" si="280"/>
        <v>5.5E-2</v>
      </c>
      <c r="IF450" s="11">
        <f t="shared" si="280"/>
        <v>3.97</v>
      </c>
      <c r="IG450" s="11">
        <f t="shared" si="280"/>
        <v>4.5999999999999999E-3</v>
      </c>
      <c r="IH450" s="11">
        <f t="shared" si="280"/>
        <v>2.73</v>
      </c>
      <c r="II450" s="11" t="str">
        <f t="shared" si="280"/>
        <v>as barley</v>
      </c>
    </row>
    <row r="451" spans="4:244" x14ac:dyDescent="0.25">
      <c r="D451" s="185" t="s">
        <v>1303</v>
      </c>
      <c r="E451" s="14">
        <v>42695</v>
      </c>
      <c r="F451" s="18">
        <v>0.84096817286643399</v>
      </c>
      <c r="G451" s="18">
        <v>0.86923717179962601</v>
      </c>
      <c r="H451" s="21">
        <v>79.8</v>
      </c>
      <c r="I451" s="21">
        <v>70.400038800000004</v>
      </c>
      <c r="J451" s="21">
        <v>82</v>
      </c>
      <c r="K451" s="18">
        <v>1</v>
      </c>
      <c r="L451" s="18">
        <v>84.8</v>
      </c>
      <c r="M451" s="18">
        <v>24.4</v>
      </c>
      <c r="N451" s="18">
        <v>1.7</v>
      </c>
      <c r="O451" s="18">
        <v>3.1</v>
      </c>
      <c r="P451" s="18" t="s">
        <v>217</v>
      </c>
      <c r="Q451" s="19"/>
      <c r="R451" s="18">
        <v>80</v>
      </c>
      <c r="S451" s="18">
        <v>37</v>
      </c>
      <c r="T451" s="18">
        <v>41</v>
      </c>
      <c r="U451" s="18">
        <v>43</v>
      </c>
      <c r="V451" s="18">
        <v>44</v>
      </c>
      <c r="W451" s="18">
        <v>45</v>
      </c>
      <c r="X451" s="18"/>
      <c r="Y451" s="18">
        <v>1.5094339622641511</v>
      </c>
      <c r="Z451" s="18">
        <v>5.1768867924528301</v>
      </c>
      <c r="AA451" s="18">
        <v>0.22</v>
      </c>
      <c r="AB451" s="18" t="s">
        <v>217</v>
      </c>
      <c r="AC451" s="18">
        <v>12.750000000000002</v>
      </c>
      <c r="AD451" s="18">
        <v>1.3800000000000001</v>
      </c>
      <c r="AE451" s="18">
        <v>2.2000000000000002</v>
      </c>
      <c r="AF451" s="18">
        <v>74.55</v>
      </c>
      <c r="AG451" s="18">
        <v>13.950000000000001</v>
      </c>
      <c r="AH451" s="18">
        <v>18.73</v>
      </c>
      <c r="AI451" s="18">
        <v>51.93</v>
      </c>
      <c r="AJ451" s="18">
        <v>0</v>
      </c>
      <c r="AK451" s="18">
        <v>1.9999999999999882E-2</v>
      </c>
      <c r="AL451" s="18"/>
      <c r="AM451" s="18">
        <v>6.3240418118466897</v>
      </c>
      <c r="AN451" s="18">
        <v>0.74564459930313598</v>
      </c>
      <c r="AO451" s="18">
        <v>1.2404181184669001</v>
      </c>
      <c r="AP451" s="18">
        <v>3.5261324041811801</v>
      </c>
      <c r="AQ451" s="18">
        <v>0.87456445993031395</v>
      </c>
      <c r="AR451" s="18">
        <v>3.9790940766550502</v>
      </c>
      <c r="AS451" s="18">
        <v>7.3728222996515704</v>
      </c>
      <c r="AT451" s="18">
        <v>2.6341463414634099</v>
      </c>
      <c r="AU451" s="18">
        <v>4.28571428571429</v>
      </c>
      <c r="AV451" s="18">
        <v>3.6585365853658498</v>
      </c>
      <c r="AW451" s="18">
        <v>4.4390243902439002</v>
      </c>
      <c r="AX451" s="18"/>
      <c r="AY451" s="18">
        <v>1.04</v>
      </c>
      <c r="AZ451" s="18">
        <v>0.94</v>
      </c>
      <c r="BA451" s="18">
        <v>0.94</v>
      </c>
      <c r="BB451" s="18">
        <v>0.98</v>
      </c>
      <c r="BC451" s="18">
        <v>0.93</v>
      </c>
      <c r="BD451" s="18">
        <v>0.99</v>
      </c>
      <c r="BE451" s="18">
        <v>1.03</v>
      </c>
      <c r="BF451" s="18">
        <v>1.05</v>
      </c>
      <c r="BG451" s="18">
        <v>1</v>
      </c>
      <c r="BH451" s="18">
        <v>0.96</v>
      </c>
      <c r="BI451" s="18">
        <v>0.98</v>
      </c>
      <c r="BJ451" s="19"/>
      <c r="BK451" s="18">
        <v>28.773584905660378</v>
      </c>
      <c r="BL451" s="18">
        <v>2.0047169811320757</v>
      </c>
      <c r="BM451" s="18">
        <v>3.6556603773584908</v>
      </c>
      <c r="BN451" s="18" t="s">
        <v>217</v>
      </c>
      <c r="BO451" s="18"/>
      <c r="BP451" s="18">
        <v>130</v>
      </c>
      <c r="BQ451" s="18">
        <v>26.061320754716981</v>
      </c>
      <c r="BR451" s="18">
        <v>0.99170775102173825</v>
      </c>
      <c r="BS451" s="18">
        <v>1.0250438346693702</v>
      </c>
      <c r="BT451" s="19"/>
      <c r="BU451" s="18">
        <v>963.44339622641508</v>
      </c>
      <c r="BV451" s="18">
        <v>358.16576819406959</v>
      </c>
      <c r="BW451" s="18">
        <v>129.37615061320753</v>
      </c>
      <c r="BX451" s="18">
        <v>375</v>
      </c>
      <c r="BY451" s="18">
        <v>32</v>
      </c>
      <c r="BZ451" s="18">
        <v>65.183611859838336</v>
      </c>
      <c r="CA451" s="18">
        <v>206.41477088948821</v>
      </c>
      <c r="CB451" s="19"/>
      <c r="CC451" s="19">
        <v>1.28</v>
      </c>
      <c r="CD451" s="19">
        <v>4.3899999999999997</v>
      </c>
      <c r="CE451" s="19">
        <v>0.18656</v>
      </c>
      <c r="CF451" s="19" t="s">
        <v>217</v>
      </c>
      <c r="CG451" s="19">
        <v>10.812000000000001</v>
      </c>
      <c r="CH451" s="19">
        <v>1.1702400000000002</v>
      </c>
      <c r="CI451" s="19">
        <v>1.8656000000000001</v>
      </c>
      <c r="CJ451" s="19"/>
      <c r="CK451" s="19">
        <v>63.218399999999995</v>
      </c>
      <c r="CL451" s="19">
        <v>11.829600000000001</v>
      </c>
      <c r="CM451" s="19">
        <v>15.883039999999999</v>
      </c>
      <c r="CN451" s="19">
        <v>44.036639999999998</v>
      </c>
      <c r="CO451" s="19">
        <v>0</v>
      </c>
      <c r="CP451" s="19">
        <v>1.6959999999999899E-2</v>
      </c>
      <c r="CQ451" s="19">
        <v>195.2</v>
      </c>
      <c r="CR451" s="19">
        <v>232.11342152778766</v>
      </c>
      <c r="HM451" s="620">
        <f t="shared" ref="HM451:HU451" si="281">HM81</f>
        <v>0.14000000000000001</v>
      </c>
      <c r="HN451" s="620">
        <f t="shared" si="281"/>
        <v>7.0000000000000007E-2</v>
      </c>
      <c r="HO451" s="620">
        <f t="shared" si="281"/>
        <v>0.51702999999999999</v>
      </c>
      <c r="HP451" s="620">
        <f t="shared" si="281"/>
        <v>2.1999999999999999E-2</v>
      </c>
      <c r="HQ451" s="620">
        <f t="shared" si="281"/>
        <v>0.72</v>
      </c>
      <c r="HR451" s="620">
        <f t="shared" si="281"/>
        <v>1.2900000000000001E-3</v>
      </c>
      <c r="HS451" s="620">
        <f t="shared" si="281"/>
        <v>3.47</v>
      </c>
      <c r="HT451" s="620">
        <f t="shared" si="281"/>
        <v>0</v>
      </c>
      <c r="HU451" s="620" t="str">
        <f t="shared" si="281"/>
        <v>offfarm</v>
      </c>
      <c r="HV451" s="22" t="s">
        <v>1418</v>
      </c>
      <c r="IB451" s="11">
        <f t="shared" ref="IB451:II451" si="282">IB81</f>
        <v>0.14000000000000001</v>
      </c>
      <c r="IC451" s="11">
        <f t="shared" si="282"/>
        <v>7.0000000000000007E-2</v>
      </c>
      <c r="ID451" s="11">
        <f t="shared" si="282"/>
        <v>0.51702999999999999</v>
      </c>
      <c r="IE451" s="11">
        <f t="shared" si="282"/>
        <v>2.1999999999999999E-2</v>
      </c>
      <c r="IF451" s="11">
        <f t="shared" si="282"/>
        <v>0.72</v>
      </c>
      <c r="IG451" s="11">
        <f t="shared" si="282"/>
        <v>1.2900000000000001E-3</v>
      </c>
      <c r="IH451" s="11">
        <f t="shared" si="282"/>
        <v>3.47</v>
      </c>
      <c r="II451" s="11">
        <f t="shared" si="282"/>
        <v>0</v>
      </c>
    </row>
    <row r="452" spans="4:244" x14ac:dyDescent="0.25">
      <c r="D452" s="185" t="s">
        <v>1082</v>
      </c>
      <c r="E452" s="14">
        <v>42695</v>
      </c>
      <c r="F452" s="18">
        <v>0.93274996634115104</v>
      </c>
      <c r="G452" s="18">
        <v>0.95111828897959305</v>
      </c>
      <c r="H452" s="21">
        <v>83.2</v>
      </c>
      <c r="I452" s="21">
        <v>74.500025600000001</v>
      </c>
      <c r="J452" s="21">
        <v>82</v>
      </c>
      <c r="K452" s="18">
        <v>1</v>
      </c>
      <c r="L452" s="18">
        <v>88</v>
      </c>
      <c r="M452" s="18">
        <v>26.84</v>
      </c>
      <c r="N452" s="18">
        <v>1.8480000000000001</v>
      </c>
      <c r="O452" s="18">
        <v>3.52</v>
      </c>
      <c r="P452" s="18">
        <v>8.4480000000000004</v>
      </c>
      <c r="Q452" s="19"/>
      <c r="R452" s="18">
        <v>80</v>
      </c>
      <c r="S452" s="18">
        <v>37</v>
      </c>
      <c r="T452" s="18">
        <v>41</v>
      </c>
      <c r="U452" s="18">
        <v>43</v>
      </c>
      <c r="V452" s="18">
        <v>44</v>
      </c>
      <c r="W452" s="18">
        <v>45</v>
      </c>
      <c r="X452" s="18"/>
      <c r="Y452" s="18">
        <v>1.68</v>
      </c>
      <c r="Z452" s="18">
        <v>6.1799999999999988</v>
      </c>
      <c r="AA452" s="18">
        <v>0.19999999999999998</v>
      </c>
      <c r="AB452" s="18" t="s">
        <v>217</v>
      </c>
      <c r="AC452" s="18">
        <v>12.799999999999999</v>
      </c>
      <c r="AD452" s="18">
        <v>1.4000000000000001</v>
      </c>
      <c r="AE452" s="18">
        <v>2.1999999999999997</v>
      </c>
      <c r="AF452" s="18">
        <v>78</v>
      </c>
      <c r="AG452" s="18">
        <v>13.899999999999999</v>
      </c>
      <c r="AH452" s="18">
        <v>18.299999999999997</v>
      </c>
      <c r="AI452" s="18">
        <v>51.800000000000004</v>
      </c>
      <c r="AJ452" s="18">
        <v>0</v>
      </c>
      <c r="AK452" s="18">
        <v>1.9999999999999886E-2</v>
      </c>
      <c r="AL452" s="18"/>
      <c r="AM452" s="18">
        <v>6.2622950819672099</v>
      </c>
      <c r="AN452" s="18">
        <v>0.72131147540983598</v>
      </c>
      <c r="AO452" s="18">
        <v>1.1803278688524601</v>
      </c>
      <c r="AP452" s="18">
        <v>3.46229508196721</v>
      </c>
      <c r="AQ452" s="18">
        <v>0.82950819672131104</v>
      </c>
      <c r="AR452" s="18">
        <v>3.8262295081967199</v>
      </c>
      <c r="AS452" s="18">
        <v>7.0950819672131198</v>
      </c>
      <c r="AT452" s="18">
        <v>2.58688524590164</v>
      </c>
      <c r="AU452" s="18">
        <v>4.1573770491803304</v>
      </c>
      <c r="AV452" s="18">
        <v>3.58688524590164</v>
      </c>
      <c r="AW452" s="18">
        <v>4.2819672131147497</v>
      </c>
      <c r="AX452" s="18"/>
      <c r="AY452" s="18">
        <v>1.04</v>
      </c>
      <c r="AZ452" s="18">
        <v>0.94</v>
      </c>
      <c r="BA452" s="18">
        <v>0.94</v>
      </c>
      <c r="BB452" s="18">
        <v>0.98</v>
      </c>
      <c r="BC452" s="18">
        <v>0.93</v>
      </c>
      <c r="BD452" s="18">
        <v>0.99</v>
      </c>
      <c r="BE452" s="18">
        <v>1.03</v>
      </c>
      <c r="BF452" s="18">
        <v>1.05</v>
      </c>
      <c r="BG452" s="18">
        <v>1</v>
      </c>
      <c r="BH452" s="18">
        <v>0.96</v>
      </c>
      <c r="BI452" s="18">
        <v>0.98</v>
      </c>
      <c r="BJ452" s="19"/>
      <c r="BK452" s="18">
        <v>30.5</v>
      </c>
      <c r="BL452" s="18">
        <v>2.1</v>
      </c>
      <c r="BM452" s="18">
        <v>4</v>
      </c>
      <c r="BN452" s="18">
        <v>9.6000000000000014</v>
      </c>
      <c r="BO452" s="18"/>
      <c r="BP452" s="18">
        <v>130</v>
      </c>
      <c r="BQ452" s="18">
        <v>27.3</v>
      </c>
      <c r="BR452" s="18">
        <v>1.0599431435694897</v>
      </c>
      <c r="BS452" s="18">
        <v>1.0808162374768102</v>
      </c>
      <c r="BT452" s="19"/>
      <c r="BU452" s="18">
        <v>960</v>
      </c>
      <c r="BV452" s="18">
        <v>381.48571428571364</v>
      </c>
      <c r="BW452" s="18">
        <v>119.31393462857045</v>
      </c>
      <c r="BX452" s="18">
        <v>375</v>
      </c>
      <c r="BY452" s="18">
        <v>32</v>
      </c>
      <c r="BZ452" s="18">
        <v>54.015428571428629</v>
      </c>
      <c r="CA452" s="18">
        <v>171.0488571428568</v>
      </c>
      <c r="CB452" s="19"/>
      <c r="CC452" s="19">
        <v>1.4783999999999999</v>
      </c>
      <c r="CD452" s="19">
        <v>5.4383999999999988</v>
      </c>
      <c r="CE452" s="19">
        <v>0.17599999999999999</v>
      </c>
      <c r="CF452" s="19" t="s">
        <v>217</v>
      </c>
      <c r="CG452" s="19">
        <v>11.263999999999999</v>
      </c>
      <c r="CH452" s="19">
        <v>1.2320000000000002</v>
      </c>
      <c r="CI452" s="19">
        <v>1.9359999999999997</v>
      </c>
      <c r="CJ452" s="19"/>
      <c r="CK452" s="19">
        <v>68.64</v>
      </c>
      <c r="CL452" s="19">
        <v>12.231999999999999</v>
      </c>
      <c r="CM452" s="19">
        <v>16.103999999999999</v>
      </c>
      <c r="CN452" s="19">
        <v>45.584000000000003</v>
      </c>
      <c r="CO452" s="19">
        <v>0</v>
      </c>
      <c r="CP452" s="19">
        <v>1.75999999999999E-2</v>
      </c>
      <c r="CQ452" s="19">
        <v>214.72</v>
      </c>
      <c r="CR452" s="19">
        <v>230.20102680064497</v>
      </c>
      <c r="HM452" s="620">
        <f t="shared" ref="HM452:HU452" si="283">HM82</f>
        <v>0.14000000000000001</v>
      </c>
      <c r="HN452" s="620">
        <f t="shared" si="283"/>
        <v>7.0000000000000007E-2</v>
      </c>
      <c r="HO452" s="620">
        <f t="shared" si="283"/>
        <v>0.51702999999999999</v>
      </c>
      <c r="HP452" s="620">
        <f t="shared" si="283"/>
        <v>2.1999999999999999E-2</v>
      </c>
      <c r="HQ452" s="620">
        <f t="shared" si="283"/>
        <v>0.72</v>
      </c>
      <c r="HR452" s="620">
        <f t="shared" si="283"/>
        <v>1.2900000000000001E-3</v>
      </c>
      <c r="HS452" s="620">
        <f t="shared" si="283"/>
        <v>3.47</v>
      </c>
      <c r="HT452" s="620">
        <f t="shared" si="283"/>
        <v>0</v>
      </c>
      <c r="HU452" s="620" t="str">
        <f t="shared" si="283"/>
        <v>offfarm</v>
      </c>
      <c r="HV452" s="22" t="s">
        <v>1418</v>
      </c>
      <c r="IB452" s="11">
        <f t="shared" ref="IB452:II452" si="284">IB82</f>
        <v>0.14000000000000001</v>
      </c>
      <c r="IC452" s="11">
        <f t="shared" si="284"/>
        <v>7.0000000000000007E-2</v>
      </c>
      <c r="ID452" s="11">
        <f t="shared" si="284"/>
        <v>0.51702999999999999</v>
      </c>
      <c r="IE452" s="11">
        <f t="shared" si="284"/>
        <v>2.1999999999999999E-2</v>
      </c>
      <c r="IF452" s="11">
        <f t="shared" si="284"/>
        <v>0.72</v>
      </c>
      <c r="IG452" s="11">
        <f t="shared" si="284"/>
        <v>1.2900000000000001E-3</v>
      </c>
      <c r="IH452" s="11">
        <f t="shared" si="284"/>
        <v>3.47</v>
      </c>
      <c r="II452" s="11">
        <f t="shared" si="284"/>
        <v>0</v>
      </c>
    </row>
    <row r="453" spans="4:244" x14ac:dyDescent="0.25">
      <c r="D453" s="185" t="s">
        <v>1083</v>
      </c>
      <c r="E453" s="14">
        <v>42695</v>
      </c>
      <c r="F453" s="18">
        <v>0.82447780877029797</v>
      </c>
      <c r="G453" s="18">
        <v>0.86176624914285704</v>
      </c>
      <c r="H453" s="21">
        <v>77.099999999999994</v>
      </c>
      <c r="I453" s="21">
        <v>67.399971899999997</v>
      </c>
      <c r="J453" s="21">
        <v>82</v>
      </c>
      <c r="K453" s="18">
        <v>1</v>
      </c>
      <c r="L453" s="18">
        <v>88</v>
      </c>
      <c r="M453" s="18">
        <v>24.376000000000001</v>
      </c>
      <c r="N453" s="18">
        <v>1.5840000000000001</v>
      </c>
      <c r="O453" s="18">
        <v>2.992</v>
      </c>
      <c r="P453" s="18">
        <v>8.4480000000000004</v>
      </c>
      <c r="Q453" s="19"/>
      <c r="R453" s="18">
        <v>80</v>
      </c>
      <c r="S453" s="18">
        <v>37</v>
      </c>
      <c r="T453" s="18">
        <v>41</v>
      </c>
      <c r="U453" s="18">
        <v>43</v>
      </c>
      <c r="V453" s="18">
        <v>44</v>
      </c>
      <c r="W453" s="18">
        <v>45</v>
      </c>
      <c r="X453" s="18"/>
      <c r="Y453" s="18">
        <v>1.4500000000000002</v>
      </c>
      <c r="Z453" s="18">
        <v>4.58</v>
      </c>
      <c r="AA453" s="18">
        <v>0.22</v>
      </c>
      <c r="AB453" s="18" t="s">
        <v>217</v>
      </c>
      <c r="AC453" s="18">
        <v>12.75</v>
      </c>
      <c r="AD453" s="18">
        <v>1.38</v>
      </c>
      <c r="AE453" s="18">
        <v>2.1999999999999997</v>
      </c>
      <c r="AF453" s="18">
        <v>74.55</v>
      </c>
      <c r="AG453" s="18">
        <v>13.95</v>
      </c>
      <c r="AH453" s="18">
        <v>18.729999999999997</v>
      </c>
      <c r="AI453" s="18">
        <v>51.93</v>
      </c>
      <c r="AJ453" s="18">
        <v>0</v>
      </c>
      <c r="AK453" s="18">
        <v>1.9999999999999886E-2</v>
      </c>
      <c r="AL453" s="18"/>
      <c r="AM453" s="18">
        <v>6.3501805054151603</v>
      </c>
      <c r="AN453" s="18">
        <v>0.76173285198555996</v>
      </c>
      <c r="AO453" s="18">
        <v>1.27797833935018</v>
      </c>
      <c r="AP453" s="18">
        <v>3.55595667870036</v>
      </c>
      <c r="AQ453" s="18">
        <v>0.89530685920577602</v>
      </c>
      <c r="AR453" s="18">
        <v>3.9638989169675098</v>
      </c>
      <c r="AS453" s="18">
        <v>7.3212996389891698</v>
      </c>
      <c r="AT453" s="18">
        <v>2.6064981949458499</v>
      </c>
      <c r="AU453" s="18">
        <v>4.1913357400721996</v>
      </c>
      <c r="AV453" s="18">
        <v>3.5090252707581202</v>
      </c>
      <c r="AW453" s="18">
        <v>4.3971119133574001</v>
      </c>
      <c r="AX453" s="18"/>
      <c r="AY453" s="18">
        <v>1.04</v>
      </c>
      <c r="AZ453" s="18">
        <v>0.94</v>
      </c>
      <c r="BA453" s="18">
        <v>0.94</v>
      </c>
      <c r="BB453" s="18">
        <v>0.98</v>
      </c>
      <c r="BC453" s="18">
        <v>0.93</v>
      </c>
      <c r="BD453" s="18">
        <v>0.99</v>
      </c>
      <c r="BE453" s="18">
        <v>1.03</v>
      </c>
      <c r="BF453" s="18">
        <v>1.05</v>
      </c>
      <c r="BG453" s="18">
        <v>1</v>
      </c>
      <c r="BH453" s="18">
        <v>0.96</v>
      </c>
      <c r="BI453" s="18">
        <v>0.98</v>
      </c>
      <c r="BJ453" s="19"/>
      <c r="BK453" s="18">
        <v>27.7</v>
      </c>
      <c r="BL453" s="18">
        <v>1.8</v>
      </c>
      <c r="BM453" s="18">
        <v>3.4</v>
      </c>
      <c r="BN453" s="18">
        <v>9.6000000000000014</v>
      </c>
      <c r="BO453" s="18"/>
      <c r="BP453" s="18">
        <v>130</v>
      </c>
      <c r="BQ453" s="18">
        <v>23.4</v>
      </c>
      <c r="BR453" s="18">
        <v>0.93690660087533861</v>
      </c>
      <c r="BS453" s="18">
        <v>0.97927982857142848</v>
      </c>
      <c r="BT453" s="19"/>
      <c r="BU453" s="18">
        <v>966</v>
      </c>
      <c r="BV453" s="18">
        <v>341.39599999999996</v>
      </c>
      <c r="BW453" s="18">
        <v>133.86038778</v>
      </c>
      <c r="BX453" s="18">
        <v>375</v>
      </c>
      <c r="BY453" s="18">
        <v>32</v>
      </c>
      <c r="BZ453" s="18">
        <v>73.121759999999995</v>
      </c>
      <c r="CA453" s="18">
        <v>231.55223999999998</v>
      </c>
      <c r="CB453" s="19"/>
      <c r="CC453" s="19">
        <v>1.2760000000000002</v>
      </c>
      <c r="CD453" s="19">
        <v>4.0304000000000002</v>
      </c>
      <c r="CE453" s="19">
        <v>0.19359999999999999</v>
      </c>
      <c r="CF453" s="19" t="s">
        <v>217</v>
      </c>
      <c r="CG453" s="19">
        <v>11.22</v>
      </c>
      <c r="CH453" s="19">
        <v>1.2143999999999999</v>
      </c>
      <c r="CI453" s="19">
        <v>1.9359999999999997</v>
      </c>
      <c r="CJ453" s="19"/>
      <c r="CK453" s="19">
        <v>65.603999999999999</v>
      </c>
      <c r="CL453" s="19">
        <v>12.276</v>
      </c>
      <c r="CM453" s="19">
        <v>16.482399999999998</v>
      </c>
      <c r="CN453" s="19">
        <v>45.698399999999999</v>
      </c>
      <c r="CO453" s="19">
        <v>0</v>
      </c>
      <c r="CP453" s="19">
        <v>1.75999999999999E-2</v>
      </c>
      <c r="CQ453" s="19">
        <v>195.00800000000001</v>
      </c>
      <c r="CR453" s="19">
        <v>236.52304273762428</v>
      </c>
      <c r="HM453" s="620">
        <f t="shared" ref="HM453:HU453" si="285">HM83</f>
        <v>0.14000000000000001</v>
      </c>
      <c r="HN453" s="620">
        <f t="shared" si="285"/>
        <v>7.0000000000000007E-2</v>
      </c>
      <c r="HO453" s="620">
        <f t="shared" si="285"/>
        <v>0.51702999999999999</v>
      </c>
      <c r="HP453" s="620">
        <f t="shared" si="285"/>
        <v>2.1999999999999999E-2</v>
      </c>
      <c r="HQ453" s="620">
        <f t="shared" si="285"/>
        <v>0.72</v>
      </c>
      <c r="HR453" s="620">
        <f t="shared" si="285"/>
        <v>1.2900000000000001E-3</v>
      </c>
      <c r="HS453" s="620">
        <f t="shared" si="285"/>
        <v>3.47</v>
      </c>
      <c r="HT453" s="620">
        <f t="shared" si="285"/>
        <v>0</v>
      </c>
      <c r="HU453" s="620" t="str">
        <f t="shared" si="285"/>
        <v>offfarm</v>
      </c>
      <c r="HV453" s="22" t="s">
        <v>1418</v>
      </c>
      <c r="IB453" s="11">
        <f t="shared" ref="IB453:II453" si="286">IB83</f>
        <v>0.14000000000000001</v>
      </c>
      <c r="IC453" s="11">
        <f t="shared" si="286"/>
        <v>7.0000000000000007E-2</v>
      </c>
      <c r="ID453" s="11">
        <f t="shared" si="286"/>
        <v>0.51702999999999999</v>
      </c>
      <c r="IE453" s="11">
        <f t="shared" si="286"/>
        <v>2.1999999999999999E-2</v>
      </c>
      <c r="IF453" s="11">
        <f t="shared" si="286"/>
        <v>0.72</v>
      </c>
      <c r="IG453" s="11">
        <f t="shared" si="286"/>
        <v>1.2900000000000001E-3</v>
      </c>
      <c r="IH453" s="11">
        <f t="shared" si="286"/>
        <v>3.47</v>
      </c>
      <c r="II453" s="11">
        <f t="shared" si="286"/>
        <v>0</v>
      </c>
    </row>
    <row r="454" spans="4:244" x14ac:dyDescent="0.25">
      <c r="D454" s="185" t="s">
        <v>1084</v>
      </c>
      <c r="E454" s="14">
        <v>42695</v>
      </c>
      <c r="F454" s="18">
        <v>0.858616755769264</v>
      </c>
      <c r="G454" s="18">
        <v>0.88288629758812798</v>
      </c>
      <c r="H454" s="21">
        <v>81.400000000000006</v>
      </c>
      <c r="I454" s="21">
        <v>71.899968799999996</v>
      </c>
      <c r="J454" s="21">
        <v>82</v>
      </c>
      <c r="K454" s="18">
        <v>1</v>
      </c>
      <c r="L454" s="18">
        <v>83.5</v>
      </c>
      <c r="M454" s="18">
        <v>24.3</v>
      </c>
      <c r="N454" s="18">
        <v>1.9</v>
      </c>
      <c r="O454" s="18">
        <v>2.9</v>
      </c>
      <c r="P454" s="18" t="s">
        <v>217</v>
      </c>
      <c r="Q454" s="19"/>
      <c r="R454" s="18">
        <v>80</v>
      </c>
      <c r="S454" s="18">
        <v>37</v>
      </c>
      <c r="T454" s="18">
        <v>41</v>
      </c>
      <c r="U454" s="18">
        <v>43</v>
      </c>
      <c r="V454" s="18">
        <v>44</v>
      </c>
      <c r="W454" s="18">
        <v>45</v>
      </c>
      <c r="X454" s="18"/>
      <c r="Y454" s="18">
        <v>1.3532934131736525</v>
      </c>
      <c r="Z454" s="18">
        <v>4.9580838323353289</v>
      </c>
      <c r="AA454" s="18">
        <v>0.22</v>
      </c>
      <c r="AB454" s="18" t="s">
        <v>217</v>
      </c>
      <c r="AC454" s="18">
        <v>12.75</v>
      </c>
      <c r="AD454" s="18">
        <v>1.3800000000000001</v>
      </c>
      <c r="AE454" s="18">
        <v>2.1999999999999997</v>
      </c>
      <c r="AF454" s="18">
        <v>74.55</v>
      </c>
      <c r="AG454" s="18">
        <v>13.950000000000001</v>
      </c>
      <c r="AH454" s="18">
        <v>18.73</v>
      </c>
      <c r="AI454" s="18">
        <v>51.93</v>
      </c>
      <c r="AJ454" s="18">
        <v>0</v>
      </c>
      <c r="AK454" s="18">
        <v>1.9999999999999879E-2</v>
      </c>
      <c r="AL454" s="18"/>
      <c r="AM454" s="18">
        <v>6.3501805054151603</v>
      </c>
      <c r="AN454" s="18">
        <v>0.76173285198555996</v>
      </c>
      <c r="AO454" s="18">
        <v>1.27797833935018</v>
      </c>
      <c r="AP454" s="18">
        <v>3.55595667870036</v>
      </c>
      <c r="AQ454" s="18">
        <v>0.89530685920577602</v>
      </c>
      <c r="AR454" s="18">
        <v>3.9638989169675098</v>
      </c>
      <c r="AS454" s="18">
        <v>7.3212996389891698</v>
      </c>
      <c r="AT454" s="18">
        <v>2.6064981949458499</v>
      </c>
      <c r="AU454" s="18">
        <v>4.1913357400721996</v>
      </c>
      <c r="AV454" s="18">
        <v>3.5090252707581202</v>
      </c>
      <c r="AW454" s="18">
        <v>4.3971119133574001</v>
      </c>
      <c r="AX454" s="18"/>
      <c r="AY454" s="18">
        <v>1.04</v>
      </c>
      <c r="AZ454" s="18">
        <v>0.94</v>
      </c>
      <c r="BA454" s="18">
        <v>0.94</v>
      </c>
      <c r="BB454" s="18">
        <v>0.98</v>
      </c>
      <c r="BC454" s="18">
        <v>0.93</v>
      </c>
      <c r="BD454" s="18">
        <v>0.99</v>
      </c>
      <c r="BE454" s="18">
        <v>1.03</v>
      </c>
      <c r="BF454" s="18">
        <v>1.05</v>
      </c>
      <c r="BG454" s="18">
        <v>1</v>
      </c>
      <c r="BH454" s="18">
        <v>0.96</v>
      </c>
      <c r="BI454" s="18">
        <v>0.98</v>
      </c>
      <c r="BJ454" s="19"/>
      <c r="BK454" s="18">
        <v>29.101796407185628</v>
      </c>
      <c r="BL454" s="18">
        <v>2.2754491017964074</v>
      </c>
      <c r="BM454" s="18">
        <v>3.4730538922155687</v>
      </c>
      <c r="BN454" s="18" t="s">
        <v>217</v>
      </c>
      <c r="BO454" s="18"/>
      <c r="BP454" s="18">
        <v>130</v>
      </c>
      <c r="BQ454" s="18">
        <v>29.580838323353294</v>
      </c>
      <c r="BR454" s="18">
        <v>1.02828353984343</v>
      </c>
      <c r="BS454" s="18">
        <v>1.0573488593869798</v>
      </c>
      <c r="BT454" s="19"/>
      <c r="BU454" s="18">
        <v>965.26946107784431</v>
      </c>
      <c r="BV454" s="18">
        <v>367.83028229255808</v>
      </c>
      <c r="BW454" s="18">
        <v>131.00128566638082</v>
      </c>
      <c r="BX454" s="18">
        <v>375</v>
      </c>
      <c r="BY454" s="18">
        <v>32</v>
      </c>
      <c r="BZ454" s="18">
        <v>61.794025662959761</v>
      </c>
      <c r="CA454" s="18">
        <v>195.68108126603954</v>
      </c>
      <c r="CB454" s="19"/>
      <c r="CC454" s="19">
        <v>1.1299999999999997</v>
      </c>
      <c r="CD454" s="19">
        <v>4.1399999999999997</v>
      </c>
      <c r="CE454" s="19">
        <v>0.1837</v>
      </c>
      <c r="CF454" s="19" t="s">
        <v>217</v>
      </c>
      <c r="CG454" s="19">
        <v>10.64625</v>
      </c>
      <c r="CH454" s="19">
        <v>1.1523000000000001</v>
      </c>
      <c r="CI454" s="19">
        <v>1.8369999999999997</v>
      </c>
      <c r="CJ454" s="19"/>
      <c r="CK454" s="19">
        <v>62.249249999999996</v>
      </c>
      <c r="CL454" s="19">
        <v>11.648250000000001</v>
      </c>
      <c r="CM454" s="19">
        <v>15.63955</v>
      </c>
      <c r="CN454" s="19">
        <v>43.361550000000001</v>
      </c>
      <c r="CO454" s="19">
        <v>0</v>
      </c>
      <c r="CP454" s="19">
        <v>1.6699999999999899E-2</v>
      </c>
      <c r="CQ454" s="19">
        <v>194.4</v>
      </c>
      <c r="CR454" s="19">
        <v>226.41067588511061</v>
      </c>
      <c r="HM454" s="620">
        <f t="shared" ref="HM454:HU454" si="287">HM84</f>
        <v>0.14000000000000001</v>
      </c>
      <c r="HN454" s="620">
        <f t="shared" si="287"/>
        <v>7.0000000000000007E-2</v>
      </c>
      <c r="HO454" s="620">
        <f t="shared" si="287"/>
        <v>0.51702999999999999</v>
      </c>
      <c r="HP454" s="620">
        <f t="shared" si="287"/>
        <v>2.1999999999999999E-2</v>
      </c>
      <c r="HQ454" s="620">
        <f t="shared" si="287"/>
        <v>0.72</v>
      </c>
      <c r="HR454" s="620">
        <f t="shared" si="287"/>
        <v>1.2900000000000001E-3</v>
      </c>
      <c r="HS454" s="620">
        <f t="shared" si="287"/>
        <v>3.47</v>
      </c>
      <c r="HT454" s="620">
        <f t="shared" si="287"/>
        <v>0</v>
      </c>
      <c r="HU454" s="620" t="str">
        <f t="shared" si="287"/>
        <v>offfarm</v>
      </c>
      <c r="HV454" s="22" t="s">
        <v>1418</v>
      </c>
      <c r="IB454" s="11">
        <f t="shared" ref="IB454:II454" si="288">IB84</f>
        <v>0.14000000000000001</v>
      </c>
      <c r="IC454" s="11">
        <f t="shared" si="288"/>
        <v>7.0000000000000007E-2</v>
      </c>
      <c r="ID454" s="11">
        <f t="shared" si="288"/>
        <v>0.51702999999999999</v>
      </c>
      <c r="IE454" s="11">
        <f t="shared" si="288"/>
        <v>2.1999999999999999E-2</v>
      </c>
      <c r="IF454" s="11">
        <f t="shared" si="288"/>
        <v>0.72</v>
      </c>
      <c r="IG454" s="11">
        <f t="shared" si="288"/>
        <v>1.2900000000000001E-3</v>
      </c>
      <c r="IH454" s="11">
        <f t="shared" si="288"/>
        <v>3.47</v>
      </c>
      <c r="II454" s="11">
        <f t="shared" si="288"/>
        <v>0</v>
      </c>
    </row>
    <row r="455" spans="4:244" x14ac:dyDescent="0.25">
      <c r="D455" s="185" t="s">
        <v>1085</v>
      </c>
      <c r="E455" s="14">
        <v>42695</v>
      </c>
      <c r="F455" s="18">
        <v>0.94209188115430098</v>
      </c>
      <c r="G455" s="18">
        <v>0.95852236842760696</v>
      </c>
      <c r="H455" s="21">
        <v>84.9</v>
      </c>
      <c r="I455" s="21">
        <v>75.599969099999996</v>
      </c>
      <c r="J455" s="21">
        <v>82</v>
      </c>
      <c r="K455" s="18">
        <v>1</v>
      </c>
      <c r="L455" s="18">
        <v>88</v>
      </c>
      <c r="M455" s="18">
        <v>28.512</v>
      </c>
      <c r="N455" s="18">
        <v>1.8480000000000001</v>
      </c>
      <c r="O455" s="18">
        <v>4.1360000000000001</v>
      </c>
      <c r="P455" s="18" t="s">
        <v>217</v>
      </c>
      <c r="Q455" s="19"/>
      <c r="R455" s="18">
        <v>80</v>
      </c>
      <c r="S455" s="18">
        <v>37</v>
      </c>
      <c r="T455" s="18">
        <v>41</v>
      </c>
      <c r="U455" s="18">
        <v>43</v>
      </c>
      <c r="V455" s="18">
        <v>44</v>
      </c>
      <c r="W455" s="18">
        <v>45</v>
      </c>
      <c r="X455" s="18"/>
      <c r="Y455" s="18">
        <v>2.3000000000000003</v>
      </c>
      <c r="Z455" s="18">
        <v>6.9</v>
      </c>
      <c r="AA455" s="18">
        <v>0.30000000000000004</v>
      </c>
      <c r="AB455" s="18" t="s">
        <v>217</v>
      </c>
      <c r="AC455" s="18">
        <v>13.4</v>
      </c>
      <c r="AD455" s="18">
        <v>1.5999999999999999</v>
      </c>
      <c r="AE455" s="18">
        <v>2.1999999999999997</v>
      </c>
      <c r="AF455" s="18">
        <v>86.600000000000009</v>
      </c>
      <c r="AG455" s="18">
        <v>14.9</v>
      </c>
      <c r="AH455" s="18">
        <v>19.200000000000003</v>
      </c>
      <c r="AI455" s="18">
        <v>50.2</v>
      </c>
      <c r="AJ455" s="18">
        <v>0</v>
      </c>
      <c r="AK455" s="18">
        <v>1.9999999999999886E-2</v>
      </c>
      <c r="AL455" s="18"/>
      <c r="AM455" s="18">
        <v>6.4506172839506197</v>
      </c>
      <c r="AN455" s="18">
        <v>0.74074074074074103</v>
      </c>
      <c r="AO455" s="18">
        <v>1.1419753086419799</v>
      </c>
      <c r="AP455" s="18">
        <v>3.5493827160493798</v>
      </c>
      <c r="AQ455" s="18">
        <v>0.86419753086419804</v>
      </c>
      <c r="AR455" s="18">
        <v>3.9197530864197501</v>
      </c>
      <c r="AS455" s="18">
        <v>7.2222222222222197</v>
      </c>
      <c r="AT455" s="18">
        <v>2.62345679012346</v>
      </c>
      <c r="AU455" s="18">
        <v>4.1666666666666696</v>
      </c>
      <c r="AV455" s="18">
        <v>3.5185185185185199</v>
      </c>
      <c r="AW455" s="18">
        <v>4.3518518518518503</v>
      </c>
      <c r="AX455" s="18"/>
      <c r="AY455" s="18">
        <v>1.04</v>
      </c>
      <c r="AZ455" s="18">
        <v>0.94</v>
      </c>
      <c r="BA455" s="18">
        <v>0.94</v>
      </c>
      <c r="BB455" s="18">
        <v>0.98</v>
      </c>
      <c r="BC455" s="18">
        <v>0.93</v>
      </c>
      <c r="BD455" s="18">
        <v>0.99</v>
      </c>
      <c r="BE455" s="18">
        <v>1.03</v>
      </c>
      <c r="BF455" s="18">
        <v>1.05</v>
      </c>
      <c r="BG455" s="18">
        <v>1</v>
      </c>
      <c r="BH455" s="18">
        <v>0.96</v>
      </c>
      <c r="BI455" s="18">
        <v>0.98</v>
      </c>
      <c r="BJ455" s="19"/>
      <c r="BK455" s="18">
        <v>32.4</v>
      </c>
      <c r="BL455" s="18">
        <v>2.1</v>
      </c>
      <c r="BM455" s="18">
        <v>4.7</v>
      </c>
      <c r="BN455" s="18" t="s">
        <v>217</v>
      </c>
      <c r="BO455" s="18"/>
      <c r="BP455" s="18">
        <v>130</v>
      </c>
      <c r="BQ455" s="18">
        <v>27.3</v>
      </c>
      <c r="BR455" s="18">
        <v>1.0705589558571602</v>
      </c>
      <c r="BS455" s="18">
        <v>1.0892299641222807</v>
      </c>
      <c r="BT455" s="19"/>
      <c r="BU455" s="18">
        <v>953</v>
      </c>
      <c r="BV455" s="18">
        <v>367.27372217571366</v>
      </c>
      <c r="BW455" s="18">
        <v>126.61327782428636</v>
      </c>
      <c r="BX455" s="18">
        <v>375</v>
      </c>
      <c r="BY455" s="18">
        <v>32</v>
      </c>
      <c r="BZ455" s="18">
        <v>50.775805714285681</v>
      </c>
      <c r="CA455" s="18">
        <v>160.79005142857045</v>
      </c>
      <c r="CB455" s="19"/>
      <c r="CC455" s="19">
        <v>2.0240000000000005</v>
      </c>
      <c r="CD455" s="19">
        <v>6.0720000000000001</v>
      </c>
      <c r="CE455" s="19">
        <v>0.26400000000000007</v>
      </c>
      <c r="CF455" s="19" t="s">
        <v>217</v>
      </c>
      <c r="CG455" s="19">
        <v>11.792</v>
      </c>
      <c r="CH455" s="19">
        <v>1.4079999999999999</v>
      </c>
      <c r="CI455" s="19">
        <v>1.9359999999999997</v>
      </c>
      <c r="CJ455" s="19"/>
      <c r="CK455" s="19">
        <v>76.208000000000013</v>
      </c>
      <c r="CL455" s="19">
        <v>13.112</v>
      </c>
      <c r="CM455" s="19">
        <v>16.896000000000004</v>
      </c>
      <c r="CN455" s="19">
        <v>44.176000000000002</v>
      </c>
      <c r="CO455" s="19">
        <v>0</v>
      </c>
      <c r="CP455" s="19">
        <v>1.75999999999999E-2</v>
      </c>
      <c r="CQ455" s="19">
        <v>228.096</v>
      </c>
      <c r="CR455" s="19">
        <v>242.1165117361214</v>
      </c>
      <c r="HM455" s="620">
        <f t="shared" ref="HM455:HU455" si="289">HM85</f>
        <v>0.14000000000000001</v>
      </c>
      <c r="HN455" s="620">
        <f t="shared" si="289"/>
        <v>7.0000000000000007E-2</v>
      </c>
      <c r="HO455" s="620">
        <f t="shared" si="289"/>
        <v>0.51702999999999999</v>
      </c>
      <c r="HP455" s="620">
        <f t="shared" si="289"/>
        <v>2.1999999999999999E-2</v>
      </c>
      <c r="HQ455" s="620">
        <f t="shared" si="289"/>
        <v>0.72</v>
      </c>
      <c r="HR455" s="620">
        <f t="shared" si="289"/>
        <v>1.2900000000000001E-3</v>
      </c>
      <c r="HS455" s="620">
        <f t="shared" si="289"/>
        <v>3.47</v>
      </c>
      <c r="HT455" s="620">
        <f t="shared" si="289"/>
        <v>0</v>
      </c>
      <c r="HU455" s="620" t="str">
        <f t="shared" si="289"/>
        <v>offfarm</v>
      </c>
      <c r="HV455" s="22" t="s">
        <v>1418</v>
      </c>
      <c r="IB455" s="11">
        <f t="shared" ref="IB455:II455" si="290">IB85</f>
        <v>0.14000000000000001</v>
      </c>
      <c r="IC455" s="11">
        <f t="shared" si="290"/>
        <v>7.0000000000000007E-2</v>
      </c>
      <c r="ID455" s="11">
        <f t="shared" si="290"/>
        <v>0.51702999999999999</v>
      </c>
      <c r="IE455" s="11">
        <f t="shared" si="290"/>
        <v>2.1999999999999999E-2</v>
      </c>
      <c r="IF455" s="11">
        <f t="shared" si="290"/>
        <v>0.72</v>
      </c>
      <c r="IG455" s="11">
        <f t="shared" si="290"/>
        <v>1.2900000000000001E-3</v>
      </c>
      <c r="IH455" s="11">
        <f t="shared" si="290"/>
        <v>3.47</v>
      </c>
      <c r="II455" s="11">
        <f t="shared" si="290"/>
        <v>0</v>
      </c>
    </row>
    <row r="456" spans="4:244" x14ac:dyDescent="0.25">
      <c r="D456" s="185" t="s">
        <v>1086</v>
      </c>
      <c r="E456" s="14">
        <v>42695</v>
      </c>
      <c r="F456" s="18">
        <v>0.90856974490506404</v>
      </c>
      <c r="G456" s="18">
        <v>0.93095360913704195</v>
      </c>
      <c r="H456" s="21">
        <v>81.400000000000006</v>
      </c>
      <c r="I456" s="21">
        <v>72.800008599999998</v>
      </c>
      <c r="J456" s="21">
        <v>82</v>
      </c>
      <c r="K456" s="18">
        <v>1</v>
      </c>
      <c r="L456" s="18">
        <v>88</v>
      </c>
      <c r="M456" s="18">
        <v>25.783999999999999</v>
      </c>
      <c r="N456" s="18">
        <v>1.8480000000000001</v>
      </c>
      <c r="O456" s="18">
        <v>3.3439999999999999</v>
      </c>
      <c r="P456" s="18" t="s">
        <v>217</v>
      </c>
      <c r="Q456" s="19"/>
      <c r="R456" s="18">
        <v>80</v>
      </c>
      <c r="S456" s="18">
        <v>37</v>
      </c>
      <c r="T456" s="18">
        <v>41</v>
      </c>
      <c r="U456" s="18">
        <v>43</v>
      </c>
      <c r="V456" s="18">
        <v>44</v>
      </c>
      <c r="W456" s="18">
        <v>45</v>
      </c>
      <c r="X456" s="18"/>
      <c r="Y456" s="18">
        <v>1.4000000000000001</v>
      </c>
      <c r="Z456" s="18">
        <v>6.3</v>
      </c>
      <c r="AA456" s="18">
        <v>0.19999999999999998</v>
      </c>
      <c r="AB456" s="18" t="s">
        <v>217</v>
      </c>
      <c r="AC456" s="18">
        <v>12.6</v>
      </c>
      <c r="AD456" s="18">
        <v>1.4000000000000001</v>
      </c>
      <c r="AE456" s="18">
        <v>2.1999999999999997</v>
      </c>
      <c r="AF456" s="18">
        <v>69.600000000000009</v>
      </c>
      <c r="AG456" s="18">
        <v>13.8</v>
      </c>
      <c r="AH456" s="18">
        <v>19.399999999999999</v>
      </c>
      <c r="AI456" s="18">
        <v>60.1</v>
      </c>
      <c r="AJ456" s="18">
        <v>0</v>
      </c>
      <c r="AK456" s="18">
        <v>1.9999999999999886E-2</v>
      </c>
      <c r="AL456" s="18"/>
      <c r="AM456" s="18">
        <v>6.21160409556314</v>
      </c>
      <c r="AN456" s="18">
        <v>0.68259385665529004</v>
      </c>
      <c r="AO456" s="18">
        <v>1.1262798634812301</v>
      </c>
      <c r="AP456" s="18">
        <v>3.3788395904436901</v>
      </c>
      <c r="AQ456" s="18">
        <v>0.78498293515358397</v>
      </c>
      <c r="AR456" s="18">
        <v>3.7542662116040999</v>
      </c>
      <c r="AS456" s="18">
        <v>7.0648464163822497</v>
      </c>
      <c r="AT456" s="18">
        <v>2.55972696245734</v>
      </c>
      <c r="AU456" s="18">
        <v>4.1296928327645004</v>
      </c>
      <c r="AV456" s="18">
        <v>3.6177474402730398</v>
      </c>
      <c r="AW456" s="18">
        <v>4.2662116040955604</v>
      </c>
      <c r="AX456" s="18"/>
      <c r="AY456" s="18">
        <v>1.04</v>
      </c>
      <c r="AZ456" s="18">
        <v>0.94</v>
      </c>
      <c r="BA456" s="18">
        <v>0.94</v>
      </c>
      <c r="BB456" s="18">
        <v>0.98</v>
      </c>
      <c r="BC456" s="18">
        <v>0.93</v>
      </c>
      <c r="BD456" s="18">
        <v>0.99</v>
      </c>
      <c r="BE456" s="18">
        <v>1.03</v>
      </c>
      <c r="BF456" s="18">
        <v>1.05</v>
      </c>
      <c r="BG456" s="18">
        <v>1</v>
      </c>
      <c r="BH456" s="18">
        <v>0.96</v>
      </c>
      <c r="BI456" s="18">
        <v>0.98</v>
      </c>
      <c r="BJ456" s="19"/>
      <c r="BK456" s="18">
        <v>29.3</v>
      </c>
      <c r="BL456" s="18">
        <v>2.1</v>
      </c>
      <c r="BM456" s="18">
        <v>3.8</v>
      </c>
      <c r="BN456" s="18" t="s">
        <v>217</v>
      </c>
      <c r="BO456" s="18"/>
      <c r="BP456" s="18">
        <v>130</v>
      </c>
      <c r="BQ456" s="18">
        <v>27.3</v>
      </c>
      <c r="BR456" s="18">
        <v>1.0324656192103001</v>
      </c>
      <c r="BS456" s="18">
        <v>1.0579018285648205</v>
      </c>
      <c r="BT456" s="19"/>
      <c r="BU456" s="18">
        <v>962</v>
      </c>
      <c r="BV456" s="18">
        <v>377.87954675999993</v>
      </c>
      <c r="BW456" s="18">
        <v>118.18845323999999</v>
      </c>
      <c r="BX456" s="18">
        <v>375</v>
      </c>
      <c r="BY456" s="18">
        <v>32</v>
      </c>
      <c r="BZ456" s="18">
        <v>58.500137142857049</v>
      </c>
      <c r="CA456" s="18">
        <v>185.25043428571362</v>
      </c>
      <c r="CB456" s="19"/>
      <c r="CC456" s="19">
        <v>1.2320000000000002</v>
      </c>
      <c r="CD456" s="19">
        <v>5.5439999999999996</v>
      </c>
      <c r="CE456" s="19">
        <v>0.17599999999999999</v>
      </c>
      <c r="CF456" s="19" t="s">
        <v>217</v>
      </c>
      <c r="CG456" s="19">
        <v>11.087999999999999</v>
      </c>
      <c r="CH456" s="19">
        <v>1.2320000000000002</v>
      </c>
      <c r="CI456" s="19">
        <v>1.9359999999999997</v>
      </c>
      <c r="CJ456" s="19"/>
      <c r="CK456" s="19">
        <v>61.248000000000005</v>
      </c>
      <c r="CL456" s="19">
        <v>12.144</v>
      </c>
      <c r="CM456" s="19">
        <v>17.071999999999999</v>
      </c>
      <c r="CN456" s="19">
        <v>52.887999999999998</v>
      </c>
      <c r="CO456" s="19">
        <v>0</v>
      </c>
      <c r="CP456" s="19">
        <v>1.75999999999999E-2</v>
      </c>
      <c r="CQ456" s="19">
        <v>206.27199999999999</v>
      </c>
      <c r="CR456" s="19">
        <v>227.02935152386485</v>
      </c>
      <c r="HM456" s="620">
        <f t="shared" ref="HM456:HU456" si="291">HM86</f>
        <v>0.14000000000000001</v>
      </c>
      <c r="HN456" s="620">
        <f t="shared" si="291"/>
        <v>7.0000000000000007E-2</v>
      </c>
      <c r="HO456" s="620">
        <f t="shared" si="291"/>
        <v>0.51702999999999999</v>
      </c>
      <c r="HP456" s="620">
        <f t="shared" si="291"/>
        <v>2.1999999999999999E-2</v>
      </c>
      <c r="HQ456" s="620">
        <f t="shared" si="291"/>
        <v>0.72</v>
      </c>
      <c r="HR456" s="620">
        <f t="shared" si="291"/>
        <v>1.2900000000000001E-3</v>
      </c>
      <c r="HS456" s="620">
        <f t="shared" si="291"/>
        <v>3.47</v>
      </c>
      <c r="HT456" s="620">
        <f t="shared" si="291"/>
        <v>0</v>
      </c>
      <c r="HU456" s="620" t="str">
        <f t="shared" si="291"/>
        <v>offfarm</v>
      </c>
      <c r="HV456" s="22" t="s">
        <v>1418</v>
      </c>
      <c r="IB456" s="11">
        <f t="shared" ref="IB456:II456" si="292">IB86</f>
        <v>0.14000000000000001</v>
      </c>
      <c r="IC456" s="11">
        <f t="shared" si="292"/>
        <v>7.0000000000000007E-2</v>
      </c>
      <c r="ID456" s="11">
        <f t="shared" si="292"/>
        <v>0.51702999999999999</v>
      </c>
      <c r="IE456" s="11">
        <f t="shared" si="292"/>
        <v>2.1999999999999999E-2</v>
      </c>
      <c r="IF456" s="11">
        <f t="shared" si="292"/>
        <v>0.72</v>
      </c>
      <c r="IG456" s="11">
        <f t="shared" si="292"/>
        <v>1.2900000000000001E-3</v>
      </c>
      <c r="IH456" s="11">
        <f t="shared" si="292"/>
        <v>3.47</v>
      </c>
      <c r="II456" s="11">
        <f t="shared" si="292"/>
        <v>0</v>
      </c>
    </row>
    <row r="457" spans="4:244" x14ac:dyDescent="0.25">
      <c r="D457" s="185" t="s">
        <v>1087</v>
      </c>
      <c r="E457" s="14">
        <v>42695</v>
      </c>
      <c r="F457" s="18">
        <v>0.95043545201728696</v>
      </c>
      <c r="G457" s="18">
        <v>0.96616021792913898</v>
      </c>
      <c r="H457" s="21">
        <v>83.2</v>
      </c>
      <c r="I457" s="21">
        <v>75.199987199999995</v>
      </c>
      <c r="J457" s="21">
        <v>82</v>
      </c>
      <c r="K457" s="18">
        <v>1</v>
      </c>
      <c r="L457" s="18">
        <v>88</v>
      </c>
      <c r="M457" s="18">
        <v>26.135999999999999</v>
      </c>
      <c r="N457" s="18">
        <v>1.9359999999999999</v>
      </c>
      <c r="O457" s="18">
        <v>3.08</v>
      </c>
      <c r="P457" s="18" t="s">
        <v>217</v>
      </c>
      <c r="Q457" s="19"/>
      <c r="R457" s="18">
        <v>80</v>
      </c>
      <c r="S457" s="18">
        <v>37</v>
      </c>
      <c r="T457" s="18">
        <v>41</v>
      </c>
      <c r="U457" s="18">
        <v>43</v>
      </c>
      <c r="V457" s="18">
        <v>44</v>
      </c>
      <c r="W457" s="18">
        <v>45</v>
      </c>
      <c r="X457" s="18"/>
      <c r="Y457" s="18">
        <v>1.2999999999999998</v>
      </c>
      <c r="Z457" s="18">
        <v>5.3999999999999995</v>
      </c>
      <c r="AA457" s="18">
        <v>0.30000000000000004</v>
      </c>
      <c r="AB457" s="18" t="s">
        <v>217</v>
      </c>
      <c r="AC457" s="18">
        <v>12.4</v>
      </c>
      <c r="AD457" s="18">
        <v>1.2000000000000002</v>
      </c>
      <c r="AE457" s="18">
        <v>2.1999999999999997</v>
      </c>
      <c r="AF457" s="18">
        <v>77.900000000000006</v>
      </c>
      <c r="AG457" s="18">
        <v>13</v>
      </c>
      <c r="AH457" s="18">
        <v>16.400000000000002</v>
      </c>
      <c r="AI457" s="18">
        <v>45</v>
      </c>
      <c r="AJ457" s="18">
        <v>0</v>
      </c>
      <c r="AK457" s="18">
        <v>1.9999999999999886E-2</v>
      </c>
      <c r="AL457" s="18"/>
      <c r="AM457" s="18">
        <v>6.1279461279461298</v>
      </c>
      <c r="AN457" s="18">
        <v>0.74074074074074103</v>
      </c>
      <c r="AO457" s="18">
        <v>1.2794612794612801</v>
      </c>
      <c r="AP457" s="18">
        <v>3.5016835016835</v>
      </c>
      <c r="AQ457" s="18">
        <v>0.84175084175084203</v>
      </c>
      <c r="AR457" s="18">
        <v>3.8047138047138001</v>
      </c>
      <c r="AS457" s="18">
        <v>7.0033670033669999</v>
      </c>
      <c r="AT457" s="18">
        <v>2.5925925925925899</v>
      </c>
      <c r="AU457" s="18">
        <v>4.1750841750841801</v>
      </c>
      <c r="AV457" s="18">
        <v>3.6363636363636398</v>
      </c>
      <c r="AW457" s="18">
        <v>4.2424242424242404</v>
      </c>
      <c r="AX457" s="18"/>
      <c r="AY457" s="18">
        <v>1.04</v>
      </c>
      <c r="AZ457" s="18">
        <v>0.94</v>
      </c>
      <c r="BA457" s="18">
        <v>0.94</v>
      </c>
      <c r="BB457" s="18">
        <v>0.98</v>
      </c>
      <c r="BC457" s="18">
        <v>0.93</v>
      </c>
      <c r="BD457" s="18">
        <v>0.99</v>
      </c>
      <c r="BE457" s="18">
        <v>1.03</v>
      </c>
      <c r="BF457" s="18">
        <v>1.05</v>
      </c>
      <c r="BG457" s="18">
        <v>1</v>
      </c>
      <c r="BH457" s="18">
        <v>0.96</v>
      </c>
      <c r="BI457" s="18">
        <v>0.98</v>
      </c>
      <c r="BJ457" s="19"/>
      <c r="BK457" s="18">
        <v>29.7</v>
      </c>
      <c r="BL457" s="18">
        <v>2.1999999999999997</v>
      </c>
      <c r="BM457" s="18">
        <v>3.5</v>
      </c>
      <c r="BN457" s="18" t="s">
        <v>217</v>
      </c>
      <c r="BO457" s="18"/>
      <c r="BP457" s="18">
        <v>130</v>
      </c>
      <c r="BQ457" s="18">
        <v>28.599999999999998</v>
      </c>
      <c r="BR457" s="18">
        <v>1.0800402863832805</v>
      </c>
      <c r="BS457" s="18">
        <v>1.0979093385558398</v>
      </c>
      <c r="BT457" s="19"/>
      <c r="BU457" s="18">
        <v>965</v>
      </c>
      <c r="BV457" s="18">
        <v>400.98410925714319</v>
      </c>
      <c r="BW457" s="18">
        <v>110.28589074285705</v>
      </c>
      <c r="BX457" s="18">
        <v>375</v>
      </c>
      <c r="BY457" s="18">
        <v>32</v>
      </c>
      <c r="BZ457" s="18">
        <v>52.388571428571368</v>
      </c>
      <c r="CA457" s="18">
        <v>165.89714285714317</v>
      </c>
      <c r="CB457" s="19"/>
      <c r="CC457" s="19">
        <v>1.1439999999999999</v>
      </c>
      <c r="CD457" s="19">
        <v>4.7519999999999998</v>
      </c>
      <c r="CE457" s="19">
        <v>0.26400000000000007</v>
      </c>
      <c r="CF457" s="19" t="s">
        <v>217</v>
      </c>
      <c r="CG457" s="19">
        <v>10.912000000000001</v>
      </c>
      <c r="CH457" s="19">
        <v>1.0560000000000003</v>
      </c>
      <c r="CI457" s="19">
        <v>1.9359999999999997</v>
      </c>
      <c r="CJ457" s="19"/>
      <c r="CK457" s="19">
        <v>68.552000000000007</v>
      </c>
      <c r="CL457" s="19">
        <v>11.44</v>
      </c>
      <c r="CM457" s="19">
        <v>14.432000000000002</v>
      </c>
      <c r="CN457" s="19">
        <v>39.6</v>
      </c>
      <c r="CO457" s="19">
        <v>0</v>
      </c>
      <c r="CP457" s="19">
        <v>1.75999999999999E-2</v>
      </c>
      <c r="CQ457" s="19">
        <v>209.08799999999999</v>
      </c>
      <c r="CR457" s="19">
        <v>219.9917938206255</v>
      </c>
      <c r="HM457" s="620">
        <f t="shared" ref="HM457:HU457" si="293">HM87</f>
        <v>0.14000000000000001</v>
      </c>
      <c r="HN457" s="620">
        <f t="shared" si="293"/>
        <v>7.0000000000000007E-2</v>
      </c>
      <c r="HO457" s="620">
        <f t="shared" si="293"/>
        <v>0.51702999999999999</v>
      </c>
      <c r="HP457" s="620">
        <f t="shared" si="293"/>
        <v>2.1999999999999999E-2</v>
      </c>
      <c r="HQ457" s="620">
        <f t="shared" si="293"/>
        <v>0.72</v>
      </c>
      <c r="HR457" s="620">
        <f t="shared" si="293"/>
        <v>1.2900000000000001E-3</v>
      </c>
      <c r="HS457" s="620">
        <f t="shared" si="293"/>
        <v>3.47</v>
      </c>
      <c r="HT457" s="620">
        <f t="shared" si="293"/>
        <v>0</v>
      </c>
      <c r="HU457" s="620" t="str">
        <f t="shared" si="293"/>
        <v>offfarm</v>
      </c>
      <c r="HV457" s="22" t="s">
        <v>1418</v>
      </c>
      <c r="IB457" s="11">
        <f t="shared" ref="IB457:II457" si="294">IB87</f>
        <v>0.14000000000000001</v>
      </c>
      <c r="IC457" s="11">
        <f t="shared" si="294"/>
        <v>7.0000000000000007E-2</v>
      </c>
      <c r="ID457" s="11">
        <f t="shared" si="294"/>
        <v>0.51702999999999999</v>
      </c>
      <c r="IE457" s="11">
        <f t="shared" si="294"/>
        <v>2.1999999999999999E-2</v>
      </c>
      <c r="IF457" s="11">
        <f t="shared" si="294"/>
        <v>0.72</v>
      </c>
      <c r="IG457" s="11">
        <f t="shared" si="294"/>
        <v>1.2900000000000001E-3</v>
      </c>
      <c r="IH457" s="11">
        <f t="shared" si="294"/>
        <v>3.47</v>
      </c>
      <c r="II457" s="11">
        <f t="shared" si="294"/>
        <v>0</v>
      </c>
    </row>
    <row r="458" spans="4:244" x14ac:dyDescent="0.25">
      <c r="D458" s="185" t="s">
        <v>1304</v>
      </c>
      <c r="E458" s="14">
        <v>40310</v>
      </c>
      <c r="F458" s="18">
        <v>1.3499146341463499</v>
      </c>
      <c r="G458" s="18">
        <v>1.29381428571429</v>
      </c>
      <c r="H458" s="21">
        <v>100</v>
      </c>
      <c r="I458" s="21">
        <v>100</v>
      </c>
      <c r="J458" s="21">
        <v>100</v>
      </c>
      <c r="K458" s="18">
        <v>1</v>
      </c>
      <c r="L458" s="18">
        <v>99</v>
      </c>
      <c r="M458" s="18">
        <v>99</v>
      </c>
      <c r="N458" s="18">
        <v>0</v>
      </c>
      <c r="O458" s="18">
        <v>0</v>
      </c>
      <c r="P458" s="18">
        <v>0</v>
      </c>
      <c r="Q458" s="19"/>
      <c r="R458" s="18">
        <v>100</v>
      </c>
      <c r="S458" s="18">
        <v>0</v>
      </c>
      <c r="T458" s="18">
        <v>0</v>
      </c>
      <c r="U458" s="18">
        <v>0</v>
      </c>
      <c r="V458" s="18">
        <v>0</v>
      </c>
      <c r="W458" s="18">
        <v>0</v>
      </c>
      <c r="X458" s="18"/>
      <c r="Y458" s="18">
        <v>0</v>
      </c>
      <c r="Z458" s="18">
        <v>0</v>
      </c>
      <c r="AA458" s="18">
        <v>0</v>
      </c>
      <c r="AB458" s="18">
        <v>0</v>
      </c>
      <c r="AC458" s="18">
        <v>0</v>
      </c>
      <c r="AD458" s="18">
        <v>0</v>
      </c>
      <c r="AE458" s="18">
        <v>0</v>
      </c>
      <c r="AF458" s="18">
        <v>0</v>
      </c>
      <c r="AG458" s="18">
        <v>0</v>
      </c>
      <c r="AH458" s="18">
        <v>0</v>
      </c>
      <c r="AI458" s="18">
        <v>0</v>
      </c>
      <c r="AJ458" s="18">
        <v>0</v>
      </c>
      <c r="AK458" s="18">
        <v>0</v>
      </c>
      <c r="AL458" s="18"/>
      <c r="AM458" s="18">
        <v>0</v>
      </c>
      <c r="AN458" s="18">
        <v>0</v>
      </c>
      <c r="AO458" s="18">
        <v>0</v>
      </c>
      <c r="AP458" s="18">
        <v>0</v>
      </c>
      <c r="AQ458" s="18">
        <v>0</v>
      </c>
      <c r="AR458" s="18">
        <v>0</v>
      </c>
      <c r="AS458" s="18">
        <v>0</v>
      </c>
      <c r="AT458" s="18">
        <v>100</v>
      </c>
      <c r="AU458" s="18">
        <v>0</v>
      </c>
      <c r="AV458" s="18">
        <v>0</v>
      </c>
      <c r="AW458" s="18">
        <v>0</v>
      </c>
      <c r="AX458" s="18"/>
      <c r="AY458" s="18">
        <v>1</v>
      </c>
      <c r="AZ458" s="18">
        <v>1</v>
      </c>
      <c r="BA458" s="18">
        <v>1</v>
      </c>
      <c r="BB458" s="18">
        <v>1</v>
      </c>
      <c r="BC458" s="18">
        <v>1</v>
      </c>
      <c r="BD458" s="18">
        <v>1</v>
      </c>
      <c r="BE458" s="18">
        <v>1</v>
      </c>
      <c r="BF458" s="18">
        <v>1</v>
      </c>
      <c r="BG458" s="18">
        <v>1</v>
      </c>
      <c r="BH458" s="18">
        <v>1</v>
      </c>
      <c r="BI458" s="18">
        <v>1</v>
      </c>
      <c r="BJ458" s="19"/>
      <c r="BK458" s="18">
        <v>100</v>
      </c>
      <c r="BL458" s="18">
        <v>0</v>
      </c>
      <c r="BM458" s="18">
        <v>0</v>
      </c>
      <c r="BN458" s="18">
        <v>0</v>
      </c>
      <c r="BO458" s="18"/>
      <c r="BP458" s="18">
        <v>0</v>
      </c>
      <c r="BQ458" s="18">
        <v>0</v>
      </c>
      <c r="BR458" s="18">
        <v>1.3635501355013635</v>
      </c>
      <c r="BS458" s="18">
        <v>1.3068831168831212</v>
      </c>
      <c r="BT458" s="19"/>
      <c r="BU458" s="18">
        <v>1000</v>
      </c>
      <c r="BV458" s="18">
        <v>90</v>
      </c>
      <c r="BW458" s="18">
        <v>0</v>
      </c>
      <c r="BX458" s="18">
        <v>0</v>
      </c>
      <c r="BY458" s="18">
        <v>0</v>
      </c>
      <c r="BZ458" s="18" t="s">
        <v>217</v>
      </c>
      <c r="CA458" s="18" t="s">
        <v>217</v>
      </c>
      <c r="CB458" s="19"/>
      <c r="CC458" s="19">
        <v>0</v>
      </c>
      <c r="CD458" s="19">
        <v>0</v>
      </c>
      <c r="CE458" s="19">
        <v>0</v>
      </c>
      <c r="CF458" s="19">
        <v>0</v>
      </c>
      <c r="CG458" s="19">
        <v>0</v>
      </c>
      <c r="CH458" s="19">
        <v>0</v>
      </c>
      <c r="CI458" s="19">
        <v>0</v>
      </c>
      <c r="CJ458" s="19"/>
      <c r="CK458" s="19">
        <v>0</v>
      </c>
      <c r="CL458" s="19">
        <v>0</v>
      </c>
      <c r="CM458" s="19">
        <v>0</v>
      </c>
      <c r="CN458" s="19">
        <v>0</v>
      </c>
      <c r="CO458" s="19">
        <v>0</v>
      </c>
      <c r="CP458" s="19">
        <v>0</v>
      </c>
      <c r="CQ458" s="19">
        <v>990</v>
      </c>
      <c r="CR458" s="19">
        <v>733.37970784059962</v>
      </c>
      <c r="HM458" s="620">
        <f t="shared" ref="HM458:HU458" si="295">HM88</f>
        <v>0</v>
      </c>
      <c r="HN458" s="620">
        <f t="shared" si="295"/>
        <v>0</v>
      </c>
      <c r="HO458" s="620">
        <f t="shared" si="295"/>
        <v>0</v>
      </c>
      <c r="HP458" s="620">
        <f t="shared" si="295"/>
        <v>0</v>
      </c>
      <c r="HQ458" s="620">
        <f t="shared" si="295"/>
        <v>0</v>
      </c>
      <c r="HR458" s="620">
        <f t="shared" si="295"/>
        <v>0</v>
      </c>
      <c r="HS458" s="620">
        <f t="shared" si="295"/>
        <v>0</v>
      </c>
      <c r="HT458" s="620">
        <f t="shared" si="295"/>
        <v>0</v>
      </c>
      <c r="HU458" s="620" t="str">
        <f t="shared" si="295"/>
        <v>offfarm</v>
      </c>
      <c r="HV458" s="22" t="s">
        <v>2013</v>
      </c>
      <c r="IB458" s="11">
        <f t="shared" ref="IB458:II458" si="296">IB88</f>
        <v>0.47300000000000003</v>
      </c>
      <c r="IC458" s="11">
        <f t="shared" si="296"/>
        <v>0.13</v>
      </c>
      <c r="ID458" s="11">
        <f t="shared" si="296"/>
        <v>0.39100000000000001</v>
      </c>
      <c r="IE458" s="11">
        <f t="shared" si="296"/>
        <v>5.5E-2</v>
      </c>
      <c r="IF458" s="11">
        <f t="shared" si="296"/>
        <v>3.97</v>
      </c>
      <c r="IG458" s="11">
        <f t="shared" si="296"/>
        <v>4.5999999999999999E-3</v>
      </c>
      <c r="IH458" s="11">
        <f t="shared" si="296"/>
        <v>2.73</v>
      </c>
      <c r="II458" s="11">
        <f t="shared" si="296"/>
        <v>0</v>
      </c>
    </row>
    <row r="459" spans="4:244" x14ac:dyDescent="0.25">
      <c r="D459" s="20" t="s">
        <v>1305</v>
      </c>
      <c r="E459" s="14">
        <v>42683</v>
      </c>
      <c r="F459" s="18">
        <v>1.1393234378532799</v>
      </c>
      <c r="G459" s="18">
        <v>1.1230089236790399</v>
      </c>
      <c r="H459" s="21">
        <v>90.8</v>
      </c>
      <c r="I459" s="21">
        <v>86.000039599999994</v>
      </c>
      <c r="J459" s="21">
        <v>93</v>
      </c>
      <c r="K459" s="18">
        <v>1</v>
      </c>
      <c r="L459" s="18">
        <v>85</v>
      </c>
      <c r="M459" s="18">
        <v>9.8999999999999897</v>
      </c>
      <c r="N459" s="18">
        <v>2.1</v>
      </c>
      <c r="O459" s="18">
        <v>1.5</v>
      </c>
      <c r="P459" s="18">
        <v>2.7</v>
      </c>
      <c r="Q459" s="19"/>
      <c r="R459" s="18">
        <v>83.663555300952396</v>
      </c>
      <c r="S459" s="18">
        <v>50</v>
      </c>
      <c r="T459" s="18">
        <v>54</v>
      </c>
      <c r="U459" s="18">
        <v>56</v>
      </c>
      <c r="V459" s="18">
        <v>57</v>
      </c>
      <c r="W459" s="18">
        <v>58</v>
      </c>
      <c r="X459" s="18"/>
      <c r="Y459" s="18">
        <v>0.43529411764705883</v>
      </c>
      <c r="Z459" s="18">
        <v>3.2941176470588234</v>
      </c>
      <c r="AA459" s="18">
        <v>0.1</v>
      </c>
      <c r="AB459" s="18">
        <v>1</v>
      </c>
      <c r="AC459" s="18">
        <v>5.8</v>
      </c>
      <c r="AD459" s="18">
        <v>1.2</v>
      </c>
      <c r="AE459" s="18">
        <v>1.3</v>
      </c>
      <c r="AF459" s="18">
        <v>32</v>
      </c>
      <c r="AG459" s="18">
        <v>3.2</v>
      </c>
      <c r="AH459" s="18">
        <v>29</v>
      </c>
      <c r="AI459" s="18">
        <v>40</v>
      </c>
      <c r="AJ459" s="18">
        <v>0</v>
      </c>
      <c r="AK459" s="18">
        <v>6.0000000000000123E-2</v>
      </c>
      <c r="AL459" s="18"/>
      <c r="AM459" s="18">
        <v>2.9030935294117701</v>
      </c>
      <c r="AN459" s="18">
        <v>1.5375035294117601</v>
      </c>
      <c r="AO459" s="18">
        <v>2.3079347058823498</v>
      </c>
      <c r="AP459" s="18">
        <v>2.8916517647058799</v>
      </c>
      <c r="AQ459" s="18">
        <v>1.34148882352941</v>
      </c>
      <c r="AR459" s="18">
        <v>3.3452023529411798</v>
      </c>
      <c r="AS459" s="18">
        <v>6.6590935294117601</v>
      </c>
      <c r="AT459" s="18">
        <v>2.2747205882352901</v>
      </c>
      <c r="AU459" s="18">
        <v>4.4124194117647102</v>
      </c>
      <c r="AV459" s="18">
        <v>2.7541000000000002</v>
      </c>
      <c r="AW459" s="18">
        <v>4.2787847058823498</v>
      </c>
      <c r="AX459" s="18"/>
      <c r="AY459" s="18">
        <v>0.92</v>
      </c>
      <c r="AZ459" s="18">
        <v>1</v>
      </c>
      <c r="BA459" s="18">
        <v>0.98</v>
      </c>
      <c r="BB459" s="18">
        <v>0.93</v>
      </c>
      <c r="BC459" s="18">
        <v>0.99</v>
      </c>
      <c r="BD459" s="18">
        <v>0.99</v>
      </c>
      <c r="BE459" s="18">
        <v>1</v>
      </c>
      <c r="BF459" s="18">
        <v>0.99</v>
      </c>
      <c r="BG459" s="18">
        <v>1.02</v>
      </c>
      <c r="BH459" s="18">
        <v>1</v>
      </c>
      <c r="BI459" s="18">
        <v>0.96</v>
      </c>
      <c r="BJ459" s="19"/>
      <c r="BK459" s="18">
        <v>11.647058823529401</v>
      </c>
      <c r="BL459" s="18">
        <v>2.4705882352941178</v>
      </c>
      <c r="BM459" s="18">
        <v>1.7647058823529411</v>
      </c>
      <c r="BN459" s="18">
        <v>3.1764705882352939</v>
      </c>
      <c r="BO459" s="18"/>
      <c r="BP459" s="18">
        <v>105</v>
      </c>
      <c r="BQ459" s="18">
        <v>25.941176470588353</v>
      </c>
      <c r="BR459" s="18">
        <v>1.3403805151215058</v>
      </c>
      <c r="BS459" s="18">
        <v>1.3211869690341647</v>
      </c>
      <c r="BT459" s="19"/>
      <c r="BU459" s="18">
        <v>982.35294117647061</v>
      </c>
      <c r="BV459" s="18">
        <v>694.66274060504236</v>
      </c>
      <c r="BW459" s="18">
        <v>67.360788806722709</v>
      </c>
      <c r="BX459" s="18">
        <v>670</v>
      </c>
      <c r="BY459" s="18">
        <v>18.999999999999996</v>
      </c>
      <c r="BZ459" s="18">
        <v>25</v>
      </c>
      <c r="CA459" s="18">
        <v>113</v>
      </c>
      <c r="CB459" s="19"/>
      <c r="CC459" s="19">
        <v>0.37</v>
      </c>
      <c r="CD459" s="19">
        <v>2.8</v>
      </c>
      <c r="CE459" s="19">
        <v>8.5000000000000006E-2</v>
      </c>
      <c r="CF459" s="19">
        <v>0.85</v>
      </c>
      <c r="CG459" s="19">
        <v>4.93</v>
      </c>
      <c r="CH459" s="19">
        <v>1.02</v>
      </c>
      <c r="CI459" s="19">
        <v>1.105</v>
      </c>
      <c r="CJ459" s="19"/>
      <c r="CK459" s="19">
        <v>27.2</v>
      </c>
      <c r="CL459" s="19">
        <v>2.72</v>
      </c>
      <c r="CM459" s="19">
        <v>24.65</v>
      </c>
      <c r="CN459" s="19">
        <v>34</v>
      </c>
      <c r="CO459" s="19">
        <v>0</v>
      </c>
      <c r="CP459" s="19">
        <v>5.1000000000000101E-2</v>
      </c>
      <c r="CQ459" s="19">
        <v>82.826919747942796</v>
      </c>
      <c r="CR459" s="19">
        <v>72.698337448412175</v>
      </c>
      <c r="HM459" s="620">
        <f t="shared" ref="HM459:HU459" si="297">HM89</f>
        <v>0.47300000000000003</v>
      </c>
      <c r="HN459" s="620">
        <f t="shared" si="297"/>
        <v>0.13</v>
      </c>
      <c r="HO459" s="620">
        <f t="shared" si="297"/>
        <v>0.39100000000000001</v>
      </c>
      <c r="HP459" s="620">
        <f t="shared" si="297"/>
        <v>5.5E-2</v>
      </c>
      <c r="HQ459" s="620">
        <f t="shared" si="297"/>
        <v>3.97</v>
      </c>
      <c r="HR459" s="620">
        <f t="shared" si="297"/>
        <v>4.5999999999999999E-3</v>
      </c>
      <c r="HS459" s="620">
        <f t="shared" si="297"/>
        <v>2.73</v>
      </c>
      <c r="HT459" s="620" t="str">
        <f t="shared" si="297"/>
        <v>as barley</v>
      </c>
      <c r="HU459" s="620" t="str">
        <f t="shared" si="297"/>
        <v>offfarm</v>
      </c>
      <c r="HV459" s="22" t="s">
        <v>2029</v>
      </c>
      <c r="IB459" s="11">
        <f t="shared" ref="IB459:II459" si="298">IB89</f>
        <v>0.47300000000000003</v>
      </c>
      <c r="IC459" s="11">
        <f t="shared" si="298"/>
        <v>0.13</v>
      </c>
      <c r="ID459" s="11">
        <f t="shared" si="298"/>
        <v>0.39100000000000001</v>
      </c>
      <c r="IE459" s="11">
        <f t="shared" si="298"/>
        <v>5.5E-2</v>
      </c>
      <c r="IF459" s="11">
        <f t="shared" si="298"/>
        <v>3.97</v>
      </c>
      <c r="IG459" s="11">
        <f t="shared" si="298"/>
        <v>4.5999999999999999E-3</v>
      </c>
      <c r="IH459" s="11">
        <f t="shared" si="298"/>
        <v>2.73</v>
      </c>
      <c r="II459" s="11" t="str">
        <f t="shared" si="298"/>
        <v>as barley</v>
      </c>
      <c r="IJ459" s="11" t="str">
        <f>topdowntables!R18</f>
        <v>wheat - on farm</v>
      </c>
    </row>
    <row r="460" spans="4:244" x14ac:dyDescent="0.25">
      <c r="D460" s="20" t="s">
        <v>1088</v>
      </c>
      <c r="E460" s="14">
        <v>42683</v>
      </c>
      <c r="F460" s="18">
        <v>1.1490208330333</v>
      </c>
      <c r="G460" s="18">
        <v>1.12982480714842</v>
      </c>
      <c r="H460" s="21">
        <v>90.8</v>
      </c>
      <c r="I460" s="21">
        <v>86.799987599999994</v>
      </c>
      <c r="J460" s="21">
        <v>93</v>
      </c>
      <c r="K460" s="18">
        <v>1</v>
      </c>
      <c r="L460" s="18">
        <v>85</v>
      </c>
      <c r="M460" s="18">
        <v>9.8999999999999897</v>
      </c>
      <c r="N460" s="18">
        <v>2.1</v>
      </c>
      <c r="O460" s="18">
        <v>1.5</v>
      </c>
      <c r="P460" s="18">
        <v>2.7</v>
      </c>
      <c r="Q460" s="19"/>
      <c r="R460" s="18">
        <v>84.299704424761899</v>
      </c>
      <c r="S460" s="18">
        <v>50</v>
      </c>
      <c r="T460" s="18">
        <v>54</v>
      </c>
      <c r="U460" s="18">
        <v>56</v>
      </c>
      <c r="V460" s="18">
        <v>57</v>
      </c>
      <c r="W460" s="18">
        <v>58</v>
      </c>
      <c r="X460" s="18"/>
      <c r="Y460" s="18">
        <v>0.43529411764705883</v>
      </c>
      <c r="Z460" s="18">
        <v>3.2941176470588234</v>
      </c>
      <c r="AA460" s="18">
        <v>0.1</v>
      </c>
      <c r="AB460" s="18">
        <v>1</v>
      </c>
      <c r="AC460" s="18">
        <v>5.8</v>
      </c>
      <c r="AD460" s="18">
        <v>1.2</v>
      </c>
      <c r="AE460" s="18">
        <v>1.3</v>
      </c>
      <c r="AF460" s="18">
        <v>32</v>
      </c>
      <c r="AG460" s="18">
        <v>3.2</v>
      </c>
      <c r="AH460" s="18">
        <v>29</v>
      </c>
      <c r="AI460" s="18">
        <v>40</v>
      </c>
      <c r="AJ460" s="18">
        <v>0</v>
      </c>
      <c r="AK460" s="18">
        <v>6.0000000000000123E-2</v>
      </c>
      <c r="AL460" s="18"/>
      <c r="AM460" s="18">
        <v>2.9030935294117701</v>
      </c>
      <c r="AN460" s="18">
        <v>1.5375035294117601</v>
      </c>
      <c r="AO460" s="18">
        <v>2.3079347058823498</v>
      </c>
      <c r="AP460" s="18">
        <v>2.8916517647058799</v>
      </c>
      <c r="AQ460" s="18">
        <v>1.34148882352941</v>
      </c>
      <c r="AR460" s="18">
        <v>3.3452023529411798</v>
      </c>
      <c r="AS460" s="18">
        <v>6.6590935294117601</v>
      </c>
      <c r="AT460" s="18">
        <v>2.2747205882352901</v>
      </c>
      <c r="AU460" s="18">
        <v>4.4124194117647102</v>
      </c>
      <c r="AV460" s="18">
        <v>2.7541000000000002</v>
      </c>
      <c r="AW460" s="18">
        <v>4.2787847058823498</v>
      </c>
      <c r="AX460" s="18"/>
      <c r="AY460" s="18">
        <v>0.92</v>
      </c>
      <c r="AZ460" s="18">
        <v>1</v>
      </c>
      <c r="BA460" s="18">
        <v>0.98</v>
      </c>
      <c r="BB460" s="18">
        <v>0.93</v>
      </c>
      <c r="BC460" s="18">
        <v>0.99</v>
      </c>
      <c r="BD460" s="18">
        <v>0.99</v>
      </c>
      <c r="BE460" s="18">
        <v>1</v>
      </c>
      <c r="BF460" s="18">
        <v>0.99</v>
      </c>
      <c r="BG460" s="18">
        <v>1.02</v>
      </c>
      <c r="BH460" s="18">
        <v>1</v>
      </c>
      <c r="BI460" s="18">
        <v>0.96</v>
      </c>
      <c r="BJ460" s="19"/>
      <c r="BK460" s="18">
        <v>11.647058823529401</v>
      </c>
      <c r="BL460" s="18">
        <v>2.4705882352941178</v>
      </c>
      <c r="BM460" s="18">
        <v>1.7647058823529411</v>
      </c>
      <c r="BN460" s="18">
        <v>3.1764705882352939</v>
      </c>
      <c r="BO460" s="18"/>
      <c r="BP460" s="18">
        <v>105</v>
      </c>
      <c r="BQ460" s="18">
        <v>25.941176470588353</v>
      </c>
      <c r="BR460" s="18">
        <v>1.3517892153332942</v>
      </c>
      <c r="BS460" s="18">
        <v>1.3292056554687295</v>
      </c>
      <c r="BT460" s="19"/>
      <c r="BU460" s="18">
        <v>982.35294117647061</v>
      </c>
      <c r="BV460" s="18">
        <v>705.88890161344466</v>
      </c>
      <c r="BW460" s="18">
        <v>56.134627798319407</v>
      </c>
      <c r="BX460" s="18">
        <v>670</v>
      </c>
      <c r="BY460" s="18">
        <v>18.999999999999996</v>
      </c>
      <c r="BZ460" s="18">
        <v>25</v>
      </c>
      <c r="CA460" s="18">
        <v>113</v>
      </c>
      <c r="CB460" s="19"/>
      <c r="CC460" s="19">
        <v>0.37</v>
      </c>
      <c r="CD460" s="19">
        <v>2.8</v>
      </c>
      <c r="CE460" s="19">
        <v>8.5000000000000006E-2</v>
      </c>
      <c r="CF460" s="19">
        <v>0.85</v>
      </c>
      <c r="CG460" s="19">
        <v>4.93</v>
      </c>
      <c r="CH460" s="19">
        <v>1.02</v>
      </c>
      <c r="CI460" s="19">
        <v>1.105</v>
      </c>
      <c r="CJ460" s="19"/>
      <c r="CK460" s="19">
        <v>27.2</v>
      </c>
      <c r="CL460" s="19">
        <v>2.72</v>
      </c>
      <c r="CM460" s="19">
        <v>24.65</v>
      </c>
      <c r="CN460" s="19">
        <v>34</v>
      </c>
      <c r="CO460" s="19">
        <v>0</v>
      </c>
      <c r="CP460" s="19">
        <v>5.1000000000000101E-2</v>
      </c>
      <c r="CQ460" s="19">
        <v>83.456707380514302</v>
      </c>
      <c r="CR460" s="19">
        <v>72.632893139280114</v>
      </c>
      <c r="HM460" s="620">
        <f t="shared" ref="HM460:HU460" si="299">HM90</f>
        <v>0.47300000000000003</v>
      </c>
      <c r="HN460" s="620">
        <f t="shared" si="299"/>
        <v>0.13</v>
      </c>
      <c r="HO460" s="620">
        <f t="shared" si="299"/>
        <v>0.39100000000000001</v>
      </c>
      <c r="HP460" s="620">
        <f t="shared" si="299"/>
        <v>5.5E-2</v>
      </c>
      <c r="HQ460" s="620">
        <f t="shared" si="299"/>
        <v>3.97</v>
      </c>
      <c r="HR460" s="620">
        <f t="shared" si="299"/>
        <v>4.5999999999999999E-3</v>
      </c>
      <c r="HS460" s="620">
        <f t="shared" si="299"/>
        <v>2.73</v>
      </c>
      <c r="HT460" s="620" t="str">
        <f t="shared" si="299"/>
        <v>as barley</v>
      </c>
      <c r="HU460" s="620" t="str">
        <f t="shared" si="299"/>
        <v>offfarm</v>
      </c>
      <c r="HV460" s="22" t="s">
        <v>2029</v>
      </c>
      <c r="IB460" s="11">
        <f t="shared" ref="IB460:II460" si="300">IB90</f>
        <v>0.47300000000000003</v>
      </c>
      <c r="IC460" s="11">
        <f t="shared" si="300"/>
        <v>0.13</v>
      </c>
      <c r="ID460" s="11">
        <f t="shared" si="300"/>
        <v>0.39100000000000001</v>
      </c>
      <c r="IE460" s="11">
        <f t="shared" si="300"/>
        <v>5.5E-2</v>
      </c>
      <c r="IF460" s="11">
        <f t="shared" si="300"/>
        <v>3.97</v>
      </c>
      <c r="IG460" s="11">
        <f t="shared" si="300"/>
        <v>4.5999999999999999E-3</v>
      </c>
      <c r="IH460" s="11">
        <f t="shared" si="300"/>
        <v>2.73</v>
      </c>
      <c r="II460" s="11" t="str">
        <f t="shared" si="300"/>
        <v>as barley</v>
      </c>
      <c r="IJ460" s="11" t="str">
        <f>IJ459</f>
        <v>wheat - on farm</v>
      </c>
    </row>
    <row r="461" spans="4:244" x14ac:dyDescent="0.25">
      <c r="D461" s="185" t="s">
        <v>1089</v>
      </c>
      <c r="E461" s="14">
        <v>42683</v>
      </c>
      <c r="F461" s="18">
        <v>1.1393234378532799</v>
      </c>
      <c r="G461" s="18">
        <v>1.1230089236790399</v>
      </c>
      <c r="H461" s="21">
        <v>90.8</v>
      </c>
      <c r="I461" s="21">
        <v>86.000039599999994</v>
      </c>
      <c r="J461" s="21">
        <v>93</v>
      </c>
      <c r="K461" s="18">
        <v>1</v>
      </c>
      <c r="L461" s="18">
        <v>85</v>
      </c>
      <c r="M461" s="18">
        <v>9.8999999999999897</v>
      </c>
      <c r="N461" s="18">
        <v>2.1</v>
      </c>
      <c r="O461" s="18">
        <v>1.5</v>
      </c>
      <c r="P461" s="18">
        <v>2.7</v>
      </c>
      <c r="Q461" s="19"/>
      <c r="R461" s="18">
        <v>83.663555300952396</v>
      </c>
      <c r="S461" s="18">
        <v>28</v>
      </c>
      <c r="T461" s="18">
        <v>43</v>
      </c>
      <c r="U461" s="18">
        <v>48</v>
      </c>
      <c r="V461" s="18">
        <v>54</v>
      </c>
      <c r="W461" s="18">
        <v>57</v>
      </c>
      <c r="X461" s="18"/>
      <c r="Y461" s="18">
        <v>0.43529411764705883</v>
      </c>
      <c r="Z461" s="18">
        <v>3.2941176470588234</v>
      </c>
      <c r="AA461" s="18">
        <v>0.1</v>
      </c>
      <c r="AB461" s="18">
        <v>1</v>
      </c>
      <c r="AC461" s="18">
        <v>5.8</v>
      </c>
      <c r="AD461" s="18">
        <v>1.2</v>
      </c>
      <c r="AE461" s="18">
        <v>1.3</v>
      </c>
      <c r="AF461" s="18">
        <v>32</v>
      </c>
      <c r="AG461" s="18">
        <v>3.2</v>
      </c>
      <c r="AH461" s="18">
        <v>29</v>
      </c>
      <c r="AI461" s="18">
        <v>40</v>
      </c>
      <c r="AJ461" s="18">
        <v>0</v>
      </c>
      <c r="AK461" s="18">
        <v>6.0000000000000123E-2</v>
      </c>
      <c r="AL461" s="18"/>
      <c r="AM461" s="18">
        <v>2.9030935294117701</v>
      </c>
      <c r="AN461" s="18">
        <v>1.5375035294117601</v>
      </c>
      <c r="AO461" s="18">
        <v>2.3079347058823498</v>
      </c>
      <c r="AP461" s="18">
        <v>2.8916517647058799</v>
      </c>
      <c r="AQ461" s="18">
        <v>1.34148882352941</v>
      </c>
      <c r="AR461" s="18">
        <v>3.3452023529411798</v>
      </c>
      <c r="AS461" s="18">
        <v>6.6590935294117601</v>
      </c>
      <c r="AT461" s="18">
        <v>2.2747205882352901</v>
      </c>
      <c r="AU461" s="18">
        <v>4.4124194117647102</v>
      </c>
      <c r="AV461" s="18">
        <v>2.7541000000000002</v>
      </c>
      <c r="AW461" s="18">
        <v>4.2787847058823498</v>
      </c>
      <c r="AX461" s="18"/>
      <c r="AY461" s="18">
        <v>0.92</v>
      </c>
      <c r="AZ461" s="18">
        <v>1</v>
      </c>
      <c r="BA461" s="18">
        <v>0.98</v>
      </c>
      <c r="BB461" s="18">
        <v>0.93</v>
      </c>
      <c r="BC461" s="18">
        <v>0.99</v>
      </c>
      <c r="BD461" s="18">
        <v>0.99</v>
      </c>
      <c r="BE461" s="18">
        <v>1</v>
      </c>
      <c r="BF461" s="18">
        <v>0.99</v>
      </c>
      <c r="BG461" s="18">
        <v>1.02</v>
      </c>
      <c r="BH461" s="18">
        <v>1</v>
      </c>
      <c r="BI461" s="18">
        <v>0.96</v>
      </c>
      <c r="BJ461" s="19"/>
      <c r="BK461" s="18">
        <v>11.647058823529401</v>
      </c>
      <c r="BL461" s="18">
        <v>2.4705882352941178</v>
      </c>
      <c r="BM461" s="18">
        <v>1.7647058823529411</v>
      </c>
      <c r="BN461" s="18">
        <v>3.1764705882352939</v>
      </c>
      <c r="BO461" s="18"/>
      <c r="BP461" s="18">
        <v>105</v>
      </c>
      <c r="BQ461" s="18">
        <v>25.941176470588353</v>
      </c>
      <c r="BR461" s="18">
        <v>1.3403805151215058</v>
      </c>
      <c r="BS461" s="18">
        <v>1.3211869690341647</v>
      </c>
      <c r="BT461" s="19"/>
      <c r="BU461" s="18">
        <v>982.35294117647061</v>
      </c>
      <c r="BV461" s="18">
        <v>694.66274060504236</v>
      </c>
      <c r="BW461" s="18">
        <v>67.360788806722709</v>
      </c>
      <c r="BX461" s="18">
        <v>670</v>
      </c>
      <c r="BY461" s="18">
        <v>18.999999999999996</v>
      </c>
      <c r="BZ461" s="18">
        <v>25</v>
      </c>
      <c r="CA461" s="18">
        <v>113</v>
      </c>
      <c r="CB461" s="19"/>
      <c r="CC461" s="19">
        <v>0.37</v>
      </c>
      <c r="CD461" s="19">
        <v>2.8</v>
      </c>
      <c r="CE461" s="19">
        <v>8.5000000000000006E-2</v>
      </c>
      <c r="CF461" s="19">
        <v>0.85</v>
      </c>
      <c r="CG461" s="19">
        <v>4.93</v>
      </c>
      <c r="CH461" s="19">
        <v>1.02</v>
      </c>
      <c r="CI461" s="19">
        <v>1.105</v>
      </c>
      <c r="CJ461" s="19"/>
      <c r="CK461" s="19">
        <v>27.2</v>
      </c>
      <c r="CL461" s="19">
        <v>2.72</v>
      </c>
      <c r="CM461" s="19">
        <v>24.65</v>
      </c>
      <c r="CN461" s="19">
        <v>34</v>
      </c>
      <c r="CO461" s="19">
        <v>0</v>
      </c>
      <c r="CP461" s="19">
        <v>5.1000000000000101E-2</v>
      </c>
      <c r="CQ461" s="19">
        <v>82.826919747942796</v>
      </c>
      <c r="CR461" s="19">
        <v>72.698337448412175</v>
      </c>
      <c r="HM461" s="620">
        <f t="shared" ref="HM461:HU461" si="301">HM91</f>
        <v>0.47300000000000003</v>
      </c>
      <c r="HN461" s="620">
        <f t="shared" si="301"/>
        <v>0.13</v>
      </c>
      <c r="HO461" s="620">
        <f t="shared" si="301"/>
        <v>0.39100000000000001</v>
      </c>
      <c r="HP461" s="620">
        <f t="shared" si="301"/>
        <v>5.5E-2</v>
      </c>
      <c r="HQ461" s="620">
        <f t="shared" si="301"/>
        <v>3.97</v>
      </c>
      <c r="HR461" s="620">
        <f t="shared" si="301"/>
        <v>4.5999999999999999E-3</v>
      </c>
      <c r="HS461" s="620">
        <f t="shared" si="301"/>
        <v>2.73</v>
      </c>
      <c r="HT461" s="620" t="str">
        <f t="shared" si="301"/>
        <v>as barley</v>
      </c>
      <c r="HU461" s="620" t="str">
        <f t="shared" si="301"/>
        <v>offfarm</v>
      </c>
      <c r="HV461" s="22" t="s">
        <v>2029</v>
      </c>
      <c r="IB461" s="11">
        <f t="shared" ref="IB461:II461" si="302">IB91</f>
        <v>0.47300000000000003</v>
      </c>
      <c r="IC461" s="11">
        <f t="shared" si="302"/>
        <v>0.13</v>
      </c>
      <c r="ID461" s="11">
        <f t="shared" si="302"/>
        <v>0.39100000000000001</v>
      </c>
      <c r="IE461" s="11">
        <f t="shared" si="302"/>
        <v>5.5E-2</v>
      </c>
      <c r="IF461" s="11">
        <f t="shared" si="302"/>
        <v>3.97</v>
      </c>
      <c r="IG461" s="11">
        <f t="shared" si="302"/>
        <v>4.5999999999999999E-3</v>
      </c>
      <c r="IH461" s="11">
        <f t="shared" si="302"/>
        <v>2.73</v>
      </c>
      <c r="II461" s="11" t="str">
        <f t="shared" si="302"/>
        <v>as barley</v>
      </c>
      <c r="IJ461" s="11" t="str">
        <f t="shared" ref="IJ461:IJ473" si="303">IJ460</f>
        <v>wheat - on farm</v>
      </c>
    </row>
    <row r="462" spans="4:244" x14ac:dyDescent="0.25">
      <c r="D462" s="185" t="s">
        <v>1090</v>
      </c>
      <c r="E462" s="14">
        <v>42683</v>
      </c>
      <c r="F462" s="18">
        <v>1.1490208330333</v>
      </c>
      <c r="G462" s="18">
        <v>1.12982480714842</v>
      </c>
      <c r="H462" s="21">
        <v>90.8</v>
      </c>
      <c r="I462" s="21">
        <v>86.799987599999994</v>
      </c>
      <c r="J462" s="21">
        <v>93</v>
      </c>
      <c r="K462" s="18">
        <v>1</v>
      </c>
      <c r="L462" s="18">
        <v>85</v>
      </c>
      <c r="M462" s="18">
        <v>9.8999999999999897</v>
      </c>
      <c r="N462" s="18">
        <v>2.1</v>
      </c>
      <c r="O462" s="18">
        <v>1.5</v>
      </c>
      <c r="P462" s="18">
        <v>2.7</v>
      </c>
      <c r="Q462" s="19"/>
      <c r="R462" s="18">
        <v>84.299704424761899</v>
      </c>
      <c r="S462" s="18">
        <v>28</v>
      </c>
      <c r="T462" s="18">
        <v>43</v>
      </c>
      <c r="U462" s="18">
        <v>48</v>
      </c>
      <c r="V462" s="18">
        <v>54</v>
      </c>
      <c r="W462" s="18">
        <v>57</v>
      </c>
      <c r="X462" s="18"/>
      <c r="Y462" s="18">
        <v>0.43529411764705883</v>
      </c>
      <c r="Z462" s="18">
        <v>3.2941176470588234</v>
      </c>
      <c r="AA462" s="18">
        <v>0.1</v>
      </c>
      <c r="AB462" s="18">
        <v>1</v>
      </c>
      <c r="AC462" s="18">
        <v>5.8</v>
      </c>
      <c r="AD462" s="18">
        <v>1.2</v>
      </c>
      <c r="AE462" s="18">
        <v>1.3</v>
      </c>
      <c r="AF462" s="18">
        <v>32</v>
      </c>
      <c r="AG462" s="18">
        <v>3.2</v>
      </c>
      <c r="AH462" s="18">
        <v>29</v>
      </c>
      <c r="AI462" s="18">
        <v>40</v>
      </c>
      <c r="AJ462" s="18">
        <v>0</v>
      </c>
      <c r="AK462" s="18">
        <v>6.0000000000000123E-2</v>
      </c>
      <c r="AL462" s="18"/>
      <c r="AM462" s="18">
        <v>2.9030935294117701</v>
      </c>
      <c r="AN462" s="18">
        <v>1.5375035294117601</v>
      </c>
      <c r="AO462" s="18">
        <v>2.3079347058823498</v>
      </c>
      <c r="AP462" s="18">
        <v>2.8916517647058799</v>
      </c>
      <c r="AQ462" s="18">
        <v>1.34148882352941</v>
      </c>
      <c r="AR462" s="18">
        <v>3.3452023529411798</v>
      </c>
      <c r="AS462" s="18">
        <v>6.6590935294117601</v>
      </c>
      <c r="AT462" s="18">
        <v>2.2747205882352901</v>
      </c>
      <c r="AU462" s="18">
        <v>4.4124194117647102</v>
      </c>
      <c r="AV462" s="18">
        <v>2.7541000000000002</v>
      </c>
      <c r="AW462" s="18">
        <v>4.2787847058823498</v>
      </c>
      <c r="AX462" s="18"/>
      <c r="AY462" s="18">
        <v>0.92</v>
      </c>
      <c r="AZ462" s="18">
        <v>1</v>
      </c>
      <c r="BA462" s="18">
        <v>0.98</v>
      </c>
      <c r="BB462" s="18">
        <v>0.93</v>
      </c>
      <c r="BC462" s="18">
        <v>0.99</v>
      </c>
      <c r="BD462" s="18">
        <v>0.99</v>
      </c>
      <c r="BE462" s="18">
        <v>1</v>
      </c>
      <c r="BF462" s="18">
        <v>0.99</v>
      </c>
      <c r="BG462" s="18">
        <v>1.02</v>
      </c>
      <c r="BH462" s="18">
        <v>1</v>
      </c>
      <c r="BI462" s="18">
        <v>0.96</v>
      </c>
      <c r="BJ462" s="19"/>
      <c r="BK462" s="18">
        <v>11.647058823529401</v>
      </c>
      <c r="BL462" s="18">
        <v>2.4705882352941178</v>
      </c>
      <c r="BM462" s="18">
        <v>1.7647058823529411</v>
      </c>
      <c r="BN462" s="18">
        <v>3.1764705882352939</v>
      </c>
      <c r="BO462" s="18"/>
      <c r="BP462" s="18">
        <v>105</v>
      </c>
      <c r="BQ462" s="18">
        <v>25.941176470588353</v>
      </c>
      <c r="BR462" s="18">
        <v>1.3517892153332942</v>
      </c>
      <c r="BS462" s="18">
        <v>1.3292056554687295</v>
      </c>
      <c r="BT462" s="19"/>
      <c r="BU462" s="18">
        <v>982.35294117647061</v>
      </c>
      <c r="BV462" s="18">
        <v>705.88890161344466</v>
      </c>
      <c r="BW462" s="18">
        <v>56.134627798319407</v>
      </c>
      <c r="BX462" s="18">
        <v>670</v>
      </c>
      <c r="BY462" s="18">
        <v>18.999999999999996</v>
      </c>
      <c r="BZ462" s="18">
        <v>25</v>
      </c>
      <c r="CA462" s="18">
        <v>113</v>
      </c>
      <c r="CB462" s="19"/>
      <c r="CC462" s="19">
        <v>0.37</v>
      </c>
      <c r="CD462" s="19">
        <v>2.8</v>
      </c>
      <c r="CE462" s="19">
        <v>8.5000000000000006E-2</v>
      </c>
      <c r="CF462" s="19">
        <v>0.85</v>
      </c>
      <c r="CG462" s="19">
        <v>4.93</v>
      </c>
      <c r="CH462" s="19">
        <v>1.02</v>
      </c>
      <c r="CI462" s="19">
        <v>1.105</v>
      </c>
      <c r="CJ462" s="19"/>
      <c r="CK462" s="19">
        <v>27.2</v>
      </c>
      <c r="CL462" s="19">
        <v>2.72</v>
      </c>
      <c r="CM462" s="19">
        <v>24.65</v>
      </c>
      <c r="CN462" s="19">
        <v>34</v>
      </c>
      <c r="CO462" s="19">
        <v>0</v>
      </c>
      <c r="CP462" s="19">
        <v>5.1000000000000101E-2</v>
      </c>
      <c r="CQ462" s="19">
        <v>83.456707380514302</v>
      </c>
      <c r="CR462" s="19">
        <v>72.632893139280114</v>
      </c>
      <c r="HM462" s="620">
        <f t="shared" ref="HM462:HU462" si="304">HM92</f>
        <v>0.47300000000000003</v>
      </c>
      <c r="HN462" s="620">
        <f t="shared" si="304"/>
        <v>0.13</v>
      </c>
      <c r="HO462" s="620">
        <f t="shared" si="304"/>
        <v>0.39100000000000001</v>
      </c>
      <c r="HP462" s="620">
        <f t="shared" si="304"/>
        <v>5.5E-2</v>
      </c>
      <c r="HQ462" s="620">
        <f t="shared" si="304"/>
        <v>3.97</v>
      </c>
      <c r="HR462" s="620">
        <f t="shared" si="304"/>
        <v>4.5999999999999999E-3</v>
      </c>
      <c r="HS462" s="620">
        <f t="shared" si="304"/>
        <v>2.73</v>
      </c>
      <c r="HT462" s="620" t="str">
        <f t="shared" si="304"/>
        <v>as barley</v>
      </c>
      <c r="HU462" s="620" t="str">
        <f t="shared" si="304"/>
        <v>offfarm</v>
      </c>
      <c r="HV462" s="22" t="s">
        <v>2029</v>
      </c>
      <c r="IB462" s="11">
        <f t="shared" ref="IB462:II462" si="305">IB92</f>
        <v>0.47300000000000003</v>
      </c>
      <c r="IC462" s="11">
        <f t="shared" si="305"/>
        <v>0.13</v>
      </c>
      <c r="ID462" s="11">
        <f t="shared" si="305"/>
        <v>0.39100000000000001</v>
      </c>
      <c r="IE462" s="11">
        <f t="shared" si="305"/>
        <v>5.5E-2</v>
      </c>
      <c r="IF462" s="11">
        <f t="shared" si="305"/>
        <v>3.97</v>
      </c>
      <c r="IG462" s="11">
        <f t="shared" si="305"/>
        <v>4.5999999999999999E-3</v>
      </c>
      <c r="IH462" s="11">
        <f t="shared" si="305"/>
        <v>2.73</v>
      </c>
      <c r="II462" s="11" t="str">
        <f t="shared" si="305"/>
        <v>as barley</v>
      </c>
      <c r="IJ462" s="11" t="str">
        <f t="shared" si="303"/>
        <v>wheat - on farm</v>
      </c>
    </row>
    <row r="463" spans="4:244" x14ac:dyDescent="0.25">
      <c r="D463" s="20" t="s">
        <v>1306</v>
      </c>
      <c r="E463" s="14">
        <v>42678</v>
      </c>
      <c r="F463" s="18">
        <v>1.14588545296168</v>
      </c>
      <c r="G463" s="18">
        <v>1.1293494768089001</v>
      </c>
      <c r="H463" s="21">
        <v>91.3</v>
      </c>
      <c r="I463" s="21">
        <v>86.199982000000006</v>
      </c>
      <c r="J463" s="21">
        <v>93</v>
      </c>
      <c r="K463" s="18">
        <v>1</v>
      </c>
      <c r="L463" s="18">
        <v>85</v>
      </c>
      <c r="M463" s="18">
        <v>8.9999999999999591</v>
      </c>
      <c r="N463" s="18">
        <v>2.1</v>
      </c>
      <c r="O463" s="18">
        <v>1.5</v>
      </c>
      <c r="P463" s="18">
        <v>2.7</v>
      </c>
      <c r="Q463" s="19"/>
      <c r="R463" s="18">
        <v>82.773614285714302</v>
      </c>
      <c r="S463" s="18">
        <v>50</v>
      </c>
      <c r="T463" s="18">
        <v>54</v>
      </c>
      <c r="U463" s="18">
        <v>56</v>
      </c>
      <c r="V463" s="18">
        <v>57</v>
      </c>
      <c r="W463" s="18">
        <v>58</v>
      </c>
      <c r="X463" s="18"/>
      <c r="Y463" s="18">
        <v>0.42352941176470588</v>
      </c>
      <c r="Z463" s="18">
        <v>3.1764705882352939</v>
      </c>
      <c r="AA463" s="18">
        <v>0.1</v>
      </c>
      <c r="AB463" s="18">
        <v>1</v>
      </c>
      <c r="AC463" s="18">
        <v>5.8</v>
      </c>
      <c r="AD463" s="18">
        <v>1.2</v>
      </c>
      <c r="AE463" s="18">
        <v>1.3</v>
      </c>
      <c r="AF463" s="18">
        <v>32</v>
      </c>
      <c r="AG463" s="18">
        <v>3.2</v>
      </c>
      <c r="AH463" s="18">
        <v>29</v>
      </c>
      <c r="AI463" s="18">
        <v>40</v>
      </c>
      <c r="AJ463" s="18">
        <v>0</v>
      </c>
      <c r="AK463" s="18">
        <v>6.0000000000000123E-2</v>
      </c>
      <c r="AL463" s="18"/>
      <c r="AM463" s="18">
        <v>3.0647441176470598</v>
      </c>
      <c r="AN463" s="18">
        <v>1.57315411764706</v>
      </c>
      <c r="AO463" s="18">
        <v>2.3666888235294099</v>
      </c>
      <c r="AP463" s="18">
        <v>2.9711270588235301</v>
      </c>
      <c r="AQ463" s="18">
        <v>1.38336529411765</v>
      </c>
      <c r="AR463" s="18">
        <v>3.3435294117647101</v>
      </c>
      <c r="AS463" s="18">
        <v>6.7149041176470599</v>
      </c>
      <c r="AT463" s="18">
        <v>2.2959923529411799</v>
      </c>
      <c r="AU463" s="18">
        <v>4.3632476470588202</v>
      </c>
      <c r="AV463" s="18">
        <v>2.74708</v>
      </c>
      <c r="AW463" s="18">
        <v>4.3238588235294104</v>
      </c>
      <c r="AX463" s="18"/>
      <c r="AY463" s="18">
        <v>0.91984139059636005</v>
      </c>
      <c r="AZ463" s="18">
        <v>0.99983194794455499</v>
      </c>
      <c r="BA463" s="18">
        <v>0.979886924127779</v>
      </c>
      <c r="BB463" s="18">
        <v>0.92986562968623399</v>
      </c>
      <c r="BC463" s="18">
        <v>0.99002632466492502</v>
      </c>
      <c r="BD463" s="18">
        <v>0.98995993262128801</v>
      </c>
      <c r="BE463" s="18">
        <v>0.99999453250972503</v>
      </c>
      <c r="BF463" s="18">
        <v>0.989953559452181</v>
      </c>
      <c r="BG463" s="18">
        <v>1.0199454358815301</v>
      </c>
      <c r="BH463" s="18">
        <v>0.99999479025510996</v>
      </c>
      <c r="BI463" s="18">
        <v>0.95993645905861302</v>
      </c>
      <c r="BJ463" s="19"/>
      <c r="BK463" s="18">
        <v>10.588235294117599</v>
      </c>
      <c r="BL463" s="18">
        <v>2.4705882352941178</v>
      </c>
      <c r="BM463" s="18">
        <v>1.7647058823529411</v>
      </c>
      <c r="BN463" s="18">
        <v>3.1764705882352939</v>
      </c>
      <c r="BO463" s="18"/>
      <c r="BP463" s="18">
        <v>105</v>
      </c>
      <c r="BQ463" s="18">
        <v>25.941176470588236</v>
      </c>
      <c r="BR463" s="18">
        <v>1.348100532896094</v>
      </c>
      <c r="BS463" s="18">
        <v>1.3286464433045884</v>
      </c>
      <c r="BT463" s="19"/>
      <c r="BU463" s="18">
        <v>982.35294117647061</v>
      </c>
      <c r="BV463" s="18">
        <v>704.99915966386584</v>
      </c>
      <c r="BW463" s="18">
        <v>71.571681176470463</v>
      </c>
      <c r="BX463" s="18">
        <v>670</v>
      </c>
      <c r="BY463" s="18">
        <v>18.999999999999996</v>
      </c>
      <c r="BZ463" s="18">
        <v>25.000000000000117</v>
      </c>
      <c r="CA463" s="18">
        <v>113</v>
      </c>
      <c r="CB463" s="19"/>
      <c r="CC463" s="19">
        <v>0.36</v>
      </c>
      <c r="CD463" s="19">
        <v>2.6999999999999997</v>
      </c>
      <c r="CE463" s="19">
        <v>8.5000000000000006E-2</v>
      </c>
      <c r="CF463" s="19">
        <v>0.85</v>
      </c>
      <c r="CG463" s="19">
        <v>4.93</v>
      </c>
      <c r="CH463" s="19">
        <v>1.02</v>
      </c>
      <c r="CI463" s="19">
        <v>1.105</v>
      </c>
      <c r="CJ463" s="19"/>
      <c r="CK463" s="19">
        <v>27.2</v>
      </c>
      <c r="CL463" s="19">
        <v>2.72</v>
      </c>
      <c r="CM463" s="19">
        <v>24.65</v>
      </c>
      <c r="CN463" s="19">
        <v>34</v>
      </c>
      <c r="CO463" s="19">
        <v>0</v>
      </c>
      <c r="CP463" s="19">
        <v>5.1000000000000101E-2</v>
      </c>
      <c r="CQ463" s="19">
        <v>74.496252857142906</v>
      </c>
      <c r="CR463" s="19">
        <v>65.011954436281826</v>
      </c>
      <c r="HM463" s="620">
        <f t="shared" ref="HM463:HU463" si="306">HM93</f>
        <v>0.47300000000000003</v>
      </c>
      <c r="HN463" s="620">
        <f t="shared" si="306"/>
        <v>0.13</v>
      </c>
      <c r="HO463" s="620">
        <f t="shared" si="306"/>
        <v>0.39100000000000001</v>
      </c>
      <c r="HP463" s="620">
        <f t="shared" si="306"/>
        <v>5.5E-2</v>
      </c>
      <c r="HQ463" s="620">
        <f t="shared" si="306"/>
        <v>3.97</v>
      </c>
      <c r="HR463" s="620">
        <f t="shared" si="306"/>
        <v>4.5999999999999999E-3</v>
      </c>
      <c r="HS463" s="620">
        <f t="shared" si="306"/>
        <v>2.73</v>
      </c>
      <c r="HT463" s="620" t="str">
        <f t="shared" si="306"/>
        <v>as barley</v>
      </c>
      <c r="HU463" s="620" t="str">
        <f t="shared" si="306"/>
        <v>offfarm</v>
      </c>
      <c r="HV463" s="22" t="s">
        <v>2029</v>
      </c>
      <c r="IB463" s="11">
        <f t="shared" ref="IB463:II463" si="307">IB93</f>
        <v>0.47300000000000003</v>
      </c>
      <c r="IC463" s="11">
        <f t="shared" si="307"/>
        <v>0.13</v>
      </c>
      <c r="ID463" s="11">
        <f t="shared" si="307"/>
        <v>0.39100000000000001</v>
      </c>
      <c r="IE463" s="11">
        <f t="shared" si="307"/>
        <v>5.5E-2</v>
      </c>
      <c r="IF463" s="11">
        <f t="shared" si="307"/>
        <v>3.97</v>
      </c>
      <c r="IG463" s="11">
        <f t="shared" si="307"/>
        <v>4.5999999999999999E-3</v>
      </c>
      <c r="IH463" s="11">
        <f t="shared" si="307"/>
        <v>2.73</v>
      </c>
      <c r="II463" s="11" t="str">
        <f t="shared" si="307"/>
        <v>as barley</v>
      </c>
      <c r="IJ463" s="11" t="str">
        <f t="shared" si="303"/>
        <v>wheat - on farm</v>
      </c>
    </row>
    <row r="464" spans="4:244" x14ac:dyDescent="0.25">
      <c r="D464" s="20" t="s">
        <v>1091</v>
      </c>
      <c r="E464" s="14">
        <v>42678</v>
      </c>
      <c r="F464" s="18">
        <v>1.1555834785133601</v>
      </c>
      <c r="G464" s="18">
        <v>1.1361658033395201</v>
      </c>
      <c r="H464" s="21">
        <v>91.3</v>
      </c>
      <c r="I464" s="21">
        <v>87.000043899999994</v>
      </c>
      <c r="J464" s="21">
        <v>93</v>
      </c>
      <c r="K464" s="18">
        <v>1</v>
      </c>
      <c r="L464" s="18">
        <v>85</v>
      </c>
      <c r="M464" s="18">
        <v>8.9999999999999591</v>
      </c>
      <c r="N464" s="18">
        <v>2.1</v>
      </c>
      <c r="O464" s="18">
        <v>1.5</v>
      </c>
      <c r="P464" s="18">
        <v>2.7</v>
      </c>
      <c r="Q464" s="19"/>
      <c r="R464" s="18">
        <v>83.473423809523794</v>
      </c>
      <c r="S464" s="18">
        <v>50</v>
      </c>
      <c r="T464" s="18">
        <v>54</v>
      </c>
      <c r="U464" s="18">
        <v>56</v>
      </c>
      <c r="V464" s="18">
        <v>57</v>
      </c>
      <c r="W464" s="18">
        <v>58</v>
      </c>
      <c r="X464" s="18"/>
      <c r="Y464" s="18">
        <v>0.42352941176470588</v>
      </c>
      <c r="Z464" s="18">
        <v>3.1764705882352939</v>
      </c>
      <c r="AA464" s="18">
        <v>0.1</v>
      </c>
      <c r="AB464" s="18">
        <v>1</v>
      </c>
      <c r="AC464" s="18">
        <v>5.8</v>
      </c>
      <c r="AD464" s="18">
        <v>1.2</v>
      </c>
      <c r="AE464" s="18">
        <v>1.3</v>
      </c>
      <c r="AF464" s="18">
        <v>32</v>
      </c>
      <c r="AG464" s="18">
        <v>3.2</v>
      </c>
      <c r="AH464" s="18">
        <v>29</v>
      </c>
      <c r="AI464" s="18">
        <v>40</v>
      </c>
      <c r="AJ464" s="18">
        <v>0</v>
      </c>
      <c r="AK464" s="18">
        <v>6.0000000000000123E-2</v>
      </c>
      <c r="AL464" s="18"/>
      <c r="AM464" s="18">
        <v>3.0647441176470598</v>
      </c>
      <c r="AN464" s="18">
        <v>1.57315411764706</v>
      </c>
      <c r="AO464" s="18">
        <v>2.3666888235294099</v>
      </c>
      <c r="AP464" s="18">
        <v>2.9711270588235301</v>
      </c>
      <c r="AQ464" s="18">
        <v>1.38336529411765</v>
      </c>
      <c r="AR464" s="18">
        <v>3.3435294117647101</v>
      </c>
      <c r="AS464" s="18">
        <v>6.7149041176470599</v>
      </c>
      <c r="AT464" s="18">
        <v>2.2959923529411799</v>
      </c>
      <c r="AU464" s="18">
        <v>4.3632476470588202</v>
      </c>
      <c r="AV464" s="18">
        <v>2.74708</v>
      </c>
      <c r="AW464" s="18">
        <v>4.3238588235294104</v>
      </c>
      <c r="AX464" s="18"/>
      <c r="AY464" s="18">
        <v>0.91984139059636005</v>
      </c>
      <c r="AZ464" s="18">
        <v>0.99983194794455499</v>
      </c>
      <c r="BA464" s="18">
        <v>0.979886924127779</v>
      </c>
      <c r="BB464" s="18">
        <v>0.92986562968623399</v>
      </c>
      <c r="BC464" s="18">
        <v>0.99002632466492502</v>
      </c>
      <c r="BD464" s="18">
        <v>0.98995993262128801</v>
      </c>
      <c r="BE464" s="18">
        <v>0.99999453250972503</v>
      </c>
      <c r="BF464" s="18">
        <v>0.989953559452181</v>
      </c>
      <c r="BG464" s="18">
        <v>1.0199454358815301</v>
      </c>
      <c r="BH464" s="18">
        <v>0.99999479025510996</v>
      </c>
      <c r="BI464" s="18">
        <v>0.95993645905861302</v>
      </c>
      <c r="BJ464" s="19"/>
      <c r="BK464" s="18">
        <v>10.588235294117599</v>
      </c>
      <c r="BL464" s="18">
        <v>2.4705882352941178</v>
      </c>
      <c r="BM464" s="18">
        <v>1.7647058823529411</v>
      </c>
      <c r="BN464" s="18">
        <v>3.1764705882352939</v>
      </c>
      <c r="BO464" s="18"/>
      <c r="BP464" s="18">
        <v>105</v>
      </c>
      <c r="BQ464" s="18">
        <v>25.941176470588236</v>
      </c>
      <c r="BR464" s="18">
        <v>1.3595099747216002</v>
      </c>
      <c r="BS464" s="18">
        <v>1.3366656509876709</v>
      </c>
      <c r="BT464" s="19"/>
      <c r="BU464" s="18">
        <v>982.35294117647061</v>
      </c>
      <c r="BV464" s="18">
        <v>716.22605042016824</v>
      </c>
      <c r="BW464" s="18">
        <v>60.343921739495762</v>
      </c>
      <c r="BX464" s="18">
        <v>670</v>
      </c>
      <c r="BY464" s="18">
        <v>18.999999999999996</v>
      </c>
      <c r="BZ464" s="18">
        <v>25.000000000000117</v>
      </c>
      <c r="CA464" s="18">
        <v>113</v>
      </c>
      <c r="CB464" s="19"/>
      <c r="CC464" s="19">
        <v>0.36</v>
      </c>
      <c r="CD464" s="19">
        <v>2.6999999999999997</v>
      </c>
      <c r="CE464" s="19">
        <v>8.5000000000000006E-2</v>
      </c>
      <c r="CF464" s="19">
        <v>0.85</v>
      </c>
      <c r="CG464" s="19">
        <v>4.93</v>
      </c>
      <c r="CH464" s="19">
        <v>1.02</v>
      </c>
      <c r="CI464" s="19">
        <v>1.105</v>
      </c>
      <c r="CJ464" s="19"/>
      <c r="CK464" s="19">
        <v>27.2</v>
      </c>
      <c r="CL464" s="19">
        <v>2.72</v>
      </c>
      <c r="CM464" s="19">
        <v>24.65</v>
      </c>
      <c r="CN464" s="19">
        <v>34</v>
      </c>
      <c r="CO464" s="19">
        <v>0</v>
      </c>
      <c r="CP464" s="19">
        <v>5.1000000000000101E-2</v>
      </c>
      <c r="CQ464" s="19">
        <v>75.126081428571098</v>
      </c>
      <c r="CR464" s="19">
        <v>65.011384140953297</v>
      </c>
      <c r="HM464" s="620">
        <f t="shared" ref="HM464:HU464" si="308">HM94</f>
        <v>0.47300000000000003</v>
      </c>
      <c r="HN464" s="620">
        <f t="shared" si="308"/>
        <v>0.13</v>
      </c>
      <c r="HO464" s="620">
        <f t="shared" si="308"/>
        <v>0.39100000000000001</v>
      </c>
      <c r="HP464" s="620">
        <f t="shared" si="308"/>
        <v>5.5E-2</v>
      </c>
      <c r="HQ464" s="620">
        <f t="shared" si="308"/>
        <v>3.97</v>
      </c>
      <c r="HR464" s="620">
        <f t="shared" si="308"/>
        <v>4.5999999999999999E-3</v>
      </c>
      <c r="HS464" s="620">
        <f t="shared" si="308"/>
        <v>2.73</v>
      </c>
      <c r="HT464" s="620" t="str">
        <f t="shared" si="308"/>
        <v>as barley</v>
      </c>
      <c r="HU464" s="620" t="str">
        <f t="shared" si="308"/>
        <v>offfarm</v>
      </c>
      <c r="HV464" s="22" t="s">
        <v>2029</v>
      </c>
      <c r="IB464" s="11">
        <f t="shared" ref="IB464:II464" si="309">IB94</f>
        <v>0.47300000000000003</v>
      </c>
      <c r="IC464" s="11">
        <f t="shared" si="309"/>
        <v>0.13</v>
      </c>
      <c r="ID464" s="11">
        <f t="shared" si="309"/>
        <v>0.39100000000000001</v>
      </c>
      <c r="IE464" s="11">
        <f t="shared" si="309"/>
        <v>5.5E-2</v>
      </c>
      <c r="IF464" s="11">
        <f t="shared" si="309"/>
        <v>3.97</v>
      </c>
      <c r="IG464" s="11">
        <f t="shared" si="309"/>
        <v>4.5999999999999999E-3</v>
      </c>
      <c r="IH464" s="11">
        <f t="shared" si="309"/>
        <v>2.73</v>
      </c>
      <c r="II464" s="11" t="str">
        <f t="shared" si="309"/>
        <v>as barley</v>
      </c>
      <c r="IJ464" s="11" t="str">
        <f t="shared" si="303"/>
        <v>wheat - on farm</v>
      </c>
    </row>
    <row r="465" spans="4:244" x14ac:dyDescent="0.25">
      <c r="D465" s="20" t="s">
        <v>1092</v>
      </c>
      <c r="E465" s="14">
        <v>42678</v>
      </c>
      <c r="F465" s="18">
        <v>1.14588545296168</v>
      </c>
      <c r="G465" s="18">
        <v>1.1293494768089001</v>
      </c>
      <c r="H465" s="21">
        <v>91.3</v>
      </c>
      <c r="I465" s="21">
        <v>86.199982000000006</v>
      </c>
      <c r="J465" s="21">
        <v>93</v>
      </c>
      <c r="K465" s="18">
        <v>1</v>
      </c>
      <c r="L465" s="18">
        <v>85</v>
      </c>
      <c r="M465" s="18">
        <v>8.9999999999999591</v>
      </c>
      <c r="N465" s="18">
        <v>2.1</v>
      </c>
      <c r="O465" s="18">
        <v>1.5</v>
      </c>
      <c r="P465" s="18">
        <v>2.7</v>
      </c>
      <c r="Q465" s="19"/>
      <c r="R465" s="18">
        <v>82.773614285714302</v>
      </c>
      <c r="S465" s="18">
        <v>28</v>
      </c>
      <c r="T465" s="18">
        <v>43</v>
      </c>
      <c r="U465" s="18">
        <v>48</v>
      </c>
      <c r="V465" s="18">
        <v>54</v>
      </c>
      <c r="W465" s="18">
        <v>57</v>
      </c>
      <c r="X465" s="18"/>
      <c r="Y465" s="18">
        <v>0.42352941176470588</v>
      </c>
      <c r="Z465" s="18">
        <v>3.1764705882352939</v>
      </c>
      <c r="AA465" s="18">
        <v>0.1</v>
      </c>
      <c r="AB465" s="18">
        <v>1</v>
      </c>
      <c r="AC465" s="18">
        <v>5.8</v>
      </c>
      <c r="AD465" s="18">
        <v>1.2</v>
      </c>
      <c r="AE465" s="18">
        <v>1.3</v>
      </c>
      <c r="AF465" s="18">
        <v>32</v>
      </c>
      <c r="AG465" s="18">
        <v>3.2</v>
      </c>
      <c r="AH465" s="18">
        <v>29</v>
      </c>
      <c r="AI465" s="18">
        <v>40</v>
      </c>
      <c r="AJ465" s="18">
        <v>0</v>
      </c>
      <c r="AK465" s="18">
        <v>6.0000000000000123E-2</v>
      </c>
      <c r="AL465" s="18"/>
      <c r="AM465" s="18">
        <v>3.0647441176470598</v>
      </c>
      <c r="AN465" s="18">
        <v>1.57315411764706</v>
      </c>
      <c r="AO465" s="18">
        <v>2.3666888235294099</v>
      </c>
      <c r="AP465" s="18">
        <v>2.9711270588235301</v>
      </c>
      <c r="AQ465" s="18">
        <v>1.38336529411765</v>
      </c>
      <c r="AR465" s="18">
        <v>3.3435294117647101</v>
      </c>
      <c r="AS465" s="18">
        <v>6.7149041176470599</v>
      </c>
      <c r="AT465" s="18">
        <v>2.2959923529411799</v>
      </c>
      <c r="AU465" s="18">
        <v>4.3632476470588202</v>
      </c>
      <c r="AV465" s="18">
        <v>2.74708</v>
      </c>
      <c r="AW465" s="18">
        <v>4.3238588235294104</v>
      </c>
      <c r="AX465" s="18"/>
      <c r="AY465" s="18">
        <v>0.92</v>
      </c>
      <c r="AZ465" s="18">
        <v>1</v>
      </c>
      <c r="BA465" s="18">
        <v>0.98</v>
      </c>
      <c r="BB465" s="18">
        <v>0.93</v>
      </c>
      <c r="BC465" s="18">
        <v>0.99</v>
      </c>
      <c r="BD465" s="18">
        <v>0.99</v>
      </c>
      <c r="BE465" s="18">
        <v>1</v>
      </c>
      <c r="BF465" s="18">
        <v>0.99</v>
      </c>
      <c r="BG465" s="18">
        <v>1.02</v>
      </c>
      <c r="BH465" s="18">
        <v>1</v>
      </c>
      <c r="BI465" s="18">
        <v>0.96</v>
      </c>
      <c r="BJ465" s="19"/>
      <c r="BK465" s="18">
        <v>10.588235294117599</v>
      </c>
      <c r="BL465" s="18">
        <v>2.4705882352941178</v>
      </c>
      <c r="BM465" s="18">
        <v>1.7647058823529411</v>
      </c>
      <c r="BN465" s="18">
        <v>3.1764705882352939</v>
      </c>
      <c r="BO465" s="18"/>
      <c r="BP465" s="18">
        <v>105</v>
      </c>
      <c r="BQ465" s="18">
        <v>25.941176470588236</v>
      </c>
      <c r="BR465" s="18">
        <v>1.348100532896094</v>
      </c>
      <c r="BS465" s="18">
        <v>1.3286464433045884</v>
      </c>
      <c r="BT465" s="19"/>
      <c r="BU465" s="18">
        <v>982.35294117647061</v>
      </c>
      <c r="BV465" s="18">
        <v>704.99915966386584</v>
      </c>
      <c r="BW465" s="18">
        <v>71.571681176470463</v>
      </c>
      <c r="BX465" s="18">
        <v>670</v>
      </c>
      <c r="BY465" s="18">
        <v>18.999999999999996</v>
      </c>
      <c r="BZ465" s="18">
        <v>25</v>
      </c>
      <c r="CA465" s="18">
        <v>113</v>
      </c>
      <c r="CB465" s="19"/>
      <c r="CC465" s="19">
        <v>0.36</v>
      </c>
      <c r="CD465" s="19">
        <v>2.6999999999999997</v>
      </c>
      <c r="CE465" s="19">
        <v>8.5000000000000006E-2</v>
      </c>
      <c r="CF465" s="19">
        <v>0.85</v>
      </c>
      <c r="CG465" s="19">
        <v>4.93</v>
      </c>
      <c r="CH465" s="19">
        <v>1.02</v>
      </c>
      <c r="CI465" s="19">
        <v>1.105</v>
      </c>
      <c r="CJ465" s="19"/>
      <c r="CK465" s="19">
        <v>27.2</v>
      </c>
      <c r="CL465" s="19">
        <v>2.72</v>
      </c>
      <c r="CM465" s="19">
        <v>24.65</v>
      </c>
      <c r="CN465" s="19">
        <v>34</v>
      </c>
      <c r="CO465" s="19">
        <v>0</v>
      </c>
      <c r="CP465" s="19">
        <v>5.1000000000000101E-2</v>
      </c>
      <c r="CQ465" s="19">
        <v>74.496252857142906</v>
      </c>
      <c r="CR465" s="19">
        <v>65.011954436281826</v>
      </c>
      <c r="HM465" s="620">
        <f t="shared" ref="HM465:HU465" si="310">HM95</f>
        <v>0.47300000000000003</v>
      </c>
      <c r="HN465" s="620">
        <f t="shared" si="310"/>
        <v>0.13</v>
      </c>
      <c r="HO465" s="620">
        <f t="shared" si="310"/>
        <v>0.39100000000000001</v>
      </c>
      <c r="HP465" s="620">
        <f t="shared" si="310"/>
        <v>5.5E-2</v>
      </c>
      <c r="HQ465" s="620">
        <f t="shared" si="310"/>
        <v>3.97</v>
      </c>
      <c r="HR465" s="620">
        <f t="shared" si="310"/>
        <v>4.5999999999999999E-3</v>
      </c>
      <c r="HS465" s="620">
        <f t="shared" si="310"/>
        <v>2.73</v>
      </c>
      <c r="HT465" s="620" t="str">
        <f t="shared" si="310"/>
        <v>as barley</v>
      </c>
      <c r="HU465" s="620" t="str">
        <f t="shared" si="310"/>
        <v>offfarm</v>
      </c>
      <c r="HV465" s="22" t="s">
        <v>2029</v>
      </c>
      <c r="IB465" s="11">
        <f t="shared" ref="IB465:II465" si="311">IB95</f>
        <v>0.47300000000000003</v>
      </c>
      <c r="IC465" s="11">
        <f t="shared" si="311"/>
        <v>0.13</v>
      </c>
      <c r="ID465" s="11">
        <f t="shared" si="311"/>
        <v>0.39100000000000001</v>
      </c>
      <c r="IE465" s="11">
        <f t="shared" si="311"/>
        <v>5.5E-2</v>
      </c>
      <c r="IF465" s="11">
        <f t="shared" si="311"/>
        <v>3.97</v>
      </c>
      <c r="IG465" s="11">
        <f t="shared" si="311"/>
        <v>4.5999999999999999E-3</v>
      </c>
      <c r="IH465" s="11">
        <f t="shared" si="311"/>
        <v>2.73</v>
      </c>
      <c r="II465" s="11" t="str">
        <f t="shared" si="311"/>
        <v>as barley</v>
      </c>
      <c r="IJ465" s="11" t="str">
        <f t="shared" si="303"/>
        <v>wheat - on farm</v>
      </c>
    </row>
    <row r="466" spans="4:244" x14ac:dyDescent="0.25">
      <c r="D466" s="20" t="s">
        <v>1093</v>
      </c>
      <c r="E466" s="14">
        <v>42678</v>
      </c>
      <c r="F466" s="18">
        <v>1.1555834785133601</v>
      </c>
      <c r="G466" s="18">
        <v>1.1361658033395201</v>
      </c>
      <c r="H466" s="21">
        <v>91.3</v>
      </c>
      <c r="I466" s="21">
        <v>87.000043899999994</v>
      </c>
      <c r="J466" s="21">
        <v>93</v>
      </c>
      <c r="K466" s="18">
        <v>1</v>
      </c>
      <c r="L466" s="18">
        <v>85</v>
      </c>
      <c r="M466" s="18">
        <v>8.9999999999999591</v>
      </c>
      <c r="N466" s="18">
        <v>2.1</v>
      </c>
      <c r="O466" s="18">
        <v>1.5</v>
      </c>
      <c r="P466" s="18">
        <v>2.7</v>
      </c>
      <c r="Q466" s="19"/>
      <c r="R466" s="18">
        <v>83.473423809523794</v>
      </c>
      <c r="S466" s="18">
        <v>28</v>
      </c>
      <c r="T466" s="18">
        <v>43</v>
      </c>
      <c r="U466" s="18">
        <v>48</v>
      </c>
      <c r="V466" s="18">
        <v>54</v>
      </c>
      <c r="W466" s="18">
        <v>57</v>
      </c>
      <c r="X466" s="18"/>
      <c r="Y466" s="18">
        <v>0.42352941176470588</v>
      </c>
      <c r="Z466" s="18">
        <v>3.1764705882352939</v>
      </c>
      <c r="AA466" s="18">
        <v>0.1</v>
      </c>
      <c r="AB466" s="18">
        <v>1</v>
      </c>
      <c r="AC466" s="18">
        <v>5.8</v>
      </c>
      <c r="AD466" s="18">
        <v>1.2</v>
      </c>
      <c r="AE466" s="18">
        <v>1.3</v>
      </c>
      <c r="AF466" s="18">
        <v>32</v>
      </c>
      <c r="AG466" s="18">
        <v>3.2</v>
      </c>
      <c r="AH466" s="18">
        <v>29</v>
      </c>
      <c r="AI466" s="18">
        <v>40</v>
      </c>
      <c r="AJ466" s="18">
        <v>0</v>
      </c>
      <c r="AK466" s="18">
        <v>6.0000000000000123E-2</v>
      </c>
      <c r="AL466" s="18"/>
      <c r="AM466" s="18">
        <v>3.0647441176470598</v>
      </c>
      <c r="AN466" s="18">
        <v>1.57315411764706</v>
      </c>
      <c r="AO466" s="18">
        <v>2.3666888235294099</v>
      </c>
      <c r="AP466" s="18">
        <v>2.9711270588235301</v>
      </c>
      <c r="AQ466" s="18">
        <v>1.38336529411765</v>
      </c>
      <c r="AR466" s="18">
        <v>3.3435294117647101</v>
      </c>
      <c r="AS466" s="18">
        <v>6.7149041176470599</v>
      </c>
      <c r="AT466" s="18">
        <v>2.2959923529411799</v>
      </c>
      <c r="AU466" s="18">
        <v>4.3632476470588202</v>
      </c>
      <c r="AV466" s="18">
        <v>2.74708</v>
      </c>
      <c r="AW466" s="18">
        <v>4.3238588235294104</v>
      </c>
      <c r="AX466" s="18"/>
      <c r="AY466" s="18">
        <v>0.92</v>
      </c>
      <c r="AZ466" s="18">
        <v>1</v>
      </c>
      <c r="BA466" s="18">
        <v>0.98</v>
      </c>
      <c r="BB466" s="18">
        <v>0.93</v>
      </c>
      <c r="BC466" s="18">
        <v>0.99</v>
      </c>
      <c r="BD466" s="18">
        <v>0.99</v>
      </c>
      <c r="BE466" s="18">
        <v>1</v>
      </c>
      <c r="BF466" s="18">
        <v>0.99</v>
      </c>
      <c r="BG466" s="18">
        <v>1.02</v>
      </c>
      <c r="BH466" s="18">
        <v>1</v>
      </c>
      <c r="BI466" s="18">
        <v>0.96</v>
      </c>
      <c r="BJ466" s="19"/>
      <c r="BK466" s="18">
        <v>10.588235294117599</v>
      </c>
      <c r="BL466" s="18">
        <v>2.4705882352941178</v>
      </c>
      <c r="BM466" s="18">
        <v>1.7647058823529411</v>
      </c>
      <c r="BN466" s="18">
        <v>3.1764705882352939</v>
      </c>
      <c r="BO466" s="18"/>
      <c r="BP466" s="18">
        <v>105</v>
      </c>
      <c r="BQ466" s="18">
        <v>25.941176470588236</v>
      </c>
      <c r="BR466" s="18">
        <v>1.3595099747216002</v>
      </c>
      <c r="BS466" s="18">
        <v>1.3366656509876709</v>
      </c>
      <c r="BT466" s="19"/>
      <c r="BU466" s="18">
        <v>982.35294117647061</v>
      </c>
      <c r="BV466" s="18">
        <v>716.22605042016824</v>
      </c>
      <c r="BW466" s="18">
        <v>60.343921739495762</v>
      </c>
      <c r="BX466" s="18">
        <v>670</v>
      </c>
      <c r="BY466" s="18">
        <v>18.999999999999996</v>
      </c>
      <c r="BZ466" s="18">
        <v>25</v>
      </c>
      <c r="CA466" s="18">
        <v>113</v>
      </c>
      <c r="CB466" s="19"/>
      <c r="CC466" s="19">
        <v>0.36</v>
      </c>
      <c r="CD466" s="19">
        <v>2.6999999999999997</v>
      </c>
      <c r="CE466" s="19">
        <v>8.5000000000000006E-2</v>
      </c>
      <c r="CF466" s="19">
        <v>0.85</v>
      </c>
      <c r="CG466" s="19">
        <v>4.93</v>
      </c>
      <c r="CH466" s="19">
        <v>1.02</v>
      </c>
      <c r="CI466" s="19">
        <v>1.105</v>
      </c>
      <c r="CJ466" s="19"/>
      <c r="CK466" s="19">
        <v>27.2</v>
      </c>
      <c r="CL466" s="19">
        <v>2.72</v>
      </c>
      <c r="CM466" s="19">
        <v>24.65</v>
      </c>
      <c r="CN466" s="19">
        <v>34</v>
      </c>
      <c r="CO466" s="19">
        <v>0</v>
      </c>
      <c r="CP466" s="19">
        <v>5.1000000000000101E-2</v>
      </c>
      <c r="CQ466" s="19">
        <v>75.126081428571098</v>
      </c>
      <c r="CR466" s="19">
        <v>65.011384140953297</v>
      </c>
      <c r="HM466" s="620">
        <f t="shared" ref="HM466:HU466" si="312">HM96</f>
        <v>0.47300000000000003</v>
      </c>
      <c r="HN466" s="620">
        <f t="shared" si="312"/>
        <v>0.13</v>
      </c>
      <c r="HO466" s="620">
        <f t="shared" si="312"/>
        <v>0.39100000000000001</v>
      </c>
      <c r="HP466" s="620">
        <f t="shared" si="312"/>
        <v>5.5E-2</v>
      </c>
      <c r="HQ466" s="620">
        <f t="shared" si="312"/>
        <v>3.97</v>
      </c>
      <c r="HR466" s="620">
        <f t="shared" si="312"/>
        <v>4.5999999999999999E-3</v>
      </c>
      <c r="HS466" s="620">
        <f t="shared" si="312"/>
        <v>2.73</v>
      </c>
      <c r="HT466" s="620" t="str">
        <f t="shared" si="312"/>
        <v>as barley</v>
      </c>
      <c r="HU466" s="620" t="str">
        <f t="shared" si="312"/>
        <v>offfarm</v>
      </c>
      <c r="HV466" s="22" t="s">
        <v>2029</v>
      </c>
      <c r="IB466" s="11">
        <f t="shared" ref="IB466:II466" si="313">IB96</f>
        <v>0.47300000000000003</v>
      </c>
      <c r="IC466" s="11">
        <f t="shared" si="313"/>
        <v>0.13</v>
      </c>
      <c r="ID466" s="11">
        <f t="shared" si="313"/>
        <v>0.39100000000000001</v>
      </c>
      <c r="IE466" s="11">
        <f t="shared" si="313"/>
        <v>5.5E-2</v>
      </c>
      <c r="IF466" s="11">
        <f t="shared" si="313"/>
        <v>3.97</v>
      </c>
      <c r="IG466" s="11">
        <f t="shared" si="313"/>
        <v>4.5999999999999999E-3</v>
      </c>
      <c r="IH466" s="11">
        <f t="shared" si="313"/>
        <v>2.73</v>
      </c>
      <c r="II466" s="11" t="str">
        <f t="shared" si="313"/>
        <v>as barley</v>
      </c>
      <c r="IJ466" s="11" t="str">
        <f t="shared" si="303"/>
        <v>wheat - on farm</v>
      </c>
    </row>
    <row r="467" spans="4:244" x14ac:dyDescent="0.25">
      <c r="D467" s="20" t="s">
        <v>1097</v>
      </c>
      <c r="E467" s="14">
        <v>42678</v>
      </c>
      <c r="F467" s="18">
        <v>1.1391011420828501</v>
      </c>
      <c r="G467" s="18">
        <v>1.1227959888682799</v>
      </c>
      <c r="H467" s="21">
        <v>90.8</v>
      </c>
      <c r="I467" s="21">
        <v>86.000039599999994</v>
      </c>
      <c r="J467" s="21">
        <v>93</v>
      </c>
      <c r="K467" s="18">
        <v>1</v>
      </c>
      <c r="L467" s="18">
        <v>85</v>
      </c>
      <c r="M467" s="18">
        <v>9.9999999999999591</v>
      </c>
      <c r="N467" s="18">
        <v>2.1</v>
      </c>
      <c r="O467" s="18">
        <v>1.5</v>
      </c>
      <c r="P467" s="18">
        <v>2.7</v>
      </c>
      <c r="Q467" s="19"/>
      <c r="R467" s="18">
        <v>83.756888571428505</v>
      </c>
      <c r="S467" s="18">
        <v>50</v>
      </c>
      <c r="T467" s="18">
        <v>54</v>
      </c>
      <c r="U467" s="18">
        <v>56</v>
      </c>
      <c r="V467" s="18">
        <v>57</v>
      </c>
      <c r="W467" s="18">
        <v>58</v>
      </c>
      <c r="X467" s="18"/>
      <c r="Y467" s="18">
        <v>0.43529411764705883</v>
      </c>
      <c r="Z467" s="18">
        <v>3.2941176470588234</v>
      </c>
      <c r="AA467" s="18">
        <v>0.1</v>
      </c>
      <c r="AB467" s="18">
        <v>1</v>
      </c>
      <c r="AC467" s="18">
        <v>5.8</v>
      </c>
      <c r="AD467" s="18">
        <v>1.2</v>
      </c>
      <c r="AE467" s="18">
        <v>1.3</v>
      </c>
      <c r="AF467" s="18">
        <v>32</v>
      </c>
      <c r="AG467" s="18">
        <v>3.2</v>
      </c>
      <c r="AH467" s="18">
        <v>29</v>
      </c>
      <c r="AI467" s="18">
        <v>40</v>
      </c>
      <c r="AJ467" s="18">
        <v>0</v>
      </c>
      <c r="AK467" s="18">
        <v>6.0000000000000123E-2</v>
      </c>
      <c r="AL467" s="18"/>
      <c r="AM467" s="18">
        <v>2.8851323529411799</v>
      </c>
      <c r="AN467" s="18">
        <v>1.53354235294118</v>
      </c>
      <c r="AO467" s="18">
        <v>2.30140647058824</v>
      </c>
      <c r="AP467" s="18">
        <v>2.88282117647059</v>
      </c>
      <c r="AQ467" s="18">
        <v>1.33683588235294</v>
      </c>
      <c r="AR467" s="18">
        <v>3.34538823529412</v>
      </c>
      <c r="AS467" s="18">
        <v>6.6528923529411799</v>
      </c>
      <c r="AT467" s="18">
        <v>2.27235705882353</v>
      </c>
      <c r="AU467" s="18">
        <v>4.4178829411764697</v>
      </c>
      <c r="AV467" s="18">
        <v>2.75488</v>
      </c>
      <c r="AW467" s="18">
        <v>4.2737764705882402</v>
      </c>
      <c r="AX467" s="18"/>
      <c r="AY467" s="18">
        <v>0.91984139059636005</v>
      </c>
      <c r="AZ467" s="18">
        <v>0.99983194794455499</v>
      </c>
      <c r="BA467" s="18">
        <v>0.979886924127779</v>
      </c>
      <c r="BB467" s="18">
        <v>0.92986562968623399</v>
      </c>
      <c r="BC467" s="18">
        <v>0.99002632466492502</v>
      </c>
      <c r="BD467" s="18">
        <v>0.98995993262128801</v>
      </c>
      <c r="BE467" s="18">
        <v>0.99999453250972503</v>
      </c>
      <c r="BF467" s="18">
        <v>0.989953559452181</v>
      </c>
      <c r="BG467" s="18">
        <v>1.0199454358815301</v>
      </c>
      <c r="BH467" s="18">
        <v>0.99999479025510996</v>
      </c>
      <c r="BI467" s="18">
        <v>0.95993645905861302</v>
      </c>
      <c r="BJ467" s="19"/>
      <c r="BK467" s="18">
        <v>11.764705882352892</v>
      </c>
      <c r="BL467" s="18">
        <v>2.4705882352941178</v>
      </c>
      <c r="BM467" s="18">
        <v>1.7647058823529411</v>
      </c>
      <c r="BN467" s="18">
        <v>3.1764705882352939</v>
      </c>
      <c r="BO467" s="18"/>
      <c r="BP467" s="18">
        <v>105</v>
      </c>
      <c r="BQ467" s="18">
        <v>25.941176470588236</v>
      </c>
      <c r="BR467" s="18">
        <v>1.3401189906857061</v>
      </c>
      <c r="BS467" s="18">
        <v>1.3209364574920941</v>
      </c>
      <c r="BT467" s="19"/>
      <c r="BU467" s="18">
        <v>982.35294117647061</v>
      </c>
      <c r="BV467" s="18">
        <v>693.59159663865648</v>
      </c>
      <c r="BW467" s="18">
        <v>67.360788806722709</v>
      </c>
      <c r="BX467" s="18">
        <v>670</v>
      </c>
      <c r="BY467" s="18">
        <v>18.999999999999996</v>
      </c>
      <c r="BZ467" s="18">
        <v>25.000000000000117</v>
      </c>
      <c r="CA467" s="18">
        <v>113</v>
      </c>
      <c r="CB467" s="19"/>
      <c r="CC467" s="19">
        <v>0.37</v>
      </c>
      <c r="CD467" s="19">
        <v>2.8</v>
      </c>
      <c r="CE467" s="19">
        <v>8.5000000000000006E-2</v>
      </c>
      <c r="CF467" s="19">
        <v>0.85</v>
      </c>
      <c r="CG467" s="19">
        <v>4.93</v>
      </c>
      <c r="CH467" s="19">
        <v>1.02</v>
      </c>
      <c r="CI467" s="19">
        <v>1.105</v>
      </c>
      <c r="CJ467" s="19"/>
      <c r="CK467" s="19">
        <v>27.2</v>
      </c>
      <c r="CL467" s="19">
        <v>2.72</v>
      </c>
      <c r="CM467" s="19">
        <v>24.65</v>
      </c>
      <c r="CN467" s="19">
        <v>34</v>
      </c>
      <c r="CO467" s="19">
        <v>0</v>
      </c>
      <c r="CP467" s="19">
        <v>5.1000000000000101E-2</v>
      </c>
      <c r="CQ467" s="19">
        <v>83.756888571428306</v>
      </c>
      <c r="CR467" s="19">
        <v>73.528930379508324</v>
      </c>
      <c r="HM467" s="620">
        <f t="shared" ref="HM467:HU467" si="314">HM97</f>
        <v>0.47300000000000003</v>
      </c>
      <c r="HN467" s="620">
        <f t="shared" si="314"/>
        <v>0.13</v>
      </c>
      <c r="HO467" s="620">
        <f t="shared" si="314"/>
        <v>0.39100000000000001</v>
      </c>
      <c r="HP467" s="620">
        <f t="shared" si="314"/>
        <v>5.5E-2</v>
      </c>
      <c r="HQ467" s="620">
        <f t="shared" si="314"/>
        <v>3.97</v>
      </c>
      <c r="HR467" s="620">
        <f t="shared" si="314"/>
        <v>4.5999999999999999E-3</v>
      </c>
      <c r="HS467" s="620">
        <f t="shared" si="314"/>
        <v>2.73</v>
      </c>
      <c r="HT467" s="620" t="str">
        <f t="shared" si="314"/>
        <v>as barley</v>
      </c>
      <c r="HU467" s="620" t="str">
        <f t="shared" si="314"/>
        <v>offfarm</v>
      </c>
      <c r="HV467" s="22" t="s">
        <v>2029</v>
      </c>
      <c r="IB467" s="11">
        <f t="shared" ref="IB467:II467" si="315">IB97</f>
        <v>0.47300000000000003</v>
      </c>
      <c r="IC467" s="11">
        <f t="shared" si="315"/>
        <v>0.13</v>
      </c>
      <c r="ID467" s="11">
        <f t="shared" si="315"/>
        <v>0.39100000000000001</v>
      </c>
      <c r="IE467" s="11">
        <f t="shared" si="315"/>
        <v>5.5E-2</v>
      </c>
      <c r="IF467" s="11">
        <f t="shared" si="315"/>
        <v>3.97</v>
      </c>
      <c r="IG467" s="11">
        <f t="shared" si="315"/>
        <v>4.5999999999999999E-3</v>
      </c>
      <c r="IH467" s="11">
        <f t="shared" si="315"/>
        <v>2.73</v>
      </c>
      <c r="II467" s="11" t="str">
        <f t="shared" si="315"/>
        <v>as barley</v>
      </c>
      <c r="IJ467" s="11" t="str">
        <f t="shared" si="303"/>
        <v>wheat - on farm</v>
      </c>
    </row>
    <row r="468" spans="4:244" x14ac:dyDescent="0.25">
      <c r="D468" s="20" t="s">
        <v>1098</v>
      </c>
      <c r="E468" s="14">
        <v>42678</v>
      </c>
      <c r="F468" s="18">
        <v>1.1487991676345399</v>
      </c>
      <c r="G468" s="18">
        <v>1.12961231539889</v>
      </c>
      <c r="H468" s="21">
        <v>90.8</v>
      </c>
      <c r="I468" s="21">
        <v>86.799987599999994</v>
      </c>
      <c r="J468" s="21">
        <v>93</v>
      </c>
      <c r="K468" s="18">
        <v>1</v>
      </c>
      <c r="L468" s="18">
        <v>85</v>
      </c>
      <c r="M468" s="18">
        <v>9.9999999999999591</v>
      </c>
      <c r="N468" s="18">
        <v>2.1</v>
      </c>
      <c r="O468" s="18">
        <v>1.5</v>
      </c>
      <c r="P468" s="18">
        <v>2.7</v>
      </c>
      <c r="Q468" s="19"/>
      <c r="R468" s="18">
        <v>84.386717142857094</v>
      </c>
      <c r="S468" s="18">
        <v>28</v>
      </c>
      <c r="T468" s="18">
        <v>43</v>
      </c>
      <c r="U468" s="18">
        <v>48</v>
      </c>
      <c r="V468" s="18">
        <v>54</v>
      </c>
      <c r="W468" s="18">
        <v>57</v>
      </c>
      <c r="X468" s="18"/>
      <c r="Y468" s="18">
        <v>0.43529411764705883</v>
      </c>
      <c r="Z468" s="18">
        <v>3.2941176470588234</v>
      </c>
      <c r="AA468" s="18">
        <v>0.1</v>
      </c>
      <c r="AB468" s="18">
        <v>1</v>
      </c>
      <c r="AC468" s="18">
        <v>5.8</v>
      </c>
      <c r="AD468" s="18">
        <v>1.2</v>
      </c>
      <c r="AE468" s="18">
        <v>1.3</v>
      </c>
      <c r="AF468" s="18">
        <v>32</v>
      </c>
      <c r="AG468" s="18">
        <v>3.2</v>
      </c>
      <c r="AH468" s="18">
        <v>29</v>
      </c>
      <c r="AI468" s="18">
        <v>40</v>
      </c>
      <c r="AJ468" s="18">
        <v>0</v>
      </c>
      <c r="AK468" s="18">
        <v>6.0000000000000123E-2</v>
      </c>
      <c r="AL468" s="18"/>
      <c r="AM468" s="18">
        <v>2.8851323529411799</v>
      </c>
      <c r="AN468" s="18">
        <v>1.53354235294118</v>
      </c>
      <c r="AO468" s="18">
        <v>2.30140647058824</v>
      </c>
      <c r="AP468" s="18">
        <v>2.88282117647059</v>
      </c>
      <c r="AQ468" s="18">
        <v>1.33683588235294</v>
      </c>
      <c r="AR468" s="18">
        <v>3.34538823529412</v>
      </c>
      <c r="AS468" s="18">
        <v>6.6528923529411799</v>
      </c>
      <c r="AT468" s="18">
        <v>2.27235705882353</v>
      </c>
      <c r="AU468" s="18">
        <v>4.4178829411764697</v>
      </c>
      <c r="AV468" s="18">
        <v>2.75488</v>
      </c>
      <c r="AW468" s="18">
        <v>4.2737764705882402</v>
      </c>
      <c r="AX468" s="18"/>
      <c r="AY468" s="18">
        <v>0.92</v>
      </c>
      <c r="AZ468" s="18">
        <v>1</v>
      </c>
      <c r="BA468" s="18">
        <v>0.98</v>
      </c>
      <c r="BB468" s="18">
        <v>0.93</v>
      </c>
      <c r="BC468" s="18">
        <v>0.99</v>
      </c>
      <c r="BD468" s="18">
        <v>0.99</v>
      </c>
      <c r="BE468" s="18">
        <v>1</v>
      </c>
      <c r="BF468" s="18">
        <v>0.99</v>
      </c>
      <c r="BG468" s="18">
        <v>1.02</v>
      </c>
      <c r="BH468" s="18">
        <v>1</v>
      </c>
      <c r="BI468" s="18">
        <v>0.96</v>
      </c>
      <c r="BJ468" s="19"/>
      <c r="BK468" s="18">
        <v>11.764705882352892</v>
      </c>
      <c r="BL468" s="18">
        <v>2.4705882352941178</v>
      </c>
      <c r="BM468" s="18">
        <v>1.7647058823529411</v>
      </c>
      <c r="BN468" s="18">
        <v>3.1764705882352939</v>
      </c>
      <c r="BO468" s="18"/>
      <c r="BP468" s="18">
        <v>105</v>
      </c>
      <c r="BQ468" s="18">
        <v>25.941176470588236</v>
      </c>
      <c r="BR468" s="18">
        <v>1.3515284325112233</v>
      </c>
      <c r="BS468" s="18">
        <v>1.3289556651751646</v>
      </c>
      <c r="BT468" s="19"/>
      <c r="BU468" s="18">
        <v>982.35294117647061</v>
      </c>
      <c r="BV468" s="18">
        <v>704.81848739495774</v>
      </c>
      <c r="BW468" s="18">
        <v>56.134627798319173</v>
      </c>
      <c r="BX468" s="18">
        <v>670</v>
      </c>
      <c r="BY468" s="18">
        <v>18.999999999999996</v>
      </c>
      <c r="BZ468" s="18">
        <v>25</v>
      </c>
      <c r="CA468" s="18">
        <v>113</v>
      </c>
      <c r="CB468" s="19"/>
      <c r="CC468" s="19">
        <v>0.37</v>
      </c>
      <c r="CD468" s="19">
        <v>2.8</v>
      </c>
      <c r="CE468" s="19">
        <v>8.5000000000000006E-2</v>
      </c>
      <c r="CF468" s="19">
        <v>0.85</v>
      </c>
      <c r="CG468" s="19">
        <v>4.93</v>
      </c>
      <c r="CH468" s="19">
        <v>1.02</v>
      </c>
      <c r="CI468" s="19">
        <v>1.105</v>
      </c>
      <c r="CJ468" s="19"/>
      <c r="CK468" s="19">
        <v>27.2</v>
      </c>
      <c r="CL468" s="19">
        <v>2.72</v>
      </c>
      <c r="CM468" s="19">
        <v>24.65</v>
      </c>
      <c r="CN468" s="19">
        <v>34</v>
      </c>
      <c r="CO468" s="19">
        <v>0</v>
      </c>
      <c r="CP468" s="19">
        <v>5.1000000000000101E-2</v>
      </c>
      <c r="CQ468" s="19">
        <v>84.386717142856796</v>
      </c>
      <c r="CR468" s="19">
        <v>73.456457421200184</v>
      </c>
      <c r="HM468" s="620">
        <f t="shared" ref="HM468:HU468" si="316">HM98</f>
        <v>0.47300000000000003</v>
      </c>
      <c r="HN468" s="620">
        <f t="shared" si="316"/>
        <v>0.13</v>
      </c>
      <c r="HO468" s="620">
        <f t="shared" si="316"/>
        <v>0.39100000000000001</v>
      </c>
      <c r="HP468" s="620">
        <f t="shared" si="316"/>
        <v>5.5E-2</v>
      </c>
      <c r="HQ468" s="620">
        <f t="shared" si="316"/>
        <v>3.97</v>
      </c>
      <c r="HR468" s="620">
        <f t="shared" si="316"/>
        <v>4.5999999999999999E-3</v>
      </c>
      <c r="HS468" s="620">
        <f t="shared" si="316"/>
        <v>2.73</v>
      </c>
      <c r="HT468" s="620" t="str">
        <f t="shared" si="316"/>
        <v>as barley</v>
      </c>
      <c r="HU468" s="620" t="str">
        <f t="shared" si="316"/>
        <v>offfarm</v>
      </c>
      <c r="HV468" s="22" t="s">
        <v>2029</v>
      </c>
      <c r="IB468" s="11">
        <f t="shared" ref="IB468:II468" si="317">IB98</f>
        <v>0.47300000000000003</v>
      </c>
      <c r="IC468" s="11">
        <f t="shared" si="317"/>
        <v>0.13</v>
      </c>
      <c r="ID468" s="11">
        <f t="shared" si="317"/>
        <v>0.39100000000000001</v>
      </c>
      <c r="IE468" s="11">
        <f t="shared" si="317"/>
        <v>5.5E-2</v>
      </c>
      <c r="IF468" s="11">
        <f t="shared" si="317"/>
        <v>3.97</v>
      </c>
      <c r="IG468" s="11">
        <f t="shared" si="317"/>
        <v>4.5999999999999999E-3</v>
      </c>
      <c r="IH468" s="11">
        <f t="shared" si="317"/>
        <v>2.73</v>
      </c>
      <c r="II468" s="11" t="str">
        <f t="shared" si="317"/>
        <v>as barley</v>
      </c>
      <c r="IJ468" s="11" t="str">
        <f t="shared" si="303"/>
        <v>wheat - on farm</v>
      </c>
    </row>
    <row r="469" spans="4:244" x14ac:dyDescent="0.25">
      <c r="D469" s="20" t="s">
        <v>1099</v>
      </c>
      <c r="E469" s="14">
        <v>42678</v>
      </c>
      <c r="F469" s="18">
        <v>1.14547193186217</v>
      </c>
      <c r="G469" s="18">
        <v>1.12642335435992</v>
      </c>
      <c r="H469" s="21">
        <v>90.8</v>
      </c>
      <c r="I469" s="21">
        <v>86.799987599999994</v>
      </c>
      <c r="J469" s="21">
        <v>93</v>
      </c>
      <c r="K469" s="18">
        <v>1</v>
      </c>
      <c r="L469" s="18">
        <v>85</v>
      </c>
      <c r="M469" s="18">
        <v>11.5</v>
      </c>
      <c r="N469" s="18">
        <v>2.1</v>
      </c>
      <c r="O469" s="18">
        <v>1.5</v>
      </c>
      <c r="P469" s="18">
        <v>2.7</v>
      </c>
      <c r="Q469" s="19"/>
      <c r="R469" s="18">
        <v>85.510188819875793</v>
      </c>
      <c r="S469" s="18">
        <v>28</v>
      </c>
      <c r="T469" s="18">
        <v>43</v>
      </c>
      <c r="U469" s="18">
        <v>48</v>
      </c>
      <c r="V469" s="18">
        <v>54</v>
      </c>
      <c r="W469" s="18">
        <v>57</v>
      </c>
      <c r="X469" s="18"/>
      <c r="Y469" s="18">
        <v>0.43529411764705883</v>
      </c>
      <c r="Z469" s="18">
        <v>3.2941176470588234</v>
      </c>
      <c r="AA469" s="18">
        <v>0.1</v>
      </c>
      <c r="AB469" s="18">
        <v>1</v>
      </c>
      <c r="AC469" s="18">
        <v>5.8</v>
      </c>
      <c r="AD469" s="18">
        <v>1.2</v>
      </c>
      <c r="AE469" s="18">
        <v>1.3</v>
      </c>
      <c r="AF469" s="18">
        <v>32</v>
      </c>
      <c r="AG469" s="18">
        <v>3.2</v>
      </c>
      <c r="AH469" s="18">
        <v>29</v>
      </c>
      <c r="AI469" s="18">
        <v>40</v>
      </c>
      <c r="AJ469" s="18">
        <v>0</v>
      </c>
      <c r="AK469" s="18">
        <v>6.0000000000000123E-2</v>
      </c>
      <c r="AL469" s="18"/>
      <c r="AM469" s="18">
        <v>2.61571470588235</v>
      </c>
      <c r="AN469" s="18">
        <v>1.4741247058823499</v>
      </c>
      <c r="AO469" s="18">
        <v>2.2034829411764698</v>
      </c>
      <c r="AP469" s="18">
        <v>2.7503623529411798</v>
      </c>
      <c r="AQ469" s="18">
        <v>1.26704176470588</v>
      </c>
      <c r="AR469" s="18">
        <v>3.3481764705882302</v>
      </c>
      <c r="AS469" s="18">
        <v>6.5598747058823497</v>
      </c>
      <c r="AT469" s="18">
        <v>2.2369041176470601</v>
      </c>
      <c r="AU469" s="18">
        <v>4.4998358823529401</v>
      </c>
      <c r="AV469" s="18">
        <v>2.7665799999999998</v>
      </c>
      <c r="AW469" s="18">
        <v>4.1986529411764701</v>
      </c>
      <c r="AX469" s="18"/>
      <c r="AY469" s="18">
        <v>0.92</v>
      </c>
      <c r="AZ469" s="18">
        <v>1</v>
      </c>
      <c r="BA469" s="18">
        <v>0.98</v>
      </c>
      <c r="BB469" s="18">
        <v>0.93</v>
      </c>
      <c r="BC469" s="18">
        <v>0.99</v>
      </c>
      <c r="BD469" s="18">
        <v>0.99</v>
      </c>
      <c r="BE469" s="18">
        <v>1</v>
      </c>
      <c r="BF469" s="18">
        <v>0.99</v>
      </c>
      <c r="BG469" s="18">
        <v>1.02</v>
      </c>
      <c r="BH469" s="18">
        <v>1</v>
      </c>
      <c r="BI469" s="18">
        <v>0.96</v>
      </c>
      <c r="BJ469" s="19"/>
      <c r="BK469" s="18">
        <v>13.529411764705882</v>
      </c>
      <c r="BL469" s="18">
        <v>2.4705882352941178</v>
      </c>
      <c r="BM469" s="18">
        <v>1.7647058823529411</v>
      </c>
      <c r="BN469" s="18">
        <v>3.1764705882352939</v>
      </c>
      <c r="BO469" s="18"/>
      <c r="BP469" s="18">
        <v>105</v>
      </c>
      <c r="BQ469" s="18">
        <v>25.941176470588236</v>
      </c>
      <c r="BR469" s="18">
        <v>1.3476140374849059</v>
      </c>
      <c r="BS469" s="18">
        <v>1.3252039463057883</v>
      </c>
      <c r="BT469" s="19"/>
      <c r="BU469" s="18">
        <v>982.35294117647061</v>
      </c>
      <c r="BV469" s="18">
        <v>688.75966386554592</v>
      </c>
      <c r="BW469" s="18">
        <v>56.134627798319173</v>
      </c>
      <c r="BX469" s="18">
        <v>670</v>
      </c>
      <c r="BY469" s="18">
        <v>18.999999999999996</v>
      </c>
      <c r="BZ469" s="18">
        <v>25</v>
      </c>
      <c r="CA469" s="18">
        <v>113</v>
      </c>
      <c r="CB469" s="19"/>
      <c r="CC469" s="19">
        <v>0.37</v>
      </c>
      <c r="CD469" s="19">
        <v>2.8</v>
      </c>
      <c r="CE469" s="19">
        <v>8.5000000000000006E-2</v>
      </c>
      <c r="CF469" s="19">
        <v>0.85</v>
      </c>
      <c r="CG469" s="19">
        <v>4.93</v>
      </c>
      <c r="CH469" s="19">
        <v>1.02</v>
      </c>
      <c r="CI469" s="19">
        <v>1.105</v>
      </c>
      <c r="CJ469" s="19"/>
      <c r="CK469" s="19">
        <v>27.2</v>
      </c>
      <c r="CL469" s="19">
        <v>2.72</v>
      </c>
      <c r="CM469" s="19">
        <v>24.65</v>
      </c>
      <c r="CN469" s="19">
        <v>34</v>
      </c>
      <c r="CO469" s="19">
        <v>0</v>
      </c>
      <c r="CP469" s="19">
        <v>5.1000000000000101E-2</v>
      </c>
      <c r="CQ469" s="19">
        <v>98.336717142857196</v>
      </c>
      <c r="CR469" s="19">
        <v>85.848211909473179</v>
      </c>
      <c r="HM469" s="620">
        <f t="shared" ref="HM469:HU469" si="318">HM99</f>
        <v>0.47300000000000003</v>
      </c>
      <c r="HN469" s="620">
        <f t="shared" si="318"/>
        <v>0.13</v>
      </c>
      <c r="HO469" s="620">
        <f t="shared" si="318"/>
        <v>0.39100000000000001</v>
      </c>
      <c r="HP469" s="620">
        <f t="shared" si="318"/>
        <v>5.5E-2</v>
      </c>
      <c r="HQ469" s="620">
        <f t="shared" si="318"/>
        <v>3.97</v>
      </c>
      <c r="HR469" s="620">
        <f t="shared" si="318"/>
        <v>4.5999999999999999E-3</v>
      </c>
      <c r="HS469" s="620">
        <f t="shared" si="318"/>
        <v>2.73</v>
      </c>
      <c r="HT469" s="620" t="str">
        <f t="shared" si="318"/>
        <v>as barley</v>
      </c>
      <c r="HU469" s="620" t="str">
        <f t="shared" si="318"/>
        <v>offfarm</v>
      </c>
      <c r="HV469" s="22" t="s">
        <v>2029</v>
      </c>
      <c r="IB469" s="11">
        <f t="shared" ref="IB469:II469" si="319">IB99</f>
        <v>0.47300000000000003</v>
      </c>
      <c r="IC469" s="11">
        <f t="shared" si="319"/>
        <v>0.13</v>
      </c>
      <c r="ID469" s="11">
        <f t="shared" si="319"/>
        <v>0.39100000000000001</v>
      </c>
      <c r="IE469" s="11">
        <f t="shared" si="319"/>
        <v>5.5E-2</v>
      </c>
      <c r="IF469" s="11">
        <f t="shared" si="319"/>
        <v>3.97</v>
      </c>
      <c r="IG469" s="11">
        <f t="shared" si="319"/>
        <v>4.5999999999999999E-3</v>
      </c>
      <c r="IH469" s="11">
        <f t="shared" si="319"/>
        <v>2.73</v>
      </c>
      <c r="II469" s="11" t="str">
        <f t="shared" si="319"/>
        <v>as barley</v>
      </c>
      <c r="IJ469" s="11" t="str">
        <f t="shared" si="303"/>
        <v>wheat - on farm</v>
      </c>
    </row>
    <row r="470" spans="4:244" x14ac:dyDescent="0.25">
      <c r="D470" s="20" t="s">
        <v>1307</v>
      </c>
      <c r="E470" s="14">
        <v>42304</v>
      </c>
      <c r="F470" s="18">
        <v>1.1504822106078201</v>
      </c>
      <c r="G470" s="18">
        <v>1.1335380074211501</v>
      </c>
      <c r="H470" s="21">
        <v>91.6</v>
      </c>
      <c r="I470" s="21">
        <v>86.399959600000003</v>
      </c>
      <c r="J470" s="21">
        <v>93</v>
      </c>
      <c r="K470" s="18">
        <v>1</v>
      </c>
      <c r="L470" s="18">
        <v>85</v>
      </c>
      <c r="M470" s="18">
        <v>8.5999999999999694</v>
      </c>
      <c r="N470" s="18">
        <v>2.1</v>
      </c>
      <c r="O470" s="18">
        <v>1.5</v>
      </c>
      <c r="P470" s="18">
        <v>2.7</v>
      </c>
      <c r="Q470" s="19"/>
      <c r="R470" s="18">
        <v>82.398667774086405</v>
      </c>
      <c r="S470" s="18">
        <v>50</v>
      </c>
      <c r="T470" s="18">
        <v>54</v>
      </c>
      <c r="U470" s="18">
        <v>56</v>
      </c>
      <c r="V470" s="18">
        <v>57</v>
      </c>
      <c r="W470" s="18">
        <v>58</v>
      </c>
      <c r="X470" s="18"/>
      <c r="Y470" s="18">
        <v>0.42352941176470588</v>
      </c>
      <c r="Z470" s="18">
        <v>3.0588235294117645</v>
      </c>
      <c r="AA470" s="18">
        <v>0.1</v>
      </c>
      <c r="AB470" s="18">
        <v>1</v>
      </c>
      <c r="AC470" s="18">
        <v>5.8</v>
      </c>
      <c r="AD470" s="18">
        <v>1.2</v>
      </c>
      <c r="AE470" s="18">
        <v>1.3</v>
      </c>
      <c r="AF470" s="18">
        <v>32</v>
      </c>
      <c r="AG470" s="18">
        <v>3.2</v>
      </c>
      <c r="AH470" s="18">
        <v>29</v>
      </c>
      <c r="AI470" s="18">
        <v>40</v>
      </c>
      <c r="AJ470" s="18">
        <v>0</v>
      </c>
      <c r="AK470" s="18">
        <v>6.0000000000000123E-2</v>
      </c>
      <c r="AL470" s="18"/>
      <c r="AM470" s="18">
        <v>3.1365888235294102</v>
      </c>
      <c r="AN470" s="18">
        <v>1.5889988235294099</v>
      </c>
      <c r="AO470" s="18">
        <v>2.3928017647058799</v>
      </c>
      <c r="AP470" s="18">
        <v>3.0064494117647098</v>
      </c>
      <c r="AQ470" s="18">
        <v>1.4019770588235301</v>
      </c>
      <c r="AR470" s="18">
        <v>3.3427858823529402</v>
      </c>
      <c r="AS470" s="18">
        <v>6.7397088235294103</v>
      </c>
      <c r="AT470" s="18">
        <v>2.3054464705882398</v>
      </c>
      <c r="AU470" s="18">
        <v>4.3413935294117598</v>
      </c>
      <c r="AV470" s="18">
        <v>2.74396</v>
      </c>
      <c r="AW470" s="18">
        <v>4.3438917647058801</v>
      </c>
      <c r="AX470" s="18"/>
      <c r="AY470" s="18">
        <v>0.92</v>
      </c>
      <c r="AZ470" s="18">
        <v>1</v>
      </c>
      <c r="BA470" s="18">
        <v>0.98</v>
      </c>
      <c r="BB470" s="18">
        <v>0.93</v>
      </c>
      <c r="BC470" s="18">
        <v>0.99</v>
      </c>
      <c r="BD470" s="18">
        <v>0.99</v>
      </c>
      <c r="BE470" s="18">
        <v>1</v>
      </c>
      <c r="BF470" s="18">
        <v>0.99</v>
      </c>
      <c r="BG470" s="18">
        <v>1.02</v>
      </c>
      <c r="BH470" s="18">
        <v>1</v>
      </c>
      <c r="BI470" s="18">
        <v>0.96</v>
      </c>
      <c r="BJ470" s="19"/>
      <c r="BK470" s="18">
        <v>10.117647058823493</v>
      </c>
      <c r="BL470" s="18">
        <v>2.4705882352941178</v>
      </c>
      <c r="BM470" s="18">
        <v>1.7647058823529411</v>
      </c>
      <c r="BN470" s="18">
        <v>3.1764705882352939</v>
      </c>
      <c r="BO470" s="18"/>
      <c r="BP470" s="18">
        <v>105</v>
      </c>
      <c r="BQ470" s="18">
        <v>25.941176470588236</v>
      </c>
      <c r="BR470" s="18">
        <v>1.3535084830680237</v>
      </c>
      <c r="BS470" s="18">
        <v>1.3335741263778236</v>
      </c>
      <c r="BT470" s="19"/>
      <c r="BU470" s="18">
        <v>982.35294117647061</v>
      </c>
      <c r="BV470" s="18">
        <v>710.8252100840341</v>
      </c>
      <c r="BW470" s="18">
        <v>72.975356873949778</v>
      </c>
      <c r="BX470" s="18">
        <v>670</v>
      </c>
      <c r="BY470" s="18">
        <v>18.999999999999996</v>
      </c>
      <c r="BZ470" s="18">
        <v>25</v>
      </c>
      <c r="CA470" s="18">
        <v>113</v>
      </c>
      <c r="CB470" s="19"/>
      <c r="CC470" s="19">
        <v>0.36</v>
      </c>
      <c r="CD470" s="19">
        <v>2.5999999999999996</v>
      </c>
      <c r="CE470" s="19">
        <v>8.5000000000000006E-2</v>
      </c>
      <c r="CF470" s="19">
        <v>0.85</v>
      </c>
      <c r="CG470" s="19">
        <v>4.93</v>
      </c>
      <c r="CH470" s="19">
        <v>1.02</v>
      </c>
      <c r="CI470" s="19">
        <v>1.105</v>
      </c>
      <c r="CJ470" s="19"/>
      <c r="CK470" s="19">
        <v>27.2</v>
      </c>
      <c r="CL470" s="19">
        <v>2.72</v>
      </c>
      <c r="CM470" s="19">
        <v>24.65</v>
      </c>
      <c r="CN470" s="19">
        <v>34</v>
      </c>
      <c r="CO470" s="19">
        <v>0</v>
      </c>
      <c r="CP470" s="19">
        <v>5.1000000000000101E-2</v>
      </c>
      <c r="CQ470" s="19">
        <v>70.862854285714306</v>
      </c>
      <c r="CR470" s="19">
        <v>61.594046072451839</v>
      </c>
      <c r="HM470" s="620">
        <f t="shared" ref="HM470:HU470" si="320">HM100</f>
        <v>0.47300000000000003</v>
      </c>
      <c r="HN470" s="620">
        <f t="shared" si="320"/>
        <v>0.13</v>
      </c>
      <c r="HO470" s="620">
        <f t="shared" si="320"/>
        <v>0.39100000000000001</v>
      </c>
      <c r="HP470" s="620">
        <f t="shared" si="320"/>
        <v>5.5E-2</v>
      </c>
      <c r="HQ470" s="620">
        <f t="shared" si="320"/>
        <v>3.97</v>
      </c>
      <c r="HR470" s="620">
        <f t="shared" si="320"/>
        <v>4.5999999999999999E-3</v>
      </c>
      <c r="HS470" s="620">
        <f t="shared" si="320"/>
        <v>2.73</v>
      </c>
      <c r="HT470" s="620" t="str">
        <f t="shared" si="320"/>
        <v>as barley</v>
      </c>
      <c r="HU470" s="620" t="str">
        <f t="shared" si="320"/>
        <v>offfarm</v>
      </c>
      <c r="HV470" s="22" t="s">
        <v>2029</v>
      </c>
      <c r="IB470" s="11">
        <f t="shared" ref="IB470:II470" si="321">IB100</f>
        <v>0.47300000000000003</v>
      </c>
      <c r="IC470" s="11">
        <f t="shared" si="321"/>
        <v>0.13</v>
      </c>
      <c r="ID470" s="11">
        <f t="shared" si="321"/>
        <v>0.39100000000000001</v>
      </c>
      <c r="IE470" s="11">
        <f t="shared" si="321"/>
        <v>5.5E-2</v>
      </c>
      <c r="IF470" s="11">
        <f t="shared" si="321"/>
        <v>3.97</v>
      </c>
      <c r="IG470" s="11">
        <f t="shared" si="321"/>
        <v>4.5999999999999999E-3</v>
      </c>
      <c r="IH470" s="11">
        <f t="shared" si="321"/>
        <v>2.73</v>
      </c>
      <c r="II470" s="11" t="str">
        <f t="shared" si="321"/>
        <v>as barley</v>
      </c>
      <c r="IJ470" s="11" t="str">
        <f t="shared" si="303"/>
        <v>wheat - on farm</v>
      </c>
    </row>
    <row r="471" spans="4:244" x14ac:dyDescent="0.25">
      <c r="D471" s="20" t="s">
        <v>1094</v>
      </c>
      <c r="E471" s="14">
        <v>42304</v>
      </c>
      <c r="F471" s="18">
        <v>1.1601802361594999</v>
      </c>
      <c r="G471" s="18">
        <v>1.1403543339517701</v>
      </c>
      <c r="H471" s="21">
        <v>91.6</v>
      </c>
      <c r="I471" s="21">
        <v>87.199994000000004</v>
      </c>
      <c r="J471" s="21">
        <v>93</v>
      </c>
      <c r="K471" s="18">
        <v>1</v>
      </c>
      <c r="L471" s="18">
        <v>85</v>
      </c>
      <c r="M471" s="18">
        <v>8.5999999999999694</v>
      </c>
      <c r="N471" s="18">
        <v>2.1</v>
      </c>
      <c r="O471" s="18">
        <v>1.5</v>
      </c>
      <c r="P471" s="18">
        <v>2.7</v>
      </c>
      <c r="Q471" s="19"/>
      <c r="R471" s="18">
        <v>83.131026578073104</v>
      </c>
      <c r="S471" s="18">
        <v>50</v>
      </c>
      <c r="T471" s="18">
        <v>54</v>
      </c>
      <c r="U471" s="18">
        <v>56</v>
      </c>
      <c r="V471" s="18">
        <v>57</v>
      </c>
      <c r="W471" s="18">
        <v>58</v>
      </c>
      <c r="X471" s="18"/>
      <c r="Y471" s="18">
        <v>0.42352941176470588</v>
      </c>
      <c r="Z471" s="18">
        <v>3.0588235294117645</v>
      </c>
      <c r="AA471" s="18">
        <v>0.1</v>
      </c>
      <c r="AB471" s="18">
        <v>1</v>
      </c>
      <c r="AC471" s="18">
        <v>5.8</v>
      </c>
      <c r="AD471" s="18">
        <v>1.2</v>
      </c>
      <c r="AE471" s="18">
        <v>1.3</v>
      </c>
      <c r="AF471" s="18">
        <v>32</v>
      </c>
      <c r="AG471" s="18">
        <v>3.2</v>
      </c>
      <c r="AH471" s="18">
        <v>29</v>
      </c>
      <c r="AI471" s="18">
        <v>40</v>
      </c>
      <c r="AJ471" s="18">
        <v>0</v>
      </c>
      <c r="AK471" s="18">
        <v>6.0000000000000123E-2</v>
      </c>
      <c r="AL471" s="18"/>
      <c r="AM471" s="18">
        <v>3.1365888235294102</v>
      </c>
      <c r="AN471" s="18">
        <v>1.5889988235294099</v>
      </c>
      <c r="AO471" s="18">
        <v>2.3928017647058799</v>
      </c>
      <c r="AP471" s="18">
        <v>3.0064494117647098</v>
      </c>
      <c r="AQ471" s="18">
        <v>1.4019770588235301</v>
      </c>
      <c r="AR471" s="18">
        <v>3.3427858823529402</v>
      </c>
      <c r="AS471" s="18">
        <v>6.7397088235294103</v>
      </c>
      <c r="AT471" s="18">
        <v>2.3054464705882398</v>
      </c>
      <c r="AU471" s="18">
        <v>4.3413935294117598</v>
      </c>
      <c r="AV471" s="18">
        <v>2.74396</v>
      </c>
      <c r="AW471" s="18">
        <v>4.3438917647058801</v>
      </c>
      <c r="AX471" s="18"/>
      <c r="AY471" s="18">
        <v>0.92</v>
      </c>
      <c r="AZ471" s="18">
        <v>1</v>
      </c>
      <c r="BA471" s="18">
        <v>0.98</v>
      </c>
      <c r="BB471" s="18">
        <v>0.93</v>
      </c>
      <c r="BC471" s="18">
        <v>0.99</v>
      </c>
      <c r="BD471" s="18">
        <v>0.99</v>
      </c>
      <c r="BE471" s="18">
        <v>1</v>
      </c>
      <c r="BF471" s="18">
        <v>0.99</v>
      </c>
      <c r="BG471" s="18">
        <v>1.02</v>
      </c>
      <c r="BH471" s="18">
        <v>1</v>
      </c>
      <c r="BI471" s="18">
        <v>0.96</v>
      </c>
      <c r="BJ471" s="19"/>
      <c r="BK471" s="18">
        <v>10.117647058823493</v>
      </c>
      <c r="BL471" s="18">
        <v>2.4705882352941178</v>
      </c>
      <c r="BM471" s="18">
        <v>1.7647058823529411</v>
      </c>
      <c r="BN471" s="18">
        <v>3.1764705882352939</v>
      </c>
      <c r="BO471" s="18"/>
      <c r="BP471" s="18">
        <v>105</v>
      </c>
      <c r="BQ471" s="18">
        <v>25.941176470588236</v>
      </c>
      <c r="BR471" s="18">
        <v>1.3649179248935295</v>
      </c>
      <c r="BS471" s="18">
        <v>1.3415933340609061</v>
      </c>
      <c r="BT471" s="19"/>
      <c r="BU471" s="18">
        <v>982.35294117647061</v>
      </c>
      <c r="BV471" s="18">
        <v>722.05210084033638</v>
      </c>
      <c r="BW471" s="18">
        <v>61.747983361344588</v>
      </c>
      <c r="BX471" s="18">
        <v>670</v>
      </c>
      <c r="BY471" s="18">
        <v>18.999999999999996</v>
      </c>
      <c r="BZ471" s="18">
        <v>25</v>
      </c>
      <c r="CA471" s="18">
        <v>113</v>
      </c>
      <c r="CB471" s="19"/>
      <c r="CC471" s="19">
        <v>0.36</v>
      </c>
      <c r="CD471" s="19">
        <v>2.5999999999999996</v>
      </c>
      <c r="CE471" s="19">
        <v>8.5000000000000006E-2</v>
      </c>
      <c r="CF471" s="19">
        <v>0.85</v>
      </c>
      <c r="CG471" s="19">
        <v>4.93</v>
      </c>
      <c r="CH471" s="19">
        <v>1.02</v>
      </c>
      <c r="CI471" s="19">
        <v>1.105</v>
      </c>
      <c r="CJ471" s="19"/>
      <c r="CK471" s="19">
        <v>27.2</v>
      </c>
      <c r="CL471" s="19">
        <v>2.72</v>
      </c>
      <c r="CM471" s="19">
        <v>24.65</v>
      </c>
      <c r="CN471" s="19">
        <v>34</v>
      </c>
      <c r="CO471" s="19">
        <v>0</v>
      </c>
      <c r="CP471" s="19">
        <v>5.1000000000000101E-2</v>
      </c>
      <c r="CQ471" s="19">
        <v>71.492682857142896</v>
      </c>
      <c r="CR471" s="19">
        <v>61.622048565318075</v>
      </c>
      <c r="HM471" s="620">
        <f t="shared" ref="HM471:HU471" si="322">HM101</f>
        <v>0.47300000000000003</v>
      </c>
      <c r="HN471" s="620">
        <f t="shared" si="322"/>
        <v>0.13</v>
      </c>
      <c r="HO471" s="620">
        <f t="shared" si="322"/>
        <v>0.39100000000000001</v>
      </c>
      <c r="HP471" s="620">
        <f t="shared" si="322"/>
        <v>5.5E-2</v>
      </c>
      <c r="HQ471" s="620">
        <f t="shared" si="322"/>
        <v>3.97</v>
      </c>
      <c r="HR471" s="620">
        <f t="shared" si="322"/>
        <v>4.5999999999999999E-3</v>
      </c>
      <c r="HS471" s="620">
        <f t="shared" si="322"/>
        <v>2.73</v>
      </c>
      <c r="HT471" s="620" t="str">
        <f t="shared" si="322"/>
        <v>as barley</v>
      </c>
      <c r="HU471" s="620" t="str">
        <f t="shared" si="322"/>
        <v>offfarm</v>
      </c>
      <c r="HV471" s="22" t="s">
        <v>2029</v>
      </c>
      <c r="IB471" s="11">
        <f t="shared" ref="IB471:II471" si="323">IB101</f>
        <v>0.47300000000000003</v>
      </c>
      <c r="IC471" s="11">
        <f t="shared" si="323"/>
        <v>0.13</v>
      </c>
      <c r="ID471" s="11">
        <f t="shared" si="323"/>
        <v>0.39100000000000001</v>
      </c>
      <c r="IE471" s="11">
        <f t="shared" si="323"/>
        <v>5.5E-2</v>
      </c>
      <c r="IF471" s="11">
        <f t="shared" si="323"/>
        <v>3.97</v>
      </c>
      <c r="IG471" s="11">
        <f t="shared" si="323"/>
        <v>4.5999999999999999E-3</v>
      </c>
      <c r="IH471" s="11">
        <f t="shared" si="323"/>
        <v>2.73</v>
      </c>
      <c r="II471" s="11" t="str">
        <f t="shared" si="323"/>
        <v>as barley</v>
      </c>
      <c r="IJ471" s="11" t="str">
        <f t="shared" si="303"/>
        <v>wheat - on farm</v>
      </c>
    </row>
    <row r="472" spans="4:244" x14ac:dyDescent="0.25">
      <c r="D472" s="20" t="s">
        <v>1095</v>
      </c>
      <c r="E472" s="14">
        <v>42304</v>
      </c>
      <c r="F472" s="18">
        <v>1.1504822106078201</v>
      </c>
      <c r="G472" s="18">
        <v>1.1335380074211501</v>
      </c>
      <c r="H472" s="21">
        <v>91.6</v>
      </c>
      <c r="I472" s="21">
        <v>86.399959600000003</v>
      </c>
      <c r="J472" s="21">
        <v>93</v>
      </c>
      <c r="K472" s="18">
        <v>1</v>
      </c>
      <c r="L472" s="18">
        <v>85</v>
      </c>
      <c r="M472" s="18">
        <v>8.5999999999999694</v>
      </c>
      <c r="N472" s="18">
        <v>2.1</v>
      </c>
      <c r="O472" s="18">
        <v>1.5</v>
      </c>
      <c r="P472" s="18">
        <v>2.7</v>
      </c>
      <c r="Q472" s="19"/>
      <c r="R472" s="18">
        <v>82.398667774086405</v>
      </c>
      <c r="S472" s="18">
        <v>28</v>
      </c>
      <c r="T472" s="18">
        <v>43</v>
      </c>
      <c r="U472" s="18">
        <v>48</v>
      </c>
      <c r="V472" s="18">
        <v>54</v>
      </c>
      <c r="W472" s="18">
        <v>57</v>
      </c>
      <c r="X472" s="18"/>
      <c r="Y472" s="18">
        <v>0.42352941176470588</v>
      </c>
      <c r="Z472" s="18">
        <v>3.0588235294117645</v>
      </c>
      <c r="AA472" s="18">
        <v>0.1</v>
      </c>
      <c r="AB472" s="18">
        <v>1</v>
      </c>
      <c r="AC472" s="18">
        <v>5.8</v>
      </c>
      <c r="AD472" s="18">
        <v>1.2</v>
      </c>
      <c r="AE472" s="18">
        <v>1.3</v>
      </c>
      <c r="AF472" s="18">
        <v>32</v>
      </c>
      <c r="AG472" s="18">
        <v>3.2</v>
      </c>
      <c r="AH472" s="18">
        <v>29</v>
      </c>
      <c r="AI472" s="18">
        <v>40</v>
      </c>
      <c r="AJ472" s="18">
        <v>0</v>
      </c>
      <c r="AK472" s="18">
        <v>6.0000000000000123E-2</v>
      </c>
      <c r="AL472" s="18"/>
      <c r="AM472" s="18">
        <v>3.1365888235294102</v>
      </c>
      <c r="AN472" s="18">
        <v>1.5889988235294099</v>
      </c>
      <c r="AO472" s="18">
        <v>2.3928017647058799</v>
      </c>
      <c r="AP472" s="18">
        <v>3.0064494117647098</v>
      </c>
      <c r="AQ472" s="18">
        <v>1.4019770588235301</v>
      </c>
      <c r="AR472" s="18">
        <v>3.3427858823529402</v>
      </c>
      <c r="AS472" s="18">
        <v>6.7397088235294103</v>
      </c>
      <c r="AT472" s="18">
        <v>2.3054464705882398</v>
      </c>
      <c r="AU472" s="18">
        <v>4.3413935294117598</v>
      </c>
      <c r="AV472" s="18">
        <v>2.74396</v>
      </c>
      <c r="AW472" s="18">
        <v>4.3438917647058801</v>
      </c>
      <c r="AX472" s="18"/>
      <c r="AY472" s="18">
        <v>0.92</v>
      </c>
      <c r="AZ472" s="18">
        <v>1</v>
      </c>
      <c r="BA472" s="18">
        <v>0.98</v>
      </c>
      <c r="BB472" s="18">
        <v>0.93</v>
      </c>
      <c r="BC472" s="18">
        <v>0.99</v>
      </c>
      <c r="BD472" s="18">
        <v>0.99</v>
      </c>
      <c r="BE472" s="18">
        <v>1</v>
      </c>
      <c r="BF472" s="18">
        <v>0.99</v>
      </c>
      <c r="BG472" s="18">
        <v>1.02</v>
      </c>
      <c r="BH472" s="18">
        <v>1</v>
      </c>
      <c r="BI472" s="18">
        <v>0.96</v>
      </c>
      <c r="BJ472" s="19"/>
      <c r="BK472" s="18">
        <v>10.117647058823493</v>
      </c>
      <c r="BL472" s="18">
        <v>2.4705882352941178</v>
      </c>
      <c r="BM472" s="18">
        <v>1.7647058823529411</v>
      </c>
      <c r="BN472" s="18">
        <v>3.1764705882352939</v>
      </c>
      <c r="BO472" s="18"/>
      <c r="BP472" s="18">
        <v>105</v>
      </c>
      <c r="BQ472" s="18">
        <v>25.941176470588236</v>
      </c>
      <c r="BR472" s="18">
        <v>1.3535084830680237</v>
      </c>
      <c r="BS472" s="18">
        <v>1.3335741263778236</v>
      </c>
      <c r="BT472" s="19"/>
      <c r="BU472" s="18">
        <v>982.35294117647061</v>
      </c>
      <c r="BV472" s="18">
        <v>710.8252100840341</v>
      </c>
      <c r="BW472" s="18">
        <v>72.975356873949778</v>
      </c>
      <c r="BX472" s="18">
        <v>670</v>
      </c>
      <c r="BY472" s="18">
        <v>18.999999999999996</v>
      </c>
      <c r="BZ472" s="18">
        <v>25</v>
      </c>
      <c r="CA472" s="18">
        <v>113</v>
      </c>
      <c r="CB472" s="19"/>
      <c r="CC472" s="19">
        <v>0.36</v>
      </c>
      <c r="CD472" s="19">
        <v>2.5999999999999996</v>
      </c>
      <c r="CE472" s="19">
        <v>8.5000000000000006E-2</v>
      </c>
      <c r="CF472" s="19">
        <v>0.85</v>
      </c>
      <c r="CG472" s="19">
        <v>4.93</v>
      </c>
      <c r="CH472" s="19">
        <v>1.02</v>
      </c>
      <c r="CI472" s="19">
        <v>1.105</v>
      </c>
      <c r="CJ472" s="19"/>
      <c r="CK472" s="19">
        <v>27.2</v>
      </c>
      <c r="CL472" s="19">
        <v>2.72</v>
      </c>
      <c r="CM472" s="19">
        <v>24.65</v>
      </c>
      <c r="CN472" s="19">
        <v>34</v>
      </c>
      <c r="CO472" s="19">
        <v>0</v>
      </c>
      <c r="CP472" s="19">
        <v>5.1000000000000101E-2</v>
      </c>
      <c r="CQ472" s="19">
        <v>70.862854285714306</v>
      </c>
      <c r="CR472" s="19">
        <v>61.594046072451839</v>
      </c>
      <c r="HM472" s="620">
        <f t="shared" ref="HM472:HU472" si="324">HM102</f>
        <v>0.47300000000000003</v>
      </c>
      <c r="HN472" s="620">
        <f t="shared" si="324"/>
        <v>0.13</v>
      </c>
      <c r="HO472" s="620">
        <f t="shared" si="324"/>
        <v>0.39100000000000001</v>
      </c>
      <c r="HP472" s="620">
        <f t="shared" si="324"/>
        <v>5.5E-2</v>
      </c>
      <c r="HQ472" s="620">
        <f t="shared" si="324"/>
        <v>3.97</v>
      </c>
      <c r="HR472" s="620">
        <f t="shared" si="324"/>
        <v>4.5999999999999999E-3</v>
      </c>
      <c r="HS472" s="620">
        <f t="shared" si="324"/>
        <v>2.73</v>
      </c>
      <c r="HT472" s="620" t="str">
        <f t="shared" si="324"/>
        <v>as barley</v>
      </c>
      <c r="HU472" s="620" t="str">
        <f t="shared" si="324"/>
        <v>offfarm</v>
      </c>
      <c r="HV472" s="22" t="s">
        <v>2029</v>
      </c>
      <c r="IB472" s="11">
        <f t="shared" ref="IB472:II472" si="325">IB102</f>
        <v>0.47300000000000003</v>
      </c>
      <c r="IC472" s="11">
        <f t="shared" si="325"/>
        <v>0.13</v>
      </c>
      <c r="ID472" s="11">
        <f t="shared" si="325"/>
        <v>0.39100000000000001</v>
      </c>
      <c r="IE472" s="11">
        <f t="shared" si="325"/>
        <v>5.5E-2</v>
      </c>
      <c r="IF472" s="11">
        <f t="shared" si="325"/>
        <v>3.97</v>
      </c>
      <c r="IG472" s="11">
        <f t="shared" si="325"/>
        <v>4.5999999999999999E-3</v>
      </c>
      <c r="IH472" s="11">
        <f t="shared" si="325"/>
        <v>2.73</v>
      </c>
      <c r="II472" s="11" t="str">
        <f t="shared" si="325"/>
        <v>as barley</v>
      </c>
      <c r="IJ472" s="11" t="str">
        <f t="shared" si="303"/>
        <v>wheat - on farm</v>
      </c>
    </row>
    <row r="473" spans="4:244" x14ac:dyDescent="0.25">
      <c r="D473" s="20" t="s">
        <v>1096</v>
      </c>
      <c r="E473" s="14">
        <v>42304</v>
      </c>
      <c r="F473" s="18">
        <v>1.1601802361594999</v>
      </c>
      <c r="G473" s="18">
        <v>1.1403543339517701</v>
      </c>
      <c r="H473" s="21">
        <v>91.6</v>
      </c>
      <c r="I473" s="21">
        <v>87.199994000000004</v>
      </c>
      <c r="J473" s="21">
        <v>93</v>
      </c>
      <c r="K473" s="18">
        <v>1</v>
      </c>
      <c r="L473" s="18">
        <v>85</v>
      </c>
      <c r="M473" s="18">
        <v>8.5999999999999694</v>
      </c>
      <c r="N473" s="18">
        <v>2.1</v>
      </c>
      <c r="O473" s="18">
        <v>1.5</v>
      </c>
      <c r="P473" s="18">
        <v>2.7</v>
      </c>
      <c r="Q473" s="19"/>
      <c r="R473" s="18">
        <v>83.131026578073104</v>
      </c>
      <c r="S473" s="18">
        <v>28</v>
      </c>
      <c r="T473" s="18">
        <v>43</v>
      </c>
      <c r="U473" s="18">
        <v>48</v>
      </c>
      <c r="V473" s="18">
        <v>54</v>
      </c>
      <c r="W473" s="18">
        <v>57</v>
      </c>
      <c r="X473" s="18"/>
      <c r="Y473" s="18">
        <v>0.42352941176470588</v>
      </c>
      <c r="Z473" s="18">
        <v>3.0588235294117645</v>
      </c>
      <c r="AA473" s="18">
        <v>0.1</v>
      </c>
      <c r="AB473" s="18">
        <v>1</v>
      </c>
      <c r="AC473" s="18">
        <v>5.8</v>
      </c>
      <c r="AD473" s="18">
        <v>1.2</v>
      </c>
      <c r="AE473" s="18">
        <v>1.3</v>
      </c>
      <c r="AF473" s="18">
        <v>32</v>
      </c>
      <c r="AG473" s="18">
        <v>3.2</v>
      </c>
      <c r="AH473" s="18">
        <v>29</v>
      </c>
      <c r="AI473" s="18">
        <v>40</v>
      </c>
      <c r="AJ473" s="18">
        <v>0</v>
      </c>
      <c r="AK473" s="18">
        <v>6.0000000000000123E-2</v>
      </c>
      <c r="AL473" s="18"/>
      <c r="AM473" s="18">
        <v>3.1365888235294102</v>
      </c>
      <c r="AN473" s="18">
        <v>1.5889988235294099</v>
      </c>
      <c r="AO473" s="18">
        <v>2.3928017647058799</v>
      </c>
      <c r="AP473" s="18">
        <v>3.0064494117647098</v>
      </c>
      <c r="AQ473" s="18">
        <v>1.4019770588235301</v>
      </c>
      <c r="AR473" s="18">
        <v>3.3427858823529402</v>
      </c>
      <c r="AS473" s="18">
        <v>6.7397088235294103</v>
      </c>
      <c r="AT473" s="18">
        <v>2.3054464705882398</v>
      </c>
      <c r="AU473" s="18">
        <v>4.3413935294117598</v>
      </c>
      <c r="AV473" s="18">
        <v>2.74396</v>
      </c>
      <c r="AW473" s="18">
        <v>4.3438917647058801</v>
      </c>
      <c r="AX473" s="18"/>
      <c r="AY473" s="18">
        <v>0.92</v>
      </c>
      <c r="AZ473" s="18">
        <v>1</v>
      </c>
      <c r="BA473" s="18">
        <v>0.98</v>
      </c>
      <c r="BB473" s="18">
        <v>0.93</v>
      </c>
      <c r="BC473" s="18">
        <v>0.99</v>
      </c>
      <c r="BD473" s="18">
        <v>0.99</v>
      </c>
      <c r="BE473" s="18">
        <v>1</v>
      </c>
      <c r="BF473" s="18">
        <v>0.99</v>
      </c>
      <c r="BG473" s="18">
        <v>1.02</v>
      </c>
      <c r="BH473" s="18">
        <v>1</v>
      </c>
      <c r="BI473" s="18">
        <v>0.96</v>
      </c>
      <c r="BJ473" s="19"/>
      <c r="BK473" s="18">
        <v>10.117647058823493</v>
      </c>
      <c r="BL473" s="18">
        <v>2.4705882352941178</v>
      </c>
      <c r="BM473" s="18">
        <v>1.7647058823529411</v>
      </c>
      <c r="BN473" s="18">
        <v>3.1764705882352939</v>
      </c>
      <c r="BO473" s="18"/>
      <c r="BP473" s="18">
        <v>105</v>
      </c>
      <c r="BQ473" s="18">
        <v>25.941176470588236</v>
      </c>
      <c r="BR473" s="18">
        <v>1.3649179248935295</v>
      </c>
      <c r="BS473" s="18">
        <v>1.3415933340609061</v>
      </c>
      <c r="BT473" s="19"/>
      <c r="BU473" s="18">
        <v>982.35294117647061</v>
      </c>
      <c r="BV473" s="18">
        <v>722.05210084033638</v>
      </c>
      <c r="BW473" s="18">
        <v>61.747983361344588</v>
      </c>
      <c r="BX473" s="18">
        <v>670</v>
      </c>
      <c r="BY473" s="18">
        <v>18.999999999999996</v>
      </c>
      <c r="BZ473" s="18">
        <v>25</v>
      </c>
      <c r="CA473" s="18">
        <v>113</v>
      </c>
      <c r="CB473" s="19"/>
      <c r="CC473" s="19">
        <v>0.36</v>
      </c>
      <c r="CD473" s="19">
        <v>2.5999999999999996</v>
      </c>
      <c r="CE473" s="19">
        <v>8.5000000000000006E-2</v>
      </c>
      <c r="CF473" s="19">
        <v>0.85</v>
      </c>
      <c r="CG473" s="19">
        <v>4.93</v>
      </c>
      <c r="CH473" s="19">
        <v>1.02</v>
      </c>
      <c r="CI473" s="19">
        <v>1.105</v>
      </c>
      <c r="CJ473" s="19"/>
      <c r="CK473" s="19">
        <v>27.2</v>
      </c>
      <c r="CL473" s="19">
        <v>2.72</v>
      </c>
      <c r="CM473" s="19">
        <v>24.65</v>
      </c>
      <c r="CN473" s="19">
        <v>34</v>
      </c>
      <c r="CO473" s="19">
        <v>0</v>
      </c>
      <c r="CP473" s="19">
        <v>5.1000000000000101E-2</v>
      </c>
      <c r="CQ473" s="19">
        <v>71.492682857142896</v>
      </c>
      <c r="CR473" s="19">
        <v>61.622048565318075</v>
      </c>
      <c r="HM473" s="620">
        <f t="shared" ref="HM473:HU473" si="326">HM103</f>
        <v>0.47300000000000003</v>
      </c>
      <c r="HN473" s="620">
        <f t="shared" si="326"/>
        <v>0.13</v>
      </c>
      <c r="HO473" s="620">
        <f t="shared" si="326"/>
        <v>0.39100000000000001</v>
      </c>
      <c r="HP473" s="620">
        <f t="shared" si="326"/>
        <v>5.5E-2</v>
      </c>
      <c r="HQ473" s="620">
        <f t="shared" si="326"/>
        <v>3.97</v>
      </c>
      <c r="HR473" s="620">
        <f t="shared" si="326"/>
        <v>4.5999999999999999E-3</v>
      </c>
      <c r="HS473" s="620">
        <f t="shared" si="326"/>
        <v>2.73</v>
      </c>
      <c r="HT473" s="620" t="str">
        <f t="shared" si="326"/>
        <v>as barley</v>
      </c>
      <c r="HU473" s="620" t="str">
        <f t="shared" si="326"/>
        <v>offfarm</v>
      </c>
      <c r="HV473" s="22" t="s">
        <v>2029</v>
      </c>
      <c r="IB473" s="11">
        <f t="shared" ref="IB473:II473" si="327">IB103</f>
        <v>0.47300000000000003</v>
      </c>
      <c r="IC473" s="11">
        <f t="shared" si="327"/>
        <v>0.13</v>
      </c>
      <c r="ID473" s="11">
        <f t="shared" si="327"/>
        <v>0.39100000000000001</v>
      </c>
      <c r="IE473" s="11">
        <f t="shared" si="327"/>
        <v>5.5E-2</v>
      </c>
      <c r="IF473" s="11">
        <f t="shared" si="327"/>
        <v>3.97</v>
      </c>
      <c r="IG473" s="11">
        <f t="shared" si="327"/>
        <v>4.5999999999999999E-3</v>
      </c>
      <c r="IH473" s="11">
        <f t="shared" si="327"/>
        <v>2.73</v>
      </c>
      <c r="II473" s="11" t="str">
        <f t="shared" si="327"/>
        <v>as barley</v>
      </c>
      <c r="IJ473" s="11" t="str">
        <f t="shared" si="303"/>
        <v>wheat - on farm</v>
      </c>
    </row>
    <row r="474" spans="4:244" x14ac:dyDescent="0.25">
      <c r="D474" s="20" t="s">
        <v>1100</v>
      </c>
      <c r="E474" s="14">
        <v>42517</v>
      </c>
      <c r="F474" s="18">
        <v>1.29950735578784</v>
      </c>
      <c r="G474" s="18">
        <v>1.26482970686456</v>
      </c>
      <c r="H474" s="21">
        <v>94.6</v>
      </c>
      <c r="I474" s="21">
        <v>92</v>
      </c>
      <c r="J474" s="21">
        <v>93</v>
      </c>
      <c r="K474" s="18">
        <v>1</v>
      </c>
      <c r="L474" s="18">
        <v>93</v>
      </c>
      <c r="M474" s="18">
        <v>80</v>
      </c>
      <c r="N474" s="18">
        <v>6.6</v>
      </c>
      <c r="O474" s="18">
        <v>0.999999999999999</v>
      </c>
      <c r="P474" s="18">
        <v>0.999999999999999</v>
      </c>
      <c r="Q474" s="19"/>
      <c r="R474" s="18">
        <v>92.245360714285695</v>
      </c>
      <c r="S474" s="18">
        <v>20</v>
      </c>
      <c r="T474" s="18">
        <v>37</v>
      </c>
      <c r="U474" s="18">
        <v>44</v>
      </c>
      <c r="V474" s="18">
        <v>50</v>
      </c>
      <c r="W474" s="18">
        <v>54</v>
      </c>
      <c r="X474" s="18"/>
      <c r="Y474" s="18" t="s">
        <v>217</v>
      </c>
      <c r="Z474" s="18" t="s">
        <v>217</v>
      </c>
      <c r="AA474" s="18">
        <v>0</v>
      </c>
      <c r="AB474" s="18">
        <v>0</v>
      </c>
      <c r="AC474" s="18">
        <v>0</v>
      </c>
      <c r="AD474" s="18">
        <v>0</v>
      </c>
      <c r="AE474" s="18">
        <v>0</v>
      </c>
      <c r="AF474" s="18">
        <v>0</v>
      </c>
      <c r="AG474" s="18">
        <v>0</v>
      </c>
      <c r="AH474" s="18">
        <v>0</v>
      </c>
      <c r="AI474" s="18">
        <v>0</v>
      </c>
      <c r="AJ474" s="18">
        <v>0</v>
      </c>
      <c r="AK474" s="18">
        <v>0</v>
      </c>
      <c r="AL474" s="18"/>
      <c r="AM474" s="18" t="s">
        <v>217</v>
      </c>
      <c r="AN474" s="18" t="s">
        <v>217</v>
      </c>
      <c r="AO474" s="18" t="s">
        <v>217</v>
      </c>
      <c r="AP474" s="18" t="s">
        <v>217</v>
      </c>
      <c r="AQ474" s="18" t="s">
        <v>217</v>
      </c>
      <c r="AR474" s="18" t="s">
        <v>217</v>
      </c>
      <c r="AS474" s="18" t="s">
        <v>217</v>
      </c>
      <c r="AT474" s="18" t="s">
        <v>217</v>
      </c>
      <c r="AU474" s="18" t="s">
        <v>217</v>
      </c>
      <c r="AV474" s="18" t="s">
        <v>217</v>
      </c>
      <c r="AW474" s="18" t="s">
        <v>217</v>
      </c>
      <c r="AX474" s="18"/>
      <c r="AY474" s="18">
        <v>1</v>
      </c>
      <c r="AZ474" s="18">
        <v>1</v>
      </c>
      <c r="BA474" s="18">
        <v>1</v>
      </c>
      <c r="BB474" s="18">
        <v>1</v>
      </c>
      <c r="BC474" s="18">
        <v>1</v>
      </c>
      <c r="BD474" s="18">
        <v>1</v>
      </c>
      <c r="BE474" s="18">
        <v>1</v>
      </c>
      <c r="BF474" s="18">
        <v>1</v>
      </c>
      <c r="BG474" s="18">
        <v>1</v>
      </c>
      <c r="BH474" s="18">
        <v>1</v>
      </c>
      <c r="BI474" s="18">
        <v>1</v>
      </c>
      <c r="BJ474" s="19"/>
      <c r="BK474" s="18">
        <v>86.021505376344081</v>
      </c>
      <c r="BL474" s="18">
        <v>7.096774193548387</v>
      </c>
      <c r="BM474" s="18">
        <v>1.0752688172042999</v>
      </c>
      <c r="BN474" s="18">
        <v>1.0752688172042999</v>
      </c>
      <c r="BO474" s="18"/>
      <c r="BP474" s="18">
        <v>0</v>
      </c>
      <c r="BQ474" s="18">
        <v>0</v>
      </c>
      <c r="BR474" s="18">
        <v>1.3973197374062796</v>
      </c>
      <c r="BS474" s="18">
        <v>1.3600319428651182</v>
      </c>
      <c r="BT474" s="19"/>
      <c r="BU474" s="18">
        <v>989.24731182795699</v>
      </c>
      <c r="BV474" s="18">
        <v>47.450076804915476</v>
      </c>
      <c r="BW474" s="18">
        <v>36.743471582181186</v>
      </c>
      <c r="BX474" s="18" t="s">
        <v>217</v>
      </c>
      <c r="BY474" s="18" t="s">
        <v>217</v>
      </c>
      <c r="BZ474" s="18">
        <v>1.7117050691244191</v>
      </c>
      <c r="CA474" s="18">
        <v>26.816712749616023</v>
      </c>
      <c r="CB474" s="19"/>
      <c r="CC474" s="19" t="s">
        <v>217</v>
      </c>
      <c r="CD474" s="19" t="s">
        <v>217</v>
      </c>
      <c r="CE474" s="19">
        <v>0</v>
      </c>
      <c r="CF474" s="19">
        <v>0</v>
      </c>
      <c r="CG474" s="19">
        <v>0</v>
      </c>
      <c r="CH474" s="19">
        <v>0</v>
      </c>
      <c r="CI474" s="19">
        <v>0</v>
      </c>
      <c r="CJ474" s="19"/>
      <c r="CK474" s="19">
        <v>0</v>
      </c>
      <c r="CL474" s="19">
        <v>0</v>
      </c>
      <c r="CM474" s="19">
        <v>0</v>
      </c>
      <c r="CN474" s="19">
        <v>0</v>
      </c>
      <c r="CO474" s="19">
        <v>0</v>
      </c>
      <c r="CP474" s="19">
        <v>0</v>
      </c>
      <c r="CQ474" s="19">
        <v>737.96288571428602</v>
      </c>
      <c r="CR474" s="19">
        <v>567.87895999779721</v>
      </c>
      <c r="HM474" s="620">
        <f t="shared" ref="HM474:HU474" si="328">HM104</f>
        <v>0.47300000000000003</v>
      </c>
      <c r="HN474" s="620">
        <f t="shared" si="328"/>
        <v>0.13</v>
      </c>
      <c r="HO474" s="620">
        <f t="shared" si="328"/>
        <v>0.39100000000000001</v>
      </c>
      <c r="HP474" s="620">
        <f t="shared" si="328"/>
        <v>5.5E-2</v>
      </c>
      <c r="HQ474" s="620">
        <f t="shared" si="328"/>
        <v>3.97</v>
      </c>
      <c r="HR474" s="620">
        <f t="shared" si="328"/>
        <v>4.5999999999999999E-3</v>
      </c>
      <c r="HS474" s="620">
        <f t="shared" si="328"/>
        <v>2.73</v>
      </c>
      <c r="HT474" s="620" t="str">
        <f t="shared" si="328"/>
        <v>as barley</v>
      </c>
      <c r="HU474" s="620" t="str">
        <f t="shared" si="328"/>
        <v>offfarm</v>
      </c>
      <c r="HV474" s="22" t="s">
        <v>2030</v>
      </c>
      <c r="IB474" s="11">
        <f t="shared" ref="IB474:II474" si="329">IB104</f>
        <v>0.47300000000000003</v>
      </c>
      <c r="IC474" s="11">
        <f t="shared" si="329"/>
        <v>0.13</v>
      </c>
      <c r="ID474" s="11">
        <f t="shared" si="329"/>
        <v>0.39100000000000001</v>
      </c>
      <c r="IE474" s="11">
        <f t="shared" si="329"/>
        <v>5.5E-2</v>
      </c>
      <c r="IF474" s="11">
        <f t="shared" si="329"/>
        <v>3.97</v>
      </c>
      <c r="IG474" s="11">
        <f t="shared" si="329"/>
        <v>4.5999999999999999E-3</v>
      </c>
      <c r="IH474" s="11">
        <f t="shared" si="329"/>
        <v>2.73</v>
      </c>
      <c r="II474" s="11" t="str">
        <f t="shared" si="329"/>
        <v>as barley</v>
      </c>
    </row>
    <row r="475" spans="4:244" x14ac:dyDescent="0.25">
      <c r="D475" s="20" t="s">
        <v>1101</v>
      </c>
      <c r="E475" s="14">
        <v>42517</v>
      </c>
      <c r="F475" s="18">
        <v>0.84558178353658597</v>
      </c>
      <c r="G475" s="18">
        <v>0.88886649212987001</v>
      </c>
      <c r="H475" s="21">
        <v>74.099999999999994</v>
      </c>
      <c r="I475" s="21">
        <v>63.7</v>
      </c>
      <c r="J475" s="21">
        <v>84</v>
      </c>
      <c r="K475" s="18">
        <v>1</v>
      </c>
      <c r="L475" s="18">
        <v>90.5</v>
      </c>
      <c r="M475" s="18">
        <v>15.023</v>
      </c>
      <c r="N475" s="18">
        <v>4.6154999999999999</v>
      </c>
      <c r="O475" s="18">
        <v>6.2445000000000004</v>
      </c>
      <c r="P475" s="18">
        <v>5.2115171650055396</v>
      </c>
      <c r="Q475" s="19"/>
      <c r="R475" s="18">
        <v>67.948521686747</v>
      </c>
      <c r="S475" s="18">
        <v>26</v>
      </c>
      <c r="T475" s="18">
        <v>40</v>
      </c>
      <c r="U475" s="18">
        <v>46</v>
      </c>
      <c r="V475" s="18">
        <v>51</v>
      </c>
      <c r="W475" s="18">
        <v>54</v>
      </c>
      <c r="X475" s="18"/>
      <c r="Y475" s="18">
        <v>1.8</v>
      </c>
      <c r="Z475" s="18">
        <v>9.9</v>
      </c>
      <c r="AA475" s="18">
        <v>5.8011049723756907</v>
      </c>
      <c r="AB475" s="18" t="s">
        <v>217</v>
      </c>
      <c r="AC475" s="18">
        <v>15</v>
      </c>
      <c r="AD475" s="18">
        <v>3.4</v>
      </c>
      <c r="AE475" s="18">
        <v>4.5</v>
      </c>
      <c r="AF475" s="18">
        <v>160.00000000000003</v>
      </c>
      <c r="AG475" s="18">
        <v>10.000000000000002</v>
      </c>
      <c r="AH475" s="18">
        <v>99</v>
      </c>
      <c r="AI475" s="18">
        <v>64</v>
      </c>
      <c r="AJ475" s="18">
        <v>0</v>
      </c>
      <c r="AK475" s="18">
        <v>0</v>
      </c>
      <c r="AL475" s="18"/>
      <c r="AM475" s="18">
        <v>2.7988058428403901</v>
      </c>
      <c r="AN475" s="18">
        <v>1.39940292142019</v>
      </c>
      <c r="AO475" s="18">
        <v>1.9991470306002801</v>
      </c>
      <c r="AP475" s="18">
        <v>3.1319970146071001</v>
      </c>
      <c r="AQ475" s="18">
        <v>1.2661264527135101</v>
      </c>
      <c r="AR475" s="18">
        <v>2.99872054590042</v>
      </c>
      <c r="AS475" s="18">
        <v>6.1307175605075201</v>
      </c>
      <c r="AT475" s="18">
        <v>2.3989764367203299</v>
      </c>
      <c r="AU475" s="18">
        <v>3.9316558268472099</v>
      </c>
      <c r="AV475" s="18">
        <v>2.4656146710736699</v>
      </c>
      <c r="AW475" s="18">
        <v>4.4647617016739503</v>
      </c>
      <c r="AX475" s="18"/>
      <c r="AY475" s="18">
        <v>1</v>
      </c>
      <c r="AZ475" s="18">
        <v>1.1100000000000001</v>
      </c>
      <c r="BA475" s="18">
        <v>1.07</v>
      </c>
      <c r="BB475" s="18">
        <v>1.03</v>
      </c>
      <c r="BC475" s="18">
        <v>1.07</v>
      </c>
      <c r="BD475" s="18">
        <v>1.08</v>
      </c>
      <c r="BE475" s="18">
        <v>1.08</v>
      </c>
      <c r="BF475" s="18">
        <v>1.07</v>
      </c>
      <c r="BG475" s="18">
        <v>1.08</v>
      </c>
      <c r="BH475" s="18">
        <v>1.1000000000000001</v>
      </c>
      <c r="BI475" s="18">
        <v>1.05</v>
      </c>
      <c r="BJ475" s="19"/>
      <c r="BK475" s="18">
        <v>16.599999999999998</v>
      </c>
      <c r="BL475" s="18">
        <v>5.1000000000000005</v>
      </c>
      <c r="BM475" s="18">
        <v>6.9</v>
      </c>
      <c r="BN475" s="18">
        <v>5.7585825027685527</v>
      </c>
      <c r="BO475" s="18"/>
      <c r="BP475" s="18">
        <v>105</v>
      </c>
      <c r="BQ475" s="18">
        <v>53.55</v>
      </c>
      <c r="BR475" s="18">
        <v>0.93434451219512271</v>
      </c>
      <c r="BS475" s="18">
        <v>0.98217291948051932</v>
      </c>
      <c r="BT475" s="19"/>
      <c r="BU475" s="18">
        <v>931</v>
      </c>
      <c r="BV475" s="18">
        <v>351.02100000000002</v>
      </c>
      <c r="BW475" s="18">
        <v>138.32</v>
      </c>
      <c r="BX475" s="18">
        <v>276.54867256637237</v>
      </c>
      <c r="BY475" s="18">
        <v>33.185840707964644</v>
      </c>
      <c r="BZ475" s="18">
        <v>21.08154</v>
      </c>
      <c r="CA475" s="18">
        <v>330.27746000000002</v>
      </c>
      <c r="CB475" s="19"/>
      <c r="CC475" s="19">
        <v>1.629</v>
      </c>
      <c r="CD475" s="19">
        <v>8.9595000000000002</v>
      </c>
      <c r="CE475" s="19">
        <v>5.25</v>
      </c>
      <c r="CF475" s="19" t="s">
        <v>217</v>
      </c>
      <c r="CG475" s="19">
        <v>13.575000000000001</v>
      </c>
      <c r="CH475" s="19">
        <v>3.077</v>
      </c>
      <c r="CI475" s="19">
        <v>4.0724999999999998</v>
      </c>
      <c r="CJ475" s="19"/>
      <c r="CK475" s="19">
        <v>144.80000000000004</v>
      </c>
      <c r="CL475" s="19">
        <v>9.0500000000000025</v>
      </c>
      <c r="CM475" s="19">
        <v>89.594999999999999</v>
      </c>
      <c r="CN475" s="19">
        <v>57.92</v>
      </c>
      <c r="CO475" s="19">
        <v>0</v>
      </c>
      <c r="CP475" s="19">
        <v>0</v>
      </c>
      <c r="CQ475" s="19">
        <v>102.07906413000001</v>
      </c>
      <c r="CR475" s="19">
        <v>120.72050997014333</v>
      </c>
      <c r="HM475" s="620">
        <f t="shared" ref="HM475:HU475" si="330">HM105</f>
        <v>0.47300000000000003</v>
      </c>
      <c r="HN475" s="620">
        <f t="shared" si="330"/>
        <v>0.13</v>
      </c>
      <c r="HO475" s="620">
        <f t="shared" si="330"/>
        <v>0.39100000000000001</v>
      </c>
      <c r="HP475" s="620">
        <f t="shared" si="330"/>
        <v>5.5E-2</v>
      </c>
      <c r="HQ475" s="620">
        <f t="shared" si="330"/>
        <v>3.97</v>
      </c>
      <c r="HR475" s="620">
        <f t="shared" si="330"/>
        <v>4.5999999999999999E-3</v>
      </c>
      <c r="HS475" s="620">
        <f t="shared" si="330"/>
        <v>2.73</v>
      </c>
      <c r="HT475" s="620" t="str">
        <f t="shared" si="330"/>
        <v>as barley</v>
      </c>
      <c r="HU475" s="620" t="str">
        <f t="shared" si="330"/>
        <v>offfarm</v>
      </c>
      <c r="HV475" s="22" t="s">
        <v>2031</v>
      </c>
      <c r="IB475" s="11">
        <f t="shared" ref="IB475:II475" si="331">IB105</f>
        <v>0.47300000000000003</v>
      </c>
      <c r="IC475" s="11">
        <f t="shared" si="331"/>
        <v>0.13</v>
      </c>
      <c r="ID475" s="11">
        <f t="shared" si="331"/>
        <v>0.39100000000000001</v>
      </c>
      <c r="IE475" s="11">
        <f t="shared" si="331"/>
        <v>5.5E-2</v>
      </c>
      <c r="IF475" s="11">
        <f t="shared" si="331"/>
        <v>3.97</v>
      </c>
      <c r="IG475" s="11">
        <f t="shared" si="331"/>
        <v>4.5999999999999999E-3</v>
      </c>
      <c r="IH475" s="11">
        <f t="shared" si="331"/>
        <v>2.73</v>
      </c>
      <c r="II475" s="11" t="str">
        <f t="shared" si="331"/>
        <v>as barley</v>
      </c>
    </row>
    <row r="476" spans="4:244" x14ac:dyDescent="0.25">
      <c r="D476" s="20" t="s">
        <v>1102</v>
      </c>
      <c r="E476" s="14">
        <v>42695</v>
      </c>
      <c r="F476" s="18">
        <v>0.63203029376720599</v>
      </c>
      <c r="G476" s="18">
        <v>0.70147547631317198</v>
      </c>
      <c r="H476" s="21">
        <v>62.2</v>
      </c>
      <c r="I476" s="21">
        <v>52.299999200000002</v>
      </c>
      <c r="J476" s="21">
        <v>83</v>
      </c>
      <c r="K476" s="18">
        <v>1</v>
      </c>
      <c r="L476" s="18">
        <v>87.3</v>
      </c>
      <c r="M476" s="18">
        <v>14.4918</v>
      </c>
      <c r="N476" s="18">
        <v>4.1031000000000004</v>
      </c>
      <c r="O476" s="18">
        <v>4.9760999999999997</v>
      </c>
      <c r="P476" s="18">
        <v>8.6426999999999996</v>
      </c>
      <c r="Q476" s="19"/>
      <c r="R476" s="18">
        <v>62.714496729776201</v>
      </c>
      <c r="S476" s="18">
        <v>20</v>
      </c>
      <c r="T476" s="18">
        <v>37</v>
      </c>
      <c r="U476" s="18">
        <v>44</v>
      </c>
      <c r="V476" s="18">
        <v>50</v>
      </c>
      <c r="W476" s="18">
        <v>54</v>
      </c>
      <c r="X476" s="18"/>
      <c r="Y476" s="18">
        <v>3.3</v>
      </c>
      <c r="Z476" s="18">
        <v>9.6000000000000014</v>
      </c>
      <c r="AA476" s="18">
        <v>0.1</v>
      </c>
      <c r="AB476" s="18">
        <v>0</v>
      </c>
      <c r="AC476" s="18">
        <v>15</v>
      </c>
      <c r="AD476" s="18">
        <v>4.5</v>
      </c>
      <c r="AE476" s="18">
        <v>1.9000000000000001</v>
      </c>
      <c r="AF476" s="18">
        <v>185</v>
      </c>
      <c r="AG476" s="18">
        <v>12.000000000000002</v>
      </c>
      <c r="AH476" s="18">
        <v>111.00000000000001</v>
      </c>
      <c r="AI476" s="18">
        <v>89.000000000000014</v>
      </c>
      <c r="AJ476" s="18">
        <v>0</v>
      </c>
      <c r="AK476" s="18">
        <v>0.05</v>
      </c>
      <c r="AL476" s="18"/>
      <c r="AM476" s="18">
        <v>3.9</v>
      </c>
      <c r="AN476" s="18">
        <v>1.6</v>
      </c>
      <c r="AO476" s="18">
        <v>2</v>
      </c>
      <c r="AP476" s="18">
        <v>3.29</v>
      </c>
      <c r="AQ476" s="18">
        <v>1.4</v>
      </c>
      <c r="AR476" s="18">
        <v>3.29</v>
      </c>
      <c r="AS476" s="18">
        <v>6.19</v>
      </c>
      <c r="AT476" s="18">
        <v>2.59</v>
      </c>
      <c r="AU476" s="18">
        <v>3.89</v>
      </c>
      <c r="AV476" s="18">
        <v>2.81</v>
      </c>
      <c r="AW476" s="18">
        <v>4.79</v>
      </c>
      <c r="AX476" s="18"/>
      <c r="AY476" s="18">
        <v>1</v>
      </c>
      <c r="AZ476" s="18">
        <v>1.1000000000000001</v>
      </c>
      <c r="BA476" s="18">
        <v>1.04</v>
      </c>
      <c r="BB476" s="18">
        <v>1.03</v>
      </c>
      <c r="BC476" s="18">
        <v>1.04</v>
      </c>
      <c r="BD476" s="18">
        <v>1.07</v>
      </c>
      <c r="BE476" s="18">
        <v>1.08</v>
      </c>
      <c r="BF476" s="18">
        <v>1.1499999999999999</v>
      </c>
      <c r="BG476" s="18">
        <v>1.1299999999999999</v>
      </c>
      <c r="BH476" s="18">
        <v>1.1399999999999999</v>
      </c>
      <c r="BI476" s="18">
        <v>1.04</v>
      </c>
      <c r="BJ476" s="19"/>
      <c r="BK476" s="18">
        <v>16.600000000000001</v>
      </c>
      <c r="BL476" s="18">
        <v>4.7000000000000011</v>
      </c>
      <c r="BM476" s="18">
        <v>5.6999999999999993</v>
      </c>
      <c r="BN476" s="18">
        <v>9.9</v>
      </c>
      <c r="BO476" s="18"/>
      <c r="BP476" s="18">
        <v>105</v>
      </c>
      <c r="BQ476" s="18">
        <v>49.35</v>
      </c>
      <c r="BR476" s="18">
        <v>0.72397513604490948</v>
      </c>
      <c r="BS476" s="18">
        <v>0.80352288237476743</v>
      </c>
      <c r="BT476" s="19"/>
      <c r="BU476" s="18">
        <v>943.00000000000011</v>
      </c>
      <c r="BV476" s="18">
        <v>256.52885714285685</v>
      </c>
      <c r="BW476" s="18">
        <v>133.36715363428638</v>
      </c>
      <c r="BX476" s="18">
        <v>220</v>
      </c>
      <c r="BY476" s="18">
        <v>37.000000000000007</v>
      </c>
      <c r="BZ476" s="18">
        <v>27.611468571428638</v>
      </c>
      <c r="CA476" s="18">
        <v>432.57967428571368</v>
      </c>
      <c r="CB476" s="19"/>
      <c r="CC476" s="19">
        <v>2.8809</v>
      </c>
      <c r="CD476" s="19">
        <v>8.3808000000000007</v>
      </c>
      <c r="CE476" s="19">
        <v>8.7300000000000003E-2</v>
      </c>
      <c r="CF476" s="19">
        <v>0</v>
      </c>
      <c r="CG476" s="19">
        <v>13.095000000000001</v>
      </c>
      <c r="CH476" s="19">
        <v>3.9285000000000001</v>
      </c>
      <c r="CI476" s="19">
        <v>1.6587000000000001</v>
      </c>
      <c r="CJ476" s="19"/>
      <c r="CK476" s="19">
        <v>161.505</v>
      </c>
      <c r="CL476" s="19">
        <v>10.476000000000001</v>
      </c>
      <c r="CM476" s="19">
        <v>96.903000000000006</v>
      </c>
      <c r="CN476" s="19">
        <v>77.697000000000017</v>
      </c>
      <c r="CO476" s="19">
        <v>0</v>
      </c>
      <c r="CP476" s="19">
        <v>4.3650000000000001E-2</v>
      </c>
      <c r="CQ476" s="19">
        <v>90.884594370857499</v>
      </c>
      <c r="CR476" s="19">
        <v>143.79784524115354</v>
      </c>
      <c r="HM476" s="620">
        <f t="shared" ref="HM476:HU476" si="332">HM106</f>
        <v>0.47300000000000003</v>
      </c>
      <c r="HN476" s="620">
        <f t="shared" si="332"/>
        <v>0.13</v>
      </c>
      <c r="HO476" s="620">
        <f t="shared" si="332"/>
        <v>0.39100000000000001</v>
      </c>
      <c r="HP476" s="620">
        <f t="shared" si="332"/>
        <v>5.5E-2</v>
      </c>
      <c r="HQ476" s="620">
        <f t="shared" si="332"/>
        <v>3.97</v>
      </c>
      <c r="HR476" s="620">
        <f t="shared" si="332"/>
        <v>4.5999999999999999E-3</v>
      </c>
      <c r="HS476" s="620">
        <f t="shared" si="332"/>
        <v>2.73</v>
      </c>
      <c r="HT476" s="620" t="str">
        <f t="shared" si="332"/>
        <v>as barley</v>
      </c>
      <c r="HU476" s="620" t="str">
        <f t="shared" si="332"/>
        <v>offfarm</v>
      </c>
      <c r="HV476" s="22" t="s">
        <v>2032</v>
      </c>
      <c r="IB476" s="11">
        <f t="shared" ref="IB476:II476" si="333">IB106</f>
        <v>0.47300000000000003</v>
      </c>
      <c r="IC476" s="11">
        <f t="shared" si="333"/>
        <v>0.13</v>
      </c>
      <c r="ID476" s="11">
        <f t="shared" si="333"/>
        <v>0.39100000000000001</v>
      </c>
      <c r="IE476" s="11">
        <f t="shared" si="333"/>
        <v>5.5E-2</v>
      </c>
      <c r="IF476" s="11">
        <f t="shared" si="333"/>
        <v>3.97</v>
      </c>
      <c r="IG476" s="11">
        <f t="shared" si="333"/>
        <v>4.5999999999999999E-3</v>
      </c>
      <c r="IH476" s="11">
        <f t="shared" si="333"/>
        <v>2.73</v>
      </c>
      <c r="II476" s="11" t="str">
        <f t="shared" si="333"/>
        <v>as barley</v>
      </c>
    </row>
    <row r="477" spans="4:244" x14ac:dyDescent="0.25">
      <c r="D477" s="20" t="s">
        <v>1103</v>
      </c>
      <c r="E477" s="14">
        <v>42695</v>
      </c>
      <c r="F477" s="18">
        <v>0.63561593433849095</v>
      </c>
      <c r="G477" s="18">
        <v>0.70399559570092796</v>
      </c>
      <c r="H477" s="21">
        <v>62.2</v>
      </c>
      <c r="I477" s="21">
        <v>52.599989800000003</v>
      </c>
      <c r="J477" s="21">
        <v>83</v>
      </c>
      <c r="K477" s="18">
        <v>1</v>
      </c>
      <c r="L477" s="18">
        <v>87.3</v>
      </c>
      <c r="M477" s="18">
        <v>14.4918</v>
      </c>
      <c r="N477" s="18">
        <v>4.1031000000000004</v>
      </c>
      <c r="O477" s="18">
        <v>4.9760999999999997</v>
      </c>
      <c r="P477" s="18">
        <v>8.6426999999999996</v>
      </c>
      <c r="Q477" s="19"/>
      <c r="R477" s="18">
        <v>62.875180034423401</v>
      </c>
      <c r="S477" s="18">
        <v>20</v>
      </c>
      <c r="T477" s="18">
        <v>37</v>
      </c>
      <c r="U477" s="18">
        <v>44</v>
      </c>
      <c r="V477" s="18">
        <v>50</v>
      </c>
      <c r="W477" s="18">
        <v>54</v>
      </c>
      <c r="X477" s="18"/>
      <c r="Y477" s="18">
        <v>3.3</v>
      </c>
      <c r="Z477" s="18">
        <v>9.6000000000000014</v>
      </c>
      <c r="AA477" s="18">
        <v>0.1</v>
      </c>
      <c r="AB477" s="18">
        <v>0</v>
      </c>
      <c r="AC477" s="18">
        <v>15</v>
      </c>
      <c r="AD477" s="18">
        <v>4.5</v>
      </c>
      <c r="AE477" s="18">
        <v>1.9000000000000001</v>
      </c>
      <c r="AF477" s="18">
        <v>185</v>
      </c>
      <c r="AG477" s="18">
        <v>12.000000000000002</v>
      </c>
      <c r="AH477" s="18">
        <v>111.00000000000001</v>
      </c>
      <c r="AI477" s="18">
        <v>89.000000000000014</v>
      </c>
      <c r="AJ477" s="18">
        <v>0</v>
      </c>
      <c r="AK477" s="18">
        <v>0.05</v>
      </c>
      <c r="AL477" s="18"/>
      <c r="AM477" s="18">
        <v>3.9</v>
      </c>
      <c r="AN477" s="18">
        <v>1.6</v>
      </c>
      <c r="AO477" s="18">
        <v>2</v>
      </c>
      <c r="AP477" s="18">
        <v>3.29</v>
      </c>
      <c r="AQ477" s="18">
        <v>1.4</v>
      </c>
      <c r="AR477" s="18">
        <v>3.29</v>
      </c>
      <c r="AS477" s="18">
        <v>6.19</v>
      </c>
      <c r="AT477" s="18">
        <v>2.59</v>
      </c>
      <c r="AU477" s="18">
        <v>3.89</v>
      </c>
      <c r="AV477" s="18">
        <v>2.81</v>
      </c>
      <c r="AW477" s="18">
        <v>4.79</v>
      </c>
      <c r="AX477" s="18"/>
      <c r="AY477" s="18">
        <v>1</v>
      </c>
      <c r="AZ477" s="18">
        <v>1.1000000000000001</v>
      </c>
      <c r="BA477" s="18">
        <v>1.04</v>
      </c>
      <c r="BB477" s="18">
        <v>1.03</v>
      </c>
      <c r="BC477" s="18">
        <v>1.04</v>
      </c>
      <c r="BD477" s="18">
        <v>1.07</v>
      </c>
      <c r="BE477" s="18">
        <v>1.08</v>
      </c>
      <c r="BF477" s="18">
        <v>1.1499999999999999</v>
      </c>
      <c r="BG477" s="18">
        <v>1.1299999999999999</v>
      </c>
      <c r="BH477" s="18">
        <v>1.1399999999999999</v>
      </c>
      <c r="BI477" s="18">
        <v>1.04</v>
      </c>
      <c r="BJ477" s="19"/>
      <c r="BK477" s="18">
        <v>16.600000000000001</v>
      </c>
      <c r="BL477" s="18">
        <v>4.7000000000000011</v>
      </c>
      <c r="BM477" s="18">
        <v>5.6999999999999993</v>
      </c>
      <c r="BN477" s="18">
        <v>9.9</v>
      </c>
      <c r="BO477" s="18"/>
      <c r="BP477" s="18">
        <v>105</v>
      </c>
      <c r="BQ477" s="18">
        <v>49.35</v>
      </c>
      <c r="BR477" s="18">
        <v>0.72808239901316263</v>
      </c>
      <c r="BS477" s="18">
        <v>0.806409617068646</v>
      </c>
      <c r="BT477" s="19"/>
      <c r="BU477" s="18">
        <v>943.00000000000011</v>
      </c>
      <c r="BV477" s="18">
        <v>260.5702857142864</v>
      </c>
      <c r="BW477" s="18">
        <v>129.32585169428637</v>
      </c>
      <c r="BX477" s="18">
        <v>220</v>
      </c>
      <c r="BY477" s="18">
        <v>37.000000000000007</v>
      </c>
      <c r="BZ477" s="18">
        <v>27.368982857142839</v>
      </c>
      <c r="CA477" s="18">
        <v>428.78073142857045</v>
      </c>
      <c r="CB477" s="19"/>
      <c r="CC477" s="19">
        <v>2.8809</v>
      </c>
      <c r="CD477" s="19">
        <v>8.3808000000000007</v>
      </c>
      <c r="CE477" s="19">
        <v>8.7300000000000003E-2</v>
      </c>
      <c r="CF477" s="19">
        <v>0</v>
      </c>
      <c r="CG477" s="19">
        <v>13.095000000000001</v>
      </c>
      <c r="CH477" s="19">
        <v>3.9285000000000001</v>
      </c>
      <c r="CI477" s="19">
        <v>1.6587000000000001</v>
      </c>
      <c r="CJ477" s="19"/>
      <c r="CK477" s="19">
        <v>161.505</v>
      </c>
      <c r="CL477" s="19">
        <v>10.476000000000001</v>
      </c>
      <c r="CM477" s="19">
        <v>96.903000000000006</v>
      </c>
      <c r="CN477" s="19">
        <v>77.697000000000017</v>
      </c>
      <c r="CO477" s="19">
        <v>0</v>
      </c>
      <c r="CP477" s="19">
        <v>4.3650000000000001E-2</v>
      </c>
      <c r="CQ477" s="19">
        <v>91.117453402285804</v>
      </c>
      <c r="CR477" s="19">
        <v>143.35300372404149</v>
      </c>
      <c r="HM477" s="620">
        <f t="shared" ref="HM477:HU477" si="334">HM107</f>
        <v>0.47300000000000003</v>
      </c>
      <c r="HN477" s="620">
        <f t="shared" si="334"/>
        <v>0.13</v>
      </c>
      <c r="HO477" s="620">
        <f t="shared" si="334"/>
        <v>0.39100000000000001</v>
      </c>
      <c r="HP477" s="620">
        <f t="shared" si="334"/>
        <v>5.5E-2</v>
      </c>
      <c r="HQ477" s="620">
        <f t="shared" si="334"/>
        <v>3.97</v>
      </c>
      <c r="HR477" s="620">
        <f t="shared" si="334"/>
        <v>4.5999999999999999E-3</v>
      </c>
      <c r="HS477" s="620">
        <f t="shared" si="334"/>
        <v>2.73</v>
      </c>
      <c r="HT477" s="620" t="str">
        <f t="shared" si="334"/>
        <v>as barley</v>
      </c>
      <c r="HU477" s="620" t="str">
        <f t="shared" si="334"/>
        <v>offfarm</v>
      </c>
      <c r="HV477" s="22" t="s">
        <v>2033</v>
      </c>
      <c r="IB477" s="11">
        <f t="shared" ref="IB477:II477" si="335">IB107</f>
        <v>0.47300000000000003</v>
      </c>
      <c r="IC477" s="11">
        <f t="shared" si="335"/>
        <v>0.13</v>
      </c>
      <c r="ID477" s="11">
        <f t="shared" si="335"/>
        <v>0.39100000000000001</v>
      </c>
      <c r="IE477" s="11">
        <f t="shared" si="335"/>
        <v>5.5E-2</v>
      </c>
      <c r="IF477" s="11">
        <f t="shared" si="335"/>
        <v>3.97</v>
      </c>
      <c r="IG477" s="11">
        <f t="shared" si="335"/>
        <v>4.5999999999999999E-3</v>
      </c>
      <c r="IH477" s="11">
        <f t="shared" si="335"/>
        <v>2.73</v>
      </c>
      <c r="II477" s="11" t="str">
        <f t="shared" si="335"/>
        <v>as barley</v>
      </c>
    </row>
    <row r="478" spans="4:244" x14ac:dyDescent="0.25">
      <c r="D478" s="20" t="s">
        <v>1104</v>
      </c>
      <c r="E478" s="14">
        <v>42695</v>
      </c>
      <c r="F478" s="18">
        <v>0.72713916535036804</v>
      </c>
      <c r="G478" s="18">
        <v>0.79028389877699401</v>
      </c>
      <c r="H478" s="21">
        <v>68.8</v>
      </c>
      <c r="I478" s="21">
        <v>56.3</v>
      </c>
      <c r="J478" s="21">
        <v>88</v>
      </c>
      <c r="K478" s="18">
        <v>1</v>
      </c>
      <c r="L478" s="18">
        <v>88.1</v>
      </c>
      <c r="M478" s="18">
        <v>17.179500000000001</v>
      </c>
      <c r="N478" s="18">
        <v>4.8455000000000004</v>
      </c>
      <c r="O478" s="18">
        <v>4.7573999999999996</v>
      </c>
      <c r="P478" s="18">
        <v>6.4512581740000003</v>
      </c>
      <c r="Q478" s="19"/>
      <c r="R478" s="18">
        <v>71.614042197802206</v>
      </c>
      <c r="S478" s="18">
        <v>20</v>
      </c>
      <c r="T478" s="18">
        <v>37</v>
      </c>
      <c r="U478" s="18">
        <v>44</v>
      </c>
      <c r="V478" s="18">
        <v>50</v>
      </c>
      <c r="W478" s="18">
        <v>54</v>
      </c>
      <c r="X478" s="18"/>
      <c r="Y478" s="18">
        <v>0.90000000000000013</v>
      </c>
      <c r="Z478" s="18">
        <v>11.900000000000002</v>
      </c>
      <c r="AA478" s="18">
        <v>0.1</v>
      </c>
      <c r="AB478" s="18">
        <v>0</v>
      </c>
      <c r="AC478" s="18">
        <v>13</v>
      </c>
      <c r="AD478" s="18">
        <v>4.2000000000000011</v>
      </c>
      <c r="AE478" s="18">
        <v>2.2000000000000002</v>
      </c>
      <c r="AF478" s="18">
        <v>150</v>
      </c>
      <c r="AG478" s="18">
        <v>13</v>
      </c>
      <c r="AH478" s="18">
        <v>145</v>
      </c>
      <c r="AI478" s="18">
        <v>106.00000000000001</v>
      </c>
      <c r="AJ478" s="18">
        <v>0</v>
      </c>
      <c r="AK478" s="18">
        <v>7.0000000000000007E-2</v>
      </c>
      <c r="AL478" s="18"/>
      <c r="AM478" s="18">
        <v>3.9000000000000101</v>
      </c>
      <c r="AN478" s="18">
        <v>1.6</v>
      </c>
      <c r="AO478" s="18">
        <v>2.0000000000000102</v>
      </c>
      <c r="AP478" s="18">
        <v>3.3</v>
      </c>
      <c r="AQ478" s="18">
        <v>1.41</v>
      </c>
      <c r="AR478" s="18">
        <v>3.3</v>
      </c>
      <c r="AS478" s="18">
        <v>6.2100000000000204</v>
      </c>
      <c r="AT478" s="18">
        <v>2.59</v>
      </c>
      <c r="AU478" s="18">
        <v>3.9100000000000099</v>
      </c>
      <c r="AV478" s="18">
        <v>2.8</v>
      </c>
      <c r="AW478" s="18">
        <v>4.8100000000000103</v>
      </c>
      <c r="AX478" s="18"/>
      <c r="AY478" s="18">
        <v>1.01</v>
      </c>
      <c r="AZ478" s="18">
        <v>1.0900000000000001</v>
      </c>
      <c r="BA478" s="18">
        <v>1.05</v>
      </c>
      <c r="BB478" s="18">
        <v>0.94</v>
      </c>
      <c r="BC478" s="18">
        <v>1.1399999999999999</v>
      </c>
      <c r="BD478" s="18">
        <v>1.05</v>
      </c>
      <c r="BE478" s="18">
        <v>1.03</v>
      </c>
      <c r="BF478" s="18">
        <v>1.0900000000000001</v>
      </c>
      <c r="BG478" s="18">
        <v>1.1000000000000001</v>
      </c>
      <c r="BH478" s="18">
        <v>1.04</v>
      </c>
      <c r="BI478" s="18">
        <v>1.03</v>
      </c>
      <c r="BJ478" s="19"/>
      <c r="BK478" s="18">
        <v>19.5</v>
      </c>
      <c r="BL478" s="18">
        <v>5.5000000000000009</v>
      </c>
      <c r="BM478" s="18">
        <v>5.3999999999999995</v>
      </c>
      <c r="BN478" s="18">
        <v>7.3226540000000009</v>
      </c>
      <c r="BO478" s="18"/>
      <c r="BP478" s="18">
        <v>105</v>
      </c>
      <c r="BQ478" s="18">
        <v>57.75</v>
      </c>
      <c r="BR478" s="18">
        <v>0.82535660085172313</v>
      </c>
      <c r="BS478" s="18">
        <v>0.89703053209647443</v>
      </c>
      <c r="BT478" s="19"/>
      <c r="BU478" s="18">
        <v>946.00000000000011</v>
      </c>
      <c r="BV478" s="18">
        <v>251.11942857142907</v>
      </c>
      <c r="BW478" s="18">
        <v>168.92857142857093</v>
      </c>
      <c r="BX478" s="18" t="s">
        <v>217</v>
      </c>
      <c r="BY478" s="18" t="s">
        <v>217</v>
      </c>
      <c r="BZ478" s="18">
        <v>26.341834285714306</v>
      </c>
      <c r="CA478" s="18">
        <v>412.68873714285701</v>
      </c>
      <c r="CB478" s="19"/>
      <c r="CC478" s="19">
        <v>0.79290000000000005</v>
      </c>
      <c r="CD478" s="19">
        <v>10.4839</v>
      </c>
      <c r="CE478" s="19">
        <v>8.8099999999999998E-2</v>
      </c>
      <c r="CF478" s="19">
        <v>0</v>
      </c>
      <c r="CG478" s="19">
        <v>11.452999999999999</v>
      </c>
      <c r="CH478" s="19">
        <v>3.7002000000000006</v>
      </c>
      <c r="CI478" s="19">
        <v>1.9381999999999999</v>
      </c>
      <c r="CJ478" s="19"/>
      <c r="CK478" s="19">
        <v>132.14999999999998</v>
      </c>
      <c r="CL478" s="19">
        <v>11.452999999999999</v>
      </c>
      <c r="CM478" s="19">
        <v>127.74499999999999</v>
      </c>
      <c r="CN478" s="19">
        <v>93.385999999999996</v>
      </c>
      <c r="CO478" s="19">
        <v>0</v>
      </c>
      <c r="CP478" s="19">
        <v>6.1669999999999996E-2</v>
      </c>
      <c r="CQ478" s="19">
        <v>123.02934379371401</v>
      </c>
      <c r="CR478" s="19">
        <v>169.19642024017918</v>
      </c>
      <c r="HM478" s="620">
        <f t="shared" ref="HM478:HU478" si="336">HM108</f>
        <v>0.47300000000000003</v>
      </c>
      <c r="HN478" s="620">
        <f t="shared" si="336"/>
        <v>0.13</v>
      </c>
      <c r="HO478" s="620">
        <f t="shared" si="336"/>
        <v>0.39100000000000001</v>
      </c>
      <c r="HP478" s="620">
        <f t="shared" si="336"/>
        <v>5.5E-2</v>
      </c>
      <c r="HQ478" s="620">
        <f t="shared" si="336"/>
        <v>3.97</v>
      </c>
      <c r="HR478" s="620">
        <f t="shared" si="336"/>
        <v>4.5999999999999999E-3</v>
      </c>
      <c r="HS478" s="620">
        <f t="shared" si="336"/>
        <v>2.73</v>
      </c>
      <c r="HT478" s="620" t="str">
        <f t="shared" si="336"/>
        <v>as barley</v>
      </c>
      <c r="HU478" s="620" t="str">
        <f t="shared" si="336"/>
        <v>offfarm</v>
      </c>
      <c r="HV478" s="22" t="s">
        <v>2034</v>
      </c>
      <c r="IB478" s="11">
        <f t="shared" ref="IB478:II478" si="337">IB108</f>
        <v>0.47300000000000003</v>
      </c>
      <c r="IC478" s="11">
        <f t="shared" si="337"/>
        <v>0.13</v>
      </c>
      <c r="ID478" s="11">
        <f t="shared" si="337"/>
        <v>0.39100000000000001</v>
      </c>
      <c r="IE478" s="11">
        <f t="shared" si="337"/>
        <v>5.5E-2</v>
      </c>
      <c r="IF478" s="11">
        <f t="shared" si="337"/>
        <v>3.97</v>
      </c>
      <c r="IG478" s="11">
        <f t="shared" si="337"/>
        <v>4.5999999999999999E-3</v>
      </c>
      <c r="IH478" s="11">
        <f t="shared" si="337"/>
        <v>2.73</v>
      </c>
      <c r="II478" s="11" t="str">
        <f t="shared" si="337"/>
        <v>as barley</v>
      </c>
    </row>
    <row r="479" spans="4:244" x14ac:dyDescent="0.25">
      <c r="D479" s="20" t="s">
        <v>1105</v>
      </c>
      <c r="E479" s="14">
        <v>41533</v>
      </c>
      <c r="F479" s="18">
        <v>1.82963163917925</v>
      </c>
      <c r="G479" s="18">
        <v>1.8098179754508299</v>
      </c>
      <c r="H479" s="21">
        <v>88.6</v>
      </c>
      <c r="I479" s="21">
        <v>77.8</v>
      </c>
      <c r="J479" s="21">
        <v>93</v>
      </c>
      <c r="K479" s="18">
        <v>1</v>
      </c>
      <c r="L479" s="18">
        <v>92</v>
      </c>
      <c r="M479" s="18">
        <v>21.896000000000001</v>
      </c>
      <c r="N479" s="18">
        <v>35.880000000000003</v>
      </c>
      <c r="O479" s="18">
        <v>4.2320000000000002</v>
      </c>
      <c r="P479" s="18">
        <v>6.9</v>
      </c>
      <c r="Q479" s="19"/>
      <c r="R479" s="18">
        <v>75</v>
      </c>
      <c r="S479" s="18">
        <v>12</v>
      </c>
      <c r="T479" s="18">
        <v>12</v>
      </c>
      <c r="U479" s="18">
        <v>12</v>
      </c>
      <c r="V479" s="18">
        <v>12</v>
      </c>
      <c r="W479" s="18">
        <v>12</v>
      </c>
      <c r="X479" s="18"/>
      <c r="Y479" s="18">
        <v>2.6</v>
      </c>
      <c r="Z479" s="18">
        <v>5.7</v>
      </c>
      <c r="AA479" s="18">
        <v>0.39999999999999997</v>
      </c>
      <c r="AB479" s="18">
        <v>0</v>
      </c>
      <c r="AC479" s="18">
        <v>8.9</v>
      </c>
      <c r="AD479" s="18">
        <v>4.0999999999999996</v>
      </c>
      <c r="AE479" s="18">
        <v>2.5</v>
      </c>
      <c r="AF479" s="18">
        <v>75</v>
      </c>
      <c r="AG479" s="18">
        <v>14</v>
      </c>
      <c r="AH479" s="18">
        <v>30</v>
      </c>
      <c r="AI479" s="18">
        <v>50</v>
      </c>
      <c r="AJ479" s="18">
        <v>0</v>
      </c>
      <c r="AK479" s="18">
        <v>0.35000000000000003</v>
      </c>
      <c r="AL479" s="18"/>
      <c r="AM479" s="18">
        <v>3.74</v>
      </c>
      <c r="AN479" s="18">
        <v>1.89</v>
      </c>
      <c r="AO479" s="18">
        <v>2.0699999999999998</v>
      </c>
      <c r="AP479" s="18">
        <v>3.51</v>
      </c>
      <c r="AQ479" s="18">
        <v>1.41</v>
      </c>
      <c r="AR479" s="18">
        <v>4.1399999999999997</v>
      </c>
      <c r="AS479" s="18">
        <v>5.77</v>
      </c>
      <c r="AT479" s="18">
        <v>2.06</v>
      </c>
      <c r="AU479" s="18">
        <v>4.37</v>
      </c>
      <c r="AV479" s="18">
        <v>2.36</v>
      </c>
      <c r="AW479" s="18">
        <v>5.08</v>
      </c>
      <c r="AX479" s="18"/>
      <c r="AY479" s="18">
        <v>1.0900000000000001</v>
      </c>
      <c r="AZ479" s="18">
        <v>1.1299999999999999</v>
      </c>
      <c r="BA479" s="18">
        <v>1.1299999999999999</v>
      </c>
      <c r="BB479" s="18">
        <v>1.05</v>
      </c>
      <c r="BC479" s="18">
        <v>1.1200000000000001</v>
      </c>
      <c r="BD479" s="18">
        <v>1.08</v>
      </c>
      <c r="BE479" s="18">
        <v>1.07</v>
      </c>
      <c r="BF479" s="18">
        <v>1.08</v>
      </c>
      <c r="BG479" s="18">
        <v>1.07</v>
      </c>
      <c r="BH479" s="18">
        <v>1</v>
      </c>
      <c r="BI479" s="18">
        <v>1.0900000000000001</v>
      </c>
      <c r="BJ479" s="19"/>
      <c r="BK479" s="18">
        <v>23.8</v>
      </c>
      <c r="BL479" s="18">
        <v>39</v>
      </c>
      <c r="BM479" s="18">
        <v>4.6000000000000005</v>
      </c>
      <c r="BN479" s="18">
        <v>7.5</v>
      </c>
      <c r="BO479" s="18"/>
      <c r="BP479" s="18">
        <v>190</v>
      </c>
      <c r="BQ479" s="18">
        <v>741</v>
      </c>
      <c r="BR479" s="18">
        <v>1.9887300425861414</v>
      </c>
      <c r="BS479" s="18">
        <v>1.9671934515769891</v>
      </c>
      <c r="BT479" s="19"/>
      <c r="BU479" s="18">
        <v>954</v>
      </c>
      <c r="BV479" s="18">
        <v>103.17542857142902</v>
      </c>
      <c r="BW479" s="18">
        <v>147.18857142857067</v>
      </c>
      <c r="BX479" s="18" t="s">
        <v>217</v>
      </c>
      <c r="BY479" s="18" t="s">
        <v>217</v>
      </c>
      <c r="BZ479" s="18">
        <v>138</v>
      </c>
      <c r="CA479" s="18">
        <v>283.99999999999994</v>
      </c>
      <c r="CB479" s="19"/>
      <c r="CC479" s="19">
        <v>2.3920000000000003</v>
      </c>
      <c r="CD479" s="19">
        <v>5.2440000000000007</v>
      </c>
      <c r="CE479" s="19">
        <v>0.36799999999999999</v>
      </c>
      <c r="CF479" s="19">
        <v>0</v>
      </c>
      <c r="CG479" s="19">
        <v>8.1880000000000006</v>
      </c>
      <c r="CH479" s="19">
        <v>3.7719999999999998</v>
      </c>
      <c r="CI479" s="19">
        <v>2.3000000000000003</v>
      </c>
      <c r="CJ479" s="19"/>
      <c r="CK479" s="19">
        <v>69</v>
      </c>
      <c r="CL479" s="19">
        <v>12.88</v>
      </c>
      <c r="CM479" s="19">
        <v>27.6</v>
      </c>
      <c r="CN479" s="19">
        <v>46</v>
      </c>
      <c r="CO479" s="19">
        <v>0</v>
      </c>
      <c r="CP479" s="19">
        <v>0.32200000000000006</v>
      </c>
      <c r="CQ479" s="19">
        <v>164.22</v>
      </c>
      <c r="CR479" s="19">
        <v>89.755771863273552</v>
      </c>
      <c r="HM479" s="620">
        <f t="shared" ref="HM479:HU479" si="338">HM109</f>
        <v>0</v>
      </c>
      <c r="HN479" s="620">
        <f t="shared" si="338"/>
        <v>0</v>
      </c>
      <c r="HO479" s="620">
        <f t="shared" si="338"/>
        <v>0</v>
      </c>
      <c r="HP479" s="620">
        <f t="shared" si="338"/>
        <v>0</v>
      </c>
      <c r="HQ479" s="620">
        <f t="shared" si="338"/>
        <v>0</v>
      </c>
      <c r="HR479" s="620">
        <f t="shared" si="338"/>
        <v>0</v>
      </c>
      <c r="HS479" s="620">
        <f t="shared" si="338"/>
        <v>0</v>
      </c>
      <c r="HT479" s="620">
        <f t="shared" si="338"/>
        <v>0</v>
      </c>
      <c r="HU479" s="620" t="str">
        <f t="shared" si="338"/>
        <v>offfarm</v>
      </c>
      <c r="HV479" s="22" t="s">
        <v>2035</v>
      </c>
      <c r="IB479" s="11">
        <f t="shared" ref="IB479:II479" si="339">IB109</f>
        <v>0.47300000000000003</v>
      </c>
      <c r="IC479" s="11">
        <f t="shared" si="339"/>
        <v>0.13</v>
      </c>
      <c r="ID479" s="11">
        <f t="shared" si="339"/>
        <v>0.39100000000000001</v>
      </c>
      <c r="IE479" s="11">
        <f t="shared" si="339"/>
        <v>5.5E-2</v>
      </c>
      <c r="IF479" s="11">
        <f t="shared" si="339"/>
        <v>3.97</v>
      </c>
      <c r="IG479" s="11">
        <f t="shared" si="339"/>
        <v>4.5999999999999999E-3</v>
      </c>
      <c r="IH479" s="11">
        <f t="shared" si="339"/>
        <v>2.73</v>
      </c>
      <c r="II479" s="11">
        <f t="shared" si="339"/>
        <v>0</v>
      </c>
    </row>
    <row r="480" spans="4:244" x14ac:dyDescent="0.25">
      <c r="D480" s="20" t="s">
        <v>1308</v>
      </c>
      <c r="E480" s="14">
        <v>40310</v>
      </c>
      <c r="F480" s="18">
        <v>1.1672371646341499</v>
      </c>
      <c r="G480" s="18">
        <v>1.1187286071428599</v>
      </c>
      <c r="H480" s="21">
        <v>100</v>
      </c>
      <c r="I480" s="21">
        <v>100</v>
      </c>
      <c r="J480" s="21">
        <v>100</v>
      </c>
      <c r="K480" s="18">
        <v>1</v>
      </c>
      <c r="L480" s="18">
        <v>99</v>
      </c>
      <c r="M480" s="18">
        <v>66.082499999999996</v>
      </c>
      <c r="N480" s="18">
        <v>0</v>
      </c>
      <c r="O480" s="18">
        <v>15.048</v>
      </c>
      <c r="P480" s="18">
        <v>0</v>
      </c>
      <c r="Q480" s="19"/>
      <c r="R480" s="18">
        <v>100</v>
      </c>
      <c r="S480" s="18">
        <v>0</v>
      </c>
      <c r="T480" s="18">
        <v>0</v>
      </c>
      <c r="U480" s="18">
        <v>0</v>
      </c>
      <c r="V480" s="18">
        <v>0</v>
      </c>
      <c r="W480" s="18">
        <v>0</v>
      </c>
      <c r="X480" s="18"/>
      <c r="Y480" s="18">
        <v>0</v>
      </c>
      <c r="Z480" s="18">
        <v>0</v>
      </c>
      <c r="AA480" s="18">
        <v>0</v>
      </c>
      <c r="AB480" s="18">
        <v>0</v>
      </c>
      <c r="AC480" s="18">
        <v>0</v>
      </c>
      <c r="AD480" s="18">
        <v>0</v>
      </c>
      <c r="AE480" s="18">
        <v>0</v>
      </c>
      <c r="AF480" s="18">
        <v>0</v>
      </c>
      <c r="AG480" s="18">
        <v>0</v>
      </c>
      <c r="AH480" s="18">
        <v>0</v>
      </c>
      <c r="AI480" s="18">
        <v>0</v>
      </c>
      <c r="AJ480" s="18">
        <v>0</v>
      </c>
      <c r="AK480" s="18">
        <v>0</v>
      </c>
      <c r="AL480" s="18"/>
      <c r="AM480" s="18">
        <v>0</v>
      </c>
      <c r="AN480" s="18">
        <v>0</v>
      </c>
      <c r="AO480" s="18">
        <v>0</v>
      </c>
      <c r="AP480" s="18">
        <v>0</v>
      </c>
      <c r="AQ480" s="18">
        <v>0</v>
      </c>
      <c r="AR480" s="18">
        <v>149.81273400000001</v>
      </c>
      <c r="AS480" s="18">
        <v>0</v>
      </c>
      <c r="AT480" s="18">
        <v>0</v>
      </c>
      <c r="AU480" s="18">
        <v>0</v>
      </c>
      <c r="AV480" s="18">
        <v>0</v>
      </c>
      <c r="AW480" s="18">
        <v>0</v>
      </c>
      <c r="AX480" s="18"/>
      <c r="AY480" s="18">
        <v>1</v>
      </c>
      <c r="AZ480" s="18">
        <v>1</v>
      </c>
      <c r="BA480" s="18">
        <v>1</v>
      </c>
      <c r="BB480" s="18">
        <v>1</v>
      </c>
      <c r="BC480" s="18">
        <v>1</v>
      </c>
      <c r="BD480" s="18">
        <v>1</v>
      </c>
      <c r="BE480" s="18">
        <v>1</v>
      </c>
      <c r="BF480" s="18">
        <v>1</v>
      </c>
      <c r="BG480" s="18">
        <v>1</v>
      </c>
      <c r="BH480" s="18">
        <v>1</v>
      </c>
      <c r="BI480" s="18">
        <v>1</v>
      </c>
      <c r="BJ480" s="19"/>
      <c r="BK480" s="18">
        <v>66.75</v>
      </c>
      <c r="BL480" s="18">
        <v>0</v>
      </c>
      <c r="BM480" s="18">
        <v>15.2</v>
      </c>
      <c r="BN480" s="18">
        <v>0</v>
      </c>
      <c r="BO480" s="18"/>
      <c r="BP480" s="18">
        <v>0</v>
      </c>
      <c r="BQ480" s="18">
        <v>0</v>
      </c>
      <c r="BR480" s="18">
        <v>1.179027439024394</v>
      </c>
      <c r="BS480" s="18">
        <v>1.1300288961038989</v>
      </c>
      <c r="BT480" s="19"/>
      <c r="BU480" s="18">
        <v>848</v>
      </c>
      <c r="BV480" s="18">
        <v>240.57500000000002</v>
      </c>
      <c r="BW480" s="18">
        <v>0</v>
      </c>
      <c r="BX480" s="18">
        <v>0</v>
      </c>
      <c r="BY480" s="18">
        <v>0</v>
      </c>
      <c r="BZ480" s="18" t="s">
        <v>217</v>
      </c>
      <c r="CA480" s="18" t="s">
        <v>217</v>
      </c>
      <c r="CB480" s="19"/>
      <c r="CC480" s="19">
        <v>0</v>
      </c>
      <c r="CD480" s="19">
        <v>0</v>
      </c>
      <c r="CE480" s="19">
        <v>0</v>
      </c>
      <c r="CF480" s="19">
        <v>0</v>
      </c>
      <c r="CG480" s="19">
        <v>0</v>
      </c>
      <c r="CH480" s="19">
        <v>0</v>
      </c>
      <c r="CI480" s="19">
        <v>0</v>
      </c>
      <c r="CJ480" s="19"/>
      <c r="CK480" s="19">
        <v>0</v>
      </c>
      <c r="CL480" s="19">
        <v>0</v>
      </c>
      <c r="CM480" s="19">
        <v>0</v>
      </c>
      <c r="CN480" s="19">
        <v>0</v>
      </c>
      <c r="CO480" s="19">
        <v>0</v>
      </c>
      <c r="CP480" s="19">
        <v>0</v>
      </c>
      <c r="CQ480" s="19">
        <v>660.82500000000005</v>
      </c>
      <c r="CR480" s="19">
        <v>566.14458485574698</v>
      </c>
      <c r="HM480" s="620">
        <f t="shared" ref="HM480:HU480" si="340">HM110</f>
        <v>0</v>
      </c>
      <c r="HN480" s="620">
        <f t="shared" si="340"/>
        <v>0</v>
      </c>
      <c r="HO480" s="620">
        <f t="shared" si="340"/>
        <v>0</v>
      </c>
      <c r="HP480" s="620">
        <f t="shared" si="340"/>
        <v>0</v>
      </c>
      <c r="HQ480" s="620">
        <f t="shared" si="340"/>
        <v>0</v>
      </c>
      <c r="HR480" s="620">
        <f t="shared" si="340"/>
        <v>0</v>
      </c>
      <c r="HS480" s="620">
        <f t="shared" si="340"/>
        <v>0</v>
      </c>
      <c r="HT480" s="620">
        <f t="shared" si="340"/>
        <v>0</v>
      </c>
      <c r="HU480" s="620" t="str">
        <f t="shared" si="340"/>
        <v>offfarm</v>
      </c>
      <c r="HV480" s="22" t="s">
        <v>2013</v>
      </c>
      <c r="IB480" s="11">
        <f t="shared" ref="IB480:II480" si="341">IB110</f>
        <v>0.47300000000000003</v>
      </c>
      <c r="IC480" s="11">
        <f t="shared" si="341"/>
        <v>0.13</v>
      </c>
      <c r="ID480" s="11">
        <f t="shared" si="341"/>
        <v>0.39100000000000001</v>
      </c>
      <c r="IE480" s="11">
        <f t="shared" si="341"/>
        <v>5.5E-2</v>
      </c>
      <c r="IF480" s="11">
        <f t="shared" si="341"/>
        <v>3.97</v>
      </c>
      <c r="IG480" s="11">
        <f t="shared" si="341"/>
        <v>4.5999999999999999E-3</v>
      </c>
      <c r="IH480" s="11">
        <f t="shared" si="341"/>
        <v>2.73</v>
      </c>
      <c r="II480" s="11">
        <f t="shared" si="341"/>
        <v>0</v>
      </c>
    </row>
    <row r="481" spans="4:243" x14ac:dyDescent="0.25">
      <c r="D481" s="185" t="s">
        <v>1106</v>
      </c>
      <c r="E481" s="14">
        <v>40310</v>
      </c>
      <c r="F481" s="18">
        <v>-0.112682926829268</v>
      </c>
      <c r="G481" s="18">
        <v>-0.108</v>
      </c>
      <c r="H481" s="21">
        <v>70</v>
      </c>
      <c r="I481" s="21">
        <v>70</v>
      </c>
      <c r="J481" s="21">
        <v>0</v>
      </c>
      <c r="K481" s="18">
        <v>1</v>
      </c>
      <c r="L481" s="18">
        <v>99</v>
      </c>
      <c r="M481" s="18">
        <v>0</v>
      </c>
      <c r="N481" s="18">
        <v>0</v>
      </c>
      <c r="O481" s="18">
        <v>99</v>
      </c>
      <c r="P481" s="18">
        <v>0</v>
      </c>
      <c r="Q481" s="19"/>
      <c r="R481" s="18">
        <v>0</v>
      </c>
      <c r="S481" s="18">
        <v>0</v>
      </c>
      <c r="T481" s="18">
        <v>0</v>
      </c>
      <c r="U481" s="18">
        <v>0</v>
      </c>
      <c r="V481" s="18">
        <v>0</v>
      </c>
      <c r="W481" s="18">
        <v>0</v>
      </c>
      <c r="X481" s="18"/>
      <c r="Y481" s="18">
        <v>0</v>
      </c>
      <c r="Z481" s="18">
        <v>0</v>
      </c>
      <c r="AA481" s="18">
        <v>0</v>
      </c>
      <c r="AB481" s="18">
        <v>0</v>
      </c>
      <c r="AC481" s="18">
        <v>0</v>
      </c>
      <c r="AD481" s="18">
        <v>0</v>
      </c>
      <c r="AE481" s="18">
        <v>0</v>
      </c>
      <c r="AF481" s="18">
        <v>2020.2020202020201</v>
      </c>
      <c r="AG481" s="18">
        <v>0</v>
      </c>
      <c r="AH481" s="18">
        <v>0</v>
      </c>
      <c r="AI481" s="18">
        <v>0</v>
      </c>
      <c r="AJ481" s="18">
        <v>0</v>
      </c>
      <c r="AK481" s="18">
        <v>0</v>
      </c>
      <c r="AL481" s="18"/>
      <c r="AM481" s="18">
        <v>0</v>
      </c>
      <c r="AN481" s="18">
        <v>0</v>
      </c>
      <c r="AO481" s="18">
        <v>0</v>
      </c>
      <c r="AP481" s="18">
        <v>0</v>
      </c>
      <c r="AQ481" s="18">
        <v>0</v>
      </c>
      <c r="AR481" s="18">
        <v>0</v>
      </c>
      <c r="AS481" s="18">
        <v>0</v>
      </c>
      <c r="AT481" s="18">
        <v>0</v>
      </c>
      <c r="AU481" s="18">
        <v>0</v>
      </c>
      <c r="AV481" s="18">
        <v>0</v>
      </c>
      <c r="AW481" s="18">
        <v>0</v>
      </c>
      <c r="AX481" s="18"/>
      <c r="AY481" s="18">
        <v>1</v>
      </c>
      <c r="AZ481" s="18">
        <v>1</v>
      </c>
      <c r="BA481" s="18">
        <v>1</v>
      </c>
      <c r="BB481" s="18">
        <v>1</v>
      </c>
      <c r="BC481" s="18">
        <v>1</v>
      </c>
      <c r="BD481" s="18">
        <v>1</v>
      </c>
      <c r="BE481" s="18">
        <v>1</v>
      </c>
      <c r="BF481" s="18">
        <v>1</v>
      </c>
      <c r="BG481" s="18">
        <v>1</v>
      </c>
      <c r="BH481" s="18">
        <v>1</v>
      </c>
      <c r="BI481" s="18">
        <v>1</v>
      </c>
      <c r="BJ481" s="19"/>
      <c r="BK481" s="18">
        <v>0</v>
      </c>
      <c r="BL481" s="18">
        <v>0</v>
      </c>
      <c r="BM481" s="18">
        <v>100</v>
      </c>
      <c r="BN481" s="18">
        <v>0</v>
      </c>
      <c r="BO481" s="18"/>
      <c r="BP481" s="18">
        <v>0</v>
      </c>
      <c r="BQ481" s="18">
        <v>0</v>
      </c>
      <c r="BR481" s="18">
        <v>-0.11382113821138182</v>
      </c>
      <c r="BS481" s="18">
        <v>-0.10909090909090909</v>
      </c>
      <c r="BT481" s="19"/>
      <c r="BU481" s="18">
        <v>0</v>
      </c>
      <c r="BV481" s="18">
        <v>0</v>
      </c>
      <c r="BW481" s="18">
        <v>0</v>
      </c>
      <c r="BX481" s="18" t="s">
        <v>217</v>
      </c>
      <c r="BY481" s="18" t="s">
        <v>217</v>
      </c>
      <c r="BZ481" s="18" t="s">
        <v>217</v>
      </c>
      <c r="CA481" s="18" t="s">
        <v>217</v>
      </c>
      <c r="CB481" s="19"/>
      <c r="CC481" s="19">
        <v>0</v>
      </c>
      <c r="CD481" s="19">
        <v>0</v>
      </c>
      <c r="CE481" s="19">
        <v>0</v>
      </c>
      <c r="CF481" s="19">
        <v>0</v>
      </c>
      <c r="CG481" s="19">
        <v>0</v>
      </c>
      <c r="CH481" s="19">
        <v>0</v>
      </c>
      <c r="CI481" s="19">
        <v>0</v>
      </c>
      <c r="CJ481" s="19"/>
      <c r="CK481" s="19">
        <v>1999.9999999999998</v>
      </c>
      <c r="CL481" s="19">
        <v>0</v>
      </c>
      <c r="CM481" s="19">
        <v>0</v>
      </c>
      <c r="CN481" s="19">
        <v>0</v>
      </c>
      <c r="CO481" s="19">
        <v>0</v>
      </c>
      <c r="CP481" s="19">
        <v>0</v>
      </c>
      <c r="CQ481" s="19">
        <v>0</v>
      </c>
      <c r="CR481" s="19">
        <v>0</v>
      </c>
      <c r="HM481" s="620">
        <f t="shared" ref="HM481:HU481" si="342">HM111</f>
        <v>0</v>
      </c>
      <c r="HN481" s="620">
        <f t="shared" si="342"/>
        <v>0</v>
      </c>
      <c r="HO481" s="620">
        <f t="shared" si="342"/>
        <v>0</v>
      </c>
      <c r="HP481" s="620">
        <f t="shared" si="342"/>
        <v>0</v>
      </c>
      <c r="HQ481" s="620">
        <f t="shared" si="342"/>
        <v>0</v>
      </c>
      <c r="HR481" s="620">
        <f t="shared" si="342"/>
        <v>0</v>
      </c>
      <c r="HS481" s="620">
        <f t="shared" si="342"/>
        <v>0</v>
      </c>
      <c r="HT481" s="620">
        <f t="shared" si="342"/>
        <v>0</v>
      </c>
      <c r="HU481" s="620" t="str">
        <f t="shared" si="342"/>
        <v>offfarm</v>
      </c>
      <c r="HV481" s="22" t="s">
        <v>2013</v>
      </c>
      <c r="IB481" s="11">
        <f t="shared" ref="IB481:II481" si="343">IB111</f>
        <v>0.47300000000000003</v>
      </c>
      <c r="IC481" s="11">
        <f t="shared" si="343"/>
        <v>0.13</v>
      </c>
      <c r="ID481" s="11">
        <f t="shared" si="343"/>
        <v>0.39100000000000001</v>
      </c>
      <c r="IE481" s="11">
        <f t="shared" si="343"/>
        <v>5.5E-2</v>
      </c>
      <c r="IF481" s="11">
        <f t="shared" si="343"/>
        <v>3.97</v>
      </c>
      <c r="IG481" s="11">
        <f t="shared" si="343"/>
        <v>4.5999999999999999E-3</v>
      </c>
      <c r="IH481" s="11">
        <f t="shared" si="343"/>
        <v>2.73</v>
      </c>
      <c r="II481" s="11">
        <f t="shared" si="343"/>
        <v>0</v>
      </c>
    </row>
    <row r="482" spans="4:243" x14ac:dyDescent="0.25">
      <c r="D482" s="185" t="s">
        <v>1107</v>
      </c>
      <c r="E482" s="14">
        <v>40310</v>
      </c>
      <c r="F482" s="18">
        <v>-0.112682926829268</v>
      </c>
      <c r="G482" s="18">
        <v>-0.108</v>
      </c>
      <c r="H482" s="21">
        <v>70</v>
      </c>
      <c r="I482" s="21">
        <v>70</v>
      </c>
      <c r="J482" s="21">
        <v>0</v>
      </c>
      <c r="K482" s="18">
        <v>1</v>
      </c>
      <c r="L482" s="18">
        <v>99</v>
      </c>
      <c r="M482" s="18">
        <v>0</v>
      </c>
      <c r="N482" s="18">
        <v>0</v>
      </c>
      <c r="O482" s="18">
        <v>99</v>
      </c>
      <c r="P482" s="18">
        <v>0</v>
      </c>
      <c r="Q482" s="19"/>
      <c r="R482" s="18">
        <v>0</v>
      </c>
      <c r="S482" s="18">
        <v>0</v>
      </c>
      <c r="T482" s="18">
        <v>0</v>
      </c>
      <c r="U482" s="18">
        <v>0</v>
      </c>
      <c r="V482" s="18">
        <v>0</v>
      </c>
      <c r="W482" s="18">
        <v>0</v>
      </c>
      <c r="X482" s="18"/>
      <c r="Y482" s="18">
        <v>0</v>
      </c>
      <c r="Z482" s="18">
        <v>0</v>
      </c>
      <c r="AA482" s="18">
        <v>0</v>
      </c>
      <c r="AB482" s="18">
        <v>0</v>
      </c>
      <c r="AC482" s="18">
        <v>2.3838383838383836</v>
      </c>
      <c r="AD482" s="18">
        <v>0</v>
      </c>
      <c r="AE482" s="18">
        <v>0</v>
      </c>
      <c r="AF482" s="18">
        <v>0</v>
      </c>
      <c r="AG482" s="18">
        <v>0</v>
      </c>
      <c r="AH482" s="18">
        <v>0</v>
      </c>
      <c r="AI482" s="18">
        <v>0</v>
      </c>
      <c r="AJ482" s="18">
        <v>7717.1717171717173</v>
      </c>
      <c r="AK482" s="18">
        <v>0</v>
      </c>
      <c r="AL482" s="18"/>
      <c r="AM482" s="18">
        <v>0</v>
      </c>
      <c r="AN482" s="18">
        <v>0</v>
      </c>
      <c r="AO482" s="18">
        <v>0</v>
      </c>
      <c r="AP482" s="18">
        <v>0</v>
      </c>
      <c r="AQ482" s="18">
        <v>0</v>
      </c>
      <c r="AR482" s="18">
        <v>0</v>
      </c>
      <c r="AS482" s="18">
        <v>0</v>
      </c>
      <c r="AT482" s="18">
        <v>0</v>
      </c>
      <c r="AU482" s="18">
        <v>0</v>
      </c>
      <c r="AV482" s="18">
        <v>0</v>
      </c>
      <c r="AW482" s="18">
        <v>0</v>
      </c>
      <c r="AX482" s="18"/>
      <c r="AY482" s="18">
        <v>1</v>
      </c>
      <c r="AZ482" s="18">
        <v>1</v>
      </c>
      <c r="BA482" s="18">
        <v>1</v>
      </c>
      <c r="BB482" s="18">
        <v>1</v>
      </c>
      <c r="BC482" s="18">
        <v>1</v>
      </c>
      <c r="BD482" s="18">
        <v>1</v>
      </c>
      <c r="BE482" s="18">
        <v>1</v>
      </c>
      <c r="BF482" s="18">
        <v>1</v>
      </c>
      <c r="BG482" s="18">
        <v>1</v>
      </c>
      <c r="BH482" s="18">
        <v>1</v>
      </c>
      <c r="BI482" s="18">
        <v>1</v>
      </c>
      <c r="BJ482" s="19"/>
      <c r="BK482" s="18">
        <v>0</v>
      </c>
      <c r="BL482" s="18">
        <v>0</v>
      </c>
      <c r="BM482" s="18">
        <v>100</v>
      </c>
      <c r="BN482" s="18">
        <v>0</v>
      </c>
      <c r="BO482" s="18"/>
      <c r="BP482" s="18">
        <v>0</v>
      </c>
      <c r="BQ482" s="18">
        <v>0</v>
      </c>
      <c r="BR482" s="18">
        <v>-0.11382113821138182</v>
      </c>
      <c r="BS482" s="18">
        <v>-0.10909090909090909</v>
      </c>
      <c r="BT482" s="19"/>
      <c r="BU482" s="18">
        <v>0</v>
      </c>
      <c r="BV482" s="18">
        <v>0</v>
      </c>
      <c r="BW482" s="18">
        <v>0</v>
      </c>
      <c r="BX482" s="18" t="s">
        <v>217</v>
      </c>
      <c r="BY482" s="18" t="s">
        <v>217</v>
      </c>
      <c r="BZ482" s="18" t="s">
        <v>217</v>
      </c>
      <c r="CA482" s="18" t="s">
        <v>217</v>
      </c>
      <c r="CB482" s="19"/>
      <c r="CC482" s="19">
        <v>0</v>
      </c>
      <c r="CD482" s="19">
        <v>0</v>
      </c>
      <c r="CE482" s="19">
        <v>0</v>
      </c>
      <c r="CF482" s="19">
        <v>0</v>
      </c>
      <c r="CG482" s="19">
        <v>2.36</v>
      </c>
      <c r="CH482" s="19">
        <v>0</v>
      </c>
      <c r="CI482" s="19">
        <v>0</v>
      </c>
      <c r="CJ482" s="19"/>
      <c r="CK482" s="19">
        <v>0</v>
      </c>
      <c r="CL482" s="19">
        <v>0</v>
      </c>
      <c r="CM482" s="19">
        <v>0</v>
      </c>
      <c r="CN482" s="19">
        <v>0</v>
      </c>
      <c r="CO482" s="19">
        <v>7640</v>
      </c>
      <c r="CP482" s="19">
        <v>0</v>
      </c>
      <c r="CQ482" s="19">
        <v>0</v>
      </c>
      <c r="CR482" s="19">
        <v>0</v>
      </c>
      <c r="HM482" s="620">
        <f t="shared" ref="HM482:HU482" si="344">HM112</f>
        <v>0</v>
      </c>
      <c r="HN482" s="620">
        <f t="shared" si="344"/>
        <v>0</v>
      </c>
      <c r="HO482" s="620">
        <f t="shared" si="344"/>
        <v>0</v>
      </c>
      <c r="HP482" s="620">
        <f t="shared" si="344"/>
        <v>0</v>
      </c>
      <c r="HQ482" s="620">
        <f t="shared" si="344"/>
        <v>0</v>
      </c>
      <c r="HR482" s="620">
        <f t="shared" si="344"/>
        <v>0</v>
      </c>
      <c r="HS482" s="620">
        <f t="shared" si="344"/>
        <v>0</v>
      </c>
      <c r="HT482" s="620">
        <f t="shared" si="344"/>
        <v>0</v>
      </c>
      <c r="HU482" s="620" t="str">
        <f t="shared" si="344"/>
        <v>offfarm</v>
      </c>
      <c r="HV482" s="22" t="s">
        <v>2013</v>
      </c>
      <c r="IB482" s="11">
        <f t="shared" ref="IB482:II482" si="345">IB112</f>
        <v>0.47300000000000003</v>
      </c>
      <c r="IC482" s="11">
        <f t="shared" si="345"/>
        <v>0.13</v>
      </c>
      <c r="ID482" s="11">
        <f t="shared" si="345"/>
        <v>0.39100000000000001</v>
      </c>
      <c r="IE482" s="11">
        <f t="shared" si="345"/>
        <v>5.5E-2</v>
      </c>
      <c r="IF482" s="11">
        <f t="shared" si="345"/>
        <v>3.97</v>
      </c>
      <c r="IG482" s="11">
        <f t="shared" si="345"/>
        <v>4.5999999999999999E-3</v>
      </c>
      <c r="IH482" s="11">
        <f t="shared" si="345"/>
        <v>2.73</v>
      </c>
      <c r="II482" s="11">
        <f t="shared" si="345"/>
        <v>0</v>
      </c>
    </row>
    <row r="483" spans="4:243" x14ac:dyDescent="0.25">
      <c r="D483" s="185" t="s">
        <v>419</v>
      </c>
      <c r="E483" s="14">
        <v>40310</v>
      </c>
      <c r="F483" s="18">
        <v>-0.112682926829268</v>
      </c>
      <c r="G483" s="18">
        <v>-0.108</v>
      </c>
      <c r="H483" s="21">
        <v>70</v>
      </c>
      <c r="I483" s="21">
        <v>70</v>
      </c>
      <c r="J483" s="21">
        <v>0</v>
      </c>
      <c r="K483" s="18">
        <v>1</v>
      </c>
      <c r="L483" s="18">
        <v>99</v>
      </c>
      <c r="M483" s="18">
        <v>0</v>
      </c>
      <c r="N483" s="18">
        <v>0</v>
      </c>
      <c r="O483" s="18">
        <v>99</v>
      </c>
      <c r="P483" s="18">
        <v>0</v>
      </c>
      <c r="Q483" s="19"/>
      <c r="R483" s="18">
        <v>0</v>
      </c>
      <c r="S483" s="18">
        <v>0</v>
      </c>
      <c r="T483" s="18">
        <v>0</v>
      </c>
      <c r="U483" s="18">
        <v>0</v>
      </c>
      <c r="V483" s="18">
        <v>0</v>
      </c>
      <c r="W483" s="18">
        <v>0</v>
      </c>
      <c r="X483" s="18"/>
      <c r="Y483" s="18">
        <v>0</v>
      </c>
      <c r="Z483" s="18">
        <v>0</v>
      </c>
      <c r="AA483" s="18">
        <v>0</v>
      </c>
      <c r="AB483" s="18">
        <v>480.80808000000002</v>
      </c>
      <c r="AC483" s="18">
        <v>529.29292999999893</v>
      </c>
      <c r="AD483" s="18">
        <v>0</v>
      </c>
      <c r="AE483" s="18">
        <v>0</v>
      </c>
      <c r="AF483" s="18">
        <v>0</v>
      </c>
      <c r="AG483" s="18">
        <v>0</v>
      </c>
      <c r="AH483" s="18">
        <v>0</v>
      </c>
      <c r="AI483" s="18">
        <v>0</v>
      </c>
      <c r="AJ483" s="18">
        <v>0</v>
      </c>
      <c r="AK483" s="18">
        <v>0</v>
      </c>
      <c r="AL483" s="18"/>
      <c r="AM483" s="18">
        <v>0</v>
      </c>
      <c r="AN483" s="18">
        <v>0</v>
      </c>
      <c r="AO483" s="18">
        <v>0</v>
      </c>
      <c r="AP483" s="18">
        <v>0</v>
      </c>
      <c r="AQ483" s="18">
        <v>0</v>
      </c>
      <c r="AR483" s="18">
        <v>0</v>
      </c>
      <c r="AS483" s="18">
        <v>0</v>
      </c>
      <c r="AT483" s="18">
        <v>0</v>
      </c>
      <c r="AU483" s="18">
        <v>0</v>
      </c>
      <c r="AV483" s="18">
        <v>0</v>
      </c>
      <c r="AW483" s="18">
        <v>0</v>
      </c>
      <c r="AX483" s="18"/>
      <c r="AY483" s="18">
        <v>1</v>
      </c>
      <c r="AZ483" s="18">
        <v>1</v>
      </c>
      <c r="BA483" s="18">
        <v>1</v>
      </c>
      <c r="BB483" s="18">
        <v>1</v>
      </c>
      <c r="BC483" s="18">
        <v>1</v>
      </c>
      <c r="BD483" s="18">
        <v>1</v>
      </c>
      <c r="BE483" s="18">
        <v>1</v>
      </c>
      <c r="BF483" s="18">
        <v>1</v>
      </c>
      <c r="BG483" s="18">
        <v>1</v>
      </c>
      <c r="BH483" s="18">
        <v>1</v>
      </c>
      <c r="BI483" s="18">
        <v>1</v>
      </c>
      <c r="BJ483" s="19"/>
      <c r="BK483" s="18">
        <v>0</v>
      </c>
      <c r="BL483" s="18">
        <v>0</v>
      </c>
      <c r="BM483" s="18">
        <v>100</v>
      </c>
      <c r="BN483" s="18">
        <v>0</v>
      </c>
      <c r="BO483" s="18"/>
      <c r="BP483" s="18">
        <v>0</v>
      </c>
      <c r="BQ483" s="18">
        <v>0</v>
      </c>
      <c r="BR483" s="18">
        <v>-0.11382113821138182</v>
      </c>
      <c r="BS483" s="18">
        <v>-0.10909090909090909</v>
      </c>
      <c r="BT483" s="19"/>
      <c r="BU483" s="18">
        <v>0</v>
      </c>
      <c r="BV483" s="18">
        <v>0</v>
      </c>
      <c r="BW483" s="18">
        <v>0</v>
      </c>
      <c r="BX483" s="18" t="s">
        <v>217</v>
      </c>
      <c r="BY483" s="18" t="s">
        <v>217</v>
      </c>
      <c r="BZ483" s="18" t="s">
        <v>217</v>
      </c>
      <c r="CA483" s="18" t="s">
        <v>217</v>
      </c>
      <c r="CB483" s="19"/>
      <c r="CC483" s="19">
        <v>0</v>
      </c>
      <c r="CD483" s="19">
        <v>0</v>
      </c>
      <c r="CE483" s="19">
        <v>0</v>
      </c>
      <c r="CF483" s="19">
        <v>475.99999919999999</v>
      </c>
      <c r="CG483" s="19">
        <v>524.00000069999896</v>
      </c>
      <c r="CH483" s="19">
        <v>0</v>
      </c>
      <c r="CI483" s="19">
        <v>0</v>
      </c>
      <c r="CJ483" s="19"/>
      <c r="CK483" s="19">
        <v>0</v>
      </c>
      <c r="CL483" s="19">
        <v>0</v>
      </c>
      <c r="CM483" s="19">
        <v>0</v>
      </c>
      <c r="CN483" s="19">
        <v>0</v>
      </c>
      <c r="CO483" s="19">
        <v>0</v>
      </c>
      <c r="CP483" s="19">
        <v>0</v>
      </c>
      <c r="CQ483" s="19">
        <v>0</v>
      </c>
      <c r="CR483" s="19">
        <v>0</v>
      </c>
      <c r="HM483" s="620">
        <f t="shared" ref="HM483:HU483" si="346">HM113</f>
        <v>0</v>
      </c>
      <c r="HN483" s="620">
        <f t="shared" si="346"/>
        <v>0</v>
      </c>
      <c r="HO483" s="620">
        <f t="shared" si="346"/>
        <v>0</v>
      </c>
      <c r="HP483" s="620">
        <f t="shared" si="346"/>
        <v>0</v>
      </c>
      <c r="HQ483" s="620">
        <f t="shared" si="346"/>
        <v>0</v>
      </c>
      <c r="HR483" s="620">
        <f t="shared" si="346"/>
        <v>0</v>
      </c>
      <c r="HS483" s="620">
        <f t="shared" si="346"/>
        <v>0</v>
      </c>
      <c r="HT483" s="620">
        <f t="shared" si="346"/>
        <v>0</v>
      </c>
      <c r="HU483" s="620" t="str">
        <f t="shared" si="346"/>
        <v>offfarm</v>
      </c>
      <c r="HV483" s="22" t="s">
        <v>2013</v>
      </c>
      <c r="IB483" s="11">
        <f t="shared" ref="IB483:II483" si="347">IB113</f>
        <v>0.47300000000000003</v>
      </c>
      <c r="IC483" s="11">
        <f t="shared" si="347"/>
        <v>0.13</v>
      </c>
      <c r="ID483" s="11">
        <f t="shared" si="347"/>
        <v>0.39100000000000001</v>
      </c>
      <c r="IE483" s="11">
        <f t="shared" si="347"/>
        <v>5.5E-2</v>
      </c>
      <c r="IF483" s="11">
        <f t="shared" si="347"/>
        <v>3.97</v>
      </c>
      <c r="IG483" s="11">
        <f t="shared" si="347"/>
        <v>4.5999999999999999E-3</v>
      </c>
      <c r="IH483" s="11">
        <f t="shared" si="347"/>
        <v>2.73</v>
      </c>
      <c r="II483" s="11">
        <f t="shared" si="347"/>
        <v>0</v>
      </c>
    </row>
    <row r="484" spans="4:243" x14ac:dyDescent="0.25">
      <c r="D484" s="20" t="s">
        <v>1108</v>
      </c>
      <c r="E484" s="14">
        <v>40310</v>
      </c>
      <c r="F484" s="18">
        <v>1.0929776829268301</v>
      </c>
      <c r="G484" s="18">
        <v>1.0660547922077901</v>
      </c>
      <c r="H484" s="21">
        <v>90</v>
      </c>
      <c r="I484" s="21">
        <v>90</v>
      </c>
      <c r="J484" s="21">
        <v>90</v>
      </c>
      <c r="K484" s="18">
        <v>1</v>
      </c>
      <c r="L484" s="18">
        <v>90</v>
      </c>
      <c r="M484" s="18">
        <v>77.31</v>
      </c>
      <c r="N484" s="18">
        <v>1.98</v>
      </c>
      <c r="O484" s="18">
        <v>2.0699999999999998</v>
      </c>
      <c r="P484" s="18">
        <v>0.63</v>
      </c>
      <c r="Q484" s="19"/>
      <c r="R484" s="18">
        <v>89</v>
      </c>
      <c r="S484" s="18">
        <v>67</v>
      </c>
      <c r="T484" s="18">
        <v>67</v>
      </c>
      <c r="U484" s="18">
        <v>67</v>
      </c>
      <c r="V484" s="18">
        <v>67</v>
      </c>
      <c r="W484" s="18">
        <v>67</v>
      </c>
      <c r="X484" s="18"/>
      <c r="Y484" s="18">
        <v>0.5</v>
      </c>
      <c r="Z484" s="18">
        <v>4.3</v>
      </c>
      <c r="AA484" s="18">
        <v>9.9999999999999992E-2</v>
      </c>
      <c r="AB484" s="18">
        <v>0</v>
      </c>
      <c r="AC484" s="18">
        <v>7.4</v>
      </c>
      <c r="AD484" s="18">
        <v>0.5</v>
      </c>
      <c r="AE484" s="18">
        <v>8.8000000000000007</v>
      </c>
      <c r="AF484" s="18">
        <v>160</v>
      </c>
      <c r="AG484" s="18">
        <v>11</v>
      </c>
      <c r="AH484" s="18">
        <v>4.4000000000000004</v>
      </c>
      <c r="AI484" s="18">
        <v>21</v>
      </c>
      <c r="AJ484" s="18">
        <v>0</v>
      </c>
      <c r="AK484" s="18">
        <v>0</v>
      </c>
      <c r="AL484" s="18"/>
      <c r="AM484" s="18">
        <v>7.8997289972899702</v>
      </c>
      <c r="AN484" s="18">
        <v>2.27642276422764</v>
      </c>
      <c r="AO484" s="18">
        <v>1.6</v>
      </c>
      <c r="AP484" s="18">
        <v>5.8265582655826504</v>
      </c>
      <c r="AQ484" s="18">
        <v>1.3020830000000001</v>
      </c>
      <c r="AR484" s="18">
        <v>5.8</v>
      </c>
      <c r="AS484" s="18">
        <v>10.3</v>
      </c>
      <c r="AT484" s="18">
        <v>2.2000000000000002</v>
      </c>
      <c r="AU484" s="18">
        <v>6.3</v>
      </c>
      <c r="AV484" s="18">
        <v>5.8</v>
      </c>
      <c r="AW484" s="18">
        <v>7.0999999999999899</v>
      </c>
      <c r="AX484" s="18"/>
      <c r="AY484" s="18">
        <v>0.99</v>
      </c>
      <c r="AZ484" s="18">
        <v>1.01</v>
      </c>
      <c r="BA484" s="18">
        <v>0.8</v>
      </c>
      <c r="BB484" s="18">
        <v>0.97</v>
      </c>
      <c r="BC484" s="18">
        <v>0.8</v>
      </c>
      <c r="BD484" s="18">
        <v>0.97</v>
      </c>
      <c r="BE484" s="18">
        <v>0.99</v>
      </c>
      <c r="BF484" s="18">
        <v>0.98</v>
      </c>
      <c r="BG484" s="18">
        <v>1</v>
      </c>
      <c r="BH484" s="18">
        <v>0.96</v>
      </c>
      <c r="BI484" s="18">
        <v>0.98</v>
      </c>
      <c r="BJ484" s="19"/>
      <c r="BK484" s="18">
        <v>85.9</v>
      </c>
      <c r="BL484" s="18">
        <v>2.2000000000000002</v>
      </c>
      <c r="BM484" s="18">
        <v>2.2999999999999998</v>
      </c>
      <c r="BN484" s="18">
        <v>0.7</v>
      </c>
      <c r="BO484" s="18"/>
      <c r="BP484" s="18">
        <v>0</v>
      </c>
      <c r="BQ484" s="18">
        <v>0</v>
      </c>
      <c r="BR484" s="18">
        <v>1.2144196476964779</v>
      </c>
      <c r="BS484" s="18">
        <v>1.1845053246753223</v>
      </c>
      <c r="BT484" s="19"/>
      <c r="BU484" s="18">
        <v>977</v>
      </c>
      <c r="BV484" s="18">
        <v>76.269999999999897</v>
      </c>
      <c r="BW484" s="18">
        <v>0</v>
      </c>
      <c r="BX484" s="18">
        <v>0</v>
      </c>
      <c r="BY484" s="18">
        <v>0</v>
      </c>
      <c r="BZ484" s="18" t="s">
        <v>217</v>
      </c>
      <c r="CA484" s="18" t="s">
        <v>217</v>
      </c>
      <c r="CB484" s="19"/>
      <c r="CC484" s="19">
        <v>0.45</v>
      </c>
      <c r="CD484" s="19">
        <v>3.87</v>
      </c>
      <c r="CE484" s="19">
        <v>0.09</v>
      </c>
      <c r="CF484" s="19">
        <v>0</v>
      </c>
      <c r="CG484" s="19">
        <v>6.66</v>
      </c>
      <c r="CH484" s="19">
        <v>0.45</v>
      </c>
      <c r="CI484" s="19">
        <v>7.9200000000000008</v>
      </c>
      <c r="CJ484" s="19"/>
      <c r="CK484" s="19">
        <v>144</v>
      </c>
      <c r="CL484" s="19">
        <v>9.9</v>
      </c>
      <c r="CM484" s="19">
        <v>3.9600000000000004</v>
      </c>
      <c r="CN484" s="19">
        <v>18.900000000000002</v>
      </c>
      <c r="CO484" s="19">
        <v>0</v>
      </c>
      <c r="CP484" s="19">
        <v>0</v>
      </c>
      <c r="CQ484" s="19">
        <v>688.05899999999997</v>
      </c>
      <c r="CR484" s="19">
        <v>629.52703495050446</v>
      </c>
      <c r="HM484" s="620">
        <f t="shared" ref="HM484:HU484" si="348">HM114</f>
        <v>0</v>
      </c>
      <c r="HN484" s="620">
        <f t="shared" si="348"/>
        <v>0</v>
      </c>
      <c r="HO484" s="620">
        <f t="shared" si="348"/>
        <v>0</v>
      </c>
      <c r="HP484" s="620">
        <f t="shared" si="348"/>
        <v>0</v>
      </c>
      <c r="HQ484" s="620">
        <f t="shared" si="348"/>
        <v>0</v>
      </c>
      <c r="HR484" s="620">
        <f t="shared" si="348"/>
        <v>0</v>
      </c>
      <c r="HS484" s="620">
        <f t="shared" si="348"/>
        <v>0</v>
      </c>
      <c r="HT484" s="620">
        <f t="shared" si="348"/>
        <v>0</v>
      </c>
      <c r="HU484" s="620" t="str">
        <f t="shared" si="348"/>
        <v>offfarm</v>
      </c>
      <c r="HV484" s="22" t="s">
        <v>2036</v>
      </c>
      <c r="IB484" s="11">
        <f t="shared" ref="IB484:II484" si="349">IB114</f>
        <v>0.47300000000000003</v>
      </c>
      <c r="IC484" s="11">
        <f t="shared" si="349"/>
        <v>0.13</v>
      </c>
      <c r="ID484" s="11">
        <f t="shared" si="349"/>
        <v>0.39100000000000001</v>
      </c>
      <c r="IE484" s="11">
        <f t="shared" si="349"/>
        <v>5.5E-2</v>
      </c>
      <c r="IF484" s="11">
        <f t="shared" si="349"/>
        <v>3.97</v>
      </c>
      <c r="IG484" s="11">
        <f t="shared" si="349"/>
        <v>4.5999999999999999E-3</v>
      </c>
      <c r="IH484" s="11">
        <f t="shared" si="349"/>
        <v>2.73</v>
      </c>
      <c r="II484" s="11">
        <f t="shared" si="349"/>
        <v>0</v>
      </c>
    </row>
    <row r="485" spans="4:243" x14ac:dyDescent="0.25">
      <c r="D485" s="20" t="s">
        <v>1109</v>
      </c>
      <c r="E485" s="14">
        <v>40711</v>
      </c>
      <c r="F485" s="18">
        <v>1.13912669376694</v>
      </c>
      <c r="G485" s="18">
        <v>1.11067935064935</v>
      </c>
      <c r="H485" s="21">
        <v>90</v>
      </c>
      <c r="I485" s="21">
        <v>90</v>
      </c>
      <c r="J485" s="21">
        <v>90</v>
      </c>
      <c r="K485" s="18">
        <v>1</v>
      </c>
      <c r="L485" s="18">
        <v>90.5</v>
      </c>
      <c r="M485" s="18">
        <v>79.5</v>
      </c>
      <c r="N485" s="18">
        <v>3</v>
      </c>
      <c r="O485" s="18">
        <v>0.7</v>
      </c>
      <c r="P485" s="18">
        <v>1.8</v>
      </c>
      <c r="Q485" s="19"/>
      <c r="R485" s="18">
        <v>89</v>
      </c>
      <c r="S485" s="18">
        <v>67</v>
      </c>
      <c r="T485" s="18">
        <v>67</v>
      </c>
      <c r="U485" s="18">
        <v>67</v>
      </c>
      <c r="V485" s="18">
        <v>67</v>
      </c>
      <c r="W485" s="18">
        <v>67</v>
      </c>
      <c r="X485" s="18"/>
      <c r="Y485" s="18">
        <v>0.55555999999999994</v>
      </c>
      <c r="Z485" s="18">
        <v>2.2099447513812156</v>
      </c>
      <c r="AA485" s="18">
        <v>5.5248618784530391E-2</v>
      </c>
      <c r="AB485" s="18">
        <v>3.3149171270718232</v>
      </c>
      <c r="AC485" s="18">
        <v>5.5248618784530391E-2</v>
      </c>
      <c r="AD485" s="18">
        <v>5.5248618784530391E-2</v>
      </c>
      <c r="AE485" s="18">
        <v>8.8000000000000007</v>
      </c>
      <c r="AF485" s="18">
        <v>146.96132596685084</v>
      </c>
      <c r="AG485" s="18">
        <v>34.254143646408842</v>
      </c>
      <c r="AH485" s="18">
        <v>2</v>
      </c>
      <c r="AI485" s="18">
        <v>6.6298342541436464</v>
      </c>
      <c r="AJ485" s="18">
        <v>0</v>
      </c>
      <c r="AK485" s="18">
        <v>0</v>
      </c>
      <c r="AL485" s="18"/>
      <c r="AM485" s="18">
        <v>8</v>
      </c>
      <c r="AN485" s="18">
        <v>2.5</v>
      </c>
      <c r="AO485" s="18">
        <v>1.6</v>
      </c>
      <c r="AP485" s="18">
        <v>6.2</v>
      </c>
      <c r="AQ485" s="18">
        <v>1.5</v>
      </c>
      <c r="AR485" s="18">
        <v>5.9</v>
      </c>
      <c r="AS485" s="18">
        <v>10.8</v>
      </c>
      <c r="AT485" s="18">
        <v>2.2000000000000002</v>
      </c>
      <c r="AU485" s="18">
        <v>6.6</v>
      </c>
      <c r="AV485" s="18">
        <v>6</v>
      </c>
      <c r="AW485" s="18">
        <v>7</v>
      </c>
      <c r="AX485" s="18"/>
      <c r="AY485" s="18">
        <v>0.99</v>
      </c>
      <c r="AZ485" s="18">
        <v>1.01</v>
      </c>
      <c r="BA485" s="18">
        <v>0.8</v>
      </c>
      <c r="BB485" s="18">
        <v>0.97</v>
      </c>
      <c r="BC485" s="18">
        <v>0.8</v>
      </c>
      <c r="BD485" s="18">
        <v>0.97</v>
      </c>
      <c r="BE485" s="18">
        <v>0.99</v>
      </c>
      <c r="BF485" s="18">
        <v>0.98</v>
      </c>
      <c r="BG485" s="18">
        <v>1</v>
      </c>
      <c r="BH485" s="18">
        <v>0.96</v>
      </c>
      <c r="BI485" s="18">
        <v>0.98</v>
      </c>
      <c r="BJ485" s="19"/>
      <c r="BK485" s="18">
        <v>87.845303867403317</v>
      </c>
      <c r="BL485" s="18">
        <v>3.3149171270718232</v>
      </c>
      <c r="BM485" s="18">
        <v>0.77348066298342533</v>
      </c>
      <c r="BN485" s="18">
        <v>1.988950276243094</v>
      </c>
      <c r="BO485" s="18"/>
      <c r="BP485" s="18">
        <v>0</v>
      </c>
      <c r="BQ485" s="18">
        <v>0</v>
      </c>
      <c r="BR485" s="18">
        <v>1.258703529024243</v>
      </c>
      <c r="BS485" s="18">
        <v>1.2272700007175137</v>
      </c>
      <c r="BT485" s="19"/>
      <c r="BU485" s="18">
        <v>992.26519337016578</v>
      </c>
      <c r="BV485" s="18">
        <v>61.491712707182536</v>
      </c>
      <c r="BW485" s="18">
        <v>0</v>
      </c>
      <c r="BX485" s="18">
        <v>0</v>
      </c>
      <c r="BY485" s="18">
        <v>0</v>
      </c>
      <c r="BZ485" s="18" t="s">
        <v>217</v>
      </c>
      <c r="CA485" s="18" t="s">
        <v>217</v>
      </c>
      <c r="CB485" s="19"/>
      <c r="CC485" s="19">
        <v>0.50278179999999995</v>
      </c>
      <c r="CD485" s="19">
        <v>2</v>
      </c>
      <c r="CE485" s="19">
        <v>0.05</v>
      </c>
      <c r="CF485" s="19">
        <v>3</v>
      </c>
      <c r="CG485" s="19">
        <v>0.05</v>
      </c>
      <c r="CH485" s="19">
        <v>0.05</v>
      </c>
      <c r="CI485" s="19">
        <v>7.9640000000000013</v>
      </c>
      <c r="CJ485" s="19"/>
      <c r="CK485" s="19">
        <v>133</v>
      </c>
      <c r="CL485" s="19">
        <v>31.000000000000004</v>
      </c>
      <c r="CM485" s="19">
        <v>1.81</v>
      </c>
      <c r="CN485" s="19">
        <v>6</v>
      </c>
      <c r="CO485" s="19">
        <v>0</v>
      </c>
      <c r="CP485" s="19">
        <v>0</v>
      </c>
      <c r="CQ485" s="19">
        <v>707.55</v>
      </c>
      <c r="CR485" s="19">
        <v>621.13371925314686</v>
      </c>
      <c r="HM485" s="620">
        <f t="shared" ref="HM485:HU485" si="350">HM115</f>
        <v>0</v>
      </c>
      <c r="HN485" s="620">
        <f t="shared" si="350"/>
        <v>0</v>
      </c>
      <c r="HO485" s="620">
        <f t="shared" si="350"/>
        <v>0</v>
      </c>
      <c r="HP485" s="620">
        <f t="shared" si="350"/>
        <v>0</v>
      </c>
      <c r="HQ485" s="620">
        <f t="shared" si="350"/>
        <v>0</v>
      </c>
      <c r="HR485" s="620">
        <f t="shared" si="350"/>
        <v>0</v>
      </c>
      <c r="HS485" s="620">
        <f t="shared" si="350"/>
        <v>0</v>
      </c>
      <c r="HT485" s="620">
        <f t="shared" si="350"/>
        <v>0</v>
      </c>
      <c r="HU485" s="620" t="str">
        <f t="shared" si="350"/>
        <v>offfarm</v>
      </c>
      <c r="HV485" s="22" t="s">
        <v>2036</v>
      </c>
      <c r="IB485" s="11">
        <f t="shared" ref="IB485:II485" si="351">IB115</f>
        <v>0.47300000000000003</v>
      </c>
      <c r="IC485" s="11">
        <f t="shared" si="351"/>
        <v>0.13</v>
      </c>
      <c r="ID485" s="11">
        <f t="shared" si="351"/>
        <v>0.39100000000000001</v>
      </c>
      <c r="IE485" s="11">
        <f t="shared" si="351"/>
        <v>5.5E-2</v>
      </c>
      <c r="IF485" s="11">
        <f t="shared" si="351"/>
        <v>3.97</v>
      </c>
      <c r="IG485" s="11">
        <f t="shared" si="351"/>
        <v>4.5999999999999999E-3</v>
      </c>
      <c r="IH485" s="11">
        <f t="shared" si="351"/>
        <v>2.73</v>
      </c>
      <c r="II485" s="11">
        <f t="shared" si="351"/>
        <v>0</v>
      </c>
    </row>
    <row r="486" spans="4:243" x14ac:dyDescent="0.25">
      <c r="D486" s="185" t="s">
        <v>1110</v>
      </c>
      <c r="E486" s="14">
        <v>40310</v>
      </c>
      <c r="F486" s="18">
        <v>-0.112682926829268</v>
      </c>
      <c r="G486" s="18">
        <v>-0.108</v>
      </c>
      <c r="H486" s="21">
        <v>70</v>
      </c>
      <c r="I486" s="21">
        <v>70</v>
      </c>
      <c r="J486" s="21">
        <v>0</v>
      </c>
      <c r="K486" s="18">
        <v>1</v>
      </c>
      <c r="L486" s="18">
        <v>99</v>
      </c>
      <c r="M486" s="18">
        <v>0</v>
      </c>
      <c r="N486" s="18">
        <v>0</v>
      </c>
      <c r="O486" s="18">
        <v>99</v>
      </c>
      <c r="P486" s="18">
        <v>0</v>
      </c>
      <c r="Q486" s="19"/>
      <c r="R486" s="18">
        <v>0</v>
      </c>
      <c r="S486" s="18">
        <v>0</v>
      </c>
      <c r="T486" s="18">
        <v>0</v>
      </c>
      <c r="U486" s="18">
        <v>0</v>
      </c>
      <c r="V486" s="18">
        <v>0</v>
      </c>
      <c r="W486" s="18">
        <v>0</v>
      </c>
      <c r="X486" s="18"/>
      <c r="Y486" s="18">
        <v>0</v>
      </c>
      <c r="Z486" s="18">
        <v>0</v>
      </c>
      <c r="AA486" s="18">
        <v>0</v>
      </c>
      <c r="AB486" s="18">
        <v>0</v>
      </c>
      <c r="AC486" s="18">
        <v>0</v>
      </c>
      <c r="AD486" s="18">
        <v>0</v>
      </c>
      <c r="AE486" s="18">
        <v>0</v>
      </c>
      <c r="AF486" s="18">
        <v>0</v>
      </c>
      <c r="AG486" s="18">
        <v>808080.80808080803</v>
      </c>
      <c r="AH486" s="18">
        <v>0</v>
      </c>
      <c r="AI486" s="18">
        <v>0</v>
      </c>
      <c r="AJ486" s="18">
        <v>0</v>
      </c>
      <c r="AK486" s="18">
        <v>0</v>
      </c>
      <c r="AL486" s="18"/>
      <c r="AM486" s="18">
        <v>0</v>
      </c>
      <c r="AN486" s="18">
        <v>0</v>
      </c>
      <c r="AO486" s="18">
        <v>0</v>
      </c>
      <c r="AP486" s="18">
        <v>0</v>
      </c>
      <c r="AQ486" s="18">
        <v>0</v>
      </c>
      <c r="AR486" s="18">
        <v>0</v>
      </c>
      <c r="AS486" s="18">
        <v>0</v>
      </c>
      <c r="AT486" s="18">
        <v>0</v>
      </c>
      <c r="AU486" s="18">
        <v>0</v>
      </c>
      <c r="AV486" s="18">
        <v>0</v>
      </c>
      <c r="AW486" s="18">
        <v>0</v>
      </c>
      <c r="AX486" s="18"/>
      <c r="AY486" s="18">
        <v>1</v>
      </c>
      <c r="AZ486" s="18">
        <v>1</v>
      </c>
      <c r="BA486" s="18">
        <v>1</v>
      </c>
      <c r="BB486" s="18">
        <v>1</v>
      </c>
      <c r="BC486" s="18">
        <v>1</v>
      </c>
      <c r="BD486" s="18">
        <v>1</v>
      </c>
      <c r="BE486" s="18">
        <v>1</v>
      </c>
      <c r="BF486" s="18">
        <v>1</v>
      </c>
      <c r="BG486" s="18">
        <v>1</v>
      </c>
      <c r="BH486" s="18">
        <v>1</v>
      </c>
      <c r="BI486" s="18">
        <v>1</v>
      </c>
      <c r="BJ486" s="19"/>
      <c r="BK486" s="18">
        <v>0</v>
      </c>
      <c r="BL486" s="18">
        <v>0</v>
      </c>
      <c r="BM486" s="18">
        <v>100</v>
      </c>
      <c r="BN486" s="18">
        <v>0</v>
      </c>
      <c r="BO486" s="18"/>
      <c r="BP486" s="18">
        <v>0</v>
      </c>
      <c r="BQ486" s="18">
        <v>0</v>
      </c>
      <c r="BR486" s="18">
        <v>-0.11382113821138182</v>
      </c>
      <c r="BS486" s="18">
        <v>-0.10909090909090909</v>
      </c>
      <c r="BT486" s="19"/>
      <c r="BU486" s="18">
        <v>0</v>
      </c>
      <c r="BV486" s="18">
        <v>0</v>
      </c>
      <c r="BW486" s="18">
        <v>0</v>
      </c>
      <c r="BX486" s="18" t="s">
        <v>217</v>
      </c>
      <c r="BY486" s="18" t="s">
        <v>217</v>
      </c>
      <c r="BZ486" s="18" t="s">
        <v>217</v>
      </c>
      <c r="CA486" s="18" t="s">
        <v>217</v>
      </c>
      <c r="CB486" s="19"/>
      <c r="CC486" s="19">
        <v>0</v>
      </c>
      <c r="CD486" s="19">
        <v>0</v>
      </c>
      <c r="CE486" s="19">
        <v>0</v>
      </c>
      <c r="CF486" s="19">
        <v>0</v>
      </c>
      <c r="CG486" s="19">
        <v>0</v>
      </c>
      <c r="CH486" s="19">
        <v>0</v>
      </c>
      <c r="CI486" s="19">
        <v>0</v>
      </c>
      <c r="CJ486" s="19"/>
      <c r="CK486" s="19">
        <v>0</v>
      </c>
      <c r="CL486" s="19">
        <v>799999.99999999988</v>
      </c>
      <c r="CM486" s="19">
        <v>0</v>
      </c>
      <c r="CN486" s="19">
        <v>0</v>
      </c>
      <c r="CO486" s="19">
        <v>0</v>
      </c>
      <c r="CP486" s="19">
        <v>0</v>
      </c>
      <c r="CQ486" s="19">
        <v>0</v>
      </c>
      <c r="CR486" s="19">
        <v>0</v>
      </c>
      <c r="HM486" s="620">
        <f t="shared" ref="HM486:HU486" si="352">HM116</f>
        <v>0</v>
      </c>
      <c r="HN486" s="620">
        <f t="shared" si="352"/>
        <v>0</v>
      </c>
      <c r="HO486" s="620">
        <f t="shared" si="352"/>
        <v>0</v>
      </c>
      <c r="HP486" s="620">
        <f t="shared" si="352"/>
        <v>0</v>
      </c>
      <c r="HQ486" s="620">
        <f t="shared" si="352"/>
        <v>0</v>
      </c>
      <c r="HR486" s="620">
        <f t="shared" si="352"/>
        <v>0</v>
      </c>
      <c r="HS486" s="620">
        <f t="shared" si="352"/>
        <v>0</v>
      </c>
      <c r="HT486" s="620">
        <f t="shared" si="352"/>
        <v>0</v>
      </c>
      <c r="HU486" s="620" t="str">
        <f t="shared" si="352"/>
        <v>offfarm</v>
      </c>
      <c r="HV486" s="22" t="s">
        <v>2013</v>
      </c>
      <c r="IB486" s="11">
        <f t="shared" ref="IB486:II486" si="353">IB116</f>
        <v>0.47300000000000003</v>
      </c>
      <c r="IC486" s="11">
        <f t="shared" si="353"/>
        <v>0.13</v>
      </c>
      <c r="ID486" s="11">
        <f t="shared" si="353"/>
        <v>0.39100000000000001</v>
      </c>
      <c r="IE486" s="11">
        <f t="shared" si="353"/>
        <v>5.5E-2</v>
      </c>
      <c r="IF486" s="11">
        <f t="shared" si="353"/>
        <v>3.97</v>
      </c>
      <c r="IG486" s="11">
        <f t="shared" si="353"/>
        <v>4.5999999999999999E-3</v>
      </c>
      <c r="IH486" s="11">
        <f t="shared" si="353"/>
        <v>2.73</v>
      </c>
      <c r="II486" s="11">
        <f t="shared" si="353"/>
        <v>0</v>
      </c>
    </row>
    <row r="487" spans="4:243" x14ac:dyDescent="0.25">
      <c r="D487" s="185" t="s">
        <v>1111</v>
      </c>
      <c r="E487" s="14">
        <v>40310</v>
      </c>
      <c r="F487" s="18">
        <v>-0.112682926829268</v>
      </c>
      <c r="G487" s="18">
        <v>-0.108</v>
      </c>
      <c r="H487" s="21">
        <v>70</v>
      </c>
      <c r="I487" s="21">
        <v>70</v>
      </c>
      <c r="J487" s="21">
        <v>0</v>
      </c>
      <c r="K487" s="18">
        <v>1</v>
      </c>
      <c r="L487" s="18">
        <v>99</v>
      </c>
      <c r="M487" s="18">
        <v>0</v>
      </c>
      <c r="N487" s="18">
        <v>0</v>
      </c>
      <c r="O487" s="18">
        <v>99</v>
      </c>
      <c r="P487" s="18">
        <v>0</v>
      </c>
      <c r="Q487" s="19"/>
      <c r="R487" s="18">
        <v>0</v>
      </c>
      <c r="S487" s="18">
        <v>0</v>
      </c>
      <c r="T487" s="18">
        <v>0</v>
      </c>
      <c r="U487" s="18">
        <v>0</v>
      </c>
      <c r="V487" s="18">
        <v>0</v>
      </c>
      <c r="W487" s="18">
        <v>0</v>
      </c>
      <c r="X487" s="18"/>
      <c r="Y487" s="18">
        <v>0</v>
      </c>
      <c r="Z487" s="18">
        <v>0</v>
      </c>
      <c r="AA487" s="18">
        <v>0</v>
      </c>
      <c r="AB487" s="18">
        <v>0</v>
      </c>
      <c r="AC487" s="18">
        <v>0</v>
      </c>
      <c r="AD487" s="18">
        <v>0</v>
      </c>
      <c r="AE487" s="18">
        <v>0</v>
      </c>
      <c r="AF487" s="18">
        <v>0</v>
      </c>
      <c r="AG487" s="18">
        <v>252525.25252525252</v>
      </c>
      <c r="AH487" s="18">
        <v>0</v>
      </c>
      <c r="AI487" s="18">
        <v>0</v>
      </c>
      <c r="AJ487" s="18">
        <v>0</v>
      </c>
      <c r="AK487" s="18">
        <v>0</v>
      </c>
      <c r="AL487" s="18"/>
      <c r="AM487" s="18">
        <v>0</v>
      </c>
      <c r="AN487" s="18">
        <v>0</v>
      </c>
      <c r="AO487" s="18">
        <v>0</v>
      </c>
      <c r="AP487" s="18">
        <v>0</v>
      </c>
      <c r="AQ487" s="18">
        <v>0</v>
      </c>
      <c r="AR487" s="18">
        <v>0</v>
      </c>
      <c r="AS487" s="18">
        <v>0</v>
      </c>
      <c r="AT487" s="18">
        <v>0</v>
      </c>
      <c r="AU487" s="18">
        <v>0</v>
      </c>
      <c r="AV487" s="18">
        <v>0</v>
      </c>
      <c r="AW487" s="18">
        <v>0</v>
      </c>
      <c r="AX487" s="18"/>
      <c r="AY487" s="18">
        <v>1</v>
      </c>
      <c r="AZ487" s="18">
        <v>1</v>
      </c>
      <c r="BA487" s="18">
        <v>1</v>
      </c>
      <c r="BB487" s="18">
        <v>1</v>
      </c>
      <c r="BC487" s="18">
        <v>1</v>
      </c>
      <c r="BD487" s="18">
        <v>1</v>
      </c>
      <c r="BE487" s="18">
        <v>1</v>
      </c>
      <c r="BF487" s="18">
        <v>1</v>
      </c>
      <c r="BG487" s="18">
        <v>1</v>
      </c>
      <c r="BH487" s="18">
        <v>1</v>
      </c>
      <c r="BI487" s="18">
        <v>1</v>
      </c>
      <c r="BJ487" s="19"/>
      <c r="BK487" s="18">
        <v>0</v>
      </c>
      <c r="BL487" s="18">
        <v>0</v>
      </c>
      <c r="BM487" s="18">
        <v>100</v>
      </c>
      <c r="BN487" s="18">
        <v>0</v>
      </c>
      <c r="BO487" s="18"/>
      <c r="BP487" s="18">
        <v>0</v>
      </c>
      <c r="BQ487" s="18">
        <v>0</v>
      </c>
      <c r="BR487" s="18">
        <v>-0.11382113821138182</v>
      </c>
      <c r="BS487" s="18">
        <v>-0.10909090909090909</v>
      </c>
      <c r="BT487" s="19"/>
      <c r="BU487" s="18">
        <v>0</v>
      </c>
      <c r="BV487" s="18">
        <v>0</v>
      </c>
      <c r="BW487" s="18">
        <v>0</v>
      </c>
      <c r="BX487" s="18" t="s">
        <v>217</v>
      </c>
      <c r="BY487" s="18" t="s">
        <v>217</v>
      </c>
      <c r="BZ487" s="18" t="s">
        <v>217</v>
      </c>
      <c r="CA487" s="18" t="s">
        <v>217</v>
      </c>
      <c r="CB487" s="19"/>
      <c r="CC487" s="19">
        <v>0</v>
      </c>
      <c r="CD487" s="19">
        <v>0</v>
      </c>
      <c r="CE487" s="19">
        <v>0</v>
      </c>
      <c r="CF487" s="19">
        <v>0</v>
      </c>
      <c r="CG487" s="19">
        <v>0</v>
      </c>
      <c r="CH487" s="19">
        <v>0</v>
      </c>
      <c r="CI487" s="19">
        <v>0</v>
      </c>
      <c r="CJ487" s="19"/>
      <c r="CK487" s="19">
        <v>0</v>
      </c>
      <c r="CL487" s="19">
        <v>250000</v>
      </c>
      <c r="CM487" s="19">
        <v>0</v>
      </c>
      <c r="CN487" s="19">
        <v>0</v>
      </c>
      <c r="CO487" s="19">
        <v>0</v>
      </c>
      <c r="CP487" s="19">
        <v>0</v>
      </c>
      <c r="CQ487" s="19">
        <v>0</v>
      </c>
      <c r="CR487" s="19">
        <v>0</v>
      </c>
      <c r="HM487" s="620">
        <f t="shared" ref="HM487:HU487" si="354">HM117</f>
        <v>0</v>
      </c>
      <c r="HN487" s="620">
        <f t="shared" si="354"/>
        <v>0</v>
      </c>
      <c r="HO487" s="620">
        <f t="shared" si="354"/>
        <v>0</v>
      </c>
      <c r="HP487" s="620">
        <f t="shared" si="354"/>
        <v>0</v>
      </c>
      <c r="HQ487" s="620">
        <f t="shared" si="354"/>
        <v>0</v>
      </c>
      <c r="HR487" s="620">
        <f t="shared" si="354"/>
        <v>0</v>
      </c>
      <c r="HS487" s="620">
        <f t="shared" si="354"/>
        <v>0</v>
      </c>
      <c r="HT487" s="620">
        <f t="shared" si="354"/>
        <v>0</v>
      </c>
      <c r="HU487" s="620" t="str">
        <f t="shared" si="354"/>
        <v>offfarm</v>
      </c>
      <c r="HV487" s="22" t="s">
        <v>2013</v>
      </c>
      <c r="IB487" s="11">
        <f t="shared" ref="IB487:II487" si="355">IB117</f>
        <v>0.47300000000000003</v>
      </c>
      <c r="IC487" s="11">
        <f t="shared" si="355"/>
        <v>0.13</v>
      </c>
      <c r="ID487" s="11">
        <f t="shared" si="355"/>
        <v>0.39100000000000001</v>
      </c>
      <c r="IE487" s="11">
        <f t="shared" si="355"/>
        <v>5.5E-2</v>
      </c>
      <c r="IF487" s="11">
        <f t="shared" si="355"/>
        <v>3.97</v>
      </c>
      <c r="IG487" s="11">
        <f t="shared" si="355"/>
        <v>4.5999999999999999E-3</v>
      </c>
      <c r="IH487" s="11">
        <f t="shared" si="355"/>
        <v>2.73</v>
      </c>
      <c r="II487" s="11">
        <f t="shared" si="355"/>
        <v>0</v>
      </c>
    </row>
    <row r="488" spans="4:243" x14ac:dyDescent="0.25">
      <c r="D488" s="20" t="s">
        <v>2038</v>
      </c>
      <c r="E488" s="14">
        <v>42695</v>
      </c>
      <c r="F488" s="18">
        <v>0.91104604223451402</v>
      </c>
      <c r="G488" s="18">
        <v>0.98957134226747301</v>
      </c>
      <c r="H488" s="21">
        <v>75.2</v>
      </c>
      <c r="I488" s="21">
        <v>53</v>
      </c>
      <c r="J488" s="21">
        <v>85</v>
      </c>
      <c r="K488" s="18">
        <v>1</v>
      </c>
      <c r="L488" s="18">
        <v>92.9</v>
      </c>
      <c r="M488" s="18">
        <v>20.299999837000001</v>
      </c>
      <c r="N488" s="18">
        <v>12.700000405999999</v>
      </c>
      <c r="O488" s="18">
        <v>6.3999999120000002</v>
      </c>
      <c r="P488" s="18">
        <v>11.999999835000001</v>
      </c>
      <c r="Q488" s="19"/>
      <c r="R488" s="18">
        <v>68</v>
      </c>
      <c r="S488" s="18">
        <v>35</v>
      </c>
      <c r="T488" s="18">
        <v>35</v>
      </c>
      <c r="U488" s="18">
        <v>35</v>
      </c>
      <c r="V488" s="18">
        <v>35</v>
      </c>
      <c r="W488" s="18">
        <v>35</v>
      </c>
      <c r="X488" s="18"/>
      <c r="Y488" s="18">
        <v>1.4</v>
      </c>
      <c r="Z488" s="18">
        <v>5.599999999999989</v>
      </c>
      <c r="AA488" s="18">
        <v>0.75349999999999895</v>
      </c>
      <c r="AB488" s="18">
        <v>0</v>
      </c>
      <c r="AC488" s="18">
        <v>22.927880000000002</v>
      </c>
      <c r="AD488" s="18">
        <v>3.4</v>
      </c>
      <c r="AE488" s="18">
        <v>0</v>
      </c>
      <c r="AF488" s="18">
        <v>356</v>
      </c>
      <c r="AG488" s="18">
        <v>25</v>
      </c>
      <c r="AH488" s="18">
        <v>109</v>
      </c>
      <c r="AI488" s="18">
        <v>57</v>
      </c>
      <c r="AJ488" s="18">
        <v>0</v>
      </c>
      <c r="AK488" s="18">
        <v>0.11</v>
      </c>
      <c r="AL488" s="18"/>
      <c r="AM488" s="18">
        <v>2.89</v>
      </c>
      <c r="AN488" s="18">
        <v>1.51</v>
      </c>
      <c r="AO488" s="18">
        <v>1.59</v>
      </c>
      <c r="AP488" s="18">
        <v>3.23</v>
      </c>
      <c r="AQ488" s="18">
        <v>0.83</v>
      </c>
      <c r="AR488" s="18">
        <v>3.59</v>
      </c>
      <c r="AS488" s="18">
        <v>6.64</v>
      </c>
      <c r="AT488" s="18">
        <v>2</v>
      </c>
      <c r="AU488" s="18">
        <v>4.6500000000000004</v>
      </c>
      <c r="AV488" s="18">
        <v>2.64</v>
      </c>
      <c r="AW488" s="18">
        <v>5.26</v>
      </c>
      <c r="AX488" s="18"/>
      <c r="AY488" s="18">
        <v>1</v>
      </c>
      <c r="AZ488" s="18">
        <v>1</v>
      </c>
      <c r="BA488" s="18">
        <v>1</v>
      </c>
      <c r="BB488" s="18">
        <v>1</v>
      </c>
      <c r="BC488" s="18">
        <v>1</v>
      </c>
      <c r="BD488" s="18">
        <v>1</v>
      </c>
      <c r="BE488" s="18">
        <v>1</v>
      </c>
      <c r="BF488" s="18">
        <v>1</v>
      </c>
      <c r="BG488" s="18">
        <v>1</v>
      </c>
      <c r="BH488" s="18">
        <v>1</v>
      </c>
      <c r="BI488" s="18">
        <v>1</v>
      </c>
      <c r="BJ488" s="19"/>
      <c r="BK488" s="18">
        <v>21.851452999999999</v>
      </c>
      <c r="BL488" s="18">
        <v>13.670613999999999</v>
      </c>
      <c r="BM488" s="18">
        <v>6.8891280000000004</v>
      </c>
      <c r="BN488" s="18">
        <v>12.917115000000001</v>
      </c>
      <c r="BO488" s="18"/>
      <c r="BP488" s="18">
        <v>10</v>
      </c>
      <c r="BQ488" s="18">
        <v>13.670613999999999</v>
      </c>
      <c r="BR488" s="18">
        <v>0.98067388830410551</v>
      </c>
      <c r="BS488" s="18">
        <v>1.0652005837109504</v>
      </c>
      <c r="BT488" s="19"/>
      <c r="BU488" s="18">
        <v>931.10871999999995</v>
      </c>
      <c r="BV488" s="18">
        <v>73.446099568571469</v>
      </c>
      <c r="BW488" s="18">
        <v>295.29447977142951</v>
      </c>
      <c r="BX488" s="18" t="s">
        <v>217</v>
      </c>
      <c r="BY488" s="18" t="s">
        <v>217</v>
      </c>
      <c r="BZ488" s="18">
        <v>88.079594153657041</v>
      </c>
      <c r="CA488" s="18">
        <v>401.2514844777707</v>
      </c>
      <c r="CB488" s="19"/>
      <c r="CC488" s="19">
        <v>1.3006</v>
      </c>
      <c r="CD488" s="19">
        <v>5.2023999999999901</v>
      </c>
      <c r="CE488" s="19">
        <v>0.70000149999999906</v>
      </c>
      <c r="CF488" s="19">
        <v>0</v>
      </c>
      <c r="CG488" s="19">
        <v>21.300000520000001</v>
      </c>
      <c r="CH488" s="19">
        <v>3.1586000000000003</v>
      </c>
      <c r="CI488" s="19">
        <v>0</v>
      </c>
      <c r="CJ488" s="19"/>
      <c r="CK488" s="19">
        <v>330.72399999999999</v>
      </c>
      <c r="CL488" s="19">
        <v>23.225000000000001</v>
      </c>
      <c r="CM488" s="19">
        <v>101.26100000000001</v>
      </c>
      <c r="CN488" s="19">
        <v>52.953000000000003</v>
      </c>
      <c r="CO488" s="19">
        <v>0</v>
      </c>
      <c r="CP488" s="19">
        <v>0.10219</v>
      </c>
      <c r="CQ488" s="19">
        <v>138.03999889159999</v>
      </c>
      <c r="CR488" s="19">
        <v>151.51813683645514</v>
      </c>
      <c r="HM488" s="620">
        <f t="shared" ref="HM488:HU488" si="356">HM118</f>
        <v>0.54099999999999993</v>
      </c>
      <c r="HN488" s="620">
        <f t="shared" si="356"/>
        <v>0.11600000000000001</v>
      </c>
      <c r="HO488" s="620">
        <f t="shared" si="356"/>
        <v>0.25</v>
      </c>
      <c r="HP488" s="620">
        <f t="shared" si="356"/>
        <v>1.2999999999999999E-2</v>
      </c>
      <c r="HQ488" s="620">
        <f t="shared" si="356"/>
        <v>8.86</v>
      </c>
      <c r="HR488" s="620">
        <f t="shared" si="356"/>
        <v>6.9299999999999995E-3</v>
      </c>
      <c r="HS488" s="620">
        <f t="shared" si="356"/>
        <v>1.75</v>
      </c>
      <c r="HT488" s="620" t="str">
        <f t="shared" si="356"/>
        <v>as soybean cake</v>
      </c>
      <c r="HU488" s="620" t="str">
        <f t="shared" si="356"/>
        <v>offfarm</v>
      </c>
      <c r="HV488" s="22" t="s">
        <v>2037</v>
      </c>
      <c r="IB488" s="11">
        <f t="shared" ref="IB488:II488" si="357">IB118</f>
        <v>0.54099999999999993</v>
      </c>
      <c r="IC488" s="11">
        <f t="shared" si="357"/>
        <v>0.11600000000000001</v>
      </c>
      <c r="ID488" s="11">
        <f t="shared" si="357"/>
        <v>0.25</v>
      </c>
      <c r="IE488" s="11">
        <f t="shared" si="357"/>
        <v>1.2999999999999999E-2</v>
      </c>
      <c r="IF488" s="11">
        <f t="shared" si="357"/>
        <v>8.86</v>
      </c>
      <c r="IG488" s="11">
        <f t="shared" si="357"/>
        <v>6.9299999999999995E-3</v>
      </c>
      <c r="IH488" s="11">
        <f t="shared" si="357"/>
        <v>1.75</v>
      </c>
      <c r="II488" s="11" t="str">
        <f t="shared" si="357"/>
        <v>as soybean cake</v>
      </c>
    </row>
    <row r="489" spans="4:243" x14ac:dyDescent="0.25">
      <c r="D489" s="20" t="s">
        <v>1112</v>
      </c>
      <c r="E489" s="14">
        <v>40302</v>
      </c>
      <c r="F489" s="18" t="s">
        <v>217</v>
      </c>
      <c r="G489" s="18" t="s">
        <v>217</v>
      </c>
      <c r="H489" s="21" t="s">
        <v>217</v>
      </c>
      <c r="I489" s="21" t="s">
        <v>217</v>
      </c>
      <c r="J489" s="21" t="s">
        <v>217</v>
      </c>
      <c r="K489" s="18" t="s">
        <v>217</v>
      </c>
      <c r="L489" s="18">
        <v>88</v>
      </c>
      <c r="M489" s="18" t="s">
        <v>217</v>
      </c>
      <c r="N489" s="18" t="s">
        <v>217</v>
      </c>
      <c r="O489" s="18" t="s">
        <v>217</v>
      </c>
      <c r="P489" s="18" t="s">
        <v>217</v>
      </c>
      <c r="Q489" s="19"/>
      <c r="R489" s="18" t="s">
        <v>217</v>
      </c>
      <c r="S489" s="18" t="s">
        <v>217</v>
      </c>
      <c r="T489" s="18" t="s">
        <v>217</v>
      </c>
      <c r="U489" s="18" t="s">
        <v>217</v>
      </c>
      <c r="V489" s="18" t="s">
        <v>217</v>
      </c>
      <c r="W489" s="18" t="s">
        <v>217</v>
      </c>
      <c r="X489" s="18"/>
      <c r="Y489" s="18" t="s">
        <v>217</v>
      </c>
      <c r="Z489" s="18" t="s">
        <v>217</v>
      </c>
      <c r="AA489" s="18">
        <v>0.3</v>
      </c>
      <c r="AB489" s="18" t="s">
        <v>217</v>
      </c>
      <c r="AC489" s="18" t="s">
        <v>217</v>
      </c>
      <c r="AD489" s="18" t="s">
        <v>217</v>
      </c>
      <c r="AE489" s="18" t="s">
        <v>217</v>
      </c>
      <c r="AF489" s="18" t="s">
        <v>217</v>
      </c>
      <c r="AG489" s="18" t="s">
        <v>217</v>
      </c>
      <c r="AH489" s="18" t="s">
        <v>217</v>
      </c>
      <c r="AI489" s="18" t="s">
        <v>217</v>
      </c>
      <c r="AJ489" s="18" t="s">
        <v>217</v>
      </c>
      <c r="AK489" s="18" t="s">
        <v>217</v>
      </c>
      <c r="AL489" s="18"/>
      <c r="AM489" s="18" t="s">
        <v>217</v>
      </c>
      <c r="AN489" s="18" t="s">
        <v>217</v>
      </c>
      <c r="AO489" s="18" t="s">
        <v>217</v>
      </c>
      <c r="AP489" s="18" t="s">
        <v>217</v>
      </c>
      <c r="AQ489" s="18" t="s">
        <v>217</v>
      </c>
      <c r="AR489" s="18" t="s">
        <v>217</v>
      </c>
      <c r="AS489" s="18" t="s">
        <v>217</v>
      </c>
      <c r="AT489" s="18" t="s">
        <v>217</v>
      </c>
      <c r="AU489" s="18" t="s">
        <v>217</v>
      </c>
      <c r="AV489" s="18" t="s">
        <v>217</v>
      </c>
      <c r="AW489" s="18" t="s">
        <v>217</v>
      </c>
      <c r="AX489" s="18"/>
      <c r="AY489" s="18">
        <v>1</v>
      </c>
      <c r="AZ489" s="18">
        <v>1</v>
      </c>
      <c r="BA489" s="18">
        <v>1</v>
      </c>
      <c r="BB489" s="18">
        <v>1</v>
      </c>
      <c r="BC489" s="18">
        <v>1</v>
      </c>
      <c r="BD489" s="18">
        <v>1</v>
      </c>
      <c r="BE489" s="18">
        <v>1</v>
      </c>
      <c r="BF489" s="18">
        <v>1</v>
      </c>
      <c r="BG489" s="18">
        <v>1</v>
      </c>
      <c r="BH489" s="18">
        <v>1</v>
      </c>
      <c r="BI489" s="18">
        <v>1</v>
      </c>
      <c r="BJ489" s="19"/>
      <c r="BK489" s="18" t="s">
        <v>217</v>
      </c>
      <c r="BL489" s="18" t="s">
        <v>217</v>
      </c>
      <c r="BM489" s="18" t="s">
        <v>217</v>
      </c>
      <c r="BN489" s="18" t="s">
        <v>217</v>
      </c>
      <c r="BO489" s="18"/>
      <c r="BP489" s="18" t="s">
        <v>217</v>
      </c>
      <c r="BQ489" s="18" t="s">
        <v>217</v>
      </c>
      <c r="BR489" s="18" t="s">
        <v>217</v>
      </c>
      <c r="BS489" s="18" t="s">
        <v>217</v>
      </c>
      <c r="BT489" s="19"/>
      <c r="BU489" s="18" t="s">
        <v>217</v>
      </c>
      <c r="BV489" s="18" t="s">
        <v>217</v>
      </c>
      <c r="BW489" s="18" t="s">
        <v>217</v>
      </c>
      <c r="BX489" s="18" t="s">
        <v>217</v>
      </c>
      <c r="BY489" s="18" t="s">
        <v>217</v>
      </c>
      <c r="BZ489" s="18" t="s">
        <v>217</v>
      </c>
      <c r="CA489" s="18" t="s">
        <v>217</v>
      </c>
      <c r="CB489" s="19"/>
      <c r="CC489" s="19" t="s">
        <v>217</v>
      </c>
      <c r="CD489" s="19" t="s">
        <v>217</v>
      </c>
      <c r="CE489" s="19">
        <v>0.26400000000000001</v>
      </c>
      <c r="CF489" s="19" t="s">
        <v>217</v>
      </c>
      <c r="CG489" s="19" t="s">
        <v>217</v>
      </c>
      <c r="CH489" s="19" t="s">
        <v>217</v>
      </c>
      <c r="CI489" s="19" t="s">
        <v>217</v>
      </c>
      <c r="CJ489" s="19"/>
      <c r="CK489" s="19" t="s">
        <v>217</v>
      </c>
      <c r="CL489" s="19" t="s">
        <v>217</v>
      </c>
      <c r="CM489" s="19" t="s">
        <v>217</v>
      </c>
      <c r="CN489" s="19" t="s">
        <v>217</v>
      </c>
      <c r="CO489" s="19" t="s">
        <v>217</v>
      </c>
      <c r="CP489" s="19" t="s">
        <v>217</v>
      </c>
      <c r="CQ489" s="19" t="s">
        <v>217</v>
      </c>
      <c r="CR489" s="19" t="s">
        <v>217</v>
      </c>
      <c r="HM489" s="620">
        <f t="shared" ref="HM489:HU489" si="358">HM119</f>
        <v>0.221</v>
      </c>
      <c r="HN489" s="620">
        <f t="shared" si="358"/>
        <v>6.7000000000000004E-2</v>
      </c>
      <c r="HO489" s="620">
        <f t="shared" si="358"/>
        <v>0.20100000000000001</v>
      </c>
      <c r="HP489" s="620">
        <f t="shared" si="358"/>
        <v>1.4999999999999999E-2</v>
      </c>
      <c r="HQ489" s="620">
        <f t="shared" si="358"/>
        <v>1.74</v>
      </c>
      <c r="HR489" s="620">
        <f t="shared" si="358"/>
        <v>2.3999999999999998E-3</v>
      </c>
      <c r="HS489" s="620">
        <f t="shared" si="358"/>
        <v>1.41</v>
      </c>
      <c r="HT489" s="620" t="str">
        <f t="shared" si="358"/>
        <v>as maize silage</v>
      </c>
      <c r="HU489" s="620" t="str">
        <f t="shared" si="358"/>
        <v>offfarm</v>
      </c>
      <c r="HV489" s="22" t="s">
        <v>2039</v>
      </c>
      <c r="IB489" s="11">
        <f t="shared" ref="IB489:II489" si="359">IB119</f>
        <v>0.221</v>
      </c>
      <c r="IC489" s="11">
        <f t="shared" si="359"/>
        <v>6.7000000000000004E-2</v>
      </c>
      <c r="ID489" s="11">
        <f t="shared" si="359"/>
        <v>0.20100000000000001</v>
      </c>
      <c r="IE489" s="11">
        <f t="shared" si="359"/>
        <v>1.4999999999999999E-2</v>
      </c>
      <c r="IF489" s="11">
        <f t="shared" si="359"/>
        <v>1.74</v>
      </c>
      <c r="IG489" s="11">
        <f t="shared" si="359"/>
        <v>2.3999999999999998E-3</v>
      </c>
      <c r="IH489" s="11">
        <f t="shared" si="359"/>
        <v>1.41</v>
      </c>
      <c r="II489" s="11" t="str">
        <f t="shared" si="359"/>
        <v>as maize silage</v>
      </c>
    </row>
    <row r="490" spans="4:243" x14ac:dyDescent="0.25">
      <c r="D490" s="20" t="s">
        <v>1113</v>
      </c>
      <c r="E490" s="14">
        <v>42695</v>
      </c>
      <c r="F490" s="18">
        <v>0.89844327476293095</v>
      </c>
      <c r="G490" s="18">
        <v>0.92267383979221096</v>
      </c>
      <c r="H490" s="21">
        <v>71.3</v>
      </c>
      <c r="I490" s="21">
        <v>67.800025599999998</v>
      </c>
      <c r="J490" s="21">
        <v>83</v>
      </c>
      <c r="K490" s="18">
        <v>1</v>
      </c>
      <c r="L490" s="18">
        <v>88.8</v>
      </c>
      <c r="M490" s="18">
        <v>28.7712</v>
      </c>
      <c r="N490" s="18">
        <v>6.66</v>
      </c>
      <c r="O490" s="18">
        <v>4.8840000000000003</v>
      </c>
      <c r="P490" s="18">
        <v>6.66</v>
      </c>
      <c r="Q490" s="19"/>
      <c r="R490" s="18">
        <v>62.583559999999999</v>
      </c>
      <c r="S490" s="18">
        <v>0</v>
      </c>
      <c r="T490" s="18">
        <v>0</v>
      </c>
      <c r="U490" s="18">
        <v>0</v>
      </c>
      <c r="V490" s="18">
        <v>0</v>
      </c>
      <c r="W490" s="18">
        <v>0</v>
      </c>
      <c r="X490" s="18"/>
      <c r="Y490" s="18">
        <v>1.1000000000000001</v>
      </c>
      <c r="Z490" s="18">
        <v>8.4</v>
      </c>
      <c r="AA490" s="18">
        <v>3.9845047039291557</v>
      </c>
      <c r="AB490" s="18">
        <v>0</v>
      </c>
      <c r="AC490" s="18">
        <v>9.8505810736026582</v>
      </c>
      <c r="AD490" s="18">
        <v>2.8998339789706757</v>
      </c>
      <c r="AE490" s="18">
        <v>0</v>
      </c>
      <c r="AF490" s="18">
        <v>113.38129496402927</v>
      </c>
      <c r="AG490" s="18">
        <v>11.765356945213066</v>
      </c>
      <c r="AH490" s="18">
        <v>64.814609850581093</v>
      </c>
      <c r="AI490" s="18">
        <v>72.307692307692349</v>
      </c>
      <c r="AJ490" s="18">
        <v>0</v>
      </c>
      <c r="AK490" s="18">
        <v>0.05</v>
      </c>
      <c r="AL490" s="18"/>
      <c r="AM490" s="18">
        <v>1.9327456741756399</v>
      </c>
      <c r="AN490" s="18">
        <v>1.5638263140711699</v>
      </c>
      <c r="AO490" s="18">
        <v>1.8641854391119801</v>
      </c>
      <c r="AP490" s="18">
        <v>3.02317988899771</v>
      </c>
      <c r="AQ490" s="18">
        <v>1.1394058112961101</v>
      </c>
      <c r="AR490" s="18">
        <v>3.1929480901077301</v>
      </c>
      <c r="AS490" s="18">
        <v>5.9092393078681003</v>
      </c>
      <c r="AT490" s="18">
        <v>2.01436500163239</v>
      </c>
      <c r="AU490" s="18">
        <v>4.2442050277505698</v>
      </c>
      <c r="AV490" s="18">
        <v>2.8207639569049898</v>
      </c>
      <c r="AW490" s="18">
        <v>3.8850799869408998</v>
      </c>
      <c r="AX490" s="18"/>
      <c r="AY490" s="18">
        <v>1</v>
      </c>
      <c r="AZ490" s="18">
        <v>1.1000000000000001</v>
      </c>
      <c r="BA490" s="18">
        <v>1.04</v>
      </c>
      <c r="BB490" s="18">
        <v>1.03</v>
      </c>
      <c r="BC490" s="18">
        <v>1.04</v>
      </c>
      <c r="BD490" s="18">
        <v>1.07</v>
      </c>
      <c r="BE490" s="18">
        <v>1.08</v>
      </c>
      <c r="BF490" s="18">
        <v>1.1499999999999999</v>
      </c>
      <c r="BG490" s="18">
        <v>1.1299999999999999</v>
      </c>
      <c r="BH490" s="18">
        <v>1.1399999999999999</v>
      </c>
      <c r="BI490" s="18">
        <v>1.04</v>
      </c>
      <c r="BJ490" s="19"/>
      <c r="BK490" s="18">
        <v>32.4</v>
      </c>
      <c r="BL490" s="18">
        <v>7.5</v>
      </c>
      <c r="BM490" s="18">
        <v>5.5000000000000009</v>
      </c>
      <c r="BN490" s="18">
        <v>7.5</v>
      </c>
      <c r="BO490" s="18"/>
      <c r="BP490" s="18">
        <v>105</v>
      </c>
      <c r="BQ490" s="18">
        <v>78.750000000000014</v>
      </c>
      <c r="BR490" s="18">
        <v>1.0117604445528503</v>
      </c>
      <c r="BS490" s="18">
        <v>1.0390471168831206</v>
      </c>
      <c r="BT490" s="19"/>
      <c r="BU490" s="18">
        <v>945</v>
      </c>
      <c r="BV490" s="18">
        <v>258.94499999999999</v>
      </c>
      <c r="BW490" s="18">
        <v>47.249654400000004</v>
      </c>
      <c r="BX490" s="18">
        <v>35</v>
      </c>
      <c r="BY490" s="18" t="s">
        <v>217</v>
      </c>
      <c r="BZ490" s="18">
        <v>15.668100000000001</v>
      </c>
      <c r="CA490" s="18">
        <v>245.46690000000001</v>
      </c>
      <c r="CB490" s="19"/>
      <c r="CC490" s="19">
        <v>0.97680000000000011</v>
      </c>
      <c r="CD490" s="19">
        <v>7.4592000000000001</v>
      </c>
      <c r="CE490" s="19">
        <v>3.5382401770890901</v>
      </c>
      <c r="CF490" s="19">
        <v>0</v>
      </c>
      <c r="CG490" s="19">
        <v>8.7473159933591607</v>
      </c>
      <c r="CH490" s="19">
        <v>2.5750525733259599</v>
      </c>
      <c r="CI490" s="19">
        <v>0</v>
      </c>
      <c r="CJ490" s="19"/>
      <c r="CK490" s="19">
        <v>100.68258992805799</v>
      </c>
      <c r="CL490" s="19">
        <v>10.447636967349203</v>
      </c>
      <c r="CM490" s="19">
        <v>57.555373547316009</v>
      </c>
      <c r="CN490" s="19">
        <v>64.209230769230814</v>
      </c>
      <c r="CO490" s="19">
        <v>0</v>
      </c>
      <c r="CP490" s="19">
        <v>4.4400000000000002E-2</v>
      </c>
      <c r="CQ490" s="19">
        <v>180.0604121472</v>
      </c>
      <c r="CR490" s="19">
        <v>200.41377926136951</v>
      </c>
      <c r="HM490" s="620">
        <f t="shared" ref="HM490:HU490" si="360">HM120</f>
        <v>0.47300000000000003</v>
      </c>
      <c r="HN490" s="620">
        <f t="shared" si="360"/>
        <v>0.13</v>
      </c>
      <c r="HO490" s="620">
        <f t="shared" si="360"/>
        <v>0.39100000000000001</v>
      </c>
      <c r="HP490" s="620">
        <f t="shared" si="360"/>
        <v>5.5E-2</v>
      </c>
      <c r="HQ490" s="620">
        <f t="shared" si="360"/>
        <v>3.97</v>
      </c>
      <c r="HR490" s="620">
        <f t="shared" si="360"/>
        <v>4.5999999999999999E-3</v>
      </c>
      <c r="HS490" s="620">
        <f t="shared" si="360"/>
        <v>2.73</v>
      </c>
      <c r="HT490" s="620" t="str">
        <f t="shared" si="360"/>
        <v>as barley</v>
      </c>
      <c r="HU490" s="620" t="str">
        <f t="shared" si="360"/>
        <v>offfarm</v>
      </c>
      <c r="HV490" s="22" t="s">
        <v>2040</v>
      </c>
      <c r="IB490" s="11">
        <f t="shared" ref="IB490:II490" si="361">IB120</f>
        <v>0.47300000000000003</v>
      </c>
      <c r="IC490" s="11">
        <f t="shared" si="361"/>
        <v>0.13</v>
      </c>
      <c r="ID490" s="11">
        <f t="shared" si="361"/>
        <v>0.39100000000000001</v>
      </c>
      <c r="IE490" s="11">
        <f t="shared" si="361"/>
        <v>5.5E-2</v>
      </c>
      <c r="IF490" s="11">
        <f t="shared" si="361"/>
        <v>3.97</v>
      </c>
      <c r="IG490" s="11">
        <f t="shared" si="361"/>
        <v>4.5999999999999999E-3</v>
      </c>
      <c r="IH490" s="11">
        <f t="shared" si="361"/>
        <v>2.73</v>
      </c>
      <c r="II490" s="11" t="str">
        <f t="shared" si="361"/>
        <v>as barley</v>
      </c>
    </row>
    <row r="491" spans="4:243" x14ac:dyDescent="0.25">
      <c r="D491" s="20" t="s">
        <v>1114</v>
      </c>
      <c r="E491" s="14">
        <v>40310</v>
      </c>
      <c r="F491" s="18">
        <v>-0.14585505226480799</v>
      </c>
      <c r="G491" s="18">
        <v>3.9425760667903598E-2</v>
      </c>
      <c r="H491" s="21">
        <v>15</v>
      </c>
      <c r="I491" s="21">
        <v>7</v>
      </c>
      <c r="J491" s="21">
        <v>7</v>
      </c>
      <c r="K491" s="18">
        <v>1</v>
      </c>
      <c r="L491" s="18">
        <v>90</v>
      </c>
      <c r="M491" s="18">
        <v>3.6</v>
      </c>
      <c r="N491" s="18">
        <v>1.71</v>
      </c>
      <c r="O491" s="18">
        <v>4.05</v>
      </c>
      <c r="P491" s="18">
        <v>40.68</v>
      </c>
      <c r="Q491" s="19"/>
      <c r="R491" s="18">
        <v>-147.39427142857099</v>
      </c>
      <c r="S491" s="18">
        <v>37</v>
      </c>
      <c r="T491" s="18">
        <v>37</v>
      </c>
      <c r="U491" s="18">
        <v>37</v>
      </c>
      <c r="V491" s="18">
        <v>37</v>
      </c>
      <c r="W491" s="18">
        <v>37</v>
      </c>
      <c r="X491" s="18"/>
      <c r="Y491" s="18">
        <v>4.5999999999999996</v>
      </c>
      <c r="Z491" s="18">
        <v>0.9</v>
      </c>
      <c r="AA491" s="18">
        <v>1.4</v>
      </c>
      <c r="AB491" s="18">
        <v>17</v>
      </c>
      <c r="AC491" s="18">
        <v>20</v>
      </c>
      <c r="AD491" s="18">
        <v>0.9</v>
      </c>
      <c r="AE491" s="18">
        <v>1.1000000000000001</v>
      </c>
      <c r="AF491" s="18">
        <v>470</v>
      </c>
      <c r="AG491" s="18">
        <v>3</v>
      </c>
      <c r="AH491" s="18">
        <v>30</v>
      </c>
      <c r="AI491" s="18">
        <v>147</v>
      </c>
      <c r="AJ491" s="18">
        <v>0</v>
      </c>
      <c r="AK491" s="18">
        <v>4.9999999999999996E-2</v>
      </c>
      <c r="AL491" s="18"/>
      <c r="AM491" s="18">
        <v>3.09</v>
      </c>
      <c r="AN491" s="18">
        <v>1.34</v>
      </c>
      <c r="AO491" s="18">
        <v>1.26</v>
      </c>
      <c r="AP491" s="18">
        <v>3.42</v>
      </c>
      <c r="AQ491" s="18">
        <v>0.24</v>
      </c>
      <c r="AR491" s="18">
        <v>2.82</v>
      </c>
      <c r="AS491" s="18">
        <v>4.82</v>
      </c>
      <c r="AT491" s="18">
        <v>1.06</v>
      </c>
      <c r="AU491" s="18">
        <v>3.24</v>
      </c>
      <c r="AV491" s="18">
        <v>2.0299999999999998</v>
      </c>
      <c r="AW491" s="18">
        <v>3.78</v>
      </c>
      <c r="AX491" s="18"/>
      <c r="AY491" s="18">
        <v>1</v>
      </c>
      <c r="AZ491" s="18">
        <v>1</v>
      </c>
      <c r="BA491" s="18">
        <v>1</v>
      </c>
      <c r="BB491" s="18">
        <v>1</v>
      </c>
      <c r="BC491" s="18">
        <v>1</v>
      </c>
      <c r="BD491" s="18">
        <v>1</v>
      </c>
      <c r="BE491" s="18">
        <v>1</v>
      </c>
      <c r="BF491" s="18">
        <v>1</v>
      </c>
      <c r="BG491" s="18">
        <v>1</v>
      </c>
      <c r="BH491" s="18">
        <v>1</v>
      </c>
      <c r="BI491" s="18">
        <v>1</v>
      </c>
      <c r="BJ491" s="19"/>
      <c r="BK491" s="18">
        <v>4</v>
      </c>
      <c r="BL491" s="18">
        <v>1.9</v>
      </c>
      <c r="BM491" s="18">
        <v>4.5</v>
      </c>
      <c r="BN491" s="18">
        <v>45.2</v>
      </c>
      <c r="BO491" s="18"/>
      <c r="BP491" s="18">
        <v>0</v>
      </c>
      <c r="BQ491" s="18">
        <v>0</v>
      </c>
      <c r="BR491" s="18">
        <v>-0.16206116918312</v>
      </c>
      <c r="BS491" s="18">
        <v>4.3806400742115108E-2</v>
      </c>
      <c r="BT491" s="19"/>
      <c r="BU491" s="18">
        <v>955</v>
      </c>
      <c r="BV491" s="18">
        <v>-20.722857142857112</v>
      </c>
      <c r="BW491" s="18">
        <v>109.142857142857</v>
      </c>
      <c r="BX491" s="18">
        <v>201</v>
      </c>
      <c r="BY491" s="18">
        <v>22.254339999999999</v>
      </c>
      <c r="BZ491" s="18" t="s">
        <v>217</v>
      </c>
      <c r="CA491" s="18" t="s">
        <v>217</v>
      </c>
      <c r="CB491" s="19"/>
      <c r="CC491" s="19">
        <v>4.1399999999999997</v>
      </c>
      <c r="CD491" s="19">
        <v>0.81</v>
      </c>
      <c r="CE491" s="19">
        <v>1.26</v>
      </c>
      <c r="CF491" s="19">
        <v>15.3</v>
      </c>
      <c r="CG491" s="19">
        <v>18</v>
      </c>
      <c r="CH491" s="19">
        <v>0.81</v>
      </c>
      <c r="CI491" s="19">
        <v>0.9900000000000001</v>
      </c>
      <c r="CJ491" s="19"/>
      <c r="CK491" s="19">
        <v>423</v>
      </c>
      <c r="CL491" s="19">
        <v>2.7</v>
      </c>
      <c r="CM491" s="19">
        <v>27</v>
      </c>
      <c r="CN491" s="19">
        <v>132.30000000000001</v>
      </c>
      <c r="CO491" s="19">
        <v>0</v>
      </c>
      <c r="CP491" s="19">
        <v>4.4999999999999998E-2</v>
      </c>
      <c r="CQ491" s="19">
        <v>-53.061937714285698</v>
      </c>
      <c r="CR491" s="19">
        <v>363.79910664972226</v>
      </c>
      <c r="HM491" s="620">
        <f t="shared" ref="HM491:HU491" si="362">HM121</f>
        <v>6.0999999999999999E-2</v>
      </c>
      <c r="HN491" s="620">
        <f t="shared" si="362"/>
        <v>1.2E-2</v>
      </c>
      <c r="HO491" s="620">
        <f t="shared" si="362"/>
        <v>3.6999999999999998E-2</v>
      </c>
      <c r="HP491" s="620">
        <f t="shared" si="362"/>
        <v>5.0000000000000001E-3</v>
      </c>
      <c r="HQ491" s="620">
        <f t="shared" si="362"/>
        <v>0.3</v>
      </c>
      <c r="HR491" s="620">
        <f t="shared" si="362"/>
        <v>4.0000000000000002E-4</v>
      </c>
      <c r="HS491" s="620">
        <f t="shared" si="362"/>
        <v>0.26</v>
      </c>
      <c r="HT491" s="620">
        <f t="shared" si="362"/>
        <v>0</v>
      </c>
      <c r="HU491" s="620" t="str">
        <f t="shared" si="362"/>
        <v>offfarm</v>
      </c>
      <c r="HV491" s="22" t="s">
        <v>2041</v>
      </c>
      <c r="IB491" s="11">
        <f t="shared" ref="IB491:II491" si="363">IB121</f>
        <v>6.0999999999999999E-2</v>
      </c>
      <c r="IC491" s="11">
        <f t="shared" si="363"/>
        <v>1.2E-2</v>
      </c>
      <c r="ID491" s="11">
        <f t="shared" si="363"/>
        <v>3.6999999999999998E-2</v>
      </c>
      <c r="IE491" s="11">
        <f t="shared" si="363"/>
        <v>5.0000000000000001E-3</v>
      </c>
      <c r="IF491" s="11">
        <f t="shared" si="363"/>
        <v>0.3</v>
      </c>
      <c r="IG491" s="11">
        <f t="shared" si="363"/>
        <v>4.0000000000000002E-4</v>
      </c>
      <c r="IH491" s="11">
        <f t="shared" si="363"/>
        <v>0.26</v>
      </c>
      <c r="II491" s="11">
        <f t="shared" si="363"/>
        <v>0</v>
      </c>
    </row>
    <row r="492" spans="4:243" x14ac:dyDescent="0.25">
      <c r="D492" s="20" t="s">
        <v>1115</v>
      </c>
      <c r="E492" s="14">
        <v>40310</v>
      </c>
      <c r="F492" s="18">
        <v>-0.14555395470383301</v>
      </c>
      <c r="G492" s="18">
        <v>4.2341643784786699E-2</v>
      </c>
      <c r="H492" s="21">
        <v>15</v>
      </c>
      <c r="I492" s="21">
        <v>7</v>
      </c>
      <c r="J492" s="21">
        <v>7</v>
      </c>
      <c r="K492" s="18">
        <v>1</v>
      </c>
      <c r="L492" s="18">
        <v>90</v>
      </c>
      <c r="M492" s="18">
        <v>2.97</v>
      </c>
      <c r="N492" s="18">
        <v>1.71</v>
      </c>
      <c r="O492" s="18">
        <v>2.79</v>
      </c>
      <c r="P492" s="18">
        <v>40.770000000000003</v>
      </c>
      <c r="Q492" s="19"/>
      <c r="R492" s="18">
        <v>-182.00457142857101</v>
      </c>
      <c r="S492" s="18">
        <v>37</v>
      </c>
      <c r="T492" s="18">
        <v>37</v>
      </c>
      <c r="U492" s="18">
        <v>37</v>
      </c>
      <c r="V492" s="18">
        <v>37</v>
      </c>
      <c r="W492" s="18">
        <v>37</v>
      </c>
      <c r="X492" s="18"/>
      <c r="Y492" s="18">
        <v>3.6</v>
      </c>
      <c r="Z492" s="18">
        <v>0.9</v>
      </c>
      <c r="AA492" s="18">
        <v>9.9999999999999992E-2</v>
      </c>
      <c r="AB492" s="18">
        <v>9.5</v>
      </c>
      <c r="AC492" s="18">
        <v>15</v>
      </c>
      <c r="AD492" s="18">
        <v>0.9</v>
      </c>
      <c r="AE492" s="18">
        <v>0.9</v>
      </c>
      <c r="AF492" s="18">
        <v>291</v>
      </c>
      <c r="AG492" s="18">
        <v>3</v>
      </c>
      <c r="AH492" s="18">
        <v>35</v>
      </c>
      <c r="AI492" s="18">
        <v>46</v>
      </c>
      <c r="AJ492" s="18">
        <v>0</v>
      </c>
      <c r="AK492" s="18">
        <v>4.9999999999999996E-2</v>
      </c>
      <c r="AL492" s="18"/>
      <c r="AM492" s="18">
        <v>3.38</v>
      </c>
      <c r="AN492" s="18">
        <v>1.26</v>
      </c>
      <c r="AO492" s="18">
        <v>1.26</v>
      </c>
      <c r="AP492" s="18">
        <v>2.46</v>
      </c>
      <c r="AQ492" s="18">
        <v>0.24</v>
      </c>
      <c r="AR492" s="18">
        <v>1.84</v>
      </c>
      <c r="AS492" s="18">
        <v>3.38</v>
      </c>
      <c r="AT492" s="18">
        <v>1.06</v>
      </c>
      <c r="AU492" s="18">
        <v>3.24</v>
      </c>
      <c r="AV492" s="18">
        <v>2.0299999999999998</v>
      </c>
      <c r="AW492" s="18">
        <v>2.76</v>
      </c>
      <c r="AX492" s="18"/>
      <c r="AY492" s="18">
        <v>1</v>
      </c>
      <c r="AZ492" s="18">
        <v>1</v>
      </c>
      <c r="BA492" s="18">
        <v>1</v>
      </c>
      <c r="BB492" s="18">
        <v>1</v>
      </c>
      <c r="BC492" s="18">
        <v>1</v>
      </c>
      <c r="BD492" s="18">
        <v>1</v>
      </c>
      <c r="BE492" s="18">
        <v>1</v>
      </c>
      <c r="BF492" s="18">
        <v>1</v>
      </c>
      <c r="BG492" s="18">
        <v>1</v>
      </c>
      <c r="BH492" s="18">
        <v>1</v>
      </c>
      <c r="BI492" s="18">
        <v>1</v>
      </c>
      <c r="BJ492" s="19"/>
      <c r="BK492" s="18">
        <v>3.3000000000000003</v>
      </c>
      <c r="BL492" s="18">
        <v>1.9</v>
      </c>
      <c r="BM492" s="18">
        <v>3.1</v>
      </c>
      <c r="BN492" s="18">
        <v>45.300000000000004</v>
      </c>
      <c r="BO492" s="18"/>
      <c r="BP492" s="18">
        <v>0</v>
      </c>
      <c r="BQ492" s="18">
        <v>0</v>
      </c>
      <c r="BR492" s="18">
        <v>-0.16172661633759222</v>
      </c>
      <c r="BS492" s="18">
        <v>4.7046270871985221E-2</v>
      </c>
      <c r="BT492" s="19"/>
      <c r="BU492" s="18">
        <v>969</v>
      </c>
      <c r="BV492" s="18">
        <v>-13.852857142857111</v>
      </c>
      <c r="BW492" s="18">
        <v>110.74285714285699</v>
      </c>
      <c r="BX492" s="18">
        <v>201</v>
      </c>
      <c r="BY492" s="18">
        <v>22.254339999999999</v>
      </c>
      <c r="BZ492" s="18" t="s">
        <v>217</v>
      </c>
      <c r="CA492" s="18" t="s">
        <v>217</v>
      </c>
      <c r="CB492" s="19"/>
      <c r="CC492" s="19">
        <v>3.24</v>
      </c>
      <c r="CD492" s="19">
        <v>0.81</v>
      </c>
      <c r="CE492" s="19">
        <v>0.09</v>
      </c>
      <c r="CF492" s="19">
        <v>8.5500000000000007</v>
      </c>
      <c r="CG492" s="19">
        <v>13.5</v>
      </c>
      <c r="CH492" s="19">
        <v>0.81</v>
      </c>
      <c r="CI492" s="19">
        <v>0.81</v>
      </c>
      <c r="CJ492" s="19"/>
      <c r="CK492" s="19">
        <v>261.90000000000003</v>
      </c>
      <c r="CL492" s="19">
        <v>2.7</v>
      </c>
      <c r="CM492" s="19">
        <v>31.5</v>
      </c>
      <c r="CN492" s="19">
        <v>41.4</v>
      </c>
      <c r="CO492" s="19">
        <v>0</v>
      </c>
      <c r="CP492" s="19">
        <v>4.4999999999999998E-2</v>
      </c>
      <c r="CQ492" s="19">
        <v>-54.055357714285698</v>
      </c>
      <c r="CR492" s="19">
        <v>371.37677106936218</v>
      </c>
      <c r="HM492" s="620">
        <f t="shared" ref="HM492:HU492" si="364">HM122</f>
        <v>6.0999999999999999E-2</v>
      </c>
      <c r="HN492" s="620">
        <f t="shared" si="364"/>
        <v>1.2E-2</v>
      </c>
      <c r="HO492" s="620">
        <f t="shared" si="364"/>
        <v>3.6999999999999998E-2</v>
      </c>
      <c r="HP492" s="620">
        <f t="shared" si="364"/>
        <v>5.0000000000000001E-3</v>
      </c>
      <c r="HQ492" s="620">
        <f t="shared" si="364"/>
        <v>0.3</v>
      </c>
      <c r="HR492" s="620">
        <f t="shared" si="364"/>
        <v>4.0000000000000002E-4</v>
      </c>
      <c r="HS492" s="620">
        <f t="shared" si="364"/>
        <v>0.26</v>
      </c>
      <c r="HT492" s="620" t="str">
        <f t="shared" si="364"/>
        <v>as barley straw</v>
      </c>
      <c r="HU492" s="620" t="str">
        <f t="shared" si="364"/>
        <v>offfarm</v>
      </c>
      <c r="HV492" s="22" t="s">
        <v>2041</v>
      </c>
      <c r="IB492" s="11">
        <f t="shared" ref="IB492:II492" si="365">IB122</f>
        <v>6.0999999999999999E-2</v>
      </c>
      <c r="IC492" s="11">
        <f t="shared" si="365"/>
        <v>1.2E-2</v>
      </c>
      <c r="ID492" s="11">
        <f t="shared" si="365"/>
        <v>3.6999999999999998E-2</v>
      </c>
      <c r="IE492" s="11">
        <f t="shared" si="365"/>
        <v>5.0000000000000001E-3</v>
      </c>
      <c r="IF492" s="11">
        <f t="shared" si="365"/>
        <v>0.3</v>
      </c>
      <c r="IG492" s="11">
        <f t="shared" si="365"/>
        <v>4.0000000000000002E-4</v>
      </c>
      <c r="IH492" s="11">
        <f t="shared" si="365"/>
        <v>0.26</v>
      </c>
      <c r="II492" s="11" t="str">
        <f t="shared" si="365"/>
        <v>as barley straw</v>
      </c>
    </row>
    <row r="493" spans="4:243" x14ac:dyDescent="0.25">
      <c r="D493" s="20" t="s">
        <v>1116</v>
      </c>
      <c r="E493" s="14">
        <v>40310</v>
      </c>
      <c r="F493" s="18">
        <v>0.245591569802555</v>
      </c>
      <c r="G493" s="18">
        <v>0.26750605488979601</v>
      </c>
      <c r="H493" s="21">
        <v>67.2</v>
      </c>
      <c r="I493" s="21">
        <v>57.2</v>
      </c>
      <c r="J493" s="21">
        <v>75</v>
      </c>
      <c r="K493" s="18">
        <v>1</v>
      </c>
      <c r="L493" s="18">
        <v>32.1</v>
      </c>
      <c r="M493" s="18">
        <v>3.5952000000000002</v>
      </c>
      <c r="N493" s="18">
        <v>0.64200000000000002</v>
      </c>
      <c r="O493" s="18">
        <v>1.8297000000000001</v>
      </c>
      <c r="P493" s="18">
        <v>6.9336000000000002</v>
      </c>
      <c r="Q493" s="19"/>
      <c r="R493" s="18">
        <v>47.7444581632653</v>
      </c>
      <c r="S493" s="18">
        <v>37</v>
      </c>
      <c r="T493" s="18">
        <v>37</v>
      </c>
      <c r="U493" s="18">
        <v>37</v>
      </c>
      <c r="V493" s="18">
        <v>37</v>
      </c>
      <c r="W493" s="18">
        <v>37</v>
      </c>
      <c r="X493" s="18"/>
      <c r="Y493" s="18">
        <v>3.1999999999999997</v>
      </c>
      <c r="Z493" s="18">
        <v>2.9</v>
      </c>
      <c r="AA493" s="18">
        <v>0.6</v>
      </c>
      <c r="AB493" s="18">
        <v>0</v>
      </c>
      <c r="AC493" s="18">
        <v>16.5</v>
      </c>
      <c r="AD493" s="18">
        <v>1.2</v>
      </c>
      <c r="AE493" s="18">
        <v>0</v>
      </c>
      <c r="AF493" s="18">
        <v>57.999999999999993</v>
      </c>
      <c r="AG493" s="18">
        <v>5.8</v>
      </c>
      <c r="AH493" s="18">
        <v>25</v>
      </c>
      <c r="AI493" s="18">
        <v>54</v>
      </c>
      <c r="AJ493" s="18">
        <v>0</v>
      </c>
      <c r="AK493" s="18">
        <v>0.04</v>
      </c>
      <c r="AL493" s="18"/>
      <c r="AM493" s="18">
        <v>2.64</v>
      </c>
      <c r="AN493" s="18">
        <v>1.7</v>
      </c>
      <c r="AO493" s="18">
        <v>1.21</v>
      </c>
      <c r="AP493" s="18">
        <v>3.24</v>
      </c>
      <c r="AQ493" s="18">
        <v>0</v>
      </c>
      <c r="AR493" s="18">
        <v>3.73</v>
      </c>
      <c r="AS493" s="18">
        <v>6.3</v>
      </c>
      <c r="AT493" s="18">
        <v>0.96</v>
      </c>
      <c r="AU493" s="18">
        <v>5.07</v>
      </c>
      <c r="AV493" s="18">
        <v>8.7799999999999994</v>
      </c>
      <c r="AW493" s="18">
        <v>4.67</v>
      </c>
      <c r="AX493" s="18"/>
      <c r="AY493" s="18">
        <v>1</v>
      </c>
      <c r="AZ493" s="18">
        <v>1</v>
      </c>
      <c r="BA493" s="18">
        <v>1</v>
      </c>
      <c r="BB493" s="18">
        <v>1</v>
      </c>
      <c r="BC493" s="18">
        <v>1</v>
      </c>
      <c r="BD493" s="18">
        <v>1</v>
      </c>
      <c r="BE493" s="18">
        <v>1</v>
      </c>
      <c r="BF493" s="18">
        <v>1</v>
      </c>
      <c r="BG493" s="18">
        <v>1</v>
      </c>
      <c r="BH493" s="18">
        <v>1</v>
      </c>
      <c r="BI493" s="18">
        <v>1</v>
      </c>
      <c r="BJ493" s="19"/>
      <c r="BK493" s="18">
        <v>11.2</v>
      </c>
      <c r="BL493" s="18">
        <v>2</v>
      </c>
      <c r="BM493" s="18">
        <v>5.7</v>
      </c>
      <c r="BN493" s="18">
        <v>21.6</v>
      </c>
      <c r="BO493" s="18"/>
      <c r="BP493" s="18">
        <v>120</v>
      </c>
      <c r="BQ493" s="18">
        <v>23.999999999999996</v>
      </c>
      <c r="BR493" s="18">
        <v>0.76508277197057628</v>
      </c>
      <c r="BS493" s="18">
        <v>0.83335219591836762</v>
      </c>
      <c r="BT493" s="19"/>
      <c r="BU493" s="18">
        <v>942.99999999999989</v>
      </c>
      <c r="BV493" s="18">
        <v>377.66171428571334</v>
      </c>
      <c r="BW493" s="18">
        <v>134.71428571428598</v>
      </c>
      <c r="BX493" s="18">
        <v>228</v>
      </c>
      <c r="BY493" s="18">
        <v>17.999999999999996</v>
      </c>
      <c r="BZ493" s="18" t="s">
        <v>217</v>
      </c>
      <c r="CA493" s="18" t="s">
        <v>217</v>
      </c>
      <c r="CB493" s="19"/>
      <c r="CC493" s="19">
        <v>1.0271999999999999</v>
      </c>
      <c r="CD493" s="19">
        <v>0.93089999999999995</v>
      </c>
      <c r="CE493" s="19">
        <v>0.19259999999999999</v>
      </c>
      <c r="CF493" s="19">
        <v>0</v>
      </c>
      <c r="CG493" s="19">
        <v>5.2965</v>
      </c>
      <c r="CH493" s="19">
        <v>0.38519999999999999</v>
      </c>
      <c r="CI493" s="19">
        <v>0</v>
      </c>
      <c r="CJ493" s="19"/>
      <c r="CK493" s="19">
        <v>18.617999999999999</v>
      </c>
      <c r="CL493" s="19">
        <v>1.8617999999999999</v>
      </c>
      <c r="CM493" s="19">
        <v>8.0250000000000004</v>
      </c>
      <c r="CN493" s="19">
        <v>17.334</v>
      </c>
      <c r="CO493" s="19">
        <v>0</v>
      </c>
      <c r="CP493" s="19">
        <v>1.2840000000000001E-2</v>
      </c>
      <c r="CQ493" s="19">
        <v>17.165087598857099</v>
      </c>
      <c r="CR493" s="19">
        <v>69.892820884108872</v>
      </c>
      <c r="HM493" s="620">
        <f t="shared" ref="HM493:HU493" si="366">HM123</f>
        <v>0.30099999999999999</v>
      </c>
      <c r="HN493" s="620">
        <f t="shared" si="366"/>
        <v>9.4E-2</v>
      </c>
      <c r="HO493" s="620">
        <f t="shared" si="366"/>
        <v>0.27200000000000002</v>
      </c>
      <c r="HP493" s="620">
        <f t="shared" si="366"/>
        <v>2.8000000000000001E-2</v>
      </c>
      <c r="HQ493" s="620">
        <f t="shared" si="366"/>
        <v>2.2999999999999998</v>
      </c>
      <c r="HR493" s="620">
        <f t="shared" si="366"/>
        <v>3.2000000000000002E-3</v>
      </c>
      <c r="HS493" s="620">
        <f t="shared" si="366"/>
        <v>1.91</v>
      </c>
      <c r="HT493" s="620">
        <f t="shared" si="366"/>
        <v>0</v>
      </c>
      <c r="HU493" s="620" t="str">
        <f t="shared" si="366"/>
        <v>offfarm</v>
      </c>
      <c r="HV493" s="22" t="s">
        <v>2042</v>
      </c>
      <c r="IB493" s="11">
        <f t="shared" ref="IB493:II493" si="367">IB123</f>
        <v>0.30099999999999999</v>
      </c>
      <c r="IC493" s="11">
        <f t="shared" si="367"/>
        <v>9.4E-2</v>
      </c>
      <c r="ID493" s="11">
        <f t="shared" si="367"/>
        <v>0.27200000000000002</v>
      </c>
      <c r="IE493" s="11">
        <f t="shared" si="367"/>
        <v>2.8000000000000001E-2</v>
      </c>
      <c r="IF493" s="11">
        <f t="shared" si="367"/>
        <v>2.2999999999999998</v>
      </c>
      <c r="IG493" s="11">
        <f t="shared" si="367"/>
        <v>3.2000000000000002E-3</v>
      </c>
      <c r="IH493" s="11">
        <f t="shared" si="367"/>
        <v>1.91</v>
      </c>
      <c r="II493" s="11">
        <f t="shared" si="367"/>
        <v>0</v>
      </c>
    </row>
    <row r="494" spans="4:243" x14ac:dyDescent="0.25">
      <c r="D494" s="20" t="s">
        <v>1117</v>
      </c>
      <c r="E494" s="14">
        <v>40310</v>
      </c>
      <c r="F494" s="18">
        <v>0.22381864854336</v>
      </c>
      <c r="G494" s="18">
        <v>0.243616201961039</v>
      </c>
      <c r="H494" s="21">
        <v>67.510000000000005</v>
      </c>
      <c r="I494" s="21">
        <v>57.5</v>
      </c>
      <c r="J494" s="21">
        <v>75</v>
      </c>
      <c r="K494" s="18">
        <v>1</v>
      </c>
      <c r="L494" s="18">
        <v>29.5</v>
      </c>
      <c r="M494" s="18">
        <v>3.9235000000000002</v>
      </c>
      <c r="N494" s="18">
        <v>0.59</v>
      </c>
      <c r="O494" s="18">
        <v>1.9175</v>
      </c>
      <c r="P494" s="18">
        <v>6.5194999999999999</v>
      </c>
      <c r="Q494" s="19"/>
      <c r="R494" s="18">
        <v>52.253000751879704</v>
      </c>
      <c r="S494" s="18">
        <v>37</v>
      </c>
      <c r="T494" s="18">
        <v>37</v>
      </c>
      <c r="U494" s="18">
        <v>37</v>
      </c>
      <c r="V494" s="18">
        <v>37</v>
      </c>
      <c r="W494" s="18">
        <v>37</v>
      </c>
      <c r="X494" s="18"/>
      <c r="Y494" s="18">
        <v>5.6</v>
      </c>
      <c r="Z494" s="18">
        <v>2.9</v>
      </c>
      <c r="AA494" s="18">
        <v>0.6</v>
      </c>
      <c r="AB494" s="18">
        <v>0</v>
      </c>
      <c r="AC494" s="18">
        <v>17.600000000000001</v>
      </c>
      <c r="AD494" s="18">
        <v>1.4</v>
      </c>
      <c r="AE494" s="18">
        <v>0</v>
      </c>
      <c r="AF494" s="18">
        <v>58</v>
      </c>
      <c r="AG494" s="18">
        <v>6.2</v>
      </c>
      <c r="AH494" s="18">
        <v>29</v>
      </c>
      <c r="AI494" s="18">
        <v>52</v>
      </c>
      <c r="AJ494" s="18">
        <v>0</v>
      </c>
      <c r="AK494" s="18">
        <v>0.04</v>
      </c>
      <c r="AL494" s="18"/>
      <c r="AM494" s="18">
        <v>2.93</v>
      </c>
      <c r="AN494" s="18">
        <v>1.3</v>
      </c>
      <c r="AO494" s="18">
        <v>0.89</v>
      </c>
      <c r="AP494" s="18">
        <v>2.71</v>
      </c>
      <c r="AQ494" s="18">
        <v>0</v>
      </c>
      <c r="AR494" s="18">
        <v>3.92</v>
      </c>
      <c r="AS494" s="18">
        <v>6.1</v>
      </c>
      <c r="AT494" s="18">
        <v>1.29</v>
      </c>
      <c r="AU494" s="18">
        <v>4.18</v>
      </c>
      <c r="AV494" s="18">
        <v>5.66</v>
      </c>
      <c r="AW494" s="18">
        <v>4.83</v>
      </c>
      <c r="AX494" s="18"/>
      <c r="AY494" s="18">
        <v>1</v>
      </c>
      <c r="AZ494" s="18">
        <v>1</v>
      </c>
      <c r="BA494" s="18">
        <v>1</v>
      </c>
      <c r="BB494" s="18">
        <v>1</v>
      </c>
      <c r="BC494" s="18">
        <v>1</v>
      </c>
      <c r="BD494" s="18">
        <v>1</v>
      </c>
      <c r="BE494" s="18">
        <v>1</v>
      </c>
      <c r="BF494" s="18">
        <v>1</v>
      </c>
      <c r="BG494" s="18">
        <v>1</v>
      </c>
      <c r="BH494" s="18">
        <v>1</v>
      </c>
      <c r="BI494" s="18">
        <v>1</v>
      </c>
      <c r="BJ494" s="19"/>
      <c r="BK494" s="18">
        <v>13.3</v>
      </c>
      <c r="BL494" s="18">
        <v>2</v>
      </c>
      <c r="BM494" s="18">
        <v>6.5</v>
      </c>
      <c r="BN494" s="18">
        <v>22.099999999999998</v>
      </c>
      <c r="BO494" s="18"/>
      <c r="BP494" s="18">
        <v>0</v>
      </c>
      <c r="BQ494" s="18">
        <v>0</v>
      </c>
      <c r="BR494" s="18">
        <v>0.75870728319783054</v>
      </c>
      <c r="BS494" s="18">
        <v>0.82581763376623396</v>
      </c>
      <c r="BT494" s="19"/>
      <c r="BU494" s="18">
        <v>935</v>
      </c>
      <c r="BV494" s="18">
        <v>357.08349999999996</v>
      </c>
      <c r="BW494" s="18">
        <v>133.70499999999998</v>
      </c>
      <c r="BX494" s="18">
        <v>201</v>
      </c>
      <c r="BY494" s="18">
        <v>22.254339999999999</v>
      </c>
      <c r="BZ494" s="18" t="s">
        <v>217</v>
      </c>
      <c r="CA494" s="18" t="s">
        <v>217</v>
      </c>
      <c r="CB494" s="19"/>
      <c r="CC494" s="19">
        <v>1.6519999999999999</v>
      </c>
      <c r="CD494" s="19">
        <v>0.85549999999999993</v>
      </c>
      <c r="CE494" s="19">
        <v>0.17699999999999999</v>
      </c>
      <c r="CF494" s="19">
        <v>0</v>
      </c>
      <c r="CG494" s="19">
        <v>5.1920000000000002</v>
      </c>
      <c r="CH494" s="19">
        <v>0.41299999999999998</v>
      </c>
      <c r="CI494" s="19">
        <v>0</v>
      </c>
      <c r="CJ494" s="19"/>
      <c r="CK494" s="19">
        <v>17.11</v>
      </c>
      <c r="CL494" s="19">
        <v>1.829</v>
      </c>
      <c r="CM494" s="19">
        <v>8.5549999999999997</v>
      </c>
      <c r="CN494" s="19">
        <v>15.34</v>
      </c>
      <c r="CO494" s="19">
        <v>0</v>
      </c>
      <c r="CP494" s="19">
        <v>1.18E-2</v>
      </c>
      <c r="CQ494" s="19">
        <v>20.501464845000001</v>
      </c>
      <c r="CR494" s="19">
        <v>91.598555251879674</v>
      </c>
      <c r="HM494" s="620">
        <f t="shared" ref="HM494:HU494" si="368">HM124</f>
        <v>0.30099999999999999</v>
      </c>
      <c r="HN494" s="620">
        <f t="shared" si="368"/>
        <v>9.4E-2</v>
      </c>
      <c r="HO494" s="620">
        <f t="shared" si="368"/>
        <v>0.27200000000000002</v>
      </c>
      <c r="HP494" s="620">
        <f t="shared" si="368"/>
        <v>2.8000000000000001E-2</v>
      </c>
      <c r="HQ494" s="620">
        <f t="shared" si="368"/>
        <v>2.2999999999999998</v>
      </c>
      <c r="HR494" s="620">
        <f t="shared" si="368"/>
        <v>3.2000000000000002E-3</v>
      </c>
      <c r="HS494" s="620">
        <f t="shared" si="368"/>
        <v>1.91</v>
      </c>
      <c r="HT494" s="620" t="str">
        <f t="shared" si="368"/>
        <v>as barley silage</v>
      </c>
      <c r="HU494" s="620" t="str">
        <f t="shared" si="368"/>
        <v>offfarm</v>
      </c>
      <c r="HV494" s="22" t="s">
        <v>2043</v>
      </c>
      <c r="IB494" s="11">
        <f t="shared" ref="IB494:II494" si="369">IB124</f>
        <v>0.30099999999999999</v>
      </c>
      <c r="IC494" s="11">
        <f t="shared" si="369"/>
        <v>9.4E-2</v>
      </c>
      <c r="ID494" s="11">
        <f t="shared" si="369"/>
        <v>0.27200000000000002</v>
      </c>
      <c r="IE494" s="11">
        <f t="shared" si="369"/>
        <v>2.8000000000000001E-2</v>
      </c>
      <c r="IF494" s="11">
        <f t="shared" si="369"/>
        <v>2.2999999999999998</v>
      </c>
      <c r="IG494" s="11">
        <f t="shared" si="369"/>
        <v>3.2000000000000002E-3</v>
      </c>
      <c r="IH494" s="11">
        <f t="shared" si="369"/>
        <v>1.91</v>
      </c>
      <c r="II494" s="11" t="str">
        <f t="shared" si="369"/>
        <v>as barley silage</v>
      </c>
    </row>
    <row r="495" spans="4:243" x14ac:dyDescent="0.25">
      <c r="D495" s="20" t="s">
        <v>1118</v>
      </c>
      <c r="E495" s="14">
        <v>40310</v>
      </c>
      <c r="F495" s="18">
        <v>0.29852687704219899</v>
      </c>
      <c r="G495" s="18">
        <v>0.32546666627087201</v>
      </c>
      <c r="H495" s="21">
        <v>66.900000000000006</v>
      </c>
      <c r="I495" s="21">
        <v>56.9</v>
      </c>
      <c r="J495" s="21">
        <v>75</v>
      </c>
      <c r="K495" s="18">
        <v>1</v>
      </c>
      <c r="L495" s="18">
        <v>38.799999999999997</v>
      </c>
      <c r="M495" s="18">
        <v>3.7248000000000001</v>
      </c>
      <c r="N495" s="18">
        <v>0.77600000000000002</v>
      </c>
      <c r="O495" s="18">
        <v>1.94</v>
      </c>
      <c r="P495" s="18">
        <v>8.4971999999999994</v>
      </c>
      <c r="Q495" s="19"/>
      <c r="R495" s="18">
        <v>42.923705357142801</v>
      </c>
      <c r="S495" s="18">
        <v>37</v>
      </c>
      <c r="T495" s="18">
        <v>37</v>
      </c>
      <c r="U495" s="18">
        <v>37</v>
      </c>
      <c r="V495" s="18">
        <v>37</v>
      </c>
      <c r="W495" s="18">
        <v>37</v>
      </c>
      <c r="X495" s="18"/>
      <c r="Y495" s="18">
        <v>2.6</v>
      </c>
      <c r="Z495" s="18">
        <v>2.4000000000000004</v>
      </c>
      <c r="AA495" s="18">
        <v>0.5</v>
      </c>
      <c r="AB495" s="18">
        <v>0</v>
      </c>
      <c r="AC495" s="18">
        <v>12.400000000000002</v>
      </c>
      <c r="AD495" s="18">
        <v>1</v>
      </c>
      <c r="AE495" s="18">
        <v>0</v>
      </c>
      <c r="AF495" s="18">
        <v>58.000000000000007</v>
      </c>
      <c r="AG495" s="18">
        <v>5.1000000000000005</v>
      </c>
      <c r="AH495" s="18">
        <v>30.000000000000004</v>
      </c>
      <c r="AI495" s="18">
        <v>41</v>
      </c>
      <c r="AJ495" s="18">
        <v>0</v>
      </c>
      <c r="AK495" s="18">
        <v>4.0000000000000008E-2</v>
      </c>
      <c r="AL495" s="18"/>
      <c r="AM495" s="18">
        <v>2.54</v>
      </c>
      <c r="AN495" s="18">
        <v>1</v>
      </c>
      <c r="AO495" s="18">
        <v>0.91</v>
      </c>
      <c r="AP495" s="18">
        <v>2.39</v>
      </c>
      <c r="AQ495" s="18">
        <v>0</v>
      </c>
      <c r="AR495" s="18">
        <v>2.74</v>
      </c>
      <c r="AS495" s="18">
        <v>4.7</v>
      </c>
      <c r="AT495" s="18">
        <v>1.68</v>
      </c>
      <c r="AU495" s="18">
        <v>2.74</v>
      </c>
      <c r="AV495" s="18">
        <v>1.1599999999999999</v>
      </c>
      <c r="AW495" s="18">
        <v>3.55</v>
      </c>
      <c r="AX495" s="18"/>
      <c r="AY495" s="18">
        <v>1</v>
      </c>
      <c r="AZ495" s="18">
        <v>1</v>
      </c>
      <c r="BA495" s="18">
        <v>1</v>
      </c>
      <c r="BB495" s="18">
        <v>1</v>
      </c>
      <c r="BC495" s="18">
        <v>1</v>
      </c>
      <c r="BD495" s="18">
        <v>1</v>
      </c>
      <c r="BE495" s="18">
        <v>1</v>
      </c>
      <c r="BF495" s="18">
        <v>1</v>
      </c>
      <c r="BG495" s="18">
        <v>1</v>
      </c>
      <c r="BH495" s="18">
        <v>1</v>
      </c>
      <c r="BI495" s="18">
        <v>1</v>
      </c>
      <c r="BJ495" s="19"/>
      <c r="BK495" s="18">
        <v>9.6000000000000014</v>
      </c>
      <c r="BL495" s="18">
        <v>2</v>
      </c>
      <c r="BM495" s="18">
        <v>5</v>
      </c>
      <c r="BN495" s="18">
        <v>21.9</v>
      </c>
      <c r="BO495" s="18"/>
      <c r="BP495" s="18">
        <v>105</v>
      </c>
      <c r="BQ495" s="18">
        <v>21</v>
      </c>
      <c r="BR495" s="18">
        <v>0.76939916763453353</v>
      </c>
      <c r="BS495" s="18">
        <v>0.8388316141001857</v>
      </c>
      <c r="BT495" s="19"/>
      <c r="BU495" s="18">
        <v>950.00000000000011</v>
      </c>
      <c r="BV495" s="18">
        <v>393.07571428571396</v>
      </c>
      <c r="BW495" s="18">
        <v>135.71428571428609</v>
      </c>
      <c r="BX495" s="18">
        <v>250.00000000000003</v>
      </c>
      <c r="BY495" s="18">
        <v>20</v>
      </c>
      <c r="BZ495" s="18" t="s">
        <v>217</v>
      </c>
      <c r="CA495" s="18" t="s">
        <v>217</v>
      </c>
      <c r="CB495" s="19"/>
      <c r="CC495" s="19">
        <v>1.0087999999999999</v>
      </c>
      <c r="CD495" s="19">
        <v>0.93120000000000003</v>
      </c>
      <c r="CE495" s="19">
        <v>0.19399999999999998</v>
      </c>
      <c r="CF495" s="19">
        <v>0</v>
      </c>
      <c r="CG495" s="19">
        <v>4.8112000000000004</v>
      </c>
      <c r="CH495" s="19">
        <v>0.38799999999999996</v>
      </c>
      <c r="CI495" s="19">
        <v>0</v>
      </c>
      <c r="CJ495" s="19"/>
      <c r="CK495" s="19">
        <v>22.504000000000001</v>
      </c>
      <c r="CL495" s="19">
        <v>1.9787999999999999</v>
      </c>
      <c r="CM495" s="19">
        <v>11.64</v>
      </c>
      <c r="CN495" s="19">
        <v>15.907999999999998</v>
      </c>
      <c r="CO495" s="19">
        <v>0</v>
      </c>
      <c r="CP495" s="19">
        <v>1.5520000000000001E-2</v>
      </c>
      <c r="CQ495" s="19">
        <v>15.9882217714286</v>
      </c>
      <c r="CR495" s="19">
        <v>53.557059685344669</v>
      </c>
      <c r="HM495" s="620">
        <f t="shared" ref="HM495:HU495" si="370">HM125</f>
        <v>0.30099999999999999</v>
      </c>
      <c r="HN495" s="620">
        <f t="shared" si="370"/>
        <v>9.4E-2</v>
      </c>
      <c r="HO495" s="620">
        <f t="shared" si="370"/>
        <v>0.27200000000000002</v>
      </c>
      <c r="HP495" s="620">
        <f t="shared" si="370"/>
        <v>2.8000000000000001E-2</v>
      </c>
      <c r="HQ495" s="620">
        <f t="shared" si="370"/>
        <v>2.2999999999999998</v>
      </c>
      <c r="HR495" s="620">
        <f t="shared" si="370"/>
        <v>3.2000000000000002E-3</v>
      </c>
      <c r="HS495" s="620">
        <f t="shared" si="370"/>
        <v>1.91</v>
      </c>
      <c r="HT495" s="620" t="str">
        <f t="shared" si="370"/>
        <v>as barley silage</v>
      </c>
      <c r="HU495" s="620" t="str">
        <f t="shared" si="370"/>
        <v>offfarm</v>
      </c>
      <c r="HV495" s="22" t="s">
        <v>2044</v>
      </c>
      <c r="IB495" s="11">
        <f t="shared" ref="IB495:II495" si="371">IB125</f>
        <v>0.30099999999999999</v>
      </c>
      <c r="IC495" s="11">
        <f t="shared" si="371"/>
        <v>9.4E-2</v>
      </c>
      <c r="ID495" s="11">
        <f t="shared" si="371"/>
        <v>0.27200000000000002</v>
      </c>
      <c r="IE495" s="11">
        <f t="shared" si="371"/>
        <v>2.8000000000000001E-2</v>
      </c>
      <c r="IF495" s="11">
        <f t="shared" si="371"/>
        <v>2.2999999999999998</v>
      </c>
      <c r="IG495" s="11">
        <f t="shared" si="371"/>
        <v>3.2000000000000002E-3</v>
      </c>
      <c r="IH495" s="11">
        <f t="shared" si="371"/>
        <v>1.91</v>
      </c>
      <c r="II495" s="11" t="str">
        <f t="shared" si="371"/>
        <v>as barley silage</v>
      </c>
    </row>
    <row r="496" spans="4:243" x14ac:dyDescent="0.25">
      <c r="D496" s="20" t="s">
        <v>1119</v>
      </c>
      <c r="E496" s="14">
        <v>40310</v>
      </c>
      <c r="F496" s="18">
        <v>0.242670936875726</v>
      </c>
      <c r="G496" s="18">
        <v>0.26427615892096501</v>
      </c>
      <c r="H496" s="21">
        <v>67.3</v>
      </c>
      <c r="I496" s="21">
        <v>57.3</v>
      </c>
      <c r="J496" s="21">
        <v>75</v>
      </c>
      <c r="K496" s="18">
        <v>1</v>
      </c>
      <c r="L496" s="18">
        <v>31.8</v>
      </c>
      <c r="M496" s="18">
        <v>3.8477999999999999</v>
      </c>
      <c r="N496" s="18">
        <v>0.63600000000000001</v>
      </c>
      <c r="O496" s="18">
        <v>1.8762000000000001</v>
      </c>
      <c r="P496" s="18">
        <v>6.9960000000000004</v>
      </c>
      <c r="Q496" s="19"/>
      <c r="R496" s="18">
        <v>49.841696103896098</v>
      </c>
      <c r="S496" s="18">
        <v>37</v>
      </c>
      <c r="T496" s="18">
        <v>37</v>
      </c>
      <c r="U496" s="18">
        <v>37</v>
      </c>
      <c r="V496" s="18">
        <v>37</v>
      </c>
      <c r="W496" s="18">
        <v>37</v>
      </c>
      <c r="X496" s="18"/>
      <c r="Y496" s="18">
        <v>5</v>
      </c>
      <c r="Z496" s="18">
        <v>2.7</v>
      </c>
      <c r="AA496" s="18">
        <v>0.4</v>
      </c>
      <c r="AB496" s="18">
        <v>0</v>
      </c>
      <c r="AC496" s="18">
        <v>14.299999999999999</v>
      </c>
      <c r="AD496" s="18">
        <v>1.2</v>
      </c>
      <c r="AE496" s="18">
        <v>0</v>
      </c>
      <c r="AF496" s="18">
        <v>57.999999999999993</v>
      </c>
      <c r="AG496" s="18">
        <v>6.3</v>
      </c>
      <c r="AH496" s="18">
        <v>24</v>
      </c>
      <c r="AI496" s="18">
        <v>47</v>
      </c>
      <c r="AJ496" s="18">
        <v>0</v>
      </c>
      <c r="AK496" s="18">
        <v>0.04</v>
      </c>
      <c r="AL496" s="18"/>
      <c r="AM496" s="18">
        <v>2.9</v>
      </c>
      <c r="AN496" s="18">
        <v>0.96</v>
      </c>
      <c r="AO496" s="18">
        <v>0.74</v>
      </c>
      <c r="AP496" s="18">
        <v>2.29</v>
      </c>
      <c r="AQ496" s="18">
        <v>0</v>
      </c>
      <c r="AR496" s="18">
        <v>3.48</v>
      </c>
      <c r="AS496" s="18">
        <v>5.35</v>
      </c>
      <c r="AT496" s="18">
        <v>1.63</v>
      </c>
      <c r="AU496" s="18">
        <v>3.07</v>
      </c>
      <c r="AV496" s="18">
        <v>2.02</v>
      </c>
      <c r="AW496" s="18">
        <v>4.32</v>
      </c>
      <c r="AX496" s="18"/>
      <c r="AY496" s="18">
        <v>1</v>
      </c>
      <c r="AZ496" s="18">
        <v>1</v>
      </c>
      <c r="BA496" s="18">
        <v>1</v>
      </c>
      <c r="BB496" s="18">
        <v>1</v>
      </c>
      <c r="BC496" s="18">
        <v>1</v>
      </c>
      <c r="BD496" s="18">
        <v>1</v>
      </c>
      <c r="BE496" s="18">
        <v>1</v>
      </c>
      <c r="BF496" s="18">
        <v>1</v>
      </c>
      <c r="BG496" s="18">
        <v>1</v>
      </c>
      <c r="BH496" s="18">
        <v>1</v>
      </c>
      <c r="BI496" s="18">
        <v>1</v>
      </c>
      <c r="BJ496" s="19"/>
      <c r="BK496" s="18">
        <v>12.1</v>
      </c>
      <c r="BL496" s="18">
        <v>2</v>
      </c>
      <c r="BM496" s="18">
        <v>5.9</v>
      </c>
      <c r="BN496" s="18">
        <v>22</v>
      </c>
      <c r="BO496" s="18"/>
      <c r="BP496" s="18">
        <v>0</v>
      </c>
      <c r="BQ496" s="18">
        <v>0</v>
      </c>
      <c r="BR496" s="18">
        <v>0.7631161536972515</v>
      </c>
      <c r="BS496" s="18">
        <v>0.83105710352504714</v>
      </c>
      <c r="BT496" s="19"/>
      <c r="BU496" s="18">
        <v>941</v>
      </c>
      <c r="BV496" s="18">
        <v>369.35442857142766</v>
      </c>
      <c r="BW496" s="18">
        <v>134.42857142857108</v>
      </c>
      <c r="BX496" s="18">
        <v>250</v>
      </c>
      <c r="BY496" s="18">
        <v>20</v>
      </c>
      <c r="BZ496" s="18" t="s">
        <v>217</v>
      </c>
      <c r="CA496" s="18" t="s">
        <v>217</v>
      </c>
      <c r="CB496" s="19"/>
      <c r="CC496" s="19">
        <v>1.59</v>
      </c>
      <c r="CD496" s="19">
        <v>0.85860000000000003</v>
      </c>
      <c r="CE496" s="19">
        <v>0.12720000000000001</v>
      </c>
      <c r="CF496" s="19">
        <v>0</v>
      </c>
      <c r="CG496" s="19">
        <v>4.5473999999999997</v>
      </c>
      <c r="CH496" s="19">
        <v>0.38159999999999999</v>
      </c>
      <c r="CI496" s="19">
        <v>0</v>
      </c>
      <c r="CJ496" s="19"/>
      <c r="CK496" s="19">
        <v>18.443999999999999</v>
      </c>
      <c r="CL496" s="19">
        <v>2.0034000000000001</v>
      </c>
      <c r="CM496" s="19">
        <v>7.6319999999999997</v>
      </c>
      <c r="CN496" s="19">
        <v>14.946</v>
      </c>
      <c r="CO496" s="19">
        <v>0</v>
      </c>
      <c r="CP496" s="19">
        <v>1.272E-2</v>
      </c>
      <c r="CQ496" s="19">
        <v>19.178087826857102</v>
      </c>
      <c r="CR496" s="19">
        <v>79.02919102619353</v>
      </c>
      <c r="HM496" s="620">
        <f t="shared" ref="HM496:HU496" si="372">HM126</f>
        <v>0.30099999999999999</v>
      </c>
      <c r="HN496" s="620">
        <f t="shared" si="372"/>
        <v>9.4E-2</v>
      </c>
      <c r="HO496" s="620">
        <f t="shared" si="372"/>
        <v>0.27200000000000002</v>
      </c>
      <c r="HP496" s="620">
        <f t="shared" si="372"/>
        <v>2.8000000000000001E-2</v>
      </c>
      <c r="HQ496" s="620">
        <f t="shared" si="372"/>
        <v>2.2999999999999998</v>
      </c>
      <c r="HR496" s="620">
        <f t="shared" si="372"/>
        <v>3.2000000000000002E-3</v>
      </c>
      <c r="HS496" s="620">
        <f t="shared" si="372"/>
        <v>1.91</v>
      </c>
      <c r="HT496" s="620" t="str">
        <f t="shared" si="372"/>
        <v>as barley silage</v>
      </c>
      <c r="HU496" s="620" t="str">
        <f t="shared" si="372"/>
        <v>offfarm</v>
      </c>
      <c r="HV496" s="22" t="s">
        <v>2045</v>
      </c>
      <c r="IB496" s="11">
        <f t="shared" ref="IB496:II496" si="373">IB126</f>
        <v>0.30099999999999999</v>
      </c>
      <c r="IC496" s="11">
        <f t="shared" si="373"/>
        <v>9.4E-2</v>
      </c>
      <c r="ID496" s="11">
        <f t="shared" si="373"/>
        <v>0.27200000000000002</v>
      </c>
      <c r="IE496" s="11">
        <f t="shared" si="373"/>
        <v>2.8000000000000001E-2</v>
      </c>
      <c r="IF496" s="11">
        <f t="shared" si="373"/>
        <v>2.2999999999999998</v>
      </c>
      <c r="IG496" s="11">
        <f t="shared" si="373"/>
        <v>3.2000000000000002E-3</v>
      </c>
      <c r="IH496" s="11">
        <f t="shared" si="373"/>
        <v>1.91</v>
      </c>
      <c r="II496" s="11" t="str">
        <f t="shared" si="373"/>
        <v>as barley silage</v>
      </c>
    </row>
    <row r="497" spans="4:243" x14ac:dyDescent="0.25">
      <c r="D497" s="20" t="s">
        <v>1120</v>
      </c>
      <c r="E497" s="14">
        <v>40310</v>
      </c>
      <c r="F497" s="18">
        <v>0.21759558183314001</v>
      </c>
      <c r="G497" s="18">
        <v>0.23596281126159599</v>
      </c>
      <c r="H497" s="21">
        <v>68.45</v>
      </c>
      <c r="I497" s="21">
        <v>58.5</v>
      </c>
      <c r="J497" s="21">
        <v>75</v>
      </c>
      <c r="K497" s="18">
        <v>1</v>
      </c>
      <c r="L497" s="18">
        <v>29</v>
      </c>
      <c r="M497" s="18">
        <v>4.8719999999999999</v>
      </c>
      <c r="N497" s="18">
        <v>0.57999999999999996</v>
      </c>
      <c r="O497" s="18">
        <v>2.4649999999999999</v>
      </c>
      <c r="P497" s="18">
        <v>6.38</v>
      </c>
      <c r="Q497" s="19"/>
      <c r="R497" s="18">
        <v>57.492588010204102</v>
      </c>
      <c r="S497" s="18">
        <v>37</v>
      </c>
      <c r="T497" s="18">
        <v>37</v>
      </c>
      <c r="U497" s="18">
        <v>37</v>
      </c>
      <c r="V497" s="18">
        <v>37</v>
      </c>
      <c r="W497" s="18">
        <v>37</v>
      </c>
      <c r="X497" s="18"/>
      <c r="Y497" s="18">
        <v>9.2000000000000011</v>
      </c>
      <c r="Z497" s="18">
        <v>3.2</v>
      </c>
      <c r="AA497" s="18">
        <v>0.49999999999999994</v>
      </c>
      <c r="AB497" s="18">
        <v>0</v>
      </c>
      <c r="AC497" s="18">
        <v>18.7</v>
      </c>
      <c r="AD497" s="18">
        <v>1.8</v>
      </c>
      <c r="AE497" s="18">
        <v>0</v>
      </c>
      <c r="AF497" s="18">
        <v>58</v>
      </c>
      <c r="AG497" s="18">
        <v>7.3999999999999995</v>
      </c>
      <c r="AH497" s="18">
        <v>31</v>
      </c>
      <c r="AI497" s="18">
        <v>62</v>
      </c>
      <c r="AJ497" s="18">
        <v>0</v>
      </c>
      <c r="AK497" s="18">
        <v>3.9999999999999994E-2</v>
      </c>
      <c r="AL497" s="18"/>
      <c r="AM497" s="18">
        <v>3.2</v>
      </c>
      <c r="AN497" s="18">
        <v>0.93</v>
      </c>
      <c r="AO497" s="18">
        <v>0.6</v>
      </c>
      <c r="AP497" s="18">
        <v>2.21</v>
      </c>
      <c r="AQ497" s="18">
        <v>0</v>
      </c>
      <c r="AR497" s="18">
        <v>4.0999999999999996</v>
      </c>
      <c r="AS497" s="18">
        <v>5.9</v>
      </c>
      <c r="AT497" s="18">
        <v>1.59</v>
      </c>
      <c r="AU497" s="18">
        <v>3.35</v>
      </c>
      <c r="AV497" s="18">
        <v>2.75</v>
      </c>
      <c r="AW497" s="18">
        <v>4.97</v>
      </c>
      <c r="AX497" s="18"/>
      <c r="AY497" s="18">
        <v>1</v>
      </c>
      <c r="AZ497" s="18">
        <v>1</v>
      </c>
      <c r="BA497" s="18">
        <v>1</v>
      </c>
      <c r="BB497" s="18">
        <v>1</v>
      </c>
      <c r="BC497" s="18">
        <v>1</v>
      </c>
      <c r="BD497" s="18">
        <v>1</v>
      </c>
      <c r="BE497" s="18">
        <v>1</v>
      </c>
      <c r="BF497" s="18">
        <v>1</v>
      </c>
      <c r="BG497" s="18">
        <v>1</v>
      </c>
      <c r="BH497" s="18">
        <v>1</v>
      </c>
      <c r="BI497" s="18">
        <v>1</v>
      </c>
      <c r="BJ497" s="19"/>
      <c r="BK497" s="18">
        <v>16.8</v>
      </c>
      <c r="BL497" s="18">
        <v>1.9999999999999998</v>
      </c>
      <c r="BM497" s="18">
        <v>8.5</v>
      </c>
      <c r="BN497" s="18">
        <v>22</v>
      </c>
      <c r="BO497" s="18"/>
      <c r="BP497" s="18">
        <v>130</v>
      </c>
      <c r="BQ497" s="18">
        <v>26</v>
      </c>
      <c r="BR497" s="18">
        <v>0.75032959252806897</v>
      </c>
      <c r="BS497" s="18">
        <v>0.81366486641929647</v>
      </c>
      <c r="BT497" s="19"/>
      <c r="BU497" s="18">
        <v>915.00000000000011</v>
      </c>
      <c r="BV497" s="18">
        <v>323.97678571428588</v>
      </c>
      <c r="BW497" s="18">
        <v>130.06071428571414</v>
      </c>
      <c r="BX497" s="18">
        <v>150</v>
      </c>
      <c r="BY497" s="18">
        <v>27</v>
      </c>
      <c r="BZ497" s="18" t="s">
        <v>217</v>
      </c>
      <c r="CA497" s="18" t="s">
        <v>217</v>
      </c>
      <c r="CB497" s="19"/>
      <c r="CC497" s="19">
        <v>2.6680000000000001</v>
      </c>
      <c r="CD497" s="19">
        <v>0.92799999999999994</v>
      </c>
      <c r="CE497" s="19">
        <v>0.14499999999999996</v>
      </c>
      <c r="CF497" s="19">
        <v>0</v>
      </c>
      <c r="CG497" s="19">
        <v>5.4229999999999992</v>
      </c>
      <c r="CH497" s="19">
        <v>0.52200000000000002</v>
      </c>
      <c r="CI497" s="19">
        <v>0</v>
      </c>
      <c r="CJ497" s="19"/>
      <c r="CK497" s="19">
        <v>16.82</v>
      </c>
      <c r="CL497" s="19">
        <v>2.1459999999999999</v>
      </c>
      <c r="CM497" s="19">
        <v>8.99</v>
      </c>
      <c r="CN497" s="19">
        <v>17.98</v>
      </c>
      <c r="CO497" s="19">
        <v>0</v>
      </c>
      <c r="CP497" s="19">
        <v>1.1599999999999997E-2</v>
      </c>
      <c r="CQ497" s="19">
        <v>28.010388878571401</v>
      </c>
      <c r="CR497" s="19">
        <v>128.72682727561426</v>
      </c>
      <c r="HM497" s="620">
        <f t="shared" ref="HM497:HU497" si="374">HM127</f>
        <v>0.30099999999999999</v>
      </c>
      <c r="HN497" s="620">
        <f t="shared" si="374"/>
        <v>9.4E-2</v>
      </c>
      <c r="HO497" s="620">
        <f t="shared" si="374"/>
        <v>0.27200000000000002</v>
      </c>
      <c r="HP497" s="620">
        <f t="shared" si="374"/>
        <v>2.8000000000000001E-2</v>
      </c>
      <c r="HQ497" s="620">
        <f t="shared" si="374"/>
        <v>2.2999999999999998</v>
      </c>
      <c r="HR497" s="620">
        <f t="shared" si="374"/>
        <v>3.2000000000000002E-3</v>
      </c>
      <c r="HS497" s="620">
        <f t="shared" si="374"/>
        <v>1.91</v>
      </c>
      <c r="HT497" s="620" t="str">
        <f t="shared" si="374"/>
        <v>as barley silage</v>
      </c>
      <c r="HU497" s="620" t="str">
        <f t="shared" si="374"/>
        <v>offfarm</v>
      </c>
      <c r="HV497" s="22" t="s">
        <v>2046</v>
      </c>
      <c r="IB497" s="11">
        <f t="shared" ref="IB497:II497" si="375">IB127</f>
        <v>0.30099999999999999</v>
      </c>
      <c r="IC497" s="11">
        <f t="shared" si="375"/>
        <v>9.4E-2</v>
      </c>
      <c r="ID497" s="11">
        <f t="shared" si="375"/>
        <v>0.27200000000000002</v>
      </c>
      <c r="IE497" s="11">
        <f t="shared" si="375"/>
        <v>2.8000000000000001E-2</v>
      </c>
      <c r="IF497" s="11">
        <f t="shared" si="375"/>
        <v>2.2999999999999998</v>
      </c>
      <c r="IG497" s="11">
        <f t="shared" si="375"/>
        <v>3.2000000000000002E-3</v>
      </c>
      <c r="IH497" s="11">
        <f t="shared" si="375"/>
        <v>1.91</v>
      </c>
      <c r="II497" s="11" t="str">
        <f t="shared" si="375"/>
        <v>as barley silage</v>
      </c>
    </row>
    <row r="498" spans="4:243" x14ac:dyDescent="0.25">
      <c r="D498" s="185" t="s">
        <v>1121</v>
      </c>
      <c r="E498" s="14">
        <v>40310</v>
      </c>
      <c r="F498" s="18">
        <v>1.38668307588076</v>
      </c>
      <c r="G498" s="18">
        <v>1.3401750231168801</v>
      </c>
      <c r="H498" s="21">
        <v>99.4</v>
      </c>
      <c r="I498" s="21">
        <v>96.3</v>
      </c>
      <c r="J498" s="21">
        <v>98</v>
      </c>
      <c r="K498" s="18">
        <v>1</v>
      </c>
      <c r="L498" s="18">
        <v>95</v>
      </c>
      <c r="M498" s="18">
        <v>31.254999999999999</v>
      </c>
      <c r="N498" s="18">
        <v>5.7949999999999999</v>
      </c>
      <c r="O498" s="18">
        <v>7.8849999999999998</v>
      </c>
      <c r="P498" s="18">
        <v>2.3097254999999999</v>
      </c>
      <c r="Q498" s="19"/>
      <c r="R498" s="18">
        <v>94</v>
      </c>
      <c r="S498" s="18">
        <v>58</v>
      </c>
      <c r="T498" s="18">
        <v>58</v>
      </c>
      <c r="U498" s="18">
        <v>58</v>
      </c>
      <c r="V498" s="18">
        <v>58</v>
      </c>
      <c r="W498" s="18">
        <v>58</v>
      </c>
      <c r="X498" s="18"/>
      <c r="Y498" s="18">
        <v>10.4</v>
      </c>
      <c r="Z498" s="18">
        <v>9</v>
      </c>
      <c r="AA498" s="18">
        <v>4.2</v>
      </c>
      <c r="AB498" s="18">
        <v>0</v>
      </c>
      <c r="AC498" s="18">
        <v>11</v>
      </c>
      <c r="AD498" s="18">
        <v>1.2</v>
      </c>
      <c r="AE498" s="18">
        <v>3</v>
      </c>
      <c r="AF498" s="18">
        <v>6</v>
      </c>
      <c r="AG498" s="18">
        <v>3</v>
      </c>
      <c r="AH498" s="18">
        <v>2</v>
      </c>
      <c r="AI498" s="18">
        <v>38</v>
      </c>
      <c r="AJ498" s="18">
        <v>0</v>
      </c>
      <c r="AK498" s="18">
        <v>0.13</v>
      </c>
      <c r="AL498" s="18"/>
      <c r="AM498" s="18">
        <v>7.87</v>
      </c>
      <c r="AN498" s="18">
        <v>2.4700000000000002</v>
      </c>
      <c r="AO498" s="18">
        <v>0.86</v>
      </c>
      <c r="AP498" s="18">
        <v>4.45</v>
      </c>
      <c r="AQ498" s="18">
        <v>1.3</v>
      </c>
      <c r="AR498" s="18">
        <v>5.71</v>
      </c>
      <c r="AS498" s="18">
        <v>10</v>
      </c>
      <c r="AT498" s="18">
        <v>2.87</v>
      </c>
      <c r="AU498" s="18">
        <v>4.83</v>
      </c>
      <c r="AV498" s="18">
        <v>4.91</v>
      </c>
      <c r="AW498" s="18">
        <v>6.72</v>
      </c>
      <c r="AX498" s="18"/>
      <c r="AY498" s="18">
        <v>1.03</v>
      </c>
      <c r="AZ498" s="18">
        <v>1.03</v>
      </c>
      <c r="BA498" s="18">
        <v>1.04</v>
      </c>
      <c r="BB498" s="18">
        <v>1.03</v>
      </c>
      <c r="BC498" s="18">
        <v>1</v>
      </c>
      <c r="BD498" s="18">
        <v>1.01</v>
      </c>
      <c r="BE498" s="18">
        <v>1.03</v>
      </c>
      <c r="BF498" s="18">
        <v>1.02</v>
      </c>
      <c r="BG498" s="18">
        <v>1.04</v>
      </c>
      <c r="BH498" s="18">
        <v>0.93</v>
      </c>
      <c r="BI498" s="18">
        <v>0.98</v>
      </c>
      <c r="BJ498" s="19"/>
      <c r="BK498" s="18">
        <v>32.9</v>
      </c>
      <c r="BL498" s="18">
        <v>6.1</v>
      </c>
      <c r="BM498" s="18">
        <v>8.2999999999999989</v>
      </c>
      <c r="BN498" s="18">
        <v>2.4312899999999997</v>
      </c>
      <c r="BO498" s="18"/>
      <c r="BP498" s="18">
        <v>0</v>
      </c>
      <c r="BQ498" s="18">
        <v>0</v>
      </c>
      <c r="BR498" s="18">
        <v>1.4596663956639579</v>
      </c>
      <c r="BS498" s="18">
        <v>1.4107105506493474</v>
      </c>
      <c r="BT498" s="19"/>
      <c r="BU498" s="18">
        <v>917</v>
      </c>
      <c r="BV498" s="18">
        <v>512.32799999999997</v>
      </c>
      <c r="BW498" s="18">
        <v>40.610000000000106</v>
      </c>
      <c r="BX498" s="18" t="s">
        <v>217</v>
      </c>
      <c r="BY498" s="18" t="s">
        <v>217</v>
      </c>
      <c r="BZ498" s="18" t="s">
        <v>217</v>
      </c>
      <c r="CA498" s="18" t="s">
        <v>217</v>
      </c>
      <c r="CB498" s="19"/>
      <c r="CC498" s="19">
        <v>9.879999999999999</v>
      </c>
      <c r="CD498" s="19">
        <v>8.5499999999999989</v>
      </c>
      <c r="CE498" s="19">
        <v>3.9899999999999998</v>
      </c>
      <c r="CF498" s="19">
        <v>0</v>
      </c>
      <c r="CG498" s="19">
        <v>10.45</v>
      </c>
      <c r="CH498" s="19">
        <v>1.1399999999999999</v>
      </c>
      <c r="CI498" s="19">
        <v>2.8499999999999996</v>
      </c>
      <c r="CJ498" s="19"/>
      <c r="CK498" s="19">
        <v>5.6999999999999993</v>
      </c>
      <c r="CL498" s="19">
        <v>2.8499999999999996</v>
      </c>
      <c r="CM498" s="19">
        <v>1.9</v>
      </c>
      <c r="CN498" s="19">
        <v>36.1</v>
      </c>
      <c r="CO498" s="19">
        <v>0</v>
      </c>
      <c r="CP498" s="19">
        <v>0.1235</v>
      </c>
      <c r="CQ498" s="19">
        <v>293.79700000000003</v>
      </c>
      <c r="CR498" s="19">
        <v>211.8703293565425</v>
      </c>
      <c r="HM498" s="620">
        <f t="shared" ref="HM498:HU498" si="376">HM128</f>
        <v>0</v>
      </c>
      <c r="HN498" s="620">
        <f t="shared" si="376"/>
        <v>0</v>
      </c>
      <c r="HO498" s="620">
        <f t="shared" si="376"/>
        <v>0</v>
      </c>
      <c r="HP498" s="620">
        <f t="shared" si="376"/>
        <v>0</v>
      </c>
      <c r="HQ498" s="620">
        <f t="shared" si="376"/>
        <v>0</v>
      </c>
      <c r="HR498" s="620">
        <f t="shared" si="376"/>
        <v>0</v>
      </c>
      <c r="HS498" s="620">
        <f t="shared" si="376"/>
        <v>0</v>
      </c>
      <c r="HT498" s="620">
        <f t="shared" si="376"/>
        <v>0</v>
      </c>
      <c r="HU498" s="620" t="str">
        <f t="shared" si="376"/>
        <v>offfarm</v>
      </c>
      <c r="HV498" s="22" t="s">
        <v>2047</v>
      </c>
      <c r="IB498" s="11">
        <f t="shared" ref="IB498:II498" si="377">IB128</f>
        <v>0.47300000000000003</v>
      </c>
      <c r="IC498" s="11">
        <f t="shared" si="377"/>
        <v>0.13</v>
      </c>
      <c r="ID498" s="11">
        <f t="shared" si="377"/>
        <v>0.39100000000000001</v>
      </c>
      <c r="IE498" s="11">
        <f t="shared" si="377"/>
        <v>5.5E-2</v>
      </c>
      <c r="IF498" s="11">
        <f t="shared" si="377"/>
        <v>3.97</v>
      </c>
      <c r="IG498" s="11">
        <f t="shared" si="377"/>
        <v>4.5999999999999999E-3</v>
      </c>
      <c r="IH498" s="11">
        <f t="shared" si="377"/>
        <v>2.73</v>
      </c>
      <c r="II498" s="11">
        <f t="shared" si="377"/>
        <v>0</v>
      </c>
    </row>
    <row r="499" spans="4:243" x14ac:dyDescent="0.25">
      <c r="D499" s="185" t="s">
        <v>1122</v>
      </c>
      <c r="E499" s="14">
        <v>40310</v>
      </c>
      <c r="F499" s="18">
        <v>1.30980819839929</v>
      </c>
      <c r="G499" s="18">
        <v>1.2625421641655601</v>
      </c>
      <c r="H499" s="21">
        <v>96</v>
      </c>
      <c r="I499" s="21">
        <v>96</v>
      </c>
      <c r="J499" s="21">
        <v>96</v>
      </c>
      <c r="K499" s="18">
        <v>1</v>
      </c>
      <c r="L499" s="18">
        <v>94.17</v>
      </c>
      <c r="M499" s="18">
        <v>32.206140000000097</v>
      </c>
      <c r="N499" s="18">
        <v>4.7000002158000003</v>
      </c>
      <c r="O499" s="18">
        <v>9.0000001728000001</v>
      </c>
      <c r="P499" s="18">
        <v>0</v>
      </c>
      <c r="Q499" s="19"/>
      <c r="R499" s="18">
        <v>94</v>
      </c>
      <c r="S499" s="18">
        <v>58</v>
      </c>
      <c r="T499" s="18">
        <v>58</v>
      </c>
      <c r="U499" s="18">
        <v>58</v>
      </c>
      <c r="V499" s="18">
        <v>58</v>
      </c>
      <c r="W499" s="18">
        <v>58</v>
      </c>
      <c r="X499" s="18"/>
      <c r="Y499" s="18">
        <v>15.1</v>
      </c>
      <c r="Z499" s="18">
        <v>11.200000000000001</v>
      </c>
      <c r="AA499" s="18">
        <v>6.5</v>
      </c>
      <c r="AB499" s="18">
        <v>0</v>
      </c>
      <c r="AC499" s="18">
        <v>16</v>
      </c>
      <c r="AD499" s="18">
        <v>1.3</v>
      </c>
      <c r="AE499" s="18">
        <v>3.3000000000000003</v>
      </c>
      <c r="AF499" s="18">
        <v>65</v>
      </c>
      <c r="AG499" s="18">
        <v>5</v>
      </c>
      <c r="AH499" s="18">
        <v>8</v>
      </c>
      <c r="AI499" s="18">
        <v>53</v>
      </c>
      <c r="AJ499" s="18">
        <v>0</v>
      </c>
      <c r="AK499" s="18">
        <v>0.35000000000000003</v>
      </c>
      <c r="AL499" s="18"/>
      <c r="AM499" s="18">
        <v>7.6414140000000002</v>
      </c>
      <c r="AN499" s="18">
        <v>2.4520200000000001</v>
      </c>
      <c r="AO499" s="18">
        <v>0.80555599999999805</v>
      </c>
      <c r="AP499" s="18">
        <v>4.9646460000000001</v>
      </c>
      <c r="AQ499" s="18">
        <v>1.8712120000000001</v>
      </c>
      <c r="AR499" s="18">
        <v>5.1035349999999697</v>
      </c>
      <c r="AS499" s="18">
        <v>9.4267679999999796</v>
      </c>
      <c r="AT499" s="18">
        <v>2.6843429999999899</v>
      </c>
      <c r="AU499" s="18">
        <v>4.4520199999999903</v>
      </c>
      <c r="AV499" s="18">
        <v>4.5252529999999904</v>
      </c>
      <c r="AW499" s="18">
        <v>6.2601009999999704</v>
      </c>
      <c r="AX499" s="18"/>
      <c r="AY499" s="18">
        <v>1.03</v>
      </c>
      <c r="AZ499" s="18">
        <v>1.03</v>
      </c>
      <c r="BA499" s="18">
        <v>1.04</v>
      </c>
      <c r="BB499" s="18">
        <v>1.03</v>
      </c>
      <c r="BC499" s="18">
        <v>1</v>
      </c>
      <c r="BD499" s="18">
        <v>1.01</v>
      </c>
      <c r="BE499" s="18">
        <v>1.03</v>
      </c>
      <c r="BF499" s="18">
        <v>1.02</v>
      </c>
      <c r="BG499" s="18">
        <v>1.04</v>
      </c>
      <c r="BH499" s="18">
        <v>0.93</v>
      </c>
      <c r="BI499" s="18">
        <v>0.98</v>
      </c>
      <c r="BJ499" s="19"/>
      <c r="BK499" s="18">
        <v>34.200000000000102</v>
      </c>
      <c r="BL499" s="18">
        <v>4.9909740000000005</v>
      </c>
      <c r="BM499" s="18">
        <v>9.5571839999999995</v>
      </c>
      <c r="BN499" s="18">
        <v>0</v>
      </c>
      <c r="BO499" s="18"/>
      <c r="BP499" s="18">
        <v>0</v>
      </c>
      <c r="BQ499" s="18">
        <v>0</v>
      </c>
      <c r="BR499" s="18">
        <v>1.390897524051492</v>
      </c>
      <c r="BS499" s="18">
        <v>1.3407052821127323</v>
      </c>
      <c r="BT499" s="19"/>
      <c r="BU499" s="18">
        <v>904.42816000000005</v>
      </c>
      <c r="BV499" s="18">
        <v>508.61858579999893</v>
      </c>
      <c r="BW499" s="18">
        <v>0</v>
      </c>
      <c r="BX499" s="18" t="s">
        <v>217</v>
      </c>
      <c r="BY499" s="18" t="s">
        <v>217</v>
      </c>
      <c r="BZ499" s="18" t="s">
        <v>217</v>
      </c>
      <c r="CA499" s="18" t="s">
        <v>217</v>
      </c>
      <c r="CB499" s="19"/>
      <c r="CC499" s="19">
        <v>14.219669999999999</v>
      </c>
      <c r="CD499" s="19">
        <v>10.547040000000001</v>
      </c>
      <c r="CE499" s="19">
        <v>6.1210500000000003</v>
      </c>
      <c r="CF499" s="19">
        <v>0</v>
      </c>
      <c r="CG499" s="19">
        <v>15.0672</v>
      </c>
      <c r="CH499" s="19">
        <v>1.22421</v>
      </c>
      <c r="CI499" s="19">
        <v>3.1076100000000002</v>
      </c>
      <c r="CJ499" s="19"/>
      <c r="CK499" s="19">
        <v>61.210499999999996</v>
      </c>
      <c r="CL499" s="19">
        <v>4.7084999999999999</v>
      </c>
      <c r="CM499" s="19">
        <v>7.5335999999999999</v>
      </c>
      <c r="CN499" s="19">
        <v>49.9101</v>
      </c>
      <c r="CO499" s="19">
        <v>0</v>
      </c>
      <c r="CP499" s="19">
        <v>0.32959500000000003</v>
      </c>
      <c r="CQ499" s="19">
        <v>302.737716000001</v>
      </c>
      <c r="CR499" s="19">
        <v>231.13133386245042</v>
      </c>
      <c r="HM499" s="620">
        <f t="shared" ref="HM499:HU499" si="378">HM129</f>
        <v>0</v>
      </c>
      <c r="HN499" s="620">
        <f t="shared" si="378"/>
        <v>0</v>
      </c>
      <c r="HO499" s="620">
        <f t="shared" si="378"/>
        <v>0</v>
      </c>
      <c r="HP499" s="620">
        <f t="shared" si="378"/>
        <v>0</v>
      </c>
      <c r="HQ499" s="620">
        <f t="shared" si="378"/>
        <v>0</v>
      </c>
      <c r="HR499" s="620">
        <f t="shared" si="378"/>
        <v>0</v>
      </c>
      <c r="HS499" s="620">
        <f t="shared" si="378"/>
        <v>0</v>
      </c>
      <c r="HT499" s="620">
        <f t="shared" si="378"/>
        <v>0</v>
      </c>
      <c r="HU499" s="620" t="str">
        <f t="shared" si="378"/>
        <v>offfarm</v>
      </c>
      <c r="HV499" s="22" t="s">
        <v>2047</v>
      </c>
      <c r="IB499" s="11">
        <f t="shared" ref="IB499:II499" si="379">IB129</f>
        <v>0.47300000000000003</v>
      </c>
      <c r="IC499" s="11">
        <f t="shared" si="379"/>
        <v>0.13</v>
      </c>
      <c r="ID499" s="11">
        <f t="shared" si="379"/>
        <v>0.39100000000000001</v>
      </c>
      <c r="IE499" s="11">
        <f t="shared" si="379"/>
        <v>5.5E-2</v>
      </c>
      <c r="IF499" s="11">
        <f t="shared" si="379"/>
        <v>3.97</v>
      </c>
      <c r="IG499" s="11">
        <f t="shared" si="379"/>
        <v>4.5999999999999999E-3</v>
      </c>
      <c r="IH499" s="11">
        <f t="shared" si="379"/>
        <v>2.73</v>
      </c>
      <c r="II499" s="11">
        <f t="shared" si="379"/>
        <v>0</v>
      </c>
    </row>
    <row r="500" spans="4:243" x14ac:dyDescent="0.25">
      <c r="D500" s="20" t="s">
        <v>1309</v>
      </c>
      <c r="E500" s="14">
        <v>40310</v>
      </c>
      <c r="F500" s="18">
        <v>1.1672371646341499</v>
      </c>
      <c r="G500" s="18">
        <v>1.1187286071428599</v>
      </c>
      <c r="H500" s="21">
        <v>100</v>
      </c>
      <c r="I500" s="21">
        <v>100</v>
      </c>
      <c r="J500" s="21">
        <v>100</v>
      </c>
      <c r="K500" s="18">
        <v>1</v>
      </c>
      <c r="L500" s="18">
        <v>99</v>
      </c>
      <c r="M500" s="18">
        <v>66.082499999999996</v>
      </c>
      <c r="N500" s="18">
        <v>0</v>
      </c>
      <c r="O500" s="18">
        <v>15.048</v>
      </c>
      <c r="P500" s="18">
        <v>0</v>
      </c>
      <c r="Q500" s="19"/>
      <c r="R500" s="18">
        <v>100</v>
      </c>
      <c r="S500" s="18">
        <v>0</v>
      </c>
      <c r="T500" s="18">
        <v>0</v>
      </c>
      <c r="U500" s="18">
        <v>0</v>
      </c>
      <c r="V500" s="18">
        <v>0</v>
      </c>
      <c r="W500" s="18">
        <v>0</v>
      </c>
      <c r="X500" s="18"/>
      <c r="Y500" s="18">
        <v>0</v>
      </c>
      <c r="Z500" s="18">
        <v>0</v>
      </c>
      <c r="AA500" s="18">
        <v>0</v>
      </c>
      <c r="AB500" s="18">
        <v>0</v>
      </c>
      <c r="AC500" s="18">
        <v>0</v>
      </c>
      <c r="AD500" s="18">
        <v>0</v>
      </c>
      <c r="AE500" s="18">
        <v>0</v>
      </c>
      <c r="AF500" s="18">
        <v>0</v>
      </c>
      <c r="AG500" s="18">
        <v>0</v>
      </c>
      <c r="AH500" s="18">
        <v>0</v>
      </c>
      <c r="AI500" s="18">
        <v>0</v>
      </c>
      <c r="AJ500" s="18">
        <v>0</v>
      </c>
      <c r="AK500" s="18">
        <v>0</v>
      </c>
      <c r="AL500" s="18"/>
      <c r="AM500" s="18">
        <v>0</v>
      </c>
      <c r="AN500" s="18">
        <v>0</v>
      </c>
      <c r="AO500" s="18">
        <v>0</v>
      </c>
      <c r="AP500" s="18">
        <v>0</v>
      </c>
      <c r="AQ500" s="18">
        <v>0</v>
      </c>
      <c r="AR500" s="18">
        <v>0</v>
      </c>
      <c r="AS500" s="18">
        <v>149.81273400000001</v>
      </c>
      <c r="AT500" s="18">
        <v>0</v>
      </c>
      <c r="AU500" s="18">
        <v>0</v>
      </c>
      <c r="AV500" s="18">
        <v>0</v>
      </c>
      <c r="AW500" s="18">
        <v>0</v>
      </c>
      <c r="AX500" s="18"/>
      <c r="AY500" s="18">
        <v>1</v>
      </c>
      <c r="AZ500" s="18">
        <v>1</v>
      </c>
      <c r="BA500" s="18">
        <v>1</v>
      </c>
      <c r="BB500" s="18">
        <v>1</v>
      </c>
      <c r="BC500" s="18">
        <v>1</v>
      </c>
      <c r="BD500" s="18">
        <v>1</v>
      </c>
      <c r="BE500" s="18">
        <v>1</v>
      </c>
      <c r="BF500" s="18">
        <v>1</v>
      </c>
      <c r="BG500" s="18">
        <v>1</v>
      </c>
      <c r="BH500" s="18">
        <v>1</v>
      </c>
      <c r="BI500" s="18">
        <v>1</v>
      </c>
      <c r="BJ500" s="19"/>
      <c r="BK500" s="18">
        <v>66.75</v>
      </c>
      <c r="BL500" s="18">
        <v>0</v>
      </c>
      <c r="BM500" s="18">
        <v>15.2</v>
      </c>
      <c r="BN500" s="18">
        <v>0</v>
      </c>
      <c r="BO500" s="18"/>
      <c r="BP500" s="18">
        <v>0</v>
      </c>
      <c r="BQ500" s="18">
        <v>0</v>
      </c>
      <c r="BR500" s="18">
        <v>1.179027439024394</v>
      </c>
      <c r="BS500" s="18">
        <v>1.1300288961038989</v>
      </c>
      <c r="BT500" s="19"/>
      <c r="BU500" s="18">
        <v>848</v>
      </c>
      <c r="BV500" s="18">
        <v>240.57500000000002</v>
      </c>
      <c r="BW500" s="18">
        <v>0</v>
      </c>
      <c r="BX500" s="18">
        <v>0</v>
      </c>
      <c r="BY500" s="18">
        <v>0</v>
      </c>
      <c r="BZ500" s="18" t="s">
        <v>217</v>
      </c>
      <c r="CA500" s="18" t="s">
        <v>217</v>
      </c>
      <c r="CB500" s="19"/>
      <c r="CC500" s="19">
        <v>0</v>
      </c>
      <c r="CD500" s="19">
        <v>0</v>
      </c>
      <c r="CE500" s="19">
        <v>0</v>
      </c>
      <c r="CF500" s="19">
        <v>0</v>
      </c>
      <c r="CG500" s="19">
        <v>0</v>
      </c>
      <c r="CH500" s="19">
        <v>0</v>
      </c>
      <c r="CI500" s="19">
        <v>0</v>
      </c>
      <c r="CJ500" s="19"/>
      <c r="CK500" s="19">
        <v>0</v>
      </c>
      <c r="CL500" s="19">
        <v>0</v>
      </c>
      <c r="CM500" s="19">
        <v>0</v>
      </c>
      <c r="CN500" s="19">
        <v>0</v>
      </c>
      <c r="CO500" s="19">
        <v>0</v>
      </c>
      <c r="CP500" s="19">
        <v>0</v>
      </c>
      <c r="CQ500" s="19">
        <v>660.82500000000005</v>
      </c>
      <c r="CR500" s="19">
        <v>566.14458485574698</v>
      </c>
      <c r="HM500" s="620">
        <f t="shared" ref="HM500:HU500" si="380">HM130</f>
        <v>0</v>
      </c>
      <c r="HN500" s="620">
        <f t="shared" si="380"/>
        <v>0</v>
      </c>
      <c r="HO500" s="620">
        <f t="shared" si="380"/>
        <v>0</v>
      </c>
      <c r="HP500" s="620">
        <f t="shared" si="380"/>
        <v>0</v>
      </c>
      <c r="HQ500" s="620">
        <f t="shared" si="380"/>
        <v>0</v>
      </c>
      <c r="HR500" s="620">
        <f t="shared" si="380"/>
        <v>0</v>
      </c>
      <c r="HS500" s="620">
        <f t="shared" si="380"/>
        <v>0</v>
      </c>
      <c r="HT500" s="620">
        <f t="shared" si="380"/>
        <v>0</v>
      </c>
      <c r="HU500" s="620" t="str">
        <f t="shared" si="380"/>
        <v>offfarm</v>
      </c>
      <c r="HV500" s="22" t="s">
        <v>2013</v>
      </c>
      <c r="IB500" s="11">
        <f t="shared" ref="IB500:II500" si="381">IB130</f>
        <v>0.47300000000000003</v>
      </c>
      <c r="IC500" s="11">
        <f t="shared" si="381"/>
        <v>0.13</v>
      </c>
      <c r="ID500" s="11">
        <f t="shared" si="381"/>
        <v>0.39100000000000001</v>
      </c>
      <c r="IE500" s="11">
        <f t="shared" si="381"/>
        <v>5.5E-2</v>
      </c>
      <c r="IF500" s="11">
        <f t="shared" si="381"/>
        <v>3.97</v>
      </c>
      <c r="IG500" s="11">
        <f t="shared" si="381"/>
        <v>4.5999999999999999E-3</v>
      </c>
      <c r="IH500" s="11">
        <f t="shared" si="381"/>
        <v>2.73</v>
      </c>
      <c r="II500" s="11">
        <f t="shared" si="381"/>
        <v>0</v>
      </c>
    </row>
    <row r="501" spans="4:243" x14ac:dyDescent="0.25">
      <c r="D501" s="20" t="s">
        <v>1123</v>
      </c>
      <c r="E501" s="14">
        <v>42695</v>
      </c>
      <c r="F501" s="18">
        <v>0.43137418591753801</v>
      </c>
      <c r="G501" s="18">
        <v>0.53413084789684595</v>
      </c>
      <c r="H501" s="21">
        <v>58.7</v>
      </c>
      <c r="I501" s="21">
        <v>41.8</v>
      </c>
      <c r="J501" s="21">
        <v>77</v>
      </c>
      <c r="K501" s="18">
        <v>1</v>
      </c>
      <c r="L501" s="18">
        <v>91.1</v>
      </c>
      <c r="M501" s="18">
        <v>15.1226</v>
      </c>
      <c r="N501" s="18">
        <v>2.1863999999999999</v>
      </c>
      <c r="O501" s="18">
        <v>10.385400000000001</v>
      </c>
      <c r="P501" s="18">
        <v>25.872399999999999</v>
      </c>
      <c r="Q501" s="19"/>
      <c r="R501" s="18">
        <v>52.527762306368302</v>
      </c>
      <c r="S501" s="18">
        <v>50</v>
      </c>
      <c r="T501" s="18">
        <v>50</v>
      </c>
      <c r="U501" s="18">
        <v>50</v>
      </c>
      <c r="V501" s="18">
        <v>50</v>
      </c>
      <c r="W501" s="18">
        <v>50</v>
      </c>
      <c r="X501" s="18"/>
      <c r="Y501" s="18">
        <v>6.9990309034133693</v>
      </c>
      <c r="Z501" s="18">
        <v>2.7996123613653459</v>
      </c>
      <c r="AA501" s="18">
        <v>2.2000000000000002</v>
      </c>
      <c r="AB501" s="18">
        <v>0</v>
      </c>
      <c r="AC501" s="18">
        <v>24.000000000000004</v>
      </c>
      <c r="AD501" s="18">
        <v>2.2000000000000002</v>
      </c>
      <c r="AE501" s="18">
        <v>2.6999999999999997</v>
      </c>
      <c r="AF501" s="18">
        <v>550</v>
      </c>
      <c r="AG501" s="18">
        <v>8.4</v>
      </c>
      <c r="AH501" s="18">
        <v>91.000000000000014</v>
      </c>
      <c r="AI501" s="18">
        <v>37.000000000000007</v>
      </c>
      <c r="AJ501" s="18">
        <v>0</v>
      </c>
      <c r="AK501" s="18">
        <v>0</v>
      </c>
      <c r="AL501" s="18"/>
      <c r="AM501" s="18">
        <v>4.66</v>
      </c>
      <c r="AN501" s="18">
        <v>1.43</v>
      </c>
      <c r="AO501" s="18">
        <v>1.1599999999999999</v>
      </c>
      <c r="AP501" s="18">
        <v>4.01</v>
      </c>
      <c r="AQ501" s="18">
        <v>1.66</v>
      </c>
      <c r="AR501" s="18">
        <v>3.93</v>
      </c>
      <c r="AS501" s="18">
        <v>6.33</v>
      </c>
      <c r="AT501" s="18">
        <v>1.92</v>
      </c>
      <c r="AU501" s="18">
        <v>4.41</v>
      </c>
      <c r="AV501" s="18">
        <v>2.81</v>
      </c>
      <c r="AW501" s="18">
        <v>5.26</v>
      </c>
      <c r="AX501" s="18"/>
      <c r="AY501" s="18">
        <v>1</v>
      </c>
      <c r="AZ501" s="18">
        <v>1</v>
      </c>
      <c r="BA501" s="18">
        <v>1</v>
      </c>
      <c r="BB501" s="18">
        <v>1</v>
      </c>
      <c r="BC501" s="18">
        <v>1</v>
      </c>
      <c r="BD501" s="18">
        <v>1</v>
      </c>
      <c r="BE501" s="18">
        <v>1</v>
      </c>
      <c r="BF501" s="18">
        <v>1</v>
      </c>
      <c r="BG501" s="18">
        <v>1</v>
      </c>
      <c r="BH501" s="18">
        <v>1</v>
      </c>
      <c r="BI501" s="18">
        <v>1</v>
      </c>
      <c r="BJ501" s="19"/>
      <c r="BK501" s="18">
        <v>16.600000000000001</v>
      </c>
      <c r="BL501" s="18">
        <v>2.4</v>
      </c>
      <c r="BM501" s="18">
        <v>11.4</v>
      </c>
      <c r="BN501" s="18">
        <v>28.4</v>
      </c>
      <c r="BO501" s="18"/>
      <c r="BP501" s="18">
        <v>0</v>
      </c>
      <c r="BQ501" s="18">
        <v>0</v>
      </c>
      <c r="BR501" s="18">
        <v>0.47351721835075522</v>
      </c>
      <c r="BS501" s="18">
        <v>0.58631267606679038</v>
      </c>
      <c r="BT501" s="19"/>
      <c r="BU501" s="18">
        <v>886</v>
      </c>
      <c r="BV501" s="18">
        <v>131.8362857142865</v>
      </c>
      <c r="BW501" s="18">
        <v>213.90571428571351</v>
      </c>
      <c r="BX501" s="18">
        <v>68</v>
      </c>
      <c r="BY501" s="18">
        <v>23</v>
      </c>
      <c r="BZ501" s="18">
        <v>91.924755714285737</v>
      </c>
      <c r="CA501" s="18">
        <v>448.80910142857084</v>
      </c>
      <c r="CB501" s="19"/>
      <c r="CC501" s="19">
        <v>6.376117153009579</v>
      </c>
      <c r="CD501" s="19">
        <v>2.55044686120383</v>
      </c>
      <c r="CE501" s="19">
        <v>2.0042</v>
      </c>
      <c r="CF501" s="19">
        <v>0</v>
      </c>
      <c r="CG501" s="19">
        <v>21.864000000000001</v>
      </c>
      <c r="CH501" s="19">
        <v>2.0042</v>
      </c>
      <c r="CI501" s="19">
        <v>2.4596999999999993</v>
      </c>
      <c r="CJ501" s="19"/>
      <c r="CK501" s="19">
        <v>501.04999999999995</v>
      </c>
      <c r="CL501" s="19">
        <v>7.6524000000000001</v>
      </c>
      <c r="CM501" s="19">
        <v>82.90100000000001</v>
      </c>
      <c r="CN501" s="19">
        <v>33.707000000000001</v>
      </c>
      <c r="CO501" s="19">
        <v>0</v>
      </c>
      <c r="CP501" s="19">
        <v>0</v>
      </c>
      <c r="CQ501" s="19">
        <v>79.435633825428596</v>
      </c>
      <c r="CR501" s="19">
        <v>184.14554328620304</v>
      </c>
      <c r="HM501" s="620">
        <f t="shared" ref="HM501:HU501" si="382">HM131</f>
        <v>0.252</v>
      </c>
      <c r="HN501" s="620">
        <f t="shared" si="382"/>
        <v>-4.5999999999999999E-2</v>
      </c>
      <c r="HO501" s="620">
        <f t="shared" si="382"/>
        <v>0.219</v>
      </c>
      <c r="HP501" s="620">
        <f t="shared" si="382"/>
        <v>1.0999999999999999E-2</v>
      </c>
      <c r="HQ501" s="620">
        <f t="shared" si="382"/>
        <v>1.65</v>
      </c>
      <c r="HR501" s="620">
        <f t="shared" si="382"/>
        <v>1.9E-3</v>
      </c>
      <c r="HS501" s="620">
        <f t="shared" si="382"/>
        <v>1.53</v>
      </c>
      <c r="HT501" s="620" t="str">
        <f t="shared" si="382"/>
        <v>as grass silage</v>
      </c>
      <c r="HU501" s="620" t="str">
        <f t="shared" si="382"/>
        <v>offfarm</v>
      </c>
      <c r="HV501" s="22" t="s">
        <v>2013</v>
      </c>
      <c r="IB501" s="11">
        <f t="shared" ref="IB501:II501" si="383">IB131</f>
        <v>0.252</v>
      </c>
      <c r="IC501" s="11">
        <f t="shared" si="383"/>
        <v>-4.5999999999999999E-2</v>
      </c>
      <c r="ID501" s="11">
        <f t="shared" si="383"/>
        <v>0.219</v>
      </c>
      <c r="IE501" s="11">
        <f t="shared" si="383"/>
        <v>1.0999999999999999E-2</v>
      </c>
      <c r="IF501" s="11">
        <f t="shared" si="383"/>
        <v>1.65</v>
      </c>
      <c r="IG501" s="11">
        <f t="shared" si="383"/>
        <v>1.9E-3</v>
      </c>
      <c r="IH501" s="11">
        <f t="shared" si="383"/>
        <v>1.53</v>
      </c>
      <c r="II501" s="11" t="str">
        <f t="shared" si="383"/>
        <v>as grass silage</v>
      </c>
    </row>
    <row r="502" spans="4:243" x14ac:dyDescent="0.25">
      <c r="D502" s="20" t="s">
        <v>1124</v>
      </c>
      <c r="E502" s="14">
        <v>42520</v>
      </c>
      <c r="F502" s="18">
        <v>0.73282595663956596</v>
      </c>
      <c r="G502" s="18">
        <v>0.81494891532467395</v>
      </c>
      <c r="H502" s="21">
        <v>90</v>
      </c>
      <c r="I502" s="21">
        <v>55.7</v>
      </c>
      <c r="J502" s="21">
        <v>90</v>
      </c>
      <c r="K502" s="18">
        <v>1</v>
      </c>
      <c r="L502" s="18">
        <v>79.400000000000006</v>
      </c>
      <c r="M502" s="18">
        <v>27.7</v>
      </c>
      <c r="N502" s="18">
        <v>5.3</v>
      </c>
      <c r="O502" s="18">
        <v>3.4935999999999998</v>
      </c>
      <c r="P502" s="18">
        <v>13.6568</v>
      </c>
      <c r="Q502" s="19"/>
      <c r="R502" s="18">
        <v>88</v>
      </c>
      <c r="S502" s="18">
        <v>50</v>
      </c>
      <c r="T502" s="18">
        <v>54</v>
      </c>
      <c r="U502" s="18">
        <v>55</v>
      </c>
      <c r="V502" s="18">
        <v>56</v>
      </c>
      <c r="W502" s="18">
        <v>57</v>
      </c>
      <c r="X502" s="18"/>
      <c r="Y502" s="18">
        <v>3.1863979848866495</v>
      </c>
      <c r="Z502" s="18">
        <v>4.6221662468513847</v>
      </c>
      <c r="AA502" s="18">
        <v>9.9999999999999992E-2</v>
      </c>
      <c r="AB502" s="18">
        <v>0</v>
      </c>
      <c r="AC502" s="18">
        <v>11.799999999999999</v>
      </c>
      <c r="AD502" s="18">
        <v>2.2999999999999998</v>
      </c>
      <c r="AE502" s="18">
        <v>2.1</v>
      </c>
      <c r="AF502" s="18">
        <v>41.999999999999993</v>
      </c>
      <c r="AG502" s="18">
        <v>5</v>
      </c>
      <c r="AH502" s="18">
        <v>50</v>
      </c>
      <c r="AI502" s="18">
        <v>41.999999999999993</v>
      </c>
      <c r="AJ502" s="18">
        <v>0</v>
      </c>
      <c r="AK502" s="18">
        <v>0.10999999999999999</v>
      </c>
      <c r="AL502" s="18"/>
      <c r="AM502" s="18">
        <v>4.6570397111913397</v>
      </c>
      <c r="AN502" s="18">
        <v>0.58844765342960303</v>
      </c>
      <c r="AO502" s="18">
        <v>0.94945848375451303</v>
      </c>
      <c r="AP502" s="18">
        <v>3.4259927797833898</v>
      </c>
      <c r="AQ502" s="18">
        <v>0.8</v>
      </c>
      <c r="AR502" s="18">
        <v>3.95</v>
      </c>
      <c r="AS502" s="18">
        <v>6.74</v>
      </c>
      <c r="AT502" s="18">
        <v>2.6</v>
      </c>
      <c r="AU502" s="18">
        <v>3.85</v>
      </c>
      <c r="AV502" s="18">
        <v>3.93</v>
      </c>
      <c r="AW502" s="18">
        <v>3.79</v>
      </c>
      <c r="AX502" s="18"/>
      <c r="AY502" s="18">
        <v>0.99</v>
      </c>
      <c r="AZ502" s="18">
        <v>0.95</v>
      </c>
      <c r="BA502" s="18">
        <v>0.97</v>
      </c>
      <c r="BB502" s="18">
        <v>0.95</v>
      </c>
      <c r="BC502" s="18">
        <v>0.98</v>
      </c>
      <c r="BD502" s="18">
        <v>0.98</v>
      </c>
      <c r="BE502" s="18">
        <v>0.98</v>
      </c>
      <c r="BF502" s="18">
        <v>1.02</v>
      </c>
      <c r="BG502" s="18">
        <v>0.99</v>
      </c>
      <c r="BH502" s="18">
        <v>0.97</v>
      </c>
      <c r="BI502" s="18">
        <v>0.94</v>
      </c>
      <c r="BJ502" s="19"/>
      <c r="BK502" s="18">
        <v>34.886649874055415</v>
      </c>
      <c r="BL502" s="18">
        <v>6.6750629722921913</v>
      </c>
      <c r="BM502" s="18">
        <v>4.3999999999999995</v>
      </c>
      <c r="BN502" s="18">
        <v>17.2</v>
      </c>
      <c r="BO502" s="18"/>
      <c r="BP502" s="18">
        <v>116</v>
      </c>
      <c r="BQ502" s="18">
        <v>77.43073047858941</v>
      </c>
      <c r="BR502" s="18">
        <v>0.92295460533950369</v>
      </c>
      <c r="BS502" s="18">
        <v>1.0263840243383802</v>
      </c>
      <c r="BT502" s="19"/>
      <c r="BU502" s="18">
        <v>955.99999999999989</v>
      </c>
      <c r="BV502" s="18">
        <v>9.7433753148615114</v>
      </c>
      <c r="BW502" s="18">
        <v>468.43999999999994</v>
      </c>
      <c r="BX502" s="18" t="s">
        <v>217</v>
      </c>
      <c r="BY502" s="18" t="s">
        <v>217</v>
      </c>
      <c r="BZ502" s="18">
        <v>168.90186801007556</v>
      </c>
      <c r="CA502" s="18">
        <v>358.91646952141053</v>
      </c>
      <c r="CB502" s="19"/>
      <c r="CC502" s="19">
        <v>2.5299999999999998</v>
      </c>
      <c r="CD502" s="19">
        <v>3.6699999999999995</v>
      </c>
      <c r="CE502" s="19">
        <v>7.9399999999999998E-2</v>
      </c>
      <c r="CF502" s="19">
        <v>0</v>
      </c>
      <c r="CG502" s="19">
        <v>9.3691999999999993</v>
      </c>
      <c r="CH502" s="19">
        <v>1.8262</v>
      </c>
      <c r="CI502" s="19">
        <v>1.6674000000000002</v>
      </c>
      <c r="CJ502" s="19"/>
      <c r="CK502" s="19">
        <v>33.347999999999999</v>
      </c>
      <c r="CL502" s="19">
        <v>3.97</v>
      </c>
      <c r="CM502" s="19">
        <v>39.700000000000003</v>
      </c>
      <c r="CN502" s="19">
        <v>33.347999999999999</v>
      </c>
      <c r="CO502" s="19">
        <v>0</v>
      </c>
      <c r="CP502" s="19">
        <v>8.7339999999999987E-2</v>
      </c>
      <c r="CQ502" s="19">
        <v>243.76</v>
      </c>
      <c r="CR502" s="19">
        <v>332.63013924586085</v>
      </c>
      <c r="HM502" s="620">
        <f t="shared" ref="HM502:HU502" si="384">HM132</f>
        <v>0.14000000000000001</v>
      </c>
      <c r="HN502" s="620">
        <f t="shared" si="384"/>
        <v>7.0000000000000007E-2</v>
      </c>
      <c r="HO502" s="620">
        <f t="shared" si="384"/>
        <v>0.51702999999999999</v>
      </c>
      <c r="HP502" s="620">
        <f t="shared" si="384"/>
        <v>2.1999999999999999E-2</v>
      </c>
      <c r="HQ502" s="620">
        <f t="shared" si="384"/>
        <v>0.72</v>
      </c>
      <c r="HR502" s="620">
        <f t="shared" si="384"/>
        <v>1.2900000000000001E-3</v>
      </c>
      <c r="HS502" s="620">
        <f t="shared" si="384"/>
        <v>3.47</v>
      </c>
      <c r="HT502" s="620" t="str">
        <f t="shared" si="384"/>
        <v>as faba beans</v>
      </c>
      <c r="HU502" s="620" t="str">
        <f t="shared" si="384"/>
        <v>offfarm</v>
      </c>
      <c r="HV502" s="22" t="s">
        <v>2048</v>
      </c>
      <c r="IB502" s="11">
        <f t="shared" ref="IB502:II502" si="385">IB132</f>
        <v>0.14000000000000001</v>
      </c>
      <c r="IC502" s="11">
        <f t="shared" si="385"/>
        <v>7.0000000000000007E-2</v>
      </c>
      <c r="ID502" s="11">
        <f t="shared" si="385"/>
        <v>0.51702999999999999</v>
      </c>
      <c r="IE502" s="11">
        <f t="shared" si="385"/>
        <v>2.1999999999999999E-2</v>
      </c>
      <c r="IF502" s="11">
        <f t="shared" si="385"/>
        <v>0.72</v>
      </c>
      <c r="IG502" s="11">
        <f t="shared" si="385"/>
        <v>1.2900000000000001E-3</v>
      </c>
      <c r="IH502" s="11">
        <f t="shared" si="385"/>
        <v>3.47</v>
      </c>
      <c r="II502" s="11" t="str">
        <f t="shared" si="385"/>
        <v>as faba beans</v>
      </c>
    </row>
    <row r="503" spans="4:243" x14ac:dyDescent="0.25">
      <c r="D503" s="20" t="s">
        <v>1125</v>
      </c>
      <c r="E503" s="14">
        <v>42520</v>
      </c>
      <c r="F503" s="18">
        <v>0.93743346047189602</v>
      </c>
      <c r="G503" s="18">
        <v>0.97915232937085805</v>
      </c>
      <c r="H503" s="21">
        <v>90</v>
      </c>
      <c r="I503" s="21">
        <v>70</v>
      </c>
      <c r="J503" s="21">
        <v>90</v>
      </c>
      <c r="K503" s="18">
        <v>1</v>
      </c>
      <c r="L503" s="18">
        <v>89</v>
      </c>
      <c r="M503" s="18">
        <v>40.300000109999999</v>
      </c>
      <c r="N503" s="18">
        <v>4.3999997999999998</v>
      </c>
      <c r="O503" s="18">
        <v>4.3000002899999998</v>
      </c>
      <c r="P503" s="18">
        <v>14.50000015</v>
      </c>
      <c r="Q503" s="19"/>
      <c r="R503" s="18">
        <v>88</v>
      </c>
      <c r="S503" s="18">
        <v>50</v>
      </c>
      <c r="T503" s="18">
        <v>54</v>
      </c>
      <c r="U503" s="18">
        <v>55</v>
      </c>
      <c r="V503" s="18">
        <v>56</v>
      </c>
      <c r="W503" s="18">
        <v>57</v>
      </c>
      <c r="X503" s="18"/>
      <c r="Y503" s="18">
        <v>3.59551</v>
      </c>
      <c r="Z503" s="18">
        <v>7.5280899999999997</v>
      </c>
      <c r="AA503" s="18">
        <v>0.22471999999999889</v>
      </c>
      <c r="AB503" s="18">
        <v>0</v>
      </c>
      <c r="AC503" s="18">
        <v>14.044939999999999</v>
      </c>
      <c r="AD503" s="18">
        <v>3.099999999999989</v>
      </c>
      <c r="AE503" s="18">
        <v>2.1</v>
      </c>
      <c r="AF503" s="18">
        <v>98</v>
      </c>
      <c r="AG503" s="18">
        <v>7.9999999999999893</v>
      </c>
      <c r="AH503" s="18">
        <v>61</v>
      </c>
      <c r="AI503" s="18">
        <v>79</v>
      </c>
      <c r="AJ503" s="18">
        <v>0</v>
      </c>
      <c r="AK503" s="18">
        <v>0.11000000000000001</v>
      </c>
      <c r="AL503" s="18"/>
      <c r="AM503" s="18">
        <v>4.83</v>
      </c>
      <c r="AN503" s="18">
        <v>0.72000000000000097</v>
      </c>
      <c r="AO503" s="18">
        <v>1.59</v>
      </c>
      <c r="AP503" s="18">
        <v>3.46</v>
      </c>
      <c r="AQ503" s="18">
        <v>0.92</v>
      </c>
      <c r="AR503" s="18">
        <v>4.0999999999999996</v>
      </c>
      <c r="AS503" s="18">
        <v>7.15</v>
      </c>
      <c r="AT503" s="18">
        <v>2.5099999999999998</v>
      </c>
      <c r="AU503" s="18">
        <v>3.92</v>
      </c>
      <c r="AV503" s="18">
        <v>3.93</v>
      </c>
      <c r="AW503" s="18">
        <v>3.82</v>
      </c>
      <c r="AX503" s="18"/>
      <c r="AY503" s="18">
        <v>0.99</v>
      </c>
      <c r="AZ503" s="18">
        <v>0.95</v>
      </c>
      <c r="BA503" s="18">
        <v>0.97</v>
      </c>
      <c r="BB503" s="18">
        <v>0.95</v>
      </c>
      <c r="BC503" s="18">
        <v>0.98</v>
      </c>
      <c r="BD503" s="18">
        <v>0.98</v>
      </c>
      <c r="BE503" s="18">
        <v>0.98</v>
      </c>
      <c r="BF503" s="18">
        <v>1.02</v>
      </c>
      <c r="BG503" s="18">
        <v>0.99</v>
      </c>
      <c r="BH503" s="18">
        <v>0.97</v>
      </c>
      <c r="BI503" s="18">
        <v>0.94</v>
      </c>
      <c r="BJ503" s="19"/>
      <c r="BK503" s="18">
        <v>45.280898999999998</v>
      </c>
      <c r="BL503" s="18">
        <v>4.9438199999999997</v>
      </c>
      <c r="BM503" s="18">
        <v>4.831461</v>
      </c>
      <c r="BN503" s="18">
        <v>16.292135000000002</v>
      </c>
      <c r="BO503" s="18"/>
      <c r="BP503" s="18">
        <v>130</v>
      </c>
      <c r="BQ503" s="18">
        <v>64.269660000000002</v>
      </c>
      <c r="BR503" s="18">
        <v>1.0532960230021304</v>
      </c>
      <c r="BS503" s="18">
        <v>1.1001711565964698</v>
      </c>
      <c r="BT503" s="19"/>
      <c r="BU503" s="18">
        <v>951.6853900000001</v>
      </c>
      <c r="BV503" s="18">
        <v>124.59550467142921</v>
      </c>
      <c r="BW503" s="18">
        <v>271.91011142857076</v>
      </c>
      <c r="BX503" s="18">
        <v>14</v>
      </c>
      <c r="BY503" s="18">
        <v>104</v>
      </c>
      <c r="BZ503" s="18">
        <v>102.50067373714303</v>
      </c>
      <c r="CA503" s="18">
        <v>217.81393169142811</v>
      </c>
      <c r="CB503" s="19"/>
      <c r="CC503" s="19">
        <v>3.2000039</v>
      </c>
      <c r="CD503" s="19">
        <v>6.7000000999999996</v>
      </c>
      <c r="CE503" s="19">
        <v>0.20000079999999901</v>
      </c>
      <c r="CF503" s="19">
        <v>0</v>
      </c>
      <c r="CG503" s="19">
        <v>12.499996599999999</v>
      </c>
      <c r="CH503" s="19">
        <v>2.7589999999999901</v>
      </c>
      <c r="CI503" s="19">
        <v>1.8690000000000002</v>
      </c>
      <c r="CJ503" s="19"/>
      <c r="CK503" s="19">
        <v>87.22</v>
      </c>
      <c r="CL503" s="19">
        <v>7.1199999999999903</v>
      </c>
      <c r="CM503" s="19">
        <v>54.29</v>
      </c>
      <c r="CN503" s="19">
        <v>70.31</v>
      </c>
      <c r="CO503" s="19">
        <v>0</v>
      </c>
      <c r="CP503" s="19">
        <v>9.7900000000000015E-2</v>
      </c>
      <c r="CQ503" s="19">
        <v>354.64000096799998</v>
      </c>
      <c r="CR503" s="19">
        <v>378.30951840515405</v>
      </c>
      <c r="HM503" s="620">
        <f t="shared" ref="HM503:HU503" si="386">HM133</f>
        <v>0.14000000000000001</v>
      </c>
      <c r="HN503" s="620">
        <f t="shared" si="386"/>
        <v>7.0000000000000007E-2</v>
      </c>
      <c r="HO503" s="620">
        <f t="shared" si="386"/>
        <v>0.51702999999999999</v>
      </c>
      <c r="HP503" s="620">
        <f t="shared" si="386"/>
        <v>2.1999999999999999E-2</v>
      </c>
      <c r="HQ503" s="620">
        <f t="shared" si="386"/>
        <v>0.72</v>
      </c>
      <c r="HR503" s="620">
        <f t="shared" si="386"/>
        <v>1.2900000000000001E-3</v>
      </c>
      <c r="HS503" s="620">
        <f t="shared" si="386"/>
        <v>3.47</v>
      </c>
      <c r="HT503" s="620">
        <f t="shared" si="386"/>
        <v>0</v>
      </c>
      <c r="HU503" s="620" t="str">
        <f t="shared" si="386"/>
        <v>offfarm</v>
      </c>
      <c r="HV503" s="22" t="s">
        <v>2048</v>
      </c>
      <c r="IB503" s="11">
        <f t="shared" ref="IB503:II503" si="387">IB133</f>
        <v>0.14000000000000001</v>
      </c>
      <c r="IC503" s="11">
        <f t="shared" si="387"/>
        <v>7.0000000000000007E-2</v>
      </c>
      <c r="ID503" s="11">
        <f t="shared" si="387"/>
        <v>0.51702999999999999</v>
      </c>
      <c r="IE503" s="11">
        <f t="shared" si="387"/>
        <v>2.1999999999999999E-2</v>
      </c>
      <c r="IF503" s="11">
        <f t="shared" si="387"/>
        <v>0.72</v>
      </c>
      <c r="IG503" s="11">
        <f t="shared" si="387"/>
        <v>1.2900000000000001E-3</v>
      </c>
      <c r="IH503" s="11">
        <f t="shared" si="387"/>
        <v>3.47</v>
      </c>
      <c r="II503" s="11">
        <f t="shared" si="387"/>
        <v>0</v>
      </c>
    </row>
    <row r="504" spans="4:243" x14ac:dyDescent="0.25">
      <c r="D504" s="185" t="s">
        <v>469</v>
      </c>
      <c r="E504" s="14">
        <v>41814</v>
      </c>
      <c r="F504" s="18">
        <v>0.93049820910669401</v>
      </c>
      <c r="G504" s="18">
        <v>0.93467269163834898</v>
      </c>
      <c r="H504" s="21">
        <v>81.038477510691195</v>
      </c>
      <c r="I504" s="21">
        <v>77.747823211727095</v>
      </c>
      <c r="J504" s="21">
        <v>95.867637970566193</v>
      </c>
      <c r="K504" s="18">
        <v>1</v>
      </c>
      <c r="L504" s="18">
        <v>90.73</v>
      </c>
      <c r="M504" s="18">
        <v>39.273949787200003</v>
      </c>
      <c r="N504" s="18">
        <v>3.0099997144000001</v>
      </c>
      <c r="O504" s="18">
        <v>8.5000002380000002</v>
      </c>
      <c r="P504" s="18">
        <v>4.4799997172000001</v>
      </c>
      <c r="Q504" s="19"/>
      <c r="R504" s="18">
        <v>92.814319961452497</v>
      </c>
      <c r="S504" s="18">
        <v>20</v>
      </c>
      <c r="T504" s="18">
        <v>27</v>
      </c>
      <c r="U504" s="18">
        <v>30</v>
      </c>
      <c r="V504" s="18">
        <v>32</v>
      </c>
      <c r="W504" s="18">
        <v>33</v>
      </c>
      <c r="X504" s="18"/>
      <c r="Y504" s="18">
        <v>0.6943690620522428</v>
      </c>
      <c r="Z504" s="18">
        <v>5.0148786795988096</v>
      </c>
      <c r="AA504" s="18">
        <v>7.7154365700429953E-2</v>
      </c>
      <c r="AB504" s="18">
        <v>0</v>
      </c>
      <c r="AC504" s="18">
        <v>5.632093375950622</v>
      </c>
      <c r="AD504" s="18">
        <v>1.6857709688085529</v>
      </c>
      <c r="AE504" s="18">
        <v>0</v>
      </c>
      <c r="AF504" s="18">
        <v>68.105147139865537</v>
      </c>
      <c r="AG504" s="18">
        <v>8.0917006502810533</v>
      </c>
      <c r="AH504" s="18">
        <v>49.224512289209848</v>
      </c>
      <c r="AI504" s="18">
        <v>53.270362614350269</v>
      </c>
      <c r="AJ504" s="18">
        <v>0</v>
      </c>
      <c r="AK504" s="18">
        <v>4.720158712663948E-2</v>
      </c>
      <c r="AL504" s="18"/>
      <c r="AM504" s="18">
        <v>61.934968022056403</v>
      </c>
      <c r="AN504" s="18">
        <v>0.43346797945615301</v>
      </c>
      <c r="AO504" s="18">
        <v>0.54183497432019401</v>
      </c>
      <c r="AP504" s="18">
        <v>0.89402770762831596</v>
      </c>
      <c r="AQ504" s="18">
        <v>0.381993656895735</v>
      </c>
      <c r="AR504" s="18">
        <v>0.89402770762831596</v>
      </c>
      <c r="AS504" s="18">
        <v>1.6823975952642001</v>
      </c>
      <c r="AT504" s="18">
        <v>0.70438546661624901</v>
      </c>
      <c r="AU504" s="18">
        <v>1.0592873747959799</v>
      </c>
      <c r="AV504" s="18">
        <v>0.75856896404826801</v>
      </c>
      <c r="AW504" s="18">
        <v>1.30311311324006</v>
      </c>
      <c r="AX504" s="18"/>
      <c r="AY504" s="18">
        <v>1.0726799236351201</v>
      </c>
      <c r="AZ504" s="18">
        <v>0.86289900912111706</v>
      </c>
      <c r="BA504" s="18">
        <v>0.83123299043777399</v>
      </c>
      <c r="BB504" s="18">
        <v>0.74415143905857795</v>
      </c>
      <c r="BC504" s="18">
        <v>0.90248153247529705</v>
      </c>
      <c r="BD504" s="18">
        <v>0.83123299043777399</v>
      </c>
      <c r="BE504" s="18">
        <v>0.81539998109610201</v>
      </c>
      <c r="BF504" s="18">
        <v>0.86289900912111706</v>
      </c>
      <c r="BG504" s="18">
        <v>0.87081551379195299</v>
      </c>
      <c r="BH504" s="18">
        <v>0.82331648576693806</v>
      </c>
      <c r="BI504" s="18">
        <v>0.81539998109610201</v>
      </c>
      <c r="BJ504" s="19"/>
      <c r="BK504" s="18">
        <v>43.286619406150116</v>
      </c>
      <c r="BL504" s="18">
        <v>3.3175352302435797</v>
      </c>
      <c r="BM504" s="18">
        <v>9.368456120357104</v>
      </c>
      <c r="BN504" s="18">
        <v>4.9377270111319298</v>
      </c>
      <c r="BO504" s="18"/>
      <c r="BP504" s="18">
        <v>0</v>
      </c>
      <c r="BQ504" s="18">
        <v>0</v>
      </c>
      <c r="BR504" s="18">
        <v>1.0255683997649001</v>
      </c>
      <c r="BS504" s="18">
        <v>1.0301693945093673</v>
      </c>
      <c r="BT504" s="19"/>
      <c r="BU504" s="18">
        <v>906.31543879642891</v>
      </c>
      <c r="BV504" s="18">
        <v>265.77060764573787</v>
      </c>
      <c r="BW504" s="18">
        <v>42.605297069900139</v>
      </c>
      <c r="BX504" s="18" t="s">
        <v>217</v>
      </c>
      <c r="BY504" s="18" t="s">
        <v>217</v>
      </c>
      <c r="BZ504" s="18">
        <v>47.875895514162899</v>
      </c>
      <c r="CA504" s="18">
        <v>87.660090378044757</v>
      </c>
      <c r="CB504" s="19"/>
      <c r="CC504" s="19">
        <v>0.63000104999999984</v>
      </c>
      <c r="CD504" s="19">
        <v>4.5499994260000003</v>
      </c>
      <c r="CE504" s="19">
        <v>7.0002156000000093E-2</v>
      </c>
      <c r="CF504" s="19">
        <v>0</v>
      </c>
      <c r="CG504" s="19">
        <v>5.109998319999999</v>
      </c>
      <c r="CH504" s="19">
        <v>1.5295000000000001</v>
      </c>
      <c r="CI504" s="19">
        <v>0</v>
      </c>
      <c r="CJ504" s="19"/>
      <c r="CK504" s="19">
        <v>61.791800000000002</v>
      </c>
      <c r="CL504" s="19">
        <v>7.3415999999999997</v>
      </c>
      <c r="CM504" s="19">
        <v>44.661400000000093</v>
      </c>
      <c r="CN504" s="19">
        <v>48.3322</v>
      </c>
      <c r="CO504" s="19">
        <v>0</v>
      </c>
      <c r="CP504" s="19">
        <v>4.2826000000000003E-2</v>
      </c>
      <c r="CQ504" s="19">
        <v>364.51849416992002</v>
      </c>
      <c r="CR504" s="19">
        <v>391.74550859143363</v>
      </c>
      <c r="HM504" s="620">
        <f t="shared" ref="HM504:HU504" si="388">HM134</f>
        <v>0</v>
      </c>
      <c r="HN504" s="620">
        <f t="shared" si="388"/>
        <v>0</v>
      </c>
      <c r="HO504" s="620">
        <f t="shared" si="388"/>
        <v>0</v>
      </c>
      <c r="HP504" s="620">
        <f t="shared" si="388"/>
        <v>0</v>
      </c>
      <c r="HQ504" s="620">
        <f t="shared" si="388"/>
        <v>0</v>
      </c>
      <c r="HR504" s="620">
        <f t="shared" si="388"/>
        <v>0</v>
      </c>
      <c r="HS504" s="620">
        <f t="shared" si="388"/>
        <v>0</v>
      </c>
      <c r="HT504" s="620">
        <f t="shared" si="388"/>
        <v>0</v>
      </c>
      <c r="HU504" s="620" t="str">
        <f t="shared" si="388"/>
        <v>offfarm</v>
      </c>
      <c r="HV504" s="22" t="s">
        <v>2013</v>
      </c>
      <c r="IB504" s="11">
        <f t="shared" ref="IB504:II504" si="389">IB134</f>
        <v>0.47300000000000003</v>
      </c>
      <c r="IC504" s="11">
        <f t="shared" si="389"/>
        <v>0.13</v>
      </c>
      <c r="ID504" s="11">
        <f t="shared" si="389"/>
        <v>0.39100000000000001</v>
      </c>
      <c r="IE504" s="11">
        <f t="shared" si="389"/>
        <v>5.5E-2</v>
      </c>
      <c r="IF504" s="11">
        <f t="shared" si="389"/>
        <v>3.97</v>
      </c>
      <c r="IG504" s="11">
        <f t="shared" si="389"/>
        <v>4.5999999999999999E-3</v>
      </c>
      <c r="IH504" s="11">
        <f t="shared" si="389"/>
        <v>2.73</v>
      </c>
      <c r="II504" s="11">
        <f t="shared" si="389"/>
        <v>0</v>
      </c>
    </row>
    <row r="505" spans="4:243" x14ac:dyDescent="0.25">
      <c r="D505" s="185" t="s">
        <v>1126</v>
      </c>
      <c r="E505" s="14">
        <v>41814</v>
      </c>
      <c r="F505" s="18">
        <v>0.82085686269629399</v>
      </c>
      <c r="G505" s="18">
        <v>0.83534318934878204</v>
      </c>
      <c r="H505" s="21">
        <v>76.265766723279</v>
      </c>
      <c r="I505" s="21">
        <v>73.657266811279797</v>
      </c>
      <c r="J505" s="21">
        <v>96.111650485436897</v>
      </c>
      <c r="K505" s="18">
        <v>1</v>
      </c>
      <c r="L505" s="18">
        <v>92.2</v>
      </c>
      <c r="M505" s="18">
        <v>47.576999999999998</v>
      </c>
      <c r="N505" s="18">
        <v>2.4815999999999998</v>
      </c>
      <c r="O505" s="18">
        <v>10.674936848</v>
      </c>
      <c r="P505" s="18">
        <v>5.016</v>
      </c>
      <c r="Q505" s="19"/>
      <c r="R505" s="18">
        <v>93.074973201336803</v>
      </c>
      <c r="S505" s="18">
        <v>30</v>
      </c>
      <c r="T505" s="18">
        <v>27</v>
      </c>
      <c r="U505" s="18">
        <v>30</v>
      </c>
      <c r="V505" s="18">
        <v>32</v>
      </c>
      <c r="W505" s="18">
        <v>33</v>
      </c>
      <c r="X505" s="18"/>
      <c r="Y505" s="18">
        <v>0.65899783080260299</v>
      </c>
      <c r="Z505" s="18">
        <v>5.6694143167028299</v>
      </c>
      <c r="AA505" s="18">
        <v>6.5896919739696302E-2</v>
      </c>
      <c r="AB505" s="18">
        <v>0</v>
      </c>
      <c r="AC505" s="18">
        <v>6.5284164859002161</v>
      </c>
      <c r="AD505" s="18">
        <v>2.1761388286334058</v>
      </c>
      <c r="AE505" s="18">
        <v>0</v>
      </c>
      <c r="AF505" s="18">
        <v>76.737527114967449</v>
      </c>
      <c r="AG505" s="18">
        <v>8.5900216919739698</v>
      </c>
      <c r="AH505" s="18">
        <v>62.993492407809107</v>
      </c>
      <c r="AI505" s="18">
        <v>55.548806941431565</v>
      </c>
      <c r="AJ505" s="18">
        <v>0</v>
      </c>
      <c r="AK505" s="18">
        <v>2.8633405639913231E-2</v>
      </c>
      <c r="AL505" s="18"/>
      <c r="AM505" s="18">
        <v>67.775750047291794</v>
      </c>
      <c r="AN505" s="18">
        <v>0.316065325682578</v>
      </c>
      <c r="AO505" s="18">
        <v>0.39508165710322202</v>
      </c>
      <c r="AP505" s="18">
        <v>0.65188473422031601</v>
      </c>
      <c r="AQ505" s="18">
        <v>0.276557159972255</v>
      </c>
      <c r="AR505" s="18">
        <v>0.65188473422031601</v>
      </c>
      <c r="AS505" s="18">
        <v>1.22475313701999</v>
      </c>
      <c r="AT505" s="18">
        <v>0.51360615423418898</v>
      </c>
      <c r="AU505" s="18">
        <v>0.77040923135128303</v>
      </c>
      <c r="AV505" s="18">
        <v>0.55311431994451099</v>
      </c>
      <c r="AW505" s="18">
        <v>0.94819597704773695</v>
      </c>
      <c r="AX505" s="18"/>
      <c r="AY505" s="18">
        <v>1.0701213419578</v>
      </c>
      <c r="AZ505" s="18">
        <v>0.76753395451060902</v>
      </c>
      <c r="BA505" s="18">
        <v>0.72566846608275803</v>
      </c>
      <c r="BB505" s="18">
        <v>0.71869088467811604</v>
      </c>
      <c r="BC505" s="18">
        <v>0.72566846608275803</v>
      </c>
      <c r="BD505" s="18">
        <v>0.74660121029668303</v>
      </c>
      <c r="BE505" s="18">
        <v>0.75357879170132502</v>
      </c>
      <c r="BF505" s="18">
        <v>0.802421861533819</v>
      </c>
      <c r="BG505" s="18">
        <v>0.78846669872453501</v>
      </c>
      <c r="BH505" s="18">
        <v>0.79544428012917701</v>
      </c>
      <c r="BI505" s="18">
        <v>0.72566846608275803</v>
      </c>
      <c r="BJ505" s="19"/>
      <c r="BK505" s="18">
        <v>51.601952277657261</v>
      </c>
      <c r="BL505" s="18">
        <v>2.6915401301518433</v>
      </c>
      <c r="BM505" s="18">
        <v>11.578022611713665</v>
      </c>
      <c r="BN505" s="18">
        <v>5.4403470715835143</v>
      </c>
      <c r="BO505" s="18"/>
      <c r="BP505" s="18">
        <v>0</v>
      </c>
      <c r="BQ505" s="18">
        <v>0</v>
      </c>
      <c r="BR505" s="18">
        <v>0.89030028492005853</v>
      </c>
      <c r="BS505" s="18">
        <v>0.9060121359531258</v>
      </c>
      <c r="BT505" s="19"/>
      <c r="BU505" s="18">
        <v>884.21977388286325</v>
      </c>
      <c r="BV505" s="18">
        <v>145.72146790486443</v>
      </c>
      <c r="BW505" s="18">
        <v>32.949817176591537</v>
      </c>
      <c r="BX505" s="18" t="s">
        <v>217</v>
      </c>
      <c r="BY505" s="18" t="s">
        <v>217</v>
      </c>
      <c r="BZ505" s="18">
        <v>16.607375271149674</v>
      </c>
      <c r="CA505" s="18">
        <v>240.52060737527114</v>
      </c>
      <c r="CB505" s="19"/>
      <c r="CC505" s="19">
        <v>0.60759600000000002</v>
      </c>
      <c r="CD505" s="19">
        <v>5.2272000000000096</v>
      </c>
      <c r="CE505" s="19">
        <v>6.0756959999999992E-2</v>
      </c>
      <c r="CF505" s="19">
        <v>0</v>
      </c>
      <c r="CG505" s="19">
        <v>6.0191999999999997</v>
      </c>
      <c r="CH505" s="19">
        <v>2.0064000000000002</v>
      </c>
      <c r="CI505" s="19">
        <v>0</v>
      </c>
      <c r="CJ505" s="19"/>
      <c r="CK505" s="19">
        <v>70.751999999999995</v>
      </c>
      <c r="CL505" s="19">
        <v>7.9200000000000008</v>
      </c>
      <c r="CM505" s="19">
        <v>58.08</v>
      </c>
      <c r="CN505" s="19">
        <v>51.215999999999902</v>
      </c>
      <c r="CO505" s="19">
        <v>0</v>
      </c>
      <c r="CP505" s="19">
        <v>2.64E-2</v>
      </c>
      <c r="CQ505" s="19">
        <v>442.82279999999997</v>
      </c>
      <c r="CR505" s="19">
        <v>539.46408944605298</v>
      </c>
      <c r="HM505" s="620">
        <f t="shared" ref="HM505:HU505" si="390">HM135</f>
        <v>0</v>
      </c>
      <c r="HN505" s="620">
        <f t="shared" si="390"/>
        <v>0</v>
      </c>
      <c r="HO505" s="620">
        <f t="shared" si="390"/>
        <v>0</v>
      </c>
      <c r="HP505" s="620">
        <f t="shared" si="390"/>
        <v>0</v>
      </c>
      <c r="HQ505" s="620">
        <f t="shared" si="390"/>
        <v>0</v>
      </c>
      <c r="HR505" s="620">
        <f t="shared" si="390"/>
        <v>0</v>
      </c>
      <c r="HS505" s="620">
        <f t="shared" si="390"/>
        <v>0</v>
      </c>
      <c r="HT505" s="620">
        <f t="shared" si="390"/>
        <v>0</v>
      </c>
      <c r="HU505" s="620" t="str">
        <f t="shared" si="390"/>
        <v>offfarm</v>
      </c>
      <c r="HV505" s="22" t="s">
        <v>2013</v>
      </c>
      <c r="IB505" s="11">
        <f t="shared" ref="IB505:II505" si="391">IB135</f>
        <v>0.47300000000000003</v>
      </c>
      <c r="IC505" s="11">
        <f t="shared" si="391"/>
        <v>0.13</v>
      </c>
      <c r="ID505" s="11">
        <f t="shared" si="391"/>
        <v>0.39100000000000001</v>
      </c>
      <c r="IE505" s="11">
        <f t="shared" si="391"/>
        <v>5.5E-2</v>
      </c>
      <c r="IF505" s="11">
        <f t="shared" si="391"/>
        <v>3.97</v>
      </c>
      <c r="IG505" s="11">
        <f t="shared" si="391"/>
        <v>4.5999999999999999E-3</v>
      </c>
      <c r="IH505" s="11">
        <f t="shared" si="391"/>
        <v>2.73</v>
      </c>
      <c r="II505" s="11">
        <f t="shared" si="391"/>
        <v>0</v>
      </c>
    </row>
    <row r="506" spans="4:243" x14ac:dyDescent="0.25">
      <c r="D506" s="185" t="s">
        <v>1127</v>
      </c>
      <c r="E506" s="14">
        <v>40310</v>
      </c>
      <c r="F506" s="18">
        <v>0.25590624198253598</v>
      </c>
      <c r="G506" s="18">
        <v>0.26636611252071302</v>
      </c>
      <c r="H506" s="21">
        <v>100</v>
      </c>
      <c r="I506" s="21">
        <v>81.963562753036399</v>
      </c>
      <c r="J506" s="21">
        <v>100</v>
      </c>
      <c r="K506" s="18">
        <v>1</v>
      </c>
      <c r="L506" s="18">
        <v>98.8</v>
      </c>
      <c r="M506" s="18">
        <v>38.178600000000003</v>
      </c>
      <c r="N506" s="18">
        <v>0</v>
      </c>
      <c r="O506" s="18">
        <v>67.28</v>
      </c>
      <c r="P506" s="18">
        <v>0</v>
      </c>
      <c r="Q506" s="19"/>
      <c r="R506" s="18">
        <v>100</v>
      </c>
      <c r="S506" s="18">
        <v>0</v>
      </c>
      <c r="T506" s="18">
        <v>0</v>
      </c>
      <c r="U506" s="18">
        <v>0</v>
      </c>
      <c r="V506" s="18">
        <v>0</v>
      </c>
      <c r="W506" s="18">
        <v>0</v>
      </c>
      <c r="X506" s="18"/>
      <c r="Y506" s="18">
        <v>230.76922846153948</v>
      </c>
      <c r="Z506" s="18">
        <v>0</v>
      </c>
      <c r="AA506" s="18">
        <v>0</v>
      </c>
      <c r="AB506" s="18">
        <v>0</v>
      </c>
      <c r="AC506" s="18">
        <v>0</v>
      </c>
      <c r="AD506" s="18">
        <v>0</v>
      </c>
      <c r="AE506" s="18">
        <v>0</v>
      </c>
      <c r="AF506" s="18">
        <v>0</v>
      </c>
      <c r="AG506" s="18">
        <v>0</v>
      </c>
      <c r="AH506" s="18">
        <v>0</v>
      </c>
      <c r="AI506" s="18">
        <v>0</v>
      </c>
      <c r="AJ506" s="18">
        <v>0</v>
      </c>
      <c r="AK506" s="18">
        <v>0</v>
      </c>
      <c r="AL506" s="18"/>
      <c r="AM506" s="18">
        <v>83.500000000000099</v>
      </c>
      <c r="AN506" s="18">
        <v>0</v>
      </c>
      <c r="AO506" s="18">
        <v>0</v>
      </c>
      <c r="AP506" s="18">
        <v>0</v>
      </c>
      <c r="AQ506" s="18">
        <v>0</v>
      </c>
      <c r="AR506" s="18">
        <v>0</v>
      </c>
      <c r="AS506" s="18">
        <v>0</v>
      </c>
      <c r="AT506" s="18">
        <v>0</v>
      </c>
      <c r="AU506" s="18">
        <v>0</v>
      </c>
      <c r="AV506" s="18">
        <v>0</v>
      </c>
      <c r="AW506" s="18">
        <v>0</v>
      </c>
      <c r="AX506" s="18"/>
      <c r="AY506" s="18">
        <v>1</v>
      </c>
      <c r="AZ506" s="18">
        <v>0</v>
      </c>
      <c r="BA506" s="18">
        <v>0</v>
      </c>
      <c r="BB506" s="18">
        <v>0</v>
      </c>
      <c r="BC506" s="18">
        <v>0</v>
      </c>
      <c r="BD506" s="18">
        <v>0</v>
      </c>
      <c r="BE506" s="18">
        <v>0</v>
      </c>
      <c r="BF506" s="18">
        <v>0</v>
      </c>
      <c r="BG506" s="18">
        <v>0</v>
      </c>
      <c r="BH506" s="18">
        <v>0</v>
      </c>
      <c r="BI506" s="18">
        <v>0</v>
      </c>
      <c r="BJ506" s="19"/>
      <c r="BK506" s="18">
        <v>38.642307692307696</v>
      </c>
      <c r="BL506" s="18">
        <v>0</v>
      </c>
      <c r="BM506" s="18">
        <v>68.097165991902841</v>
      </c>
      <c r="BN506" s="18">
        <v>0</v>
      </c>
      <c r="BO506" s="18"/>
      <c r="BP506" s="18">
        <v>0</v>
      </c>
      <c r="BQ506" s="18">
        <v>0</v>
      </c>
      <c r="BR506" s="18">
        <v>0.25901441496208094</v>
      </c>
      <c r="BS506" s="18">
        <v>0.26960132846226015</v>
      </c>
      <c r="BT506" s="19"/>
      <c r="BU506" s="18">
        <v>319.02834008097165</v>
      </c>
      <c r="BV506" s="18">
        <v>-114.81858328864777</v>
      </c>
      <c r="BW506" s="18">
        <v>82.201923369620246</v>
      </c>
      <c r="BX506" s="18" t="s">
        <v>217</v>
      </c>
      <c r="BY506" s="18" t="s">
        <v>217</v>
      </c>
      <c r="BZ506" s="18" t="s">
        <v>217</v>
      </c>
      <c r="CA506" s="18" t="s">
        <v>217</v>
      </c>
      <c r="CB506" s="19"/>
      <c r="CC506" s="19">
        <v>227.99999772000101</v>
      </c>
      <c r="CD506" s="19">
        <v>0</v>
      </c>
      <c r="CE506" s="19">
        <v>0</v>
      </c>
      <c r="CF506" s="19">
        <v>0</v>
      </c>
      <c r="CG506" s="19">
        <v>0</v>
      </c>
      <c r="CH506" s="19">
        <v>0</v>
      </c>
      <c r="CI506" s="19">
        <v>0</v>
      </c>
      <c r="CJ506" s="19"/>
      <c r="CK506" s="19">
        <v>0</v>
      </c>
      <c r="CL506" s="19">
        <v>0</v>
      </c>
      <c r="CM506" s="19">
        <v>0</v>
      </c>
      <c r="CN506" s="19">
        <v>0</v>
      </c>
      <c r="CO506" s="19">
        <v>0</v>
      </c>
      <c r="CP506" s="19">
        <v>0</v>
      </c>
      <c r="CQ506" s="19">
        <v>381.786</v>
      </c>
      <c r="CR506" s="19">
        <v>1491.8979585736504</v>
      </c>
      <c r="HM506" s="620">
        <f t="shared" ref="HM506:HU506" si="392">HM136</f>
        <v>0</v>
      </c>
      <c r="HN506" s="620">
        <f t="shared" si="392"/>
        <v>0</v>
      </c>
      <c r="HO506" s="620">
        <f t="shared" si="392"/>
        <v>0</v>
      </c>
      <c r="HP506" s="620">
        <f t="shared" si="392"/>
        <v>0</v>
      </c>
      <c r="HQ506" s="620">
        <f t="shared" si="392"/>
        <v>0</v>
      </c>
      <c r="HR506" s="620">
        <f t="shared" si="392"/>
        <v>0</v>
      </c>
      <c r="HS506" s="620">
        <f t="shared" si="392"/>
        <v>0</v>
      </c>
      <c r="HT506" s="620">
        <f t="shared" si="392"/>
        <v>0</v>
      </c>
      <c r="HU506" s="620" t="str">
        <f t="shared" si="392"/>
        <v>offfarm</v>
      </c>
      <c r="HV506" s="22" t="s">
        <v>2013</v>
      </c>
      <c r="IB506" s="11">
        <f t="shared" ref="IB506:II506" si="393">IB136</f>
        <v>0.47300000000000003</v>
      </c>
      <c r="IC506" s="11">
        <f t="shared" si="393"/>
        <v>0.13</v>
      </c>
      <c r="ID506" s="11">
        <f t="shared" si="393"/>
        <v>0.39100000000000001</v>
      </c>
      <c r="IE506" s="11">
        <f t="shared" si="393"/>
        <v>5.5E-2</v>
      </c>
      <c r="IF506" s="11">
        <f t="shared" si="393"/>
        <v>3.97</v>
      </c>
      <c r="IG506" s="11">
        <f t="shared" si="393"/>
        <v>4.5999999999999999E-3</v>
      </c>
      <c r="IH506" s="11">
        <f t="shared" si="393"/>
        <v>2.73</v>
      </c>
      <c r="II506" s="11">
        <f t="shared" si="393"/>
        <v>0</v>
      </c>
    </row>
    <row r="507" spans="4:243" x14ac:dyDescent="0.25">
      <c r="D507" s="185" t="s">
        <v>1128</v>
      </c>
      <c r="E507" s="14">
        <v>41506</v>
      </c>
      <c r="F507" s="18">
        <v>1.0174514905149099</v>
      </c>
      <c r="G507" s="18">
        <v>0.97516779220779204</v>
      </c>
      <c r="H507" s="21">
        <v>100</v>
      </c>
      <c r="I507" s="21">
        <v>100</v>
      </c>
      <c r="J507" s="21">
        <v>100</v>
      </c>
      <c r="K507" s="18">
        <v>1</v>
      </c>
      <c r="L507" s="18">
        <v>98.5</v>
      </c>
      <c r="M507" s="18">
        <v>94.399999999999906</v>
      </c>
      <c r="N507" s="18">
        <v>0</v>
      </c>
      <c r="O507" s="18">
        <v>19.7</v>
      </c>
      <c r="P507" s="18">
        <v>0</v>
      </c>
      <c r="Q507" s="19"/>
      <c r="R507" s="18">
        <v>75</v>
      </c>
      <c r="S507" s="18">
        <v>0</v>
      </c>
      <c r="T507" s="18">
        <v>0</v>
      </c>
      <c r="U507" s="18">
        <v>0</v>
      </c>
      <c r="V507" s="18">
        <v>0</v>
      </c>
      <c r="W507" s="18">
        <v>0</v>
      </c>
      <c r="X507" s="18"/>
      <c r="Y507" s="18">
        <v>0</v>
      </c>
      <c r="Z507" s="18">
        <v>0</v>
      </c>
      <c r="AA507" s="18">
        <v>0</v>
      </c>
      <c r="AB507" s="18">
        <v>192</v>
      </c>
      <c r="AC507" s="18">
        <v>0</v>
      </c>
      <c r="AD507" s="18">
        <v>0</v>
      </c>
      <c r="AE507" s="18">
        <v>0</v>
      </c>
      <c r="AF507" s="18">
        <v>0</v>
      </c>
      <c r="AG507" s="18">
        <v>0</v>
      </c>
      <c r="AH507" s="18">
        <v>0</v>
      </c>
      <c r="AI507" s="18">
        <v>0</v>
      </c>
      <c r="AJ507" s="18">
        <v>0</v>
      </c>
      <c r="AK507" s="18">
        <v>0</v>
      </c>
      <c r="AL507" s="18"/>
      <c r="AM507" s="18">
        <v>83.474576271186507</v>
      </c>
      <c r="AN507" s="18">
        <v>0</v>
      </c>
      <c r="AO507" s="18">
        <v>0</v>
      </c>
      <c r="AP507" s="18">
        <v>0</v>
      </c>
      <c r="AQ507" s="18">
        <v>0</v>
      </c>
      <c r="AR507" s="18">
        <v>0</v>
      </c>
      <c r="AS507" s="18">
        <v>0</v>
      </c>
      <c r="AT507" s="18">
        <v>0</v>
      </c>
      <c r="AU507" s="18">
        <v>0</v>
      </c>
      <c r="AV507" s="18">
        <v>0</v>
      </c>
      <c r="AW507" s="18">
        <v>0</v>
      </c>
      <c r="AX507" s="18"/>
      <c r="AY507" s="18">
        <v>1</v>
      </c>
      <c r="AZ507" s="18">
        <v>1</v>
      </c>
      <c r="BA507" s="18">
        <v>1</v>
      </c>
      <c r="BB507" s="18">
        <v>1</v>
      </c>
      <c r="BC507" s="18">
        <v>1</v>
      </c>
      <c r="BD507" s="18">
        <v>1</v>
      </c>
      <c r="BE507" s="18">
        <v>1</v>
      </c>
      <c r="BF507" s="18">
        <v>1</v>
      </c>
      <c r="BG507" s="18">
        <v>1</v>
      </c>
      <c r="BH507" s="18">
        <v>1</v>
      </c>
      <c r="BI507" s="18">
        <v>1</v>
      </c>
      <c r="BJ507" s="19"/>
      <c r="BK507" s="18">
        <v>95.83756345177656</v>
      </c>
      <c r="BL507" s="18">
        <v>0</v>
      </c>
      <c r="BM507" s="18">
        <v>20</v>
      </c>
      <c r="BN507" s="18">
        <v>0</v>
      </c>
      <c r="BO507" s="18"/>
      <c r="BP507" s="18">
        <v>0</v>
      </c>
      <c r="BQ507" s="18">
        <v>0</v>
      </c>
      <c r="BR507" s="18">
        <v>1.0329456756496547</v>
      </c>
      <c r="BS507" s="18">
        <v>0.99001806315511887</v>
      </c>
      <c r="BT507" s="19"/>
      <c r="BU507" s="18">
        <v>800</v>
      </c>
      <c r="BV507" s="18">
        <v>-72.121827411167516</v>
      </c>
      <c r="BW507" s="18">
        <v>0</v>
      </c>
      <c r="BX507" s="18" t="s">
        <v>217</v>
      </c>
      <c r="BY507" s="18" t="s">
        <v>217</v>
      </c>
      <c r="BZ507" s="18" t="s">
        <v>217</v>
      </c>
      <c r="CA507" s="18" t="s">
        <v>217</v>
      </c>
      <c r="CB507" s="19"/>
      <c r="CC507" s="19">
        <v>0</v>
      </c>
      <c r="CD507" s="19">
        <v>0</v>
      </c>
      <c r="CE507" s="19">
        <v>0</v>
      </c>
      <c r="CF507" s="19">
        <v>189.12</v>
      </c>
      <c r="CG507" s="19">
        <v>0</v>
      </c>
      <c r="CH507" s="19">
        <v>0</v>
      </c>
      <c r="CI507" s="19">
        <v>0</v>
      </c>
      <c r="CJ507" s="19"/>
      <c r="CK507" s="19">
        <v>0</v>
      </c>
      <c r="CL507" s="19">
        <v>0</v>
      </c>
      <c r="CM507" s="19">
        <v>0</v>
      </c>
      <c r="CN507" s="19">
        <v>0</v>
      </c>
      <c r="CO507" s="19">
        <v>0</v>
      </c>
      <c r="CP507" s="19">
        <v>0</v>
      </c>
      <c r="CQ507" s="19">
        <v>708</v>
      </c>
      <c r="CR507" s="19">
        <v>695.8562708888428</v>
      </c>
      <c r="HM507" s="620">
        <f t="shared" ref="HM507:HU507" si="394">HM137</f>
        <v>0</v>
      </c>
      <c r="HN507" s="620">
        <f t="shared" si="394"/>
        <v>0</v>
      </c>
      <c r="HO507" s="620">
        <f t="shared" si="394"/>
        <v>0</v>
      </c>
      <c r="HP507" s="620">
        <f t="shared" si="394"/>
        <v>0</v>
      </c>
      <c r="HQ507" s="620">
        <f t="shared" si="394"/>
        <v>0</v>
      </c>
      <c r="HR507" s="620">
        <f t="shared" si="394"/>
        <v>0</v>
      </c>
      <c r="HS507" s="620">
        <f t="shared" si="394"/>
        <v>0</v>
      </c>
      <c r="HT507" s="620">
        <f t="shared" si="394"/>
        <v>0</v>
      </c>
      <c r="HU507" s="620" t="str">
        <f t="shared" si="394"/>
        <v>offfarm</v>
      </c>
      <c r="HV507" s="22" t="s">
        <v>2013</v>
      </c>
      <c r="IB507" s="11">
        <f t="shared" ref="IB507:II507" si="395">IB137</f>
        <v>0.47300000000000003</v>
      </c>
      <c r="IC507" s="11">
        <f t="shared" si="395"/>
        <v>0.13</v>
      </c>
      <c r="ID507" s="11">
        <f t="shared" si="395"/>
        <v>0.39100000000000001</v>
      </c>
      <c r="IE507" s="11">
        <f t="shared" si="395"/>
        <v>5.5E-2</v>
      </c>
      <c r="IF507" s="11">
        <f t="shared" si="395"/>
        <v>3.97</v>
      </c>
      <c r="IG507" s="11">
        <f t="shared" si="395"/>
        <v>4.5999999999999999E-3</v>
      </c>
      <c r="IH507" s="11">
        <f t="shared" si="395"/>
        <v>2.73</v>
      </c>
      <c r="II507" s="11">
        <f t="shared" si="395"/>
        <v>0</v>
      </c>
    </row>
    <row r="508" spans="4:243" x14ac:dyDescent="0.25">
      <c r="D508" s="185" t="s">
        <v>473</v>
      </c>
      <c r="E508" s="14">
        <v>41506</v>
      </c>
      <c r="F508" s="18">
        <v>1.0174514905149099</v>
      </c>
      <c r="G508" s="18">
        <v>0.97516779220779204</v>
      </c>
      <c r="H508" s="21">
        <v>100</v>
      </c>
      <c r="I508" s="21">
        <v>100</v>
      </c>
      <c r="J508" s="21">
        <v>100</v>
      </c>
      <c r="K508" s="18">
        <v>1</v>
      </c>
      <c r="L508" s="18">
        <v>98.5</v>
      </c>
      <c r="M508" s="18">
        <v>94.399999999999906</v>
      </c>
      <c r="N508" s="18">
        <v>0</v>
      </c>
      <c r="O508" s="18">
        <v>19.7</v>
      </c>
      <c r="P508" s="18">
        <v>0</v>
      </c>
      <c r="Q508" s="19"/>
      <c r="R508" s="18">
        <v>100</v>
      </c>
      <c r="S508" s="18">
        <v>0</v>
      </c>
      <c r="T508" s="18">
        <v>0</v>
      </c>
      <c r="U508" s="18">
        <v>0</v>
      </c>
      <c r="V508" s="18">
        <v>0</v>
      </c>
      <c r="W508" s="18">
        <v>0</v>
      </c>
      <c r="X508" s="18"/>
      <c r="Y508" s="18">
        <v>0</v>
      </c>
      <c r="Z508" s="18">
        <v>0</v>
      </c>
      <c r="AA508" s="18">
        <v>0</v>
      </c>
      <c r="AB508" s="18">
        <v>192</v>
      </c>
      <c r="AC508" s="18">
        <v>0</v>
      </c>
      <c r="AD508" s="18">
        <v>0</v>
      </c>
      <c r="AE508" s="18">
        <v>0</v>
      </c>
      <c r="AF508" s="18">
        <v>0</v>
      </c>
      <c r="AG508" s="18">
        <v>0</v>
      </c>
      <c r="AH508" s="18">
        <v>0</v>
      </c>
      <c r="AI508" s="18">
        <v>0</v>
      </c>
      <c r="AJ508" s="18">
        <v>0</v>
      </c>
      <c r="AK508" s="18">
        <v>0</v>
      </c>
      <c r="AL508" s="18"/>
      <c r="AM508" s="18">
        <v>83.474576271186507</v>
      </c>
      <c r="AN508" s="18">
        <v>0</v>
      </c>
      <c r="AO508" s="18">
        <v>0</v>
      </c>
      <c r="AP508" s="18">
        <v>0</v>
      </c>
      <c r="AQ508" s="18">
        <v>0</v>
      </c>
      <c r="AR508" s="18">
        <v>0</v>
      </c>
      <c r="AS508" s="18">
        <v>0</v>
      </c>
      <c r="AT508" s="18">
        <v>0</v>
      </c>
      <c r="AU508" s="18">
        <v>0</v>
      </c>
      <c r="AV508" s="18">
        <v>0</v>
      </c>
      <c r="AW508" s="18">
        <v>0</v>
      </c>
      <c r="AX508" s="18"/>
      <c r="AY508" s="18">
        <v>1</v>
      </c>
      <c r="AZ508" s="18">
        <v>1</v>
      </c>
      <c r="BA508" s="18">
        <v>1</v>
      </c>
      <c r="BB508" s="18">
        <v>1</v>
      </c>
      <c r="BC508" s="18">
        <v>1</v>
      </c>
      <c r="BD508" s="18">
        <v>1</v>
      </c>
      <c r="BE508" s="18">
        <v>1</v>
      </c>
      <c r="BF508" s="18">
        <v>1</v>
      </c>
      <c r="BG508" s="18">
        <v>1</v>
      </c>
      <c r="BH508" s="18">
        <v>1</v>
      </c>
      <c r="BI508" s="18">
        <v>1</v>
      </c>
      <c r="BJ508" s="19"/>
      <c r="BK508" s="18">
        <v>95.83756345177656</v>
      </c>
      <c r="BL508" s="18">
        <v>0</v>
      </c>
      <c r="BM508" s="18">
        <v>20</v>
      </c>
      <c r="BN508" s="18">
        <v>0</v>
      </c>
      <c r="BO508" s="18"/>
      <c r="BP508" s="18">
        <v>0</v>
      </c>
      <c r="BQ508" s="18">
        <v>0</v>
      </c>
      <c r="BR508" s="18">
        <v>1.0329456756496547</v>
      </c>
      <c r="BS508" s="18">
        <v>0.99001806315511887</v>
      </c>
      <c r="BT508" s="19"/>
      <c r="BU508" s="18">
        <v>800</v>
      </c>
      <c r="BV508" s="18">
        <v>-72.121827411167516</v>
      </c>
      <c r="BW508" s="18">
        <v>0</v>
      </c>
      <c r="BX508" s="18" t="s">
        <v>217</v>
      </c>
      <c r="BY508" s="18" t="s">
        <v>217</v>
      </c>
      <c r="BZ508" s="18" t="s">
        <v>217</v>
      </c>
      <c r="CA508" s="18" t="s">
        <v>217</v>
      </c>
      <c r="CB508" s="19"/>
      <c r="CC508" s="19">
        <v>0</v>
      </c>
      <c r="CD508" s="19">
        <v>0</v>
      </c>
      <c r="CE508" s="19">
        <v>0</v>
      </c>
      <c r="CF508" s="19">
        <v>189.12</v>
      </c>
      <c r="CG508" s="19">
        <v>0</v>
      </c>
      <c r="CH508" s="19">
        <v>0</v>
      </c>
      <c r="CI508" s="19">
        <v>0</v>
      </c>
      <c r="CJ508" s="19"/>
      <c r="CK508" s="19">
        <v>0</v>
      </c>
      <c r="CL508" s="19">
        <v>0</v>
      </c>
      <c r="CM508" s="19">
        <v>0</v>
      </c>
      <c r="CN508" s="19">
        <v>0</v>
      </c>
      <c r="CO508" s="19">
        <v>0</v>
      </c>
      <c r="CP508" s="19">
        <v>0</v>
      </c>
      <c r="CQ508" s="19">
        <v>943.99999999999898</v>
      </c>
      <c r="CR508" s="19">
        <v>927.80836118512275</v>
      </c>
      <c r="HM508" s="620">
        <f t="shared" ref="HM508:HU508" si="396">HM138</f>
        <v>0</v>
      </c>
      <c r="HN508" s="620">
        <f t="shared" si="396"/>
        <v>0</v>
      </c>
      <c r="HO508" s="620">
        <f t="shared" si="396"/>
        <v>0</v>
      </c>
      <c r="HP508" s="620">
        <f t="shared" si="396"/>
        <v>0</v>
      </c>
      <c r="HQ508" s="620">
        <f t="shared" si="396"/>
        <v>0</v>
      </c>
      <c r="HR508" s="620">
        <f t="shared" si="396"/>
        <v>0</v>
      </c>
      <c r="HS508" s="620">
        <f t="shared" si="396"/>
        <v>0</v>
      </c>
      <c r="HT508" s="620">
        <f t="shared" si="396"/>
        <v>0</v>
      </c>
      <c r="HU508" s="620" t="str">
        <f t="shared" si="396"/>
        <v>offfarm</v>
      </c>
      <c r="HV508" s="22" t="s">
        <v>2013</v>
      </c>
      <c r="IB508" s="11">
        <f t="shared" ref="IB508:II508" si="397">IB138</f>
        <v>0.47300000000000003</v>
      </c>
      <c r="IC508" s="11">
        <f t="shared" si="397"/>
        <v>0.13</v>
      </c>
      <c r="ID508" s="11">
        <f t="shared" si="397"/>
        <v>0.39100000000000001</v>
      </c>
      <c r="IE508" s="11">
        <f t="shared" si="397"/>
        <v>5.5E-2</v>
      </c>
      <c r="IF508" s="11">
        <f t="shared" si="397"/>
        <v>3.97</v>
      </c>
      <c r="IG508" s="11">
        <f t="shared" si="397"/>
        <v>4.5999999999999999E-3</v>
      </c>
      <c r="IH508" s="11">
        <f t="shared" si="397"/>
        <v>2.73</v>
      </c>
      <c r="II508" s="11">
        <f t="shared" si="397"/>
        <v>0</v>
      </c>
    </row>
    <row r="509" spans="4:243" x14ac:dyDescent="0.25">
      <c r="D509" s="185" t="s">
        <v>1129</v>
      </c>
      <c r="E509" s="14">
        <v>42279</v>
      </c>
      <c r="F509" s="18">
        <v>1.0138184281842799</v>
      </c>
      <c r="G509" s="18">
        <v>0.97168571428571504</v>
      </c>
      <c r="H509" s="21">
        <v>100</v>
      </c>
      <c r="I509" s="21">
        <v>100</v>
      </c>
      <c r="J509" s="21">
        <v>100</v>
      </c>
      <c r="K509" s="18">
        <v>1</v>
      </c>
      <c r="L509" s="18">
        <v>96</v>
      </c>
      <c r="M509" s="18">
        <v>82</v>
      </c>
      <c r="N509" s="18">
        <v>0</v>
      </c>
      <c r="O509" s="18">
        <v>19.2</v>
      </c>
      <c r="P509" s="18">
        <v>0</v>
      </c>
      <c r="Q509" s="19"/>
      <c r="R509" s="18">
        <v>75</v>
      </c>
      <c r="S509" s="18">
        <v>0</v>
      </c>
      <c r="T509" s="18">
        <v>0</v>
      </c>
      <c r="U509" s="18">
        <v>0</v>
      </c>
      <c r="V509" s="18">
        <v>0</v>
      </c>
      <c r="W509" s="18">
        <v>0</v>
      </c>
      <c r="X509" s="18"/>
      <c r="Y509" s="18">
        <v>0</v>
      </c>
      <c r="Z509" s="18">
        <v>1.875</v>
      </c>
      <c r="AA509" s="18">
        <v>3.2291666666666665</v>
      </c>
      <c r="AB509" s="18">
        <v>0</v>
      </c>
      <c r="AC509" s="18">
        <v>0</v>
      </c>
      <c r="AD509" s="18">
        <v>0</v>
      </c>
      <c r="AE509" s="18">
        <v>0</v>
      </c>
      <c r="AF509" s="18">
        <v>0</v>
      </c>
      <c r="AG509" s="18">
        <v>0</v>
      </c>
      <c r="AH509" s="18">
        <v>0</v>
      </c>
      <c r="AI509" s="18">
        <v>0</v>
      </c>
      <c r="AJ509" s="18">
        <v>0</v>
      </c>
      <c r="AK509" s="18">
        <v>0</v>
      </c>
      <c r="AL509" s="18"/>
      <c r="AM509" s="18">
        <v>67.853658536585399</v>
      </c>
      <c r="AN509" s="18">
        <v>0.146341463414634</v>
      </c>
      <c r="AO509" s="18">
        <v>0.109756097560976</v>
      </c>
      <c r="AP509" s="18">
        <v>0.39024390243902402</v>
      </c>
      <c r="AQ509" s="18">
        <v>0.15853658536585399</v>
      </c>
      <c r="AR509" s="18">
        <v>0.40243902439024398</v>
      </c>
      <c r="AS509" s="18">
        <v>0.53658536585365901</v>
      </c>
      <c r="AT509" s="18">
        <v>0</v>
      </c>
      <c r="AU509" s="18">
        <v>0</v>
      </c>
      <c r="AV509" s="18">
        <v>0</v>
      </c>
      <c r="AW509" s="18">
        <v>0.51219512195121997</v>
      </c>
      <c r="AX509" s="18"/>
      <c r="AY509" s="18">
        <v>1</v>
      </c>
      <c r="AZ509" s="18">
        <v>0.85</v>
      </c>
      <c r="BA509" s="18">
        <v>0.85</v>
      </c>
      <c r="BB509" s="18">
        <v>0.85</v>
      </c>
      <c r="BC509" s="18">
        <v>0.85</v>
      </c>
      <c r="BD509" s="18">
        <v>0.85</v>
      </c>
      <c r="BE509" s="18">
        <v>0.85</v>
      </c>
      <c r="BF509" s="18">
        <v>0.85</v>
      </c>
      <c r="BG509" s="18">
        <v>0.85</v>
      </c>
      <c r="BH509" s="18">
        <v>0.85</v>
      </c>
      <c r="BI509" s="18">
        <v>0.85</v>
      </c>
      <c r="BJ509" s="19"/>
      <c r="BK509" s="18">
        <v>85.416666666666671</v>
      </c>
      <c r="BL509" s="18">
        <v>0</v>
      </c>
      <c r="BM509" s="18">
        <v>20</v>
      </c>
      <c r="BN509" s="18">
        <v>0</v>
      </c>
      <c r="BO509" s="18"/>
      <c r="BP509" s="18">
        <v>0</v>
      </c>
      <c r="BQ509" s="18">
        <v>0</v>
      </c>
      <c r="BR509" s="18">
        <v>1.0560608626919583</v>
      </c>
      <c r="BS509" s="18">
        <v>1.0121726190476199</v>
      </c>
      <c r="BT509" s="19"/>
      <c r="BU509" s="18">
        <v>800</v>
      </c>
      <c r="BV509" s="18">
        <v>22.708333333333439</v>
      </c>
      <c r="BW509" s="18">
        <v>0</v>
      </c>
      <c r="BX509" s="18" t="s">
        <v>217</v>
      </c>
      <c r="BY509" s="18" t="s">
        <v>217</v>
      </c>
      <c r="BZ509" s="18" t="s">
        <v>217</v>
      </c>
      <c r="CA509" s="18" t="s">
        <v>217</v>
      </c>
      <c r="CB509" s="19"/>
      <c r="CC509" s="19">
        <v>0</v>
      </c>
      <c r="CD509" s="19">
        <v>1.7999999999999998</v>
      </c>
      <c r="CE509" s="19">
        <v>3.0999999999999996</v>
      </c>
      <c r="CF509" s="19">
        <v>0</v>
      </c>
      <c r="CG509" s="19">
        <v>0</v>
      </c>
      <c r="CH509" s="19">
        <v>0</v>
      </c>
      <c r="CI509" s="19">
        <v>0</v>
      </c>
      <c r="CJ509" s="19"/>
      <c r="CK509" s="19">
        <v>0</v>
      </c>
      <c r="CL509" s="19">
        <v>0</v>
      </c>
      <c r="CM509" s="19">
        <v>0</v>
      </c>
      <c r="CN509" s="19">
        <v>0</v>
      </c>
      <c r="CO509" s="19">
        <v>0</v>
      </c>
      <c r="CP509" s="19">
        <v>0</v>
      </c>
      <c r="CQ509" s="19">
        <v>615</v>
      </c>
      <c r="CR509" s="19">
        <v>606.61749964581679</v>
      </c>
      <c r="HM509" s="620">
        <f t="shared" ref="HM509:HU509" si="398">HM139</f>
        <v>0</v>
      </c>
      <c r="HN509" s="620">
        <f t="shared" si="398"/>
        <v>0</v>
      </c>
      <c r="HO509" s="620">
        <f t="shared" si="398"/>
        <v>0</v>
      </c>
      <c r="HP509" s="620">
        <f t="shared" si="398"/>
        <v>0</v>
      </c>
      <c r="HQ509" s="620">
        <f t="shared" si="398"/>
        <v>0</v>
      </c>
      <c r="HR509" s="620">
        <f t="shared" si="398"/>
        <v>0</v>
      </c>
      <c r="HS509" s="620">
        <f t="shared" si="398"/>
        <v>0</v>
      </c>
      <c r="HT509" s="620">
        <f t="shared" si="398"/>
        <v>0</v>
      </c>
      <c r="HU509" s="620" t="str">
        <f t="shared" si="398"/>
        <v>offfarm</v>
      </c>
      <c r="HV509" s="22" t="s">
        <v>2013</v>
      </c>
      <c r="IB509" s="11">
        <f t="shared" ref="IB509:II509" si="399">IB139</f>
        <v>0.47300000000000003</v>
      </c>
      <c r="IC509" s="11">
        <f t="shared" si="399"/>
        <v>0.13</v>
      </c>
      <c r="ID509" s="11">
        <f t="shared" si="399"/>
        <v>0.39100000000000001</v>
      </c>
      <c r="IE509" s="11">
        <f t="shared" si="399"/>
        <v>5.5E-2</v>
      </c>
      <c r="IF509" s="11">
        <f t="shared" si="399"/>
        <v>3.97</v>
      </c>
      <c r="IG509" s="11">
        <f t="shared" si="399"/>
        <v>4.5999999999999999E-3</v>
      </c>
      <c r="IH509" s="11">
        <f t="shared" si="399"/>
        <v>2.73</v>
      </c>
      <c r="II509" s="11">
        <f t="shared" si="399"/>
        <v>0</v>
      </c>
    </row>
    <row r="510" spans="4:243" x14ac:dyDescent="0.25">
      <c r="D510" s="185" t="s">
        <v>475</v>
      </c>
      <c r="E510" s="14">
        <v>42279</v>
      </c>
      <c r="F510" s="18">
        <v>1.0138184281842799</v>
      </c>
      <c r="G510" s="18">
        <v>0.97168571428571404</v>
      </c>
      <c r="H510" s="21">
        <v>100</v>
      </c>
      <c r="I510" s="21">
        <v>100</v>
      </c>
      <c r="J510" s="21">
        <v>100</v>
      </c>
      <c r="K510" s="18">
        <v>1</v>
      </c>
      <c r="L510" s="18">
        <v>96</v>
      </c>
      <c r="M510" s="18">
        <v>82</v>
      </c>
      <c r="N510" s="18">
        <v>0</v>
      </c>
      <c r="O510" s="18">
        <v>19.2</v>
      </c>
      <c r="P510" s="18">
        <v>0</v>
      </c>
      <c r="Q510" s="19"/>
      <c r="R510" s="18">
        <v>100</v>
      </c>
      <c r="S510" s="18">
        <v>0</v>
      </c>
      <c r="T510" s="18">
        <v>0</v>
      </c>
      <c r="U510" s="18">
        <v>0</v>
      </c>
      <c r="V510" s="18">
        <v>0</v>
      </c>
      <c r="W510" s="18">
        <v>0</v>
      </c>
      <c r="X510" s="18"/>
      <c r="Y510" s="18">
        <v>0</v>
      </c>
      <c r="Z510" s="18">
        <v>1.875</v>
      </c>
      <c r="AA510" s="18">
        <v>3.2291666666666665</v>
      </c>
      <c r="AB510" s="18">
        <v>0</v>
      </c>
      <c r="AC510" s="18">
        <v>0</v>
      </c>
      <c r="AD510" s="18">
        <v>0</v>
      </c>
      <c r="AE510" s="18">
        <v>0</v>
      </c>
      <c r="AF510" s="18">
        <v>0</v>
      </c>
      <c r="AG510" s="18">
        <v>0</v>
      </c>
      <c r="AH510" s="18">
        <v>0</v>
      </c>
      <c r="AI510" s="18">
        <v>0</v>
      </c>
      <c r="AJ510" s="18">
        <v>0</v>
      </c>
      <c r="AK510" s="18">
        <v>0</v>
      </c>
      <c r="AL510" s="18"/>
      <c r="AM510" s="18">
        <v>67.853658536585399</v>
      </c>
      <c r="AN510" s="18">
        <v>0.146341463414634</v>
      </c>
      <c r="AO510" s="18">
        <v>0.109756097560976</v>
      </c>
      <c r="AP510" s="18">
        <v>0.39024390243902402</v>
      </c>
      <c r="AQ510" s="18">
        <v>0.15853658536585399</v>
      </c>
      <c r="AR510" s="18">
        <v>0.40243902439024398</v>
      </c>
      <c r="AS510" s="18">
        <v>0.53658536585365901</v>
      </c>
      <c r="AT510" s="18">
        <v>0</v>
      </c>
      <c r="AU510" s="18">
        <v>0</v>
      </c>
      <c r="AV510" s="18">
        <v>0</v>
      </c>
      <c r="AW510" s="18">
        <v>0.51219512195121997</v>
      </c>
      <c r="AX510" s="18"/>
      <c r="AY510" s="18">
        <v>1</v>
      </c>
      <c r="AZ510" s="18">
        <v>0.85</v>
      </c>
      <c r="BA510" s="18">
        <v>0.85</v>
      </c>
      <c r="BB510" s="18">
        <v>0.85</v>
      </c>
      <c r="BC510" s="18">
        <v>0.85</v>
      </c>
      <c r="BD510" s="18">
        <v>0.85</v>
      </c>
      <c r="BE510" s="18">
        <v>0.85</v>
      </c>
      <c r="BF510" s="18">
        <v>0.85</v>
      </c>
      <c r="BG510" s="18">
        <v>0.85</v>
      </c>
      <c r="BH510" s="18">
        <v>0.85</v>
      </c>
      <c r="BI510" s="18">
        <v>0.85</v>
      </c>
      <c r="BJ510" s="19"/>
      <c r="BK510" s="18">
        <v>85.416666666666671</v>
      </c>
      <c r="BL510" s="18">
        <v>0</v>
      </c>
      <c r="BM510" s="18">
        <v>20</v>
      </c>
      <c r="BN510" s="18">
        <v>0</v>
      </c>
      <c r="BO510" s="18"/>
      <c r="BP510" s="18">
        <v>0</v>
      </c>
      <c r="BQ510" s="18">
        <v>0</v>
      </c>
      <c r="BR510" s="18">
        <v>1.0560608626919583</v>
      </c>
      <c r="BS510" s="18">
        <v>1.0121726190476188</v>
      </c>
      <c r="BT510" s="19"/>
      <c r="BU510" s="18">
        <v>800</v>
      </c>
      <c r="BV510" s="18">
        <v>22.708333333333332</v>
      </c>
      <c r="BW510" s="18">
        <v>0</v>
      </c>
      <c r="BX510" s="18" t="s">
        <v>217</v>
      </c>
      <c r="BY510" s="18" t="s">
        <v>217</v>
      </c>
      <c r="BZ510" s="18" t="s">
        <v>217</v>
      </c>
      <c r="CA510" s="18" t="s">
        <v>217</v>
      </c>
      <c r="CB510" s="19"/>
      <c r="CC510" s="19">
        <v>0</v>
      </c>
      <c r="CD510" s="19">
        <v>1.7999999999999998</v>
      </c>
      <c r="CE510" s="19">
        <v>3.0999999999999996</v>
      </c>
      <c r="CF510" s="19">
        <v>0</v>
      </c>
      <c r="CG510" s="19">
        <v>0</v>
      </c>
      <c r="CH510" s="19">
        <v>0</v>
      </c>
      <c r="CI510" s="19">
        <v>0</v>
      </c>
      <c r="CJ510" s="19"/>
      <c r="CK510" s="19">
        <v>0</v>
      </c>
      <c r="CL510" s="19">
        <v>0</v>
      </c>
      <c r="CM510" s="19">
        <v>0</v>
      </c>
      <c r="CN510" s="19">
        <v>0</v>
      </c>
      <c r="CO510" s="19">
        <v>0</v>
      </c>
      <c r="CP510" s="19">
        <v>0</v>
      </c>
      <c r="CQ510" s="19">
        <v>820</v>
      </c>
      <c r="CR510" s="19">
        <v>808.82333286108906</v>
      </c>
      <c r="HM510" s="620">
        <f t="shared" ref="HM510:HU510" si="400">HM140</f>
        <v>0</v>
      </c>
      <c r="HN510" s="620">
        <f t="shared" si="400"/>
        <v>0</v>
      </c>
      <c r="HO510" s="620">
        <f t="shared" si="400"/>
        <v>0</v>
      </c>
      <c r="HP510" s="620">
        <f t="shared" si="400"/>
        <v>0</v>
      </c>
      <c r="HQ510" s="620">
        <f t="shared" si="400"/>
        <v>0</v>
      </c>
      <c r="HR510" s="620">
        <f t="shared" si="400"/>
        <v>0</v>
      </c>
      <c r="HS510" s="620">
        <f t="shared" si="400"/>
        <v>0</v>
      </c>
      <c r="HT510" s="620">
        <f t="shared" si="400"/>
        <v>0</v>
      </c>
      <c r="HU510" s="620" t="str">
        <f t="shared" si="400"/>
        <v>offfarm</v>
      </c>
      <c r="HV510" s="22" t="s">
        <v>2013</v>
      </c>
      <c r="IB510" s="11">
        <f t="shared" ref="IB510:II510" si="401">IB140</f>
        <v>0.47300000000000003</v>
      </c>
      <c r="IC510" s="11">
        <f t="shared" si="401"/>
        <v>0.13</v>
      </c>
      <c r="ID510" s="11">
        <f t="shared" si="401"/>
        <v>0.39100000000000001</v>
      </c>
      <c r="IE510" s="11">
        <f t="shared" si="401"/>
        <v>5.5E-2</v>
      </c>
      <c r="IF510" s="11">
        <f t="shared" si="401"/>
        <v>3.97</v>
      </c>
      <c r="IG510" s="11">
        <f t="shared" si="401"/>
        <v>4.5999999999999999E-3</v>
      </c>
      <c r="IH510" s="11">
        <f t="shared" si="401"/>
        <v>2.73</v>
      </c>
      <c r="II510" s="11">
        <f t="shared" si="401"/>
        <v>0</v>
      </c>
    </row>
    <row r="511" spans="4:243" x14ac:dyDescent="0.25">
      <c r="D511" s="185" t="s">
        <v>1130</v>
      </c>
      <c r="E511" s="14">
        <v>41583</v>
      </c>
      <c r="F511" s="18">
        <v>0.79427375400657396</v>
      </c>
      <c r="G511" s="18">
        <v>0.76126497461929199</v>
      </c>
      <c r="H511" s="21">
        <v>100</v>
      </c>
      <c r="I511" s="21">
        <v>100</v>
      </c>
      <c r="J511" s="21">
        <v>100</v>
      </c>
      <c r="K511" s="18">
        <v>1</v>
      </c>
      <c r="L511" s="18">
        <v>55</v>
      </c>
      <c r="M511" s="18">
        <v>32.720812182741099</v>
      </c>
      <c r="N511" s="18">
        <v>0</v>
      </c>
      <c r="O511" s="18">
        <v>0.3</v>
      </c>
      <c r="P511" s="18">
        <v>0</v>
      </c>
      <c r="Q511" s="19"/>
      <c r="R511" s="18">
        <v>100</v>
      </c>
      <c r="S511" s="18">
        <v>0</v>
      </c>
      <c r="T511" s="18">
        <v>0</v>
      </c>
      <c r="U511" s="18">
        <v>0</v>
      </c>
      <c r="V511" s="18">
        <v>0</v>
      </c>
      <c r="W511" s="18">
        <v>0</v>
      </c>
      <c r="X511" s="18"/>
      <c r="Y511" s="18">
        <v>0</v>
      </c>
      <c r="Z511" s="18">
        <v>0</v>
      </c>
      <c r="AA511" s="18">
        <v>0</v>
      </c>
      <c r="AB511" s="18">
        <v>0</v>
      </c>
      <c r="AC511" s="18">
        <v>0</v>
      </c>
      <c r="AD511" s="18">
        <v>0</v>
      </c>
      <c r="AE511" s="18">
        <v>0</v>
      </c>
      <c r="AF511" s="18">
        <v>0</v>
      </c>
      <c r="AG511" s="18">
        <v>0</v>
      </c>
      <c r="AH511" s="18">
        <v>0</v>
      </c>
      <c r="AI511" s="18">
        <v>0</v>
      </c>
      <c r="AJ511" s="18">
        <v>0</v>
      </c>
      <c r="AK511" s="18">
        <v>0</v>
      </c>
      <c r="AL511" s="18"/>
      <c r="AM511" s="18">
        <v>152.807942910332</v>
      </c>
      <c r="AN511" s="18">
        <v>0</v>
      </c>
      <c r="AO511" s="18">
        <v>0</v>
      </c>
      <c r="AP511" s="18">
        <v>0</v>
      </c>
      <c r="AQ511" s="18">
        <v>0</v>
      </c>
      <c r="AR511" s="18">
        <v>0</v>
      </c>
      <c r="AS511" s="18">
        <v>0</v>
      </c>
      <c r="AT511" s="18">
        <v>0</v>
      </c>
      <c r="AU511" s="18">
        <v>0</v>
      </c>
      <c r="AV511" s="18">
        <v>0</v>
      </c>
      <c r="AW511" s="18">
        <v>0</v>
      </c>
      <c r="AX511" s="18"/>
      <c r="AY511" s="18">
        <v>1</v>
      </c>
      <c r="AZ511" s="18">
        <v>0.85</v>
      </c>
      <c r="BA511" s="18">
        <v>0.85</v>
      </c>
      <c r="BB511" s="18">
        <v>0.85</v>
      </c>
      <c r="BC511" s="18">
        <v>0.85</v>
      </c>
      <c r="BD511" s="18">
        <v>0.85</v>
      </c>
      <c r="BE511" s="18">
        <v>0.85</v>
      </c>
      <c r="BF511" s="18">
        <v>0.85</v>
      </c>
      <c r="BG511" s="18">
        <v>0.85</v>
      </c>
      <c r="BH511" s="18">
        <v>0.85</v>
      </c>
      <c r="BI511" s="18">
        <v>0.85</v>
      </c>
      <c r="BJ511" s="19"/>
      <c r="BK511" s="18">
        <v>59.492385786801997</v>
      </c>
      <c r="BL511" s="18">
        <v>0</v>
      </c>
      <c r="BM511" s="18">
        <v>0.54545454545454541</v>
      </c>
      <c r="BN511" s="18">
        <v>0</v>
      </c>
      <c r="BO511" s="18"/>
      <c r="BP511" s="18">
        <v>0</v>
      </c>
      <c r="BQ511" s="18">
        <v>0</v>
      </c>
      <c r="BR511" s="18">
        <v>1.4441340981937709</v>
      </c>
      <c r="BS511" s="18">
        <v>1.38411813567144</v>
      </c>
      <c r="BT511" s="19"/>
      <c r="BU511" s="18">
        <v>994.5454545454545</v>
      </c>
      <c r="BV511" s="18">
        <v>453.16474388555633</v>
      </c>
      <c r="BW511" s="18">
        <v>0</v>
      </c>
      <c r="BX511" s="18" t="s">
        <v>217</v>
      </c>
      <c r="BY511" s="18" t="s">
        <v>217</v>
      </c>
      <c r="BZ511" s="18" t="s">
        <v>217</v>
      </c>
      <c r="CA511" s="18" t="s">
        <v>217</v>
      </c>
      <c r="CB511" s="19"/>
      <c r="CC511" s="19">
        <v>0</v>
      </c>
      <c r="CD511" s="19">
        <v>0</v>
      </c>
      <c r="CE511" s="19">
        <v>0</v>
      </c>
      <c r="CF511" s="19">
        <v>0</v>
      </c>
      <c r="CG511" s="19">
        <v>0</v>
      </c>
      <c r="CH511" s="19">
        <v>0</v>
      </c>
      <c r="CI511" s="19">
        <v>0</v>
      </c>
      <c r="CJ511" s="19"/>
      <c r="CK511" s="19">
        <v>0</v>
      </c>
      <c r="CL511" s="19">
        <v>0</v>
      </c>
      <c r="CM511" s="19">
        <v>0</v>
      </c>
      <c r="CN511" s="19">
        <v>0</v>
      </c>
      <c r="CO511" s="19">
        <v>0</v>
      </c>
      <c r="CP511" s="19">
        <v>0</v>
      </c>
      <c r="CQ511" s="19">
        <v>327.20812182741099</v>
      </c>
      <c r="CR511" s="19">
        <v>411.95887460320489</v>
      </c>
      <c r="HM511" s="620">
        <f t="shared" ref="HM511:HU511" si="402">HM141</f>
        <v>0</v>
      </c>
      <c r="HN511" s="620">
        <f t="shared" si="402"/>
        <v>0</v>
      </c>
      <c r="HO511" s="620">
        <f t="shared" si="402"/>
        <v>0</v>
      </c>
      <c r="HP511" s="620">
        <f t="shared" si="402"/>
        <v>0</v>
      </c>
      <c r="HQ511" s="620">
        <f t="shared" si="402"/>
        <v>0</v>
      </c>
      <c r="HR511" s="620">
        <f t="shared" si="402"/>
        <v>0</v>
      </c>
      <c r="HS511" s="620">
        <f t="shared" si="402"/>
        <v>0</v>
      </c>
      <c r="HT511" s="620">
        <f t="shared" si="402"/>
        <v>0</v>
      </c>
      <c r="HU511" s="620" t="str">
        <f t="shared" si="402"/>
        <v>offfarm</v>
      </c>
      <c r="HV511" s="22" t="s">
        <v>2013</v>
      </c>
      <c r="IB511" s="11">
        <f t="shared" ref="IB511:II511" si="403">IB141</f>
        <v>0.47300000000000003</v>
      </c>
      <c r="IC511" s="11">
        <f t="shared" si="403"/>
        <v>0.13</v>
      </c>
      <c r="ID511" s="11">
        <f t="shared" si="403"/>
        <v>0.39100000000000001</v>
      </c>
      <c r="IE511" s="11">
        <f t="shared" si="403"/>
        <v>5.5E-2</v>
      </c>
      <c r="IF511" s="11">
        <f t="shared" si="403"/>
        <v>3.97</v>
      </c>
      <c r="IG511" s="11">
        <f t="shared" si="403"/>
        <v>4.5999999999999999E-3</v>
      </c>
      <c r="IH511" s="11">
        <f t="shared" si="403"/>
        <v>2.73</v>
      </c>
      <c r="II511" s="11">
        <f t="shared" si="403"/>
        <v>0</v>
      </c>
    </row>
    <row r="512" spans="4:243" x14ac:dyDescent="0.25">
      <c r="D512" s="185" t="s">
        <v>1131</v>
      </c>
      <c r="E512" s="14">
        <v>41583</v>
      </c>
      <c r="F512" s="18">
        <v>0.79427375400657396</v>
      </c>
      <c r="G512" s="18">
        <v>0.76126497461929199</v>
      </c>
      <c r="H512" s="21">
        <v>100</v>
      </c>
      <c r="I512" s="21">
        <v>100</v>
      </c>
      <c r="J512" s="21">
        <v>100</v>
      </c>
      <c r="K512" s="18">
        <v>1</v>
      </c>
      <c r="L512" s="18">
        <v>55</v>
      </c>
      <c r="M512" s="18">
        <v>32.720812182741099</v>
      </c>
      <c r="N512" s="18">
        <v>0</v>
      </c>
      <c r="O512" s="18">
        <v>0.3</v>
      </c>
      <c r="P512" s="18">
        <v>0</v>
      </c>
      <c r="Q512" s="19"/>
      <c r="R512" s="18">
        <v>75</v>
      </c>
      <c r="S512" s="18">
        <v>0</v>
      </c>
      <c r="T512" s="18">
        <v>0</v>
      </c>
      <c r="U512" s="18">
        <v>0</v>
      </c>
      <c r="V512" s="18">
        <v>0</v>
      </c>
      <c r="W512" s="18">
        <v>0</v>
      </c>
      <c r="X512" s="18"/>
      <c r="Y512" s="18">
        <v>0</v>
      </c>
      <c r="Z512" s="18">
        <v>0</v>
      </c>
      <c r="AA512" s="18">
        <v>0</v>
      </c>
      <c r="AB512" s="18">
        <v>0</v>
      </c>
      <c r="AC512" s="18">
        <v>0</v>
      </c>
      <c r="AD512" s="18">
        <v>0</v>
      </c>
      <c r="AE512" s="18">
        <v>0</v>
      </c>
      <c r="AF512" s="18">
        <v>0</v>
      </c>
      <c r="AG512" s="18">
        <v>0</v>
      </c>
      <c r="AH512" s="18">
        <v>0</v>
      </c>
      <c r="AI512" s="18">
        <v>0</v>
      </c>
      <c r="AJ512" s="18">
        <v>0</v>
      </c>
      <c r="AK512" s="18">
        <v>0</v>
      </c>
      <c r="AL512" s="18"/>
      <c r="AM512" s="18">
        <v>152.807942910332</v>
      </c>
      <c r="AN512" s="18">
        <v>0</v>
      </c>
      <c r="AO512" s="18">
        <v>0</v>
      </c>
      <c r="AP512" s="18">
        <v>0</v>
      </c>
      <c r="AQ512" s="18">
        <v>0</v>
      </c>
      <c r="AR512" s="18">
        <v>0</v>
      </c>
      <c r="AS512" s="18">
        <v>0</v>
      </c>
      <c r="AT512" s="18">
        <v>0</v>
      </c>
      <c r="AU512" s="18">
        <v>0</v>
      </c>
      <c r="AV512" s="18">
        <v>0</v>
      </c>
      <c r="AW512" s="18">
        <v>0</v>
      </c>
      <c r="AX512" s="18"/>
      <c r="AY512" s="18">
        <v>1</v>
      </c>
      <c r="AZ512" s="18">
        <v>0.85</v>
      </c>
      <c r="BA512" s="18">
        <v>0.85</v>
      </c>
      <c r="BB512" s="18">
        <v>0.85</v>
      </c>
      <c r="BC512" s="18">
        <v>0.85</v>
      </c>
      <c r="BD512" s="18">
        <v>0.85</v>
      </c>
      <c r="BE512" s="18">
        <v>0.85</v>
      </c>
      <c r="BF512" s="18">
        <v>0.85</v>
      </c>
      <c r="BG512" s="18">
        <v>0.85</v>
      </c>
      <c r="BH512" s="18">
        <v>0.85</v>
      </c>
      <c r="BI512" s="18">
        <v>0.85</v>
      </c>
      <c r="BJ512" s="19"/>
      <c r="BK512" s="18">
        <v>59.492385786801997</v>
      </c>
      <c r="BL512" s="18">
        <v>0</v>
      </c>
      <c r="BM512" s="18">
        <v>0.54545454545454541</v>
      </c>
      <c r="BN512" s="18">
        <v>0</v>
      </c>
      <c r="BO512" s="18"/>
      <c r="BP512" s="18">
        <v>0</v>
      </c>
      <c r="BQ512" s="18">
        <v>0</v>
      </c>
      <c r="BR512" s="18">
        <v>1.4441340981937709</v>
      </c>
      <c r="BS512" s="18">
        <v>1.38411813567144</v>
      </c>
      <c r="BT512" s="19"/>
      <c r="BU512" s="18">
        <v>994.5454545454545</v>
      </c>
      <c r="BV512" s="18">
        <v>453.16474388555633</v>
      </c>
      <c r="BW512" s="18">
        <v>0</v>
      </c>
      <c r="BX512" s="18" t="s">
        <v>217</v>
      </c>
      <c r="BY512" s="18" t="s">
        <v>217</v>
      </c>
      <c r="BZ512" s="18" t="s">
        <v>217</v>
      </c>
      <c r="CA512" s="18" t="s">
        <v>217</v>
      </c>
      <c r="CB512" s="19"/>
      <c r="CC512" s="19">
        <v>0</v>
      </c>
      <c r="CD512" s="19">
        <v>0</v>
      </c>
      <c r="CE512" s="19">
        <v>0</v>
      </c>
      <c r="CF512" s="19">
        <v>0</v>
      </c>
      <c r="CG512" s="19">
        <v>0</v>
      </c>
      <c r="CH512" s="19">
        <v>0</v>
      </c>
      <c r="CI512" s="19">
        <v>0</v>
      </c>
      <c r="CJ512" s="19"/>
      <c r="CK512" s="19">
        <v>0</v>
      </c>
      <c r="CL512" s="19">
        <v>0</v>
      </c>
      <c r="CM512" s="19">
        <v>0</v>
      </c>
      <c r="CN512" s="19">
        <v>0</v>
      </c>
      <c r="CO512" s="19">
        <v>0</v>
      </c>
      <c r="CP512" s="19">
        <v>0</v>
      </c>
      <c r="CQ512" s="19">
        <v>245.40609137055799</v>
      </c>
      <c r="CR512" s="19">
        <v>308.96915595240336</v>
      </c>
      <c r="HM512" s="620">
        <f t="shared" ref="HM512:HU512" si="404">HM142</f>
        <v>0</v>
      </c>
      <c r="HN512" s="620">
        <f t="shared" si="404"/>
        <v>0</v>
      </c>
      <c r="HO512" s="620">
        <f t="shared" si="404"/>
        <v>0</v>
      </c>
      <c r="HP512" s="620">
        <f t="shared" si="404"/>
        <v>0</v>
      </c>
      <c r="HQ512" s="620">
        <f t="shared" si="404"/>
        <v>0</v>
      </c>
      <c r="HR512" s="620">
        <f t="shared" si="404"/>
        <v>0</v>
      </c>
      <c r="HS512" s="620">
        <f t="shared" si="404"/>
        <v>0</v>
      </c>
      <c r="HT512" s="620">
        <f t="shared" si="404"/>
        <v>0</v>
      </c>
      <c r="HU512" s="620" t="str">
        <f t="shared" si="404"/>
        <v>offfarm</v>
      </c>
      <c r="HV512" s="22" t="s">
        <v>2013</v>
      </c>
      <c r="IB512" s="11">
        <f t="shared" ref="IB512:II512" si="405">IB142</f>
        <v>0.47300000000000003</v>
      </c>
      <c r="IC512" s="11">
        <f t="shared" si="405"/>
        <v>0.13</v>
      </c>
      <c r="ID512" s="11">
        <f t="shared" si="405"/>
        <v>0.39100000000000001</v>
      </c>
      <c r="IE512" s="11">
        <f t="shared" si="405"/>
        <v>5.5E-2</v>
      </c>
      <c r="IF512" s="11">
        <f t="shared" si="405"/>
        <v>3.97</v>
      </c>
      <c r="IG512" s="11">
        <f t="shared" si="405"/>
        <v>4.5999999999999999E-3</v>
      </c>
      <c r="IH512" s="11">
        <f t="shared" si="405"/>
        <v>2.73</v>
      </c>
      <c r="II512" s="11">
        <f t="shared" si="405"/>
        <v>0</v>
      </c>
    </row>
    <row r="513" spans="4:243" x14ac:dyDescent="0.25">
      <c r="D513" s="20" t="s">
        <v>1310</v>
      </c>
      <c r="E513" s="14">
        <v>41495</v>
      </c>
      <c r="F513" s="18">
        <v>1.5182291424699901</v>
      </c>
      <c r="G513" s="18">
        <v>1.4564522578849699</v>
      </c>
      <c r="H513" s="21">
        <v>99.7</v>
      </c>
      <c r="I513" s="21">
        <v>99.5</v>
      </c>
      <c r="J513" s="21">
        <v>94.4</v>
      </c>
      <c r="K513" s="18">
        <v>1</v>
      </c>
      <c r="L513" s="18">
        <v>99</v>
      </c>
      <c r="M513" s="18">
        <v>1</v>
      </c>
      <c r="N513" s="18">
        <v>0.45</v>
      </c>
      <c r="O513" s="18">
        <v>3</v>
      </c>
      <c r="P513" s="18">
        <v>0</v>
      </c>
      <c r="Q513" s="19"/>
      <c r="R513" s="18">
        <v>85</v>
      </c>
      <c r="S513" s="18">
        <v>58</v>
      </c>
      <c r="T513" s="18">
        <v>58</v>
      </c>
      <c r="U513" s="18">
        <v>58</v>
      </c>
      <c r="V513" s="18">
        <v>58</v>
      </c>
      <c r="W513" s="18">
        <v>58</v>
      </c>
      <c r="X513" s="18"/>
      <c r="Y513" s="18">
        <v>1.595959595959596</v>
      </c>
      <c r="Z513" s="18">
        <v>1.5151515151515151</v>
      </c>
      <c r="AA513" s="18">
        <v>1.1919191919191918</v>
      </c>
      <c r="AB513" s="18">
        <v>15</v>
      </c>
      <c r="AC513" s="18">
        <v>22</v>
      </c>
      <c r="AD513" s="18">
        <v>1.5353535353535355</v>
      </c>
      <c r="AE513" s="18">
        <v>2</v>
      </c>
      <c r="AF513" s="18">
        <v>4</v>
      </c>
      <c r="AG513" s="18">
        <v>3</v>
      </c>
      <c r="AH513" s="18">
        <v>2</v>
      </c>
      <c r="AI513" s="18">
        <v>2</v>
      </c>
      <c r="AJ513" s="18">
        <v>0</v>
      </c>
      <c r="AK513" s="18">
        <v>0.05</v>
      </c>
      <c r="AL513" s="18"/>
      <c r="AM513" s="18">
        <v>7.47</v>
      </c>
      <c r="AN513" s="18">
        <v>1.45</v>
      </c>
      <c r="AO513" s="18">
        <v>1.82</v>
      </c>
      <c r="AP513" s="18">
        <v>6.07</v>
      </c>
      <c r="AQ513" s="18">
        <v>1.29</v>
      </c>
      <c r="AR513" s="18">
        <v>5.88</v>
      </c>
      <c r="AS513" s="18">
        <v>8.6300000000000008</v>
      </c>
      <c r="AT513" s="18">
        <v>2.15</v>
      </c>
      <c r="AU513" s="18">
        <v>3</v>
      </c>
      <c r="AV513" s="18">
        <v>2.75</v>
      </c>
      <c r="AW513" s="18">
        <v>5.29</v>
      </c>
      <c r="AX513" s="18"/>
      <c r="AY513" s="18">
        <v>0.89</v>
      </c>
      <c r="AZ513" s="18">
        <v>1.06</v>
      </c>
      <c r="BA513" s="18">
        <v>1.04</v>
      </c>
      <c r="BB513" s="18">
        <v>1.01</v>
      </c>
      <c r="BC513" s="18">
        <v>1.08</v>
      </c>
      <c r="BD513" s="18">
        <v>1.05</v>
      </c>
      <c r="BE513" s="18">
        <v>1.0900000000000001</v>
      </c>
      <c r="BF513" s="18">
        <v>1.05</v>
      </c>
      <c r="BG513" s="18">
        <v>1.02</v>
      </c>
      <c r="BH513" s="18">
        <v>1.1200000000000001</v>
      </c>
      <c r="BI513" s="18">
        <v>1.05</v>
      </c>
      <c r="BJ513" s="19"/>
      <c r="BK513" s="18">
        <v>1.0101010101010102</v>
      </c>
      <c r="BL513" s="18">
        <v>0.45454545454545453</v>
      </c>
      <c r="BM513" s="18">
        <v>3.0303030303030303</v>
      </c>
      <c r="BN513" s="18">
        <v>0</v>
      </c>
      <c r="BO513" s="18"/>
      <c r="BP513" s="18">
        <v>34</v>
      </c>
      <c r="BQ513" s="18">
        <v>1.5454545454545454</v>
      </c>
      <c r="BR513" s="18">
        <v>1.5335647903737273</v>
      </c>
      <c r="BS513" s="18">
        <v>1.471163896853505</v>
      </c>
      <c r="BT513" s="19"/>
      <c r="BU513" s="18">
        <v>969.69696969696975</v>
      </c>
      <c r="BV513" s="18">
        <v>950.41630591630599</v>
      </c>
      <c r="BW513" s="18">
        <v>2.7705627705628082</v>
      </c>
      <c r="BX513" s="18">
        <v>0</v>
      </c>
      <c r="BY513" s="18">
        <v>775</v>
      </c>
      <c r="BZ513" s="18">
        <v>0</v>
      </c>
      <c r="CA513" s="18">
        <v>0</v>
      </c>
      <c r="CB513" s="19"/>
      <c r="CC513" s="19">
        <v>1.58</v>
      </c>
      <c r="CD513" s="19">
        <v>1.5</v>
      </c>
      <c r="CE513" s="19">
        <v>1.18</v>
      </c>
      <c r="CF513" s="19">
        <v>14.85</v>
      </c>
      <c r="CG513" s="19">
        <v>21.78</v>
      </c>
      <c r="CH513" s="19">
        <v>1.52</v>
      </c>
      <c r="CI513" s="19">
        <v>1.98</v>
      </c>
      <c r="CJ513" s="19"/>
      <c r="CK513" s="19">
        <v>3.96</v>
      </c>
      <c r="CL513" s="19">
        <v>2.9699999999999998</v>
      </c>
      <c r="CM513" s="19">
        <v>1.98</v>
      </c>
      <c r="CN513" s="19">
        <v>1.98</v>
      </c>
      <c r="CO513" s="19">
        <v>0</v>
      </c>
      <c r="CP513" s="19">
        <v>4.9500000000000002E-2</v>
      </c>
      <c r="CQ513" s="19">
        <v>7.8</v>
      </c>
      <c r="CR513" s="19">
        <v>5.1375644043495745</v>
      </c>
      <c r="HM513" s="620">
        <f t="shared" ref="HM513:HU513" si="406">HM143</f>
        <v>0</v>
      </c>
      <c r="HN513" s="620">
        <f t="shared" si="406"/>
        <v>0</v>
      </c>
      <c r="HO513" s="620">
        <f t="shared" si="406"/>
        <v>0</v>
      </c>
      <c r="HP513" s="620">
        <f t="shared" si="406"/>
        <v>0</v>
      </c>
      <c r="HQ513" s="620">
        <f t="shared" si="406"/>
        <v>0</v>
      </c>
      <c r="HR513" s="620">
        <f t="shared" si="406"/>
        <v>0</v>
      </c>
      <c r="HS513" s="620">
        <f t="shared" si="406"/>
        <v>0</v>
      </c>
      <c r="HT513" s="620">
        <f t="shared" si="406"/>
        <v>0</v>
      </c>
      <c r="HU513" s="620" t="str">
        <f t="shared" si="406"/>
        <v>offfarm</v>
      </c>
      <c r="HV513" s="22" t="s">
        <v>2049</v>
      </c>
      <c r="IB513" s="11">
        <f t="shared" ref="IB513:II513" si="407">IB143</f>
        <v>0.47300000000000003</v>
      </c>
      <c r="IC513" s="11">
        <f t="shared" si="407"/>
        <v>0.13</v>
      </c>
      <c r="ID513" s="11">
        <f t="shared" si="407"/>
        <v>0.39100000000000001</v>
      </c>
      <c r="IE513" s="11">
        <f t="shared" si="407"/>
        <v>5.5E-2</v>
      </c>
      <c r="IF513" s="11">
        <f t="shared" si="407"/>
        <v>3.97</v>
      </c>
      <c r="IG513" s="11">
        <f t="shared" si="407"/>
        <v>4.5999999999999999E-3</v>
      </c>
      <c r="IH513" s="11">
        <f t="shared" si="407"/>
        <v>2.73</v>
      </c>
      <c r="II513" s="11">
        <f t="shared" si="407"/>
        <v>0</v>
      </c>
    </row>
    <row r="514" spans="4:243" x14ac:dyDescent="0.25">
      <c r="D514" s="20" t="s">
        <v>480</v>
      </c>
      <c r="E514" s="14">
        <v>40310</v>
      </c>
      <c r="F514" s="18">
        <v>3.5421593455150502</v>
      </c>
      <c r="G514" s="18">
        <v>3.4007932441430002</v>
      </c>
      <c r="H514" s="21">
        <v>97</v>
      </c>
      <c r="I514" s="21">
        <v>97</v>
      </c>
      <c r="J514" s="21">
        <v>90</v>
      </c>
      <c r="K514" s="18">
        <v>0.93</v>
      </c>
      <c r="L514" s="18">
        <v>99.5</v>
      </c>
      <c r="M514" s="18">
        <v>1.0050505050505E-4</v>
      </c>
      <c r="N514" s="18">
        <v>99.5</v>
      </c>
      <c r="O514" s="18">
        <v>0</v>
      </c>
      <c r="P514" s="18">
        <v>0</v>
      </c>
      <c r="Q514" s="19"/>
      <c r="R514" s="18">
        <v>0</v>
      </c>
      <c r="S514" s="18">
        <v>0</v>
      </c>
      <c r="T514" s="18">
        <v>0</v>
      </c>
      <c r="U514" s="18">
        <v>0</v>
      </c>
      <c r="V514" s="18">
        <v>0</v>
      </c>
      <c r="W514" s="18">
        <v>0</v>
      </c>
      <c r="X514" s="18"/>
      <c r="Y514" s="18">
        <v>0</v>
      </c>
      <c r="Z514" s="18">
        <v>0</v>
      </c>
      <c r="AA514" s="18">
        <v>0</v>
      </c>
      <c r="AB514" s="18">
        <v>0</v>
      </c>
      <c r="AC514" s="18">
        <v>0</v>
      </c>
      <c r="AD514" s="18">
        <v>0</v>
      </c>
      <c r="AE514" s="18">
        <v>0</v>
      </c>
      <c r="AF514" s="18">
        <v>0</v>
      </c>
      <c r="AG514" s="18">
        <v>0</v>
      </c>
      <c r="AH514" s="18">
        <v>0</v>
      </c>
      <c r="AI514" s="18">
        <v>0</v>
      </c>
      <c r="AJ514" s="18">
        <v>0</v>
      </c>
      <c r="AK514" s="18">
        <v>0</v>
      </c>
      <c r="AL514" s="18"/>
      <c r="AM514" s="18">
        <v>0</v>
      </c>
      <c r="AN514" s="18">
        <v>0</v>
      </c>
      <c r="AO514" s="18">
        <v>0</v>
      </c>
      <c r="AP514" s="18">
        <v>0</v>
      </c>
      <c r="AQ514" s="18">
        <v>0</v>
      </c>
      <c r="AR514" s="18">
        <v>0</v>
      </c>
      <c r="AS514" s="18">
        <v>0</v>
      </c>
      <c r="AT514" s="18">
        <v>0</v>
      </c>
      <c r="AU514" s="18">
        <v>0</v>
      </c>
      <c r="AV514" s="18">
        <v>0</v>
      </c>
      <c r="AW514" s="18">
        <v>0</v>
      </c>
      <c r="AX514" s="18"/>
      <c r="AY514" s="18">
        <v>1</v>
      </c>
      <c r="AZ514" s="18">
        <v>1</v>
      </c>
      <c r="BA514" s="18">
        <v>1</v>
      </c>
      <c r="BB514" s="18">
        <v>1</v>
      </c>
      <c r="BC514" s="18">
        <v>1</v>
      </c>
      <c r="BD514" s="18">
        <v>1</v>
      </c>
      <c r="BE514" s="18">
        <v>1</v>
      </c>
      <c r="BF514" s="18">
        <v>1</v>
      </c>
      <c r="BG514" s="18">
        <v>1</v>
      </c>
      <c r="BH514" s="18">
        <v>1</v>
      </c>
      <c r="BI514" s="18">
        <v>1</v>
      </c>
      <c r="BJ514" s="19"/>
      <c r="BK514" s="18">
        <v>1.010101010101005E-4</v>
      </c>
      <c r="BL514" s="18">
        <v>100</v>
      </c>
      <c r="BM514" s="18">
        <v>0</v>
      </c>
      <c r="BN514" s="18">
        <v>0</v>
      </c>
      <c r="BO514" s="18"/>
      <c r="BP514" s="18">
        <v>10</v>
      </c>
      <c r="BQ514" s="18">
        <v>100</v>
      </c>
      <c r="BR514" s="18">
        <v>3.5599591412211558</v>
      </c>
      <c r="BS514" s="18">
        <v>3.4178826574301509</v>
      </c>
      <c r="BT514" s="19"/>
      <c r="BU514" s="18">
        <v>1000</v>
      </c>
      <c r="BV514" s="18">
        <v>-9.1919191907823211E-4</v>
      </c>
      <c r="BW514" s="18">
        <v>0</v>
      </c>
      <c r="BX514" s="18">
        <v>0</v>
      </c>
      <c r="BY514" s="18">
        <v>0</v>
      </c>
      <c r="BZ514" s="18">
        <v>0</v>
      </c>
      <c r="CA514" s="18">
        <v>0</v>
      </c>
      <c r="CB514" s="19"/>
      <c r="CC514" s="19">
        <v>0</v>
      </c>
      <c r="CD514" s="19">
        <v>0</v>
      </c>
      <c r="CE514" s="19">
        <v>0</v>
      </c>
      <c r="CF514" s="19">
        <v>0</v>
      </c>
      <c r="CG514" s="19">
        <v>0</v>
      </c>
      <c r="CH514" s="19">
        <v>0</v>
      </c>
      <c r="CI514" s="19">
        <v>0</v>
      </c>
      <c r="CJ514" s="19"/>
      <c r="CK514" s="19">
        <v>0</v>
      </c>
      <c r="CL514" s="19">
        <v>0</v>
      </c>
      <c r="CM514" s="19">
        <v>0</v>
      </c>
      <c r="CN514" s="19">
        <v>0</v>
      </c>
      <c r="CO514" s="19">
        <v>0</v>
      </c>
      <c r="CP514" s="19">
        <v>0</v>
      </c>
      <c r="CQ514" s="19">
        <v>0</v>
      </c>
      <c r="CR514" s="19">
        <v>0</v>
      </c>
      <c r="HM514" s="620">
        <f t="shared" ref="HM514:HU514" si="408">HM144</f>
        <v>0</v>
      </c>
      <c r="HN514" s="620">
        <f t="shared" si="408"/>
        <v>0</v>
      </c>
      <c r="HO514" s="620">
        <f t="shared" si="408"/>
        <v>0</v>
      </c>
      <c r="HP514" s="620">
        <f t="shared" si="408"/>
        <v>0</v>
      </c>
      <c r="HQ514" s="620">
        <f t="shared" si="408"/>
        <v>0</v>
      </c>
      <c r="HR514" s="620">
        <f t="shared" si="408"/>
        <v>0</v>
      </c>
      <c r="HS514" s="620">
        <f t="shared" si="408"/>
        <v>0</v>
      </c>
      <c r="HT514" s="620">
        <f t="shared" si="408"/>
        <v>0</v>
      </c>
      <c r="HU514" s="620" t="str">
        <f t="shared" si="408"/>
        <v>offfarm</v>
      </c>
      <c r="HV514" s="22" t="s">
        <v>2013</v>
      </c>
      <c r="IB514" s="11">
        <f t="shared" ref="IB514:II514" si="409">IB144</f>
        <v>0.47300000000000003</v>
      </c>
      <c r="IC514" s="11">
        <f t="shared" si="409"/>
        <v>0.13</v>
      </c>
      <c r="ID514" s="11">
        <f t="shared" si="409"/>
        <v>0.39100000000000001</v>
      </c>
      <c r="IE514" s="11">
        <f t="shared" si="409"/>
        <v>5.5E-2</v>
      </c>
      <c r="IF514" s="11">
        <f t="shared" si="409"/>
        <v>3.97</v>
      </c>
      <c r="IG514" s="11">
        <f t="shared" si="409"/>
        <v>4.5999999999999999E-3</v>
      </c>
      <c r="IH514" s="11">
        <f t="shared" si="409"/>
        <v>2.73</v>
      </c>
      <c r="II514" s="11">
        <f t="shared" si="409"/>
        <v>0</v>
      </c>
    </row>
    <row r="515" spans="4:243" x14ac:dyDescent="0.25">
      <c r="D515" s="185" t="s">
        <v>481</v>
      </c>
      <c r="E515" s="14">
        <v>40310</v>
      </c>
      <c r="F515" s="18">
        <v>-0.112682926829268</v>
      </c>
      <c r="G515" s="18">
        <v>-0.108</v>
      </c>
      <c r="H515" s="21">
        <v>70</v>
      </c>
      <c r="I515" s="21">
        <v>70</v>
      </c>
      <c r="J515" s="21">
        <v>0</v>
      </c>
      <c r="K515" s="18">
        <v>1</v>
      </c>
      <c r="L515" s="18">
        <v>99</v>
      </c>
      <c r="M515" s="18">
        <v>0</v>
      </c>
      <c r="N515" s="18">
        <v>0</v>
      </c>
      <c r="O515" s="18">
        <v>99</v>
      </c>
      <c r="P515" s="18">
        <v>0</v>
      </c>
      <c r="Q515" s="19"/>
      <c r="R515" s="18">
        <v>0</v>
      </c>
      <c r="S515" s="18">
        <v>0</v>
      </c>
      <c r="T515" s="18">
        <v>0</v>
      </c>
      <c r="U515" s="18">
        <v>0</v>
      </c>
      <c r="V515" s="18">
        <v>0</v>
      </c>
      <c r="W515" s="18">
        <v>0</v>
      </c>
      <c r="X515" s="18"/>
      <c r="Y515" s="18">
        <v>0</v>
      </c>
      <c r="Z515" s="18">
        <v>0</v>
      </c>
      <c r="AA515" s="18">
        <v>0</v>
      </c>
      <c r="AB515" s="18">
        <v>0</v>
      </c>
      <c r="AC515" s="18">
        <v>0</v>
      </c>
      <c r="AD515" s="18">
        <v>292.92928999999998</v>
      </c>
      <c r="AE515" s="18">
        <v>0</v>
      </c>
      <c r="AF515" s="18">
        <v>0</v>
      </c>
      <c r="AG515" s="18">
        <v>0</v>
      </c>
      <c r="AH515" s="18">
        <v>0</v>
      </c>
      <c r="AI515" s="18">
        <v>0</v>
      </c>
      <c r="AJ515" s="18">
        <v>0</v>
      </c>
      <c r="AK515" s="18">
        <v>0</v>
      </c>
      <c r="AL515" s="18"/>
      <c r="AM515" s="18">
        <v>0</v>
      </c>
      <c r="AN515" s="18">
        <v>0</v>
      </c>
      <c r="AO515" s="18">
        <v>0</v>
      </c>
      <c r="AP515" s="18">
        <v>0</v>
      </c>
      <c r="AQ515" s="18">
        <v>0</v>
      </c>
      <c r="AR515" s="18">
        <v>0</v>
      </c>
      <c r="AS515" s="18">
        <v>0</v>
      </c>
      <c r="AT515" s="18">
        <v>0</v>
      </c>
      <c r="AU515" s="18">
        <v>0</v>
      </c>
      <c r="AV515" s="18">
        <v>0</v>
      </c>
      <c r="AW515" s="18">
        <v>0</v>
      </c>
      <c r="AX515" s="18"/>
      <c r="AY515" s="18">
        <v>1</v>
      </c>
      <c r="AZ515" s="18">
        <v>1</v>
      </c>
      <c r="BA515" s="18">
        <v>1</v>
      </c>
      <c r="BB515" s="18">
        <v>1</v>
      </c>
      <c r="BC515" s="18">
        <v>1</v>
      </c>
      <c r="BD515" s="18">
        <v>1</v>
      </c>
      <c r="BE515" s="18">
        <v>1</v>
      </c>
      <c r="BF515" s="18">
        <v>1</v>
      </c>
      <c r="BG515" s="18">
        <v>1</v>
      </c>
      <c r="BH515" s="18">
        <v>1</v>
      </c>
      <c r="BI515" s="18">
        <v>1</v>
      </c>
      <c r="BJ515" s="19"/>
      <c r="BK515" s="18">
        <v>0</v>
      </c>
      <c r="BL515" s="18">
        <v>0</v>
      </c>
      <c r="BM515" s="18">
        <v>100</v>
      </c>
      <c r="BN515" s="18">
        <v>0</v>
      </c>
      <c r="BO515" s="18"/>
      <c r="BP515" s="18">
        <v>0</v>
      </c>
      <c r="BQ515" s="18">
        <v>0</v>
      </c>
      <c r="BR515" s="18">
        <v>-0.11382113821138182</v>
      </c>
      <c r="BS515" s="18">
        <v>-0.10909090909090909</v>
      </c>
      <c r="BT515" s="19"/>
      <c r="BU515" s="18">
        <v>0</v>
      </c>
      <c r="BV515" s="18">
        <v>0</v>
      </c>
      <c r="BW515" s="18">
        <v>0</v>
      </c>
      <c r="BX515" s="18" t="s">
        <v>217</v>
      </c>
      <c r="BY515" s="18" t="s">
        <v>217</v>
      </c>
      <c r="BZ515" s="18" t="s">
        <v>217</v>
      </c>
      <c r="CA515" s="18" t="s">
        <v>217</v>
      </c>
      <c r="CB515" s="19"/>
      <c r="CC515" s="19">
        <v>0</v>
      </c>
      <c r="CD515" s="19">
        <v>0</v>
      </c>
      <c r="CE515" s="19">
        <v>0</v>
      </c>
      <c r="CF515" s="19">
        <v>0</v>
      </c>
      <c r="CG515" s="19">
        <v>0</v>
      </c>
      <c r="CH515" s="19">
        <v>289.99999709999997</v>
      </c>
      <c r="CI515" s="19">
        <v>0</v>
      </c>
      <c r="CJ515" s="19"/>
      <c r="CK515" s="19">
        <v>0</v>
      </c>
      <c r="CL515" s="19">
        <v>0</v>
      </c>
      <c r="CM515" s="19">
        <v>0</v>
      </c>
      <c r="CN515" s="19">
        <v>0</v>
      </c>
      <c r="CO515" s="19">
        <v>0</v>
      </c>
      <c r="CP515" s="19">
        <v>0</v>
      </c>
      <c r="CQ515" s="19">
        <v>0</v>
      </c>
      <c r="CR515" s="19">
        <v>0</v>
      </c>
      <c r="HM515" s="620">
        <f t="shared" ref="HM515:HU515" si="410">HM145</f>
        <v>0</v>
      </c>
      <c r="HN515" s="620">
        <f t="shared" si="410"/>
        <v>0</v>
      </c>
      <c r="HO515" s="620">
        <f t="shared" si="410"/>
        <v>0</v>
      </c>
      <c r="HP515" s="620">
        <f t="shared" si="410"/>
        <v>0</v>
      </c>
      <c r="HQ515" s="620">
        <f t="shared" si="410"/>
        <v>0</v>
      </c>
      <c r="HR515" s="620">
        <f t="shared" si="410"/>
        <v>0</v>
      </c>
      <c r="HS515" s="620">
        <f t="shared" si="410"/>
        <v>0</v>
      </c>
      <c r="HT515" s="620">
        <f t="shared" si="410"/>
        <v>0</v>
      </c>
      <c r="HU515" s="620" t="str">
        <f t="shared" si="410"/>
        <v>offfarm</v>
      </c>
      <c r="HV515" s="22" t="s">
        <v>2013</v>
      </c>
      <c r="IB515" s="11">
        <f t="shared" ref="IB515:II515" si="411">IB145</f>
        <v>0.47300000000000003</v>
      </c>
      <c r="IC515" s="11">
        <f t="shared" si="411"/>
        <v>0.13</v>
      </c>
      <c r="ID515" s="11">
        <f t="shared" si="411"/>
        <v>0.39100000000000001</v>
      </c>
      <c r="IE515" s="11">
        <f t="shared" si="411"/>
        <v>5.5E-2</v>
      </c>
      <c r="IF515" s="11">
        <f t="shared" si="411"/>
        <v>3.97</v>
      </c>
      <c r="IG515" s="11">
        <f t="shared" si="411"/>
        <v>4.5999999999999999E-3</v>
      </c>
      <c r="IH515" s="11">
        <f t="shared" si="411"/>
        <v>2.73</v>
      </c>
      <c r="II515" s="11">
        <f t="shared" si="411"/>
        <v>0</v>
      </c>
    </row>
    <row r="516" spans="4:243" x14ac:dyDescent="0.25">
      <c r="D516" s="185" t="s">
        <v>483</v>
      </c>
      <c r="E516" s="14">
        <v>40310</v>
      </c>
      <c r="F516" s="18">
        <v>-0.112682926829268</v>
      </c>
      <c r="G516" s="18">
        <v>-0.108</v>
      </c>
      <c r="H516" s="21">
        <v>70</v>
      </c>
      <c r="I516" s="21">
        <v>70</v>
      </c>
      <c r="J516" s="21">
        <v>0</v>
      </c>
      <c r="K516" s="18">
        <v>1</v>
      </c>
      <c r="L516" s="18">
        <v>99</v>
      </c>
      <c r="M516" s="18">
        <v>0</v>
      </c>
      <c r="N516" s="18">
        <v>0</v>
      </c>
      <c r="O516" s="18">
        <v>99</v>
      </c>
      <c r="P516" s="18">
        <v>0</v>
      </c>
      <c r="Q516" s="19"/>
      <c r="R516" s="18">
        <v>0</v>
      </c>
      <c r="S516" s="18">
        <v>0</v>
      </c>
      <c r="T516" s="18">
        <v>0</v>
      </c>
      <c r="U516" s="18">
        <v>0</v>
      </c>
      <c r="V516" s="18">
        <v>0</v>
      </c>
      <c r="W516" s="18">
        <v>0</v>
      </c>
      <c r="X516" s="18"/>
      <c r="Y516" s="18">
        <v>0</v>
      </c>
      <c r="Z516" s="18">
        <v>0</v>
      </c>
      <c r="AA516" s="18">
        <v>0</v>
      </c>
      <c r="AB516" s="18">
        <v>0</v>
      </c>
      <c r="AC516" s="18">
        <v>0</v>
      </c>
      <c r="AD516" s="18">
        <v>515.15152000000103</v>
      </c>
      <c r="AE516" s="18">
        <v>0</v>
      </c>
      <c r="AF516" s="18">
        <v>0</v>
      </c>
      <c r="AG516" s="18">
        <v>0</v>
      </c>
      <c r="AH516" s="18">
        <v>0</v>
      </c>
      <c r="AI516" s="18">
        <v>0</v>
      </c>
      <c r="AJ516" s="18">
        <v>0</v>
      </c>
      <c r="AK516" s="18">
        <v>0</v>
      </c>
      <c r="AL516" s="18"/>
      <c r="AM516" s="18">
        <v>0</v>
      </c>
      <c r="AN516" s="18">
        <v>0</v>
      </c>
      <c r="AO516" s="18">
        <v>0</v>
      </c>
      <c r="AP516" s="18">
        <v>0</v>
      </c>
      <c r="AQ516" s="18">
        <v>0</v>
      </c>
      <c r="AR516" s="18">
        <v>0</v>
      </c>
      <c r="AS516" s="18">
        <v>0</v>
      </c>
      <c r="AT516" s="18">
        <v>0</v>
      </c>
      <c r="AU516" s="18">
        <v>0</v>
      </c>
      <c r="AV516" s="18">
        <v>0</v>
      </c>
      <c r="AW516" s="18">
        <v>0</v>
      </c>
      <c r="AX516" s="18"/>
      <c r="AY516" s="18">
        <v>1</v>
      </c>
      <c r="AZ516" s="18">
        <v>1</v>
      </c>
      <c r="BA516" s="18">
        <v>1</v>
      </c>
      <c r="BB516" s="18">
        <v>1</v>
      </c>
      <c r="BC516" s="18">
        <v>1</v>
      </c>
      <c r="BD516" s="18">
        <v>1</v>
      </c>
      <c r="BE516" s="18">
        <v>1</v>
      </c>
      <c r="BF516" s="18">
        <v>1</v>
      </c>
      <c r="BG516" s="18">
        <v>1</v>
      </c>
      <c r="BH516" s="18">
        <v>1</v>
      </c>
      <c r="BI516" s="18">
        <v>1</v>
      </c>
      <c r="BJ516" s="19"/>
      <c r="BK516" s="18">
        <v>0</v>
      </c>
      <c r="BL516" s="18">
        <v>0</v>
      </c>
      <c r="BM516" s="18">
        <v>100</v>
      </c>
      <c r="BN516" s="18">
        <v>0</v>
      </c>
      <c r="BO516" s="18"/>
      <c r="BP516" s="18">
        <v>0</v>
      </c>
      <c r="BQ516" s="18">
        <v>0</v>
      </c>
      <c r="BR516" s="18">
        <v>-0.11382113821138182</v>
      </c>
      <c r="BS516" s="18">
        <v>-0.10909090909090909</v>
      </c>
      <c r="BT516" s="19"/>
      <c r="BU516" s="18">
        <v>0</v>
      </c>
      <c r="BV516" s="18">
        <v>0</v>
      </c>
      <c r="BW516" s="18">
        <v>0</v>
      </c>
      <c r="BX516" s="18" t="s">
        <v>217</v>
      </c>
      <c r="BY516" s="18" t="s">
        <v>217</v>
      </c>
      <c r="BZ516" s="18" t="s">
        <v>217</v>
      </c>
      <c r="CA516" s="18" t="s">
        <v>217</v>
      </c>
      <c r="CB516" s="19"/>
      <c r="CC516" s="19">
        <v>0</v>
      </c>
      <c r="CD516" s="19">
        <v>0</v>
      </c>
      <c r="CE516" s="19">
        <v>0</v>
      </c>
      <c r="CF516" s="19">
        <v>0</v>
      </c>
      <c r="CG516" s="19">
        <v>0</v>
      </c>
      <c r="CH516" s="19">
        <v>510.00000480000102</v>
      </c>
      <c r="CI516" s="19">
        <v>0</v>
      </c>
      <c r="CJ516" s="19"/>
      <c r="CK516" s="19">
        <v>0</v>
      </c>
      <c r="CL516" s="19">
        <v>0</v>
      </c>
      <c r="CM516" s="19">
        <v>0</v>
      </c>
      <c r="CN516" s="19">
        <v>0</v>
      </c>
      <c r="CO516" s="19">
        <v>0</v>
      </c>
      <c r="CP516" s="19">
        <v>0</v>
      </c>
      <c r="CQ516" s="19">
        <v>0</v>
      </c>
      <c r="CR516" s="19">
        <v>0</v>
      </c>
      <c r="HM516" s="620">
        <f t="shared" ref="HM516:HU516" si="412">HM146</f>
        <v>0</v>
      </c>
      <c r="HN516" s="620">
        <f t="shared" si="412"/>
        <v>0</v>
      </c>
      <c r="HO516" s="620">
        <f t="shared" si="412"/>
        <v>0</v>
      </c>
      <c r="HP516" s="620">
        <f t="shared" si="412"/>
        <v>0</v>
      </c>
      <c r="HQ516" s="620">
        <f t="shared" si="412"/>
        <v>0</v>
      </c>
      <c r="HR516" s="620">
        <f t="shared" si="412"/>
        <v>0</v>
      </c>
      <c r="HS516" s="620">
        <f t="shared" si="412"/>
        <v>0</v>
      </c>
      <c r="HT516" s="620">
        <f t="shared" si="412"/>
        <v>0</v>
      </c>
      <c r="HU516" s="620" t="str">
        <f t="shared" si="412"/>
        <v>offfarm</v>
      </c>
      <c r="HV516" s="22" t="s">
        <v>2013</v>
      </c>
      <c r="IB516" s="11">
        <f t="shared" ref="IB516:II516" si="413">IB146</f>
        <v>0.47300000000000003</v>
      </c>
      <c r="IC516" s="11">
        <f t="shared" si="413"/>
        <v>0.13</v>
      </c>
      <c r="ID516" s="11">
        <f t="shared" si="413"/>
        <v>0.39100000000000001</v>
      </c>
      <c r="IE516" s="11">
        <f t="shared" si="413"/>
        <v>5.5E-2</v>
      </c>
      <c r="IF516" s="11">
        <f t="shared" si="413"/>
        <v>3.97</v>
      </c>
      <c r="IG516" s="11">
        <f t="shared" si="413"/>
        <v>4.5999999999999999E-3</v>
      </c>
      <c r="IH516" s="11">
        <f t="shared" si="413"/>
        <v>2.73</v>
      </c>
      <c r="II516" s="11">
        <f t="shared" si="413"/>
        <v>0</v>
      </c>
    </row>
    <row r="517" spans="4:243" x14ac:dyDescent="0.25">
      <c r="D517" s="20" t="s">
        <v>1132</v>
      </c>
      <c r="E517" s="14">
        <v>40310</v>
      </c>
      <c r="F517" s="18">
        <v>1.24836066226287</v>
      </c>
      <c r="G517" s="18">
        <v>1.2207856136363699</v>
      </c>
      <c r="H517" s="21">
        <v>90.3</v>
      </c>
      <c r="I517" s="21">
        <v>88.2</v>
      </c>
      <c r="J517" s="21">
        <v>91</v>
      </c>
      <c r="K517" s="18">
        <v>1</v>
      </c>
      <c r="L517" s="18">
        <v>87.5</v>
      </c>
      <c r="M517" s="18">
        <v>8.4</v>
      </c>
      <c r="N517" s="18">
        <v>4.0250000000000004</v>
      </c>
      <c r="O517" s="18">
        <v>1.3125</v>
      </c>
      <c r="P517" s="18">
        <v>2.0125000000000002</v>
      </c>
      <c r="Q517" s="19"/>
      <c r="R517" s="18">
        <v>86</v>
      </c>
      <c r="S517" s="18">
        <v>20</v>
      </c>
      <c r="T517" s="18">
        <v>33</v>
      </c>
      <c r="U517" s="18">
        <v>38</v>
      </c>
      <c r="V517" s="18">
        <v>42</v>
      </c>
      <c r="W517" s="18">
        <v>45</v>
      </c>
      <c r="X517" s="18"/>
      <c r="Y517" s="18">
        <v>9.9999999999999992E-2</v>
      </c>
      <c r="Z517" s="18">
        <v>3.1999999999999997</v>
      </c>
      <c r="AA517" s="18">
        <v>9.9999999999999992E-2</v>
      </c>
      <c r="AB517" s="18">
        <v>0</v>
      </c>
      <c r="AC517" s="18">
        <v>4</v>
      </c>
      <c r="AD517" s="18">
        <v>1.2</v>
      </c>
      <c r="AE517" s="18">
        <v>1.2</v>
      </c>
      <c r="AF517" s="18">
        <v>35</v>
      </c>
      <c r="AG517" s="18">
        <v>3.6</v>
      </c>
      <c r="AH517" s="18">
        <v>6.3999999999999995</v>
      </c>
      <c r="AI517" s="18">
        <v>28</v>
      </c>
      <c r="AJ517" s="18">
        <v>0</v>
      </c>
      <c r="AK517" s="18">
        <v>0.06</v>
      </c>
      <c r="AL517" s="18"/>
      <c r="AM517" s="18">
        <v>2.9</v>
      </c>
      <c r="AN517" s="18">
        <v>2.0999999999999899</v>
      </c>
      <c r="AO517" s="18">
        <v>2.2000000000000099</v>
      </c>
      <c r="AP517" s="18">
        <v>3.51</v>
      </c>
      <c r="AQ517" s="18">
        <v>0.71</v>
      </c>
      <c r="AR517" s="18">
        <v>3.3699999999999899</v>
      </c>
      <c r="AS517" s="18">
        <v>12.11</v>
      </c>
      <c r="AT517" s="18">
        <v>2.94</v>
      </c>
      <c r="AU517" s="18">
        <v>4.67</v>
      </c>
      <c r="AV517" s="18">
        <v>3.7299999999999902</v>
      </c>
      <c r="AW517" s="18">
        <v>4.76</v>
      </c>
      <c r="AX517" s="18"/>
      <c r="AY517" s="18">
        <v>0.88</v>
      </c>
      <c r="AZ517" s="18">
        <v>1.02</v>
      </c>
      <c r="BA517" s="18">
        <v>0.99</v>
      </c>
      <c r="BB517" s="18">
        <v>0.93</v>
      </c>
      <c r="BC517" s="18">
        <v>0.86</v>
      </c>
      <c r="BD517" s="18">
        <v>0.99</v>
      </c>
      <c r="BE517" s="18">
        <v>1.03</v>
      </c>
      <c r="BF517" s="18">
        <v>0.98</v>
      </c>
      <c r="BG517" s="18">
        <v>1</v>
      </c>
      <c r="BH517" s="18">
        <v>1.02</v>
      </c>
      <c r="BI517" s="18">
        <v>0.97</v>
      </c>
      <c r="BJ517" s="19"/>
      <c r="BK517" s="18">
        <v>9.6</v>
      </c>
      <c r="BL517" s="18">
        <v>4.6000000000000005</v>
      </c>
      <c r="BM517" s="18">
        <v>1.5</v>
      </c>
      <c r="BN517" s="18">
        <v>2.3000000000000003</v>
      </c>
      <c r="BO517" s="18"/>
      <c r="BP517" s="18">
        <v>120</v>
      </c>
      <c r="BQ517" s="18">
        <v>55.199999999999996</v>
      </c>
      <c r="BR517" s="18">
        <v>1.4266978997289943</v>
      </c>
      <c r="BS517" s="18">
        <v>1.3951835584415657</v>
      </c>
      <c r="BT517" s="19"/>
      <c r="BU517" s="18">
        <v>985</v>
      </c>
      <c r="BV517" s="18">
        <v>727.92500000000007</v>
      </c>
      <c r="BW517" s="18">
        <v>29.549999999999887</v>
      </c>
      <c r="BX517" s="18">
        <v>690</v>
      </c>
      <c r="BY517" s="18">
        <v>20</v>
      </c>
      <c r="BZ517" s="18">
        <v>9</v>
      </c>
      <c r="CA517" s="18">
        <v>99</v>
      </c>
      <c r="CB517" s="19"/>
      <c r="CC517" s="19">
        <v>8.7499999999999994E-2</v>
      </c>
      <c r="CD517" s="19">
        <v>2.8</v>
      </c>
      <c r="CE517" s="19">
        <v>8.7499999999999994E-2</v>
      </c>
      <c r="CF517" s="19">
        <v>0</v>
      </c>
      <c r="CG517" s="19">
        <v>3.5</v>
      </c>
      <c r="CH517" s="19">
        <v>1.05</v>
      </c>
      <c r="CI517" s="19">
        <v>1.05</v>
      </c>
      <c r="CJ517" s="19"/>
      <c r="CK517" s="19">
        <v>30.625</v>
      </c>
      <c r="CL517" s="19">
        <v>3.15</v>
      </c>
      <c r="CM517" s="19">
        <v>5.6</v>
      </c>
      <c r="CN517" s="19">
        <v>24.5</v>
      </c>
      <c r="CO517" s="19">
        <v>0</v>
      </c>
      <c r="CP517" s="19">
        <v>5.2499999999999998E-2</v>
      </c>
      <c r="CQ517" s="19">
        <v>72.239999999999995</v>
      </c>
      <c r="CR517" s="19">
        <v>57.867892015319093</v>
      </c>
      <c r="HM517" s="620">
        <f t="shared" ref="HM517:HU517" si="414">HM147</f>
        <v>0.221</v>
      </c>
      <c r="HN517" s="620">
        <f t="shared" si="414"/>
        <v>6.7000000000000004E-2</v>
      </c>
      <c r="HO517" s="620">
        <f t="shared" si="414"/>
        <v>0.20100000000000001</v>
      </c>
      <c r="HP517" s="620">
        <f t="shared" si="414"/>
        <v>1.4999999999999999E-2</v>
      </c>
      <c r="HQ517" s="620">
        <f t="shared" si="414"/>
        <v>1.74</v>
      </c>
      <c r="HR517" s="620">
        <f t="shared" si="414"/>
        <v>2.3999999999999998E-3</v>
      </c>
      <c r="HS517" s="620">
        <f t="shared" si="414"/>
        <v>1.41</v>
      </c>
      <c r="HT517" s="620" t="str">
        <f t="shared" si="414"/>
        <v>as maize silage</v>
      </c>
      <c r="HU517" s="620" t="str">
        <f t="shared" si="414"/>
        <v>offfarm</v>
      </c>
      <c r="HV517" s="22" t="s">
        <v>2050</v>
      </c>
      <c r="IB517" s="11">
        <f t="shared" ref="IB517:II517" si="415">IB147</f>
        <v>0.221</v>
      </c>
      <c r="IC517" s="11">
        <f t="shared" si="415"/>
        <v>6.7000000000000004E-2</v>
      </c>
      <c r="ID517" s="11">
        <f t="shared" si="415"/>
        <v>0.20100000000000001</v>
      </c>
      <c r="IE517" s="11">
        <f t="shared" si="415"/>
        <v>1.4999999999999999E-2</v>
      </c>
      <c r="IF517" s="11">
        <f t="shared" si="415"/>
        <v>1.74</v>
      </c>
      <c r="IG517" s="11">
        <f t="shared" si="415"/>
        <v>2.3999999999999998E-3</v>
      </c>
      <c r="IH517" s="11">
        <f t="shared" si="415"/>
        <v>1.41</v>
      </c>
      <c r="II517" s="11" t="str">
        <f t="shared" si="415"/>
        <v>as maize silage</v>
      </c>
    </row>
    <row r="518" spans="4:243" x14ac:dyDescent="0.25">
      <c r="D518" s="20" t="s">
        <v>1133</v>
      </c>
      <c r="E518" s="14">
        <v>40310</v>
      </c>
      <c r="F518" s="18">
        <v>1.24836066226287</v>
      </c>
      <c r="G518" s="18">
        <v>1.2207856136363699</v>
      </c>
      <c r="H518" s="21">
        <v>90.3</v>
      </c>
      <c r="I518" s="21">
        <v>88.2</v>
      </c>
      <c r="J518" s="21">
        <v>91</v>
      </c>
      <c r="K518" s="18">
        <v>1</v>
      </c>
      <c r="L518" s="18">
        <v>87.5</v>
      </c>
      <c r="M518" s="18">
        <v>8.4</v>
      </c>
      <c r="N518" s="18">
        <v>4.0250000000000004</v>
      </c>
      <c r="O518" s="18">
        <v>1.3125</v>
      </c>
      <c r="P518" s="18">
        <v>2.0125000000000002</v>
      </c>
      <c r="Q518" s="19"/>
      <c r="R518" s="18">
        <v>86</v>
      </c>
      <c r="S518" s="18">
        <v>20</v>
      </c>
      <c r="T518" s="18">
        <v>33</v>
      </c>
      <c r="U518" s="18">
        <v>38</v>
      </c>
      <c r="V518" s="18">
        <v>42</v>
      </c>
      <c r="W518" s="18">
        <v>45</v>
      </c>
      <c r="X518" s="18"/>
      <c r="Y518" s="18">
        <v>9.9999999999999992E-2</v>
      </c>
      <c r="Z518" s="18">
        <v>3.1999999999999997</v>
      </c>
      <c r="AA518" s="18">
        <v>9.9999999999999992E-2</v>
      </c>
      <c r="AB518" s="18">
        <v>0</v>
      </c>
      <c r="AC518" s="18">
        <v>4</v>
      </c>
      <c r="AD518" s="18">
        <v>1.2</v>
      </c>
      <c r="AE518" s="18">
        <v>1.2</v>
      </c>
      <c r="AF518" s="18">
        <v>35</v>
      </c>
      <c r="AG518" s="18">
        <v>3.6</v>
      </c>
      <c r="AH518" s="18">
        <v>6.3999999999999995</v>
      </c>
      <c r="AI518" s="18">
        <v>28</v>
      </c>
      <c r="AJ518" s="18">
        <v>0</v>
      </c>
      <c r="AK518" s="18">
        <v>0.06</v>
      </c>
      <c r="AL518" s="18"/>
      <c r="AM518" s="18">
        <v>2.9</v>
      </c>
      <c r="AN518" s="18">
        <v>2.0999999999999899</v>
      </c>
      <c r="AO518" s="18">
        <v>2.2000000000000099</v>
      </c>
      <c r="AP518" s="18">
        <v>3.51</v>
      </c>
      <c r="AQ518" s="18">
        <v>0.71</v>
      </c>
      <c r="AR518" s="18">
        <v>3.3699999999999899</v>
      </c>
      <c r="AS518" s="18">
        <v>12.11</v>
      </c>
      <c r="AT518" s="18">
        <v>2.94</v>
      </c>
      <c r="AU518" s="18">
        <v>4.67</v>
      </c>
      <c r="AV518" s="18">
        <v>3.7299999999999902</v>
      </c>
      <c r="AW518" s="18">
        <v>4.76</v>
      </c>
      <c r="AX518" s="18"/>
      <c r="AY518" s="18">
        <v>0.88</v>
      </c>
      <c r="AZ518" s="18">
        <v>1.02</v>
      </c>
      <c r="BA518" s="18">
        <v>0.99</v>
      </c>
      <c r="BB518" s="18">
        <v>0.93</v>
      </c>
      <c r="BC518" s="18">
        <v>0.86</v>
      </c>
      <c r="BD518" s="18">
        <v>0.99</v>
      </c>
      <c r="BE518" s="18">
        <v>1.03</v>
      </c>
      <c r="BF518" s="18">
        <v>0.98</v>
      </c>
      <c r="BG518" s="18">
        <v>1</v>
      </c>
      <c r="BH518" s="18">
        <v>1.02</v>
      </c>
      <c r="BI518" s="18">
        <v>0.97</v>
      </c>
      <c r="BJ518" s="19"/>
      <c r="BK518" s="18">
        <v>9.6</v>
      </c>
      <c r="BL518" s="18">
        <v>4.6000000000000005</v>
      </c>
      <c r="BM518" s="18">
        <v>1.5</v>
      </c>
      <c r="BN518" s="18">
        <v>2.3000000000000003</v>
      </c>
      <c r="BO518" s="18"/>
      <c r="BP518" s="18">
        <v>120</v>
      </c>
      <c r="BQ518" s="18">
        <v>55.199999999999996</v>
      </c>
      <c r="BR518" s="18">
        <v>1.4266978997289943</v>
      </c>
      <c r="BS518" s="18">
        <v>1.3951835584415657</v>
      </c>
      <c r="BT518" s="19"/>
      <c r="BU518" s="18">
        <v>985</v>
      </c>
      <c r="BV518" s="18">
        <v>727.92500000000007</v>
      </c>
      <c r="BW518" s="18">
        <v>29.549999999999887</v>
      </c>
      <c r="BX518" s="18">
        <v>690</v>
      </c>
      <c r="BY518" s="18">
        <v>20</v>
      </c>
      <c r="BZ518" s="18">
        <v>9</v>
      </c>
      <c r="CA518" s="18">
        <v>99</v>
      </c>
      <c r="CB518" s="19"/>
      <c r="CC518" s="19">
        <v>8.7499999999999994E-2</v>
      </c>
      <c r="CD518" s="19">
        <v>2.8</v>
      </c>
      <c r="CE518" s="19">
        <v>8.7499999999999994E-2</v>
      </c>
      <c r="CF518" s="19">
        <v>0</v>
      </c>
      <c r="CG518" s="19">
        <v>3.5</v>
      </c>
      <c r="CH518" s="19">
        <v>1.05</v>
      </c>
      <c r="CI518" s="19">
        <v>1.05</v>
      </c>
      <c r="CJ518" s="19"/>
      <c r="CK518" s="19">
        <v>30.625</v>
      </c>
      <c r="CL518" s="19">
        <v>3.15</v>
      </c>
      <c r="CM518" s="19">
        <v>5.6</v>
      </c>
      <c r="CN518" s="19">
        <v>24.5</v>
      </c>
      <c r="CO518" s="19">
        <v>0</v>
      </c>
      <c r="CP518" s="19">
        <v>5.2499999999999998E-2</v>
      </c>
      <c r="CQ518" s="19">
        <v>72.239999999999995</v>
      </c>
      <c r="CR518" s="19">
        <v>57.867892015319093</v>
      </c>
      <c r="HM518" s="620">
        <f t="shared" ref="HM518:HU518" si="416">HM148</f>
        <v>0.221</v>
      </c>
      <c r="HN518" s="620">
        <f t="shared" si="416"/>
        <v>6.7000000000000004E-2</v>
      </c>
      <c r="HO518" s="620">
        <f t="shared" si="416"/>
        <v>0.20100000000000001</v>
      </c>
      <c r="HP518" s="620">
        <f t="shared" si="416"/>
        <v>1.4999999999999999E-2</v>
      </c>
      <c r="HQ518" s="620">
        <f t="shared" si="416"/>
        <v>1.74</v>
      </c>
      <c r="HR518" s="620">
        <f t="shared" si="416"/>
        <v>2.3999999999999998E-3</v>
      </c>
      <c r="HS518" s="620">
        <f t="shared" si="416"/>
        <v>1.41</v>
      </c>
      <c r="HT518" s="620" t="str">
        <f t="shared" si="416"/>
        <v>as maize silage</v>
      </c>
      <c r="HU518" s="620" t="str">
        <f t="shared" si="416"/>
        <v>offfarm</v>
      </c>
      <c r="HV518" s="22" t="s">
        <v>2050</v>
      </c>
      <c r="IB518" s="11">
        <f t="shared" ref="IB518:II518" si="417">IB148</f>
        <v>0.221</v>
      </c>
      <c r="IC518" s="11">
        <f t="shared" si="417"/>
        <v>6.7000000000000004E-2</v>
      </c>
      <c r="ID518" s="11">
        <f t="shared" si="417"/>
        <v>0.20100000000000001</v>
      </c>
      <c r="IE518" s="11">
        <f t="shared" si="417"/>
        <v>1.4999999999999999E-2</v>
      </c>
      <c r="IF518" s="11">
        <f t="shared" si="417"/>
        <v>1.74</v>
      </c>
      <c r="IG518" s="11">
        <f t="shared" si="417"/>
        <v>2.3999999999999998E-3</v>
      </c>
      <c r="IH518" s="11">
        <f t="shared" si="417"/>
        <v>1.41</v>
      </c>
      <c r="II518" s="11" t="str">
        <f t="shared" si="417"/>
        <v>as maize silage</v>
      </c>
    </row>
    <row r="519" spans="4:243" x14ac:dyDescent="0.25">
      <c r="D519" s="20" t="s">
        <v>1134</v>
      </c>
      <c r="E519" s="14">
        <v>40310</v>
      </c>
      <c r="F519" s="18">
        <v>0.82379456271776896</v>
      </c>
      <c r="G519" s="18">
        <v>0.805665240860854</v>
      </c>
      <c r="H519" s="21">
        <v>90.1</v>
      </c>
      <c r="I519" s="21">
        <v>88.1</v>
      </c>
      <c r="J519" s="21">
        <v>91</v>
      </c>
      <c r="K519" s="18">
        <v>1</v>
      </c>
      <c r="L519" s="18">
        <v>58</v>
      </c>
      <c r="M519" s="18">
        <v>5.22</v>
      </c>
      <c r="N519" s="18">
        <v>2.61</v>
      </c>
      <c r="O519" s="18">
        <v>0.98599999999999999</v>
      </c>
      <c r="P519" s="18">
        <v>1.3340000000000001</v>
      </c>
      <c r="Q519" s="19"/>
      <c r="R519" s="18">
        <v>86</v>
      </c>
      <c r="S519" s="18">
        <v>20</v>
      </c>
      <c r="T519" s="18">
        <v>33</v>
      </c>
      <c r="U519" s="18">
        <v>38</v>
      </c>
      <c r="V519" s="18">
        <v>42</v>
      </c>
      <c r="W519" s="18">
        <v>45</v>
      </c>
      <c r="X519" s="18"/>
      <c r="Y519" s="18">
        <v>0.1</v>
      </c>
      <c r="Z519" s="18">
        <v>3.2</v>
      </c>
      <c r="AA519" s="18">
        <v>0.1</v>
      </c>
      <c r="AB519" s="18">
        <v>0</v>
      </c>
      <c r="AC519" s="18">
        <v>3.9999999999999996</v>
      </c>
      <c r="AD519" s="18">
        <v>1.2</v>
      </c>
      <c r="AE519" s="18">
        <v>1.2</v>
      </c>
      <c r="AF519" s="18">
        <v>35</v>
      </c>
      <c r="AG519" s="18">
        <v>1.8</v>
      </c>
      <c r="AH519" s="18">
        <v>7.7</v>
      </c>
      <c r="AI519" s="18">
        <v>27.999999999999996</v>
      </c>
      <c r="AJ519" s="18">
        <v>0</v>
      </c>
      <c r="AK519" s="18">
        <v>0.06</v>
      </c>
      <c r="AL519" s="18"/>
      <c r="AM519" s="18">
        <v>2.9</v>
      </c>
      <c r="AN519" s="18">
        <v>2.0999999999999899</v>
      </c>
      <c r="AO519" s="18">
        <v>2.2000000000000099</v>
      </c>
      <c r="AP519" s="18">
        <v>3.51</v>
      </c>
      <c r="AQ519" s="18">
        <v>0.71</v>
      </c>
      <c r="AR519" s="18">
        <v>3.3699999999999899</v>
      </c>
      <c r="AS519" s="18">
        <v>12.11</v>
      </c>
      <c r="AT519" s="18">
        <v>2.94</v>
      </c>
      <c r="AU519" s="18">
        <v>4.67</v>
      </c>
      <c r="AV519" s="18">
        <v>3.7299999999999902</v>
      </c>
      <c r="AW519" s="18">
        <v>4.76</v>
      </c>
      <c r="AX519" s="18"/>
      <c r="AY519" s="18">
        <v>0.88</v>
      </c>
      <c r="AZ519" s="18">
        <v>1.02</v>
      </c>
      <c r="BA519" s="18">
        <v>0.99</v>
      </c>
      <c r="BB519" s="18">
        <v>0.93</v>
      </c>
      <c r="BC519" s="18">
        <v>0.86</v>
      </c>
      <c r="BD519" s="18">
        <v>0.99</v>
      </c>
      <c r="BE519" s="18">
        <v>1.03</v>
      </c>
      <c r="BF519" s="18">
        <v>0.98</v>
      </c>
      <c r="BG519" s="18">
        <v>1</v>
      </c>
      <c r="BH519" s="18">
        <v>1.02</v>
      </c>
      <c r="BI519" s="18">
        <v>0.97</v>
      </c>
      <c r="BJ519" s="19"/>
      <c r="BK519" s="18">
        <v>9</v>
      </c>
      <c r="BL519" s="18">
        <v>4.5</v>
      </c>
      <c r="BM519" s="18">
        <v>1.7</v>
      </c>
      <c r="BN519" s="18">
        <v>2.3000000000000003</v>
      </c>
      <c r="BO519" s="18"/>
      <c r="BP519" s="18">
        <v>120</v>
      </c>
      <c r="BQ519" s="18">
        <v>54</v>
      </c>
      <c r="BR519" s="18">
        <v>1.4203354529616705</v>
      </c>
      <c r="BS519" s="18">
        <v>1.389078001484231</v>
      </c>
      <c r="BT519" s="19"/>
      <c r="BU519" s="18">
        <v>983</v>
      </c>
      <c r="BV519" s="18">
        <v>732.0472857142862</v>
      </c>
      <c r="BW519" s="18">
        <v>28.08571428571431</v>
      </c>
      <c r="BX519" s="18">
        <v>690</v>
      </c>
      <c r="BY519" s="18">
        <v>20</v>
      </c>
      <c r="BZ519" s="18">
        <v>9</v>
      </c>
      <c r="CA519" s="18">
        <v>99</v>
      </c>
      <c r="CB519" s="19"/>
      <c r="CC519" s="19">
        <v>5.7999999999999996E-2</v>
      </c>
      <c r="CD519" s="19">
        <v>1.8559999999999999</v>
      </c>
      <c r="CE519" s="19">
        <v>5.7999999999999996E-2</v>
      </c>
      <c r="CF519" s="19">
        <v>0</v>
      </c>
      <c r="CG519" s="19">
        <v>2.3199999999999994</v>
      </c>
      <c r="CH519" s="19">
        <v>0.69599999999999995</v>
      </c>
      <c r="CI519" s="19">
        <v>0.69599999999999995</v>
      </c>
      <c r="CJ519" s="19"/>
      <c r="CK519" s="19">
        <v>20.299999999999997</v>
      </c>
      <c r="CL519" s="19">
        <v>1.044</v>
      </c>
      <c r="CM519" s="19">
        <v>4.4660000000000002</v>
      </c>
      <c r="CN519" s="19">
        <v>16.239999999999998</v>
      </c>
      <c r="CO519" s="19">
        <v>0</v>
      </c>
      <c r="CP519" s="19">
        <v>3.4799999999999998E-2</v>
      </c>
      <c r="CQ519" s="19">
        <v>44.892000000000003</v>
      </c>
      <c r="CR519" s="19">
        <v>54.494168851876665</v>
      </c>
      <c r="HM519" s="620">
        <f t="shared" ref="HM519:HU519" si="418">HM149</f>
        <v>0.221</v>
      </c>
      <c r="HN519" s="620">
        <f t="shared" si="418"/>
        <v>6.7000000000000004E-2</v>
      </c>
      <c r="HO519" s="620">
        <f t="shared" si="418"/>
        <v>0.20100000000000001</v>
      </c>
      <c r="HP519" s="620">
        <f t="shared" si="418"/>
        <v>1.4999999999999999E-2</v>
      </c>
      <c r="HQ519" s="620">
        <f t="shared" si="418"/>
        <v>1.74</v>
      </c>
      <c r="HR519" s="620">
        <f t="shared" si="418"/>
        <v>2.3999999999999998E-3</v>
      </c>
      <c r="HS519" s="620">
        <f t="shared" si="418"/>
        <v>1.41</v>
      </c>
      <c r="HT519" s="620" t="str">
        <f t="shared" si="418"/>
        <v>as maize silage</v>
      </c>
      <c r="HU519" s="620" t="str">
        <f t="shared" si="418"/>
        <v>offfarm</v>
      </c>
      <c r="HV519" s="22" t="s">
        <v>2050</v>
      </c>
      <c r="IB519" s="11">
        <f t="shared" ref="IB519:II519" si="419">IB149</f>
        <v>0.221</v>
      </c>
      <c r="IC519" s="11">
        <f t="shared" si="419"/>
        <v>6.7000000000000004E-2</v>
      </c>
      <c r="ID519" s="11">
        <f t="shared" si="419"/>
        <v>0.20100000000000001</v>
      </c>
      <c r="IE519" s="11">
        <f t="shared" si="419"/>
        <v>1.4999999999999999E-2</v>
      </c>
      <c r="IF519" s="11">
        <f t="shared" si="419"/>
        <v>1.74</v>
      </c>
      <c r="IG519" s="11">
        <f t="shared" si="419"/>
        <v>2.3999999999999998E-3</v>
      </c>
      <c r="IH519" s="11">
        <f t="shared" si="419"/>
        <v>1.41</v>
      </c>
      <c r="II519" s="11" t="str">
        <f t="shared" si="419"/>
        <v>as maize silage</v>
      </c>
    </row>
    <row r="520" spans="4:243" x14ac:dyDescent="0.25">
      <c r="D520" s="20" t="s">
        <v>1311</v>
      </c>
      <c r="E520" s="14">
        <v>40310</v>
      </c>
      <c r="F520" s="18">
        <v>0.219611571815718</v>
      </c>
      <c r="G520" s="18">
        <v>0.24359062337662299</v>
      </c>
      <c r="H520" s="21">
        <v>56</v>
      </c>
      <c r="I520" s="21">
        <v>52.5</v>
      </c>
      <c r="J520" s="21">
        <v>75</v>
      </c>
      <c r="K520" s="18">
        <v>1</v>
      </c>
      <c r="L520" s="18">
        <v>32.5</v>
      </c>
      <c r="M520" s="18">
        <v>2.5674999999999999</v>
      </c>
      <c r="N520" s="18">
        <v>0.71499999999999997</v>
      </c>
      <c r="O520" s="18">
        <v>1.1375</v>
      </c>
      <c r="P520" s="18">
        <v>6.37</v>
      </c>
      <c r="Q520" s="19"/>
      <c r="R520" s="18">
        <v>34.4902025316456</v>
      </c>
      <c r="S520" s="18">
        <v>37</v>
      </c>
      <c r="T520" s="18">
        <v>37</v>
      </c>
      <c r="U520" s="18">
        <v>37</v>
      </c>
      <c r="V520" s="18">
        <v>37</v>
      </c>
      <c r="W520" s="18">
        <v>37</v>
      </c>
      <c r="X520" s="18"/>
      <c r="Y520" s="18">
        <v>1.9000000000000001</v>
      </c>
      <c r="Z520" s="18">
        <v>2.4</v>
      </c>
      <c r="AA520" s="18">
        <v>0.3</v>
      </c>
      <c r="AB520" s="18">
        <v>2.3000000000000003</v>
      </c>
      <c r="AC520" s="18">
        <v>11</v>
      </c>
      <c r="AD520" s="18">
        <v>1.6</v>
      </c>
      <c r="AE520" s="18">
        <v>0.89999999999999991</v>
      </c>
      <c r="AF520" s="18">
        <v>60</v>
      </c>
      <c r="AG520" s="18">
        <v>5</v>
      </c>
      <c r="AH520" s="18">
        <v>17</v>
      </c>
      <c r="AI520" s="18">
        <v>44</v>
      </c>
      <c r="AJ520" s="18">
        <v>0</v>
      </c>
      <c r="AK520" s="18">
        <v>0.03</v>
      </c>
      <c r="AL520" s="18"/>
      <c r="AM520" s="18">
        <v>2.44</v>
      </c>
      <c r="AN520" s="18">
        <v>1.57</v>
      </c>
      <c r="AO520" s="18">
        <v>1.3</v>
      </c>
      <c r="AP520" s="18">
        <v>3.35</v>
      </c>
      <c r="AQ520" s="18">
        <v>0.57999999999999996</v>
      </c>
      <c r="AR520" s="18">
        <v>3.26</v>
      </c>
      <c r="AS520" s="18">
        <v>8.34</v>
      </c>
      <c r="AT520" s="18">
        <v>1.62</v>
      </c>
      <c r="AU520" s="18">
        <v>3.72</v>
      </c>
      <c r="AV520" s="18">
        <v>2.15</v>
      </c>
      <c r="AW520" s="18">
        <v>4.63</v>
      </c>
      <c r="AX520" s="18"/>
      <c r="AY520" s="18">
        <v>1</v>
      </c>
      <c r="AZ520" s="18">
        <v>1</v>
      </c>
      <c r="BA520" s="18">
        <v>1</v>
      </c>
      <c r="BB520" s="18">
        <v>1</v>
      </c>
      <c r="BC520" s="18">
        <v>1</v>
      </c>
      <c r="BD520" s="18">
        <v>1</v>
      </c>
      <c r="BE520" s="18">
        <v>1</v>
      </c>
      <c r="BF520" s="18">
        <v>1</v>
      </c>
      <c r="BG520" s="18">
        <v>1</v>
      </c>
      <c r="BH520" s="18">
        <v>1</v>
      </c>
      <c r="BI520" s="18">
        <v>1</v>
      </c>
      <c r="BJ520" s="19"/>
      <c r="BK520" s="18">
        <v>7.8999999999999995</v>
      </c>
      <c r="BL520" s="18">
        <v>2.1999999999999997</v>
      </c>
      <c r="BM520" s="18">
        <v>3.5</v>
      </c>
      <c r="BN520" s="18">
        <v>19.600000000000001</v>
      </c>
      <c r="BO520" s="18"/>
      <c r="BP520" s="18">
        <v>105</v>
      </c>
      <c r="BQ520" s="18">
        <v>23.1</v>
      </c>
      <c r="BR520" s="18">
        <v>0.67572791327913229</v>
      </c>
      <c r="BS520" s="18">
        <v>0.74950961038960917</v>
      </c>
      <c r="BT520" s="19"/>
      <c r="BU520" s="18">
        <v>965</v>
      </c>
      <c r="BV520" s="18">
        <v>398.92</v>
      </c>
      <c r="BW520" s="18">
        <v>48.25</v>
      </c>
      <c r="BX520" s="18">
        <v>215</v>
      </c>
      <c r="BY520" s="18">
        <v>20</v>
      </c>
      <c r="BZ520" s="18" t="s">
        <v>217</v>
      </c>
      <c r="CA520" s="18" t="s">
        <v>217</v>
      </c>
      <c r="CB520" s="19"/>
      <c r="CC520" s="19">
        <v>0.61750000000000005</v>
      </c>
      <c r="CD520" s="19">
        <v>0.78</v>
      </c>
      <c r="CE520" s="19">
        <v>9.7500000000000003E-2</v>
      </c>
      <c r="CF520" s="19">
        <v>0.74750000000000016</v>
      </c>
      <c r="CG520" s="19">
        <v>3.5750000000000002</v>
      </c>
      <c r="CH520" s="19">
        <v>0.52</v>
      </c>
      <c r="CI520" s="19">
        <v>0.29249999999999998</v>
      </c>
      <c r="CJ520" s="19"/>
      <c r="CK520" s="19">
        <v>19.5</v>
      </c>
      <c r="CL520" s="19">
        <v>1.625</v>
      </c>
      <c r="CM520" s="19">
        <v>5.5250000000000004</v>
      </c>
      <c r="CN520" s="19">
        <v>14.3</v>
      </c>
      <c r="CO520" s="19">
        <v>0</v>
      </c>
      <c r="CP520" s="19">
        <v>9.75E-3</v>
      </c>
      <c r="CQ520" s="19">
        <v>8.8553595000000005</v>
      </c>
      <c r="CR520" s="19">
        <v>40.322827375557296</v>
      </c>
      <c r="HM520" s="620">
        <f t="shared" ref="HM520:HU520" si="420">HM150</f>
        <v>0.221</v>
      </c>
      <c r="HN520" s="620">
        <f t="shared" si="420"/>
        <v>6.7000000000000004E-2</v>
      </c>
      <c r="HO520" s="620">
        <f t="shared" si="420"/>
        <v>0.20100000000000001</v>
      </c>
      <c r="HP520" s="620">
        <f t="shared" si="420"/>
        <v>1.4999999999999999E-2</v>
      </c>
      <c r="HQ520" s="620">
        <f t="shared" si="420"/>
        <v>1.74</v>
      </c>
      <c r="HR520" s="620">
        <f t="shared" si="420"/>
        <v>2.3999999999999998E-3</v>
      </c>
      <c r="HS520" s="620">
        <f t="shared" si="420"/>
        <v>1.41</v>
      </c>
      <c r="HT520" s="620">
        <f t="shared" si="420"/>
        <v>0</v>
      </c>
      <c r="HU520" s="620" t="str">
        <f t="shared" si="420"/>
        <v>offfarm</v>
      </c>
      <c r="HV520" s="22" t="s">
        <v>841</v>
      </c>
      <c r="IB520" s="11">
        <f t="shared" ref="IB520:II520" si="421">IB150</f>
        <v>0.221</v>
      </c>
      <c r="IC520" s="11">
        <f t="shared" si="421"/>
        <v>6.7000000000000004E-2</v>
      </c>
      <c r="ID520" s="11">
        <f t="shared" si="421"/>
        <v>0.20100000000000001</v>
      </c>
      <c r="IE520" s="11">
        <f t="shared" si="421"/>
        <v>1.4999999999999999E-2</v>
      </c>
      <c r="IF520" s="11">
        <f t="shared" si="421"/>
        <v>1.74</v>
      </c>
      <c r="IG520" s="11">
        <f t="shared" si="421"/>
        <v>2.3999999999999998E-3</v>
      </c>
      <c r="IH520" s="11">
        <f t="shared" si="421"/>
        <v>1.41</v>
      </c>
      <c r="II520" s="11">
        <f t="shared" si="421"/>
        <v>0</v>
      </c>
    </row>
    <row r="521" spans="4:243" x14ac:dyDescent="0.25">
      <c r="D521" s="20" t="s">
        <v>1135</v>
      </c>
      <c r="E521" s="14">
        <v>40310</v>
      </c>
      <c r="F521" s="18">
        <v>0.24108431426635701</v>
      </c>
      <c r="G521" s="18">
        <v>0.26285927040816298</v>
      </c>
      <c r="H521" s="21">
        <v>60</v>
      </c>
      <c r="I521" s="21">
        <v>55.5</v>
      </c>
      <c r="J521" s="21">
        <v>75</v>
      </c>
      <c r="K521" s="18">
        <v>1</v>
      </c>
      <c r="L521" s="18">
        <v>32.5</v>
      </c>
      <c r="M521" s="18">
        <v>2.5674999999999999</v>
      </c>
      <c r="N521" s="18">
        <v>0.71499999999999997</v>
      </c>
      <c r="O521" s="18">
        <v>0.97499999999999998</v>
      </c>
      <c r="P521" s="18">
        <v>5.3949999999999996</v>
      </c>
      <c r="Q521" s="19"/>
      <c r="R521" s="18">
        <v>36.494669077757699</v>
      </c>
      <c r="S521" s="18">
        <v>37</v>
      </c>
      <c r="T521" s="18">
        <v>37</v>
      </c>
      <c r="U521" s="18">
        <v>37</v>
      </c>
      <c r="V521" s="18">
        <v>37</v>
      </c>
      <c r="W521" s="18">
        <v>37</v>
      </c>
      <c r="X521" s="18"/>
      <c r="Y521" s="18">
        <v>1.9000000000000001</v>
      </c>
      <c r="Z521" s="18">
        <v>2.3000000000000003</v>
      </c>
      <c r="AA521" s="18">
        <v>0.4</v>
      </c>
      <c r="AB521" s="18">
        <v>2.3000000000000003</v>
      </c>
      <c r="AC521" s="18">
        <v>10</v>
      </c>
      <c r="AD521" s="18">
        <v>1.2</v>
      </c>
      <c r="AE521" s="18">
        <v>0.89999999999999991</v>
      </c>
      <c r="AF521" s="18">
        <v>60</v>
      </c>
      <c r="AG521" s="18">
        <v>5</v>
      </c>
      <c r="AH521" s="18">
        <v>17</v>
      </c>
      <c r="AI521" s="18">
        <v>28</v>
      </c>
      <c r="AJ521" s="18">
        <v>0</v>
      </c>
      <c r="AK521" s="18">
        <v>0.03</v>
      </c>
      <c r="AL521" s="18"/>
      <c r="AM521" s="18">
        <v>2.44</v>
      </c>
      <c r="AN521" s="18">
        <v>1.57</v>
      </c>
      <c r="AO521" s="18">
        <v>1.3</v>
      </c>
      <c r="AP521" s="18">
        <v>3.35</v>
      </c>
      <c r="AQ521" s="18">
        <v>0.57999999999999996</v>
      </c>
      <c r="AR521" s="18">
        <v>3.26</v>
      </c>
      <c r="AS521" s="18">
        <v>8.34</v>
      </c>
      <c r="AT521" s="18">
        <v>1.62</v>
      </c>
      <c r="AU521" s="18">
        <v>3.72</v>
      </c>
      <c r="AV521" s="18">
        <v>2.15</v>
      </c>
      <c r="AW521" s="18">
        <v>4.63</v>
      </c>
      <c r="AX521" s="18"/>
      <c r="AY521" s="18">
        <v>1</v>
      </c>
      <c r="AZ521" s="18">
        <v>1</v>
      </c>
      <c r="BA521" s="18">
        <v>1</v>
      </c>
      <c r="BB521" s="18">
        <v>1</v>
      </c>
      <c r="BC521" s="18">
        <v>1</v>
      </c>
      <c r="BD521" s="18">
        <v>1</v>
      </c>
      <c r="BE521" s="18">
        <v>1</v>
      </c>
      <c r="BF521" s="18">
        <v>1</v>
      </c>
      <c r="BG521" s="18">
        <v>1</v>
      </c>
      <c r="BH521" s="18">
        <v>1</v>
      </c>
      <c r="BI521" s="18">
        <v>1</v>
      </c>
      <c r="BJ521" s="19"/>
      <c r="BK521" s="18">
        <v>7.8999999999999995</v>
      </c>
      <c r="BL521" s="18">
        <v>2.1999999999999997</v>
      </c>
      <c r="BM521" s="18">
        <v>3</v>
      </c>
      <c r="BN521" s="18">
        <v>16.599999999999998</v>
      </c>
      <c r="BO521" s="18"/>
      <c r="BP521" s="18">
        <v>105</v>
      </c>
      <c r="BQ521" s="18">
        <v>23.1</v>
      </c>
      <c r="BR521" s="18">
        <v>0.74179789005032926</v>
      </c>
      <c r="BS521" s="18">
        <v>0.80879775510203999</v>
      </c>
      <c r="BT521" s="19"/>
      <c r="BU521" s="18">
        <v>970</v>
      </c>
      <c r="BV521" s="18">
        <v>426.41285714285846</v>
      </c>
      <c r="BW521" s="18">
        <v>62.357142857142769</v>
      </c>
      <c r="BX521" s="18">
        <v>215</v>
      </c>
      <c r="BY521" s="18">
        <v>20</v>
      </c>
      <c r="BZ521" s="18" t="s">
        <v>217</v>
      </c>
      <c r="CA521" s="18" t="s">
        <v>217</v>
      </c>
      <c r="CB521" s="19"/>
      <c r="CC521" s="19">
        <v>0.61750000000000005</v>
      </c>
      <c r="CD521" s="19">
        <v>0.74750000000000016</v>
      </c>
      <c r="CE521" s="19">
        <v>0.13</v>
      </c>
      <c r="CF521" s="19">
        <v>0.74750000000000016</v>
      </c>
      <c r="CG521" s="19">
        <v>3.25</v>
      </c>
      <c r="CH521" s="19">
        <v>0.39</v>
      </c>
      <c r="CI521" s="19">
        <v>0.29249999999999998</v>
      </c>
      <c r="CJ521" s="19"/>
      <c r="CK521" s="19">
        <v>19.5</v>
      </c>
      <c r="CL521" s="19">
        <v>1.625</v>
      </c>
      <c r="CM521" s="19">
        <v>5.5250000000000004</v>
      </c>
      <c r="CN521" s="19">
        <v>9.1</v>
      </c>
      <c r="CO521" s="19">
        <v>0</v>
      </c>
      <c r="CP521" s="19">
        <v>9.75E-3</v>
      </c>
      <c r="CQ521" s="19">
        <v>9.3700062857142896</v>
      </c>
      <c r="CR521" s="19">
        <v>38.866096760496958</v>
      </c>
      <c r="HM521" s="620">
        <f t="shared" ref="HM521:HU521" si="422">HM151</f>
        <v>0.221</v>
      </c>
      <c r="HN521" s="620">
        <f t="shared" si="422"/>
        <v>6.7000000000000004E-2</v>
      </c>
      <c r="HO521" s="620">
        <f t="shared" si="422"/>
        <v>0.20100000000000001</v>
      </c>
      <c r="HP521" s="620">
        <f t="shared" si="422"/>
        <v>1.4999999999999999E-2</v>
      </c>
      <c r="HQ521" s="620">
        <f t="shared" si="422"/>
        <v>1.74</v>
      </c>
      <c r="HR521" s="620">
        <f t="shared" si="422"/>
        <v>2.3999999999999998E-3</v>
      </c>
      <c r="HS521" s="620">
        <f t="shared" si="422"/>
        <v>1.41</v>
      </c>
      <c r="HT521" s="620">
        <f t="shared" si="422"/>
        <v>0</v>
      </c>
      <c r="HU521" s="620" t="str">
        <f t="shared" si="422"/>
        <v>offfarm</v>
      </c>
      <c r="HV521" s="22" t="s">
        <v>841</v>
      </c>
      <c r="IB521" s="11">
        <f t="shared" ref="IB521:II521" si="423">IB151</f>
        <v>0.221</v>
      </c>
      <c r="IC521" s="11">
        <f t="shared" si="423"/>
        <v>6.7000000000000004E-2</v>
      </c>
      <c r="ID521" s="11">
        <f t="shared" si="423"/>
        <v>0.20100000000000001</v>
      </c>
      <c r="IE521" s="11">
        <f t="shared" si="423"/>
        <v>1.4999999999999999E-2</v>
      </c>
      <c r="IF521" s="11">
        <f t="shared" si="423"/>
        <v>1.74</v>
      </c>
      <c r="IG521" s="11">
        <f t="shared" si="423"/>
        <v>2.3999999999999998E-3</v>
      </c>
      <c r="IH521" s="11">
        <f t="shared" si="423"/>
        <v>1.41</v>
      </c>
      <c r="II521" s="11">
        <f t="shared" si="423"/>
        <v>0</v>
      </c>
    </row>
    <row r="522" spans="4:243" x14ac:dyDescent="0.25">
      <c r="D522" s="20" t="s">
        <v>1136</v>
      </c>
      <c r="E522" s="14">
        <v>40310</v>
      </c>
      <c r="F522" s="18">
        <v>0.209204840301974</v>
      </c>
      <c r="G522" s="18">
        <v>0.234573332560297</v>
      </c>
      <c r="H522" s="21">
        <v>55</v>
      </c>
      <c r="I522" s="21">
        <v>51</v>
      </c>
      <c r="J522" s="21">
        <v>75</v>
      </c>
      <c r="K522" s="18">
        <v>1</v>
      </c>
      <c r="L522" s="18">
        <v>32.5</v>
      </c>
      <c r="M522" s="18">
        <v>2.5674999999999999</v>
      </c>
      <c r="N522" s="18">
        <v>0.71499999999999997</v>
      </c>
      <c r="O522" s="18">
        <v>1.3975</v>
      </c>
      <c r="P522" s="18">
        <v>7.085</v>
      </c>
      <c r="Q522" s="19"/>
      <c r="R522" s="18">
        <v>33.5892368896926</v>
      </c>
      <c r="S522" s="18">
        <v>37</v>
      </c>
      <c r="T522" s="18">
        <v>37</v>
      </c>
      <c r="U522" s="18">
        <v>37</v>
      </c>
      <c r="V522" s="18">
        <v>37</v>
      </c>
      <c r="W522" s="18">
        <v>37</v>
      </c>
      <c r="X522" s="18"/>
      <c r="Y522" s="18">
        <v>2</v>
      </c>
      <c r="Z522" s="18">
        <v>2.4</v>
      </c>
      <c r="AA522" s="18">
        <v>0.2</v>
      </c>
      <c r="AB522" s="18">
        <v>2.3000000000000003</v>
      </c>
      <c r="AC522" s="18">
        <v>12</v>
      </c>
      <c r="AD522" s="18">
        <v>1.3</v>
      </c>
      <c r="AE522" s="18">
        <v>0.89999999999999991</v>
      </c>
      <c r="AF522" s="18">
        <v>60</v>
      </c>
      <c r="AG522" s="18">
        <v>5</v>
      </c>
      <c r="AH522" s="18">
        <v>17</v>
      </c>
      <c r="AI522" s="18">
        <v>54</v>
      </c>
      <c r="AJ522" s="18">
        <v>0</v>
      </c>
      <c r="AK522" s="18">
        <v>0.03</v>
      </c>
      <c r="AL522" s="18"/>
      <c r="AM522" s="18">
        <v>2.44</v>
      </c>
      <c r="AN522" s="18">
        <v>1.57</v>
      </c>
      <c r="AO522" s="18">
        <v>1.3</v>
      </c>
      <c r="AP522" s="18">
        <v>3.35</v>
      </c>
      <c r="AQ522" s="18">
        <v>0.57999999999999996</v>
      </c>
      <c r="AR522" s="18">
        <v>3.26</v>
      </c>
      <c r="AS522" s="18">
        <v>8.34</v>
      </c>
      <c r="AT522" s="18">
        <v>1.62</v>
      </c>
      <c r="AU522" s="18">
        <v>3.72</v>
      </c>
      <c r="AV522" s="18">
        <v>2.15</v>
      </c>
      <c r="AW522" s="18">
        <v>4.63</v>
      </c>
      <c r="AX522" s="18"/>
      <c r="AY522" s="18">
        <v>1</v>
      </c>
      <c r="AZ522" s="18">
        <v>1</v>
      </c>
      <c r="BA522" s="18">
        <v>1</v>
      </c>
      <c r="BB522" s="18">
        <v>1</v>
      </c>
      <c r="BC522" s="18">
        <v>1</v>
      </c>
      <c r="BD522" s="18">
        <v>1</v>
      </c>
      <c r="BE522" s="18">
        <v>1</v>
      </c>
      <c r="BF522" s="18">
        <v>1</v>
      </c>
      <c r="BG522" s="18">
        <v>1</v>
      </c>
      <c r="BH522" s="18">
        <v>1</v>
      </c>
      <c r="BI522" s="18">
        <v>1</v>
      </c>
      <c r="BJ522" s="19"/>
      <c r="BK522" s="18">
        <v>7.8999999999999995</v>
      </c>
      <c r="BL522" s="18">
        <v>2.1999999999999997</v>
      </c>
      <c r="BM522" s="18">
        <v>4.3</v>
      </c>
      <c r="BN522" s="18">
        <v>21.8</v>
      </c>
      <c r="BO522" s="18"/>
      <c r="BP522" s="18">
        <v>105</v>
      </c>
      <c r="BQ522" s="18">
        <v>23.1</v>
      </c>
      <c r="BR522" s="18">
        <v>0.64370720092915079</v>
      </c>
      <c r="BS522" s="18">
        <v>0.72176410018552928</v>
      </c>
      <c r="BT522" s="19"/>
      <c r="BU522" s="18">
        <v>956.99999999999989</v>
      </c>
      <c r="BV522" s="18">
        <v>378.43428571428615</v>
      </c>
      <c r="BW522" s="18">
        <v>54.685714285714148</v>
      </c>
      <c r="BX522" s="18">
        <v>215</v>
      </c>
      <c r="BY522" s="18">
        <v>20</v>
      </c>
      <c r="BZ522" s="18" t="s">
        <v>217</v>
      </c>
      <c r="CA522" s="18" t="s">
        <v>217</v>
      </c>
      <c r="CB522" s="19"/>
      <c r="CC522" s="19">
        <v>0.65</v>
      </c>
      <c r="CD522" s="19">
        <v>0.78</v>
      </c>
      <c r="CE522" s="19">
        <v>6.5000000000000002E-2</v>
      </c>
      <c r="CF522" s="19">
        <v>0.74750000000000016</v>
      </c>
      <c r="CG522" s="19">
        <v>3.9000000000000004</v>
      </c>
      <c r="CH522" s="19">
        <v>0.42250000000000004</v>
      </c>
      <c r="CI522" s="19">
        <v>0.29249999999999998</v>
      </c>
      <c r="CJ522" s="19"/>
      <c r="CK522" s="19">
        <v>19.5</v>
      </c>
      <c r="CL522" s="19">
        <v>1.625</v>
      </c>
      <c r="CM522" s="19">
        <v>5.5250000000000004</v>
      </c>
      <c r="CN522" s="19">
        <v>17.55</v>
      </c>
      <c r="CO522" s="19">
        <v>0</v>
      </c>
      <c r="CP522" s="19">
        <v>9.75E-3</v>
      </c>
      <c r="CQ522" s="19">
        <v>8.6240365714285598</v>
      </c>
      <c r="CR522" s="19">
        <v>41.222930401516074</v>
      </c>
      <c r="HM522" s="620">
        <f t="shared" ref="HM522:HU522" si="424">HM152</f>
        <v>0.221</v>
      </c>
      <c r="HN522" s="620">
        <f t="shared" si="424"/>
        <v>6.7000000000000004E-2</v>
      </c>
      <c r="HO522" s="620">
        <f t="shared" si="424"/>
        <v>0.20100000000000001</v>
      </c>
      <c r="HP522" s="620">
        <f t="shared" si="424"/>
        <v>1.4999999999999999E-2</v>
      </c>
      <c r="HQ522" s="620">
        <f t="shared" si="424"/>
        <v>1.74</v>
      </c>
      <c r="HR522" s="620">
        <f t="shared" si="424"/>
        <v>2.3999999999999998E-3</v>
      </c>
      <c r="HS522" s="620">
        <f t="shared" si="424"/>
        <v>1.41</v>
      </c>
      <c r="HT522" s="620">
        <f t="shared" si="424"/>
        <v>0</v>
      </c>
      <c r="HU522" s="620" t="str">
        <f t="shared" si="424"/>
        <v>offfarm</v>
      </c>
      <c r="HV522" s="22" t="s">
        <v>841</v>
      </c>
      <c r="IB522" s="11">
        <f t="shared" ref="IB522:II522" si="425">IB152</f>
        <v>0.221</v>
      </c>
      <c r="IC522" s="11">
        <f t="shared" si="425"/>
        <v>6.7000000000000004E-2</v>
      </c>
      <c r="ID522" s="11">
        <f t="shared" si="425"/>
        <v>0.20100000000000001</v>
      </c>
      <c r="IE522" s="11">
        <f t="shared" si="425"/>
        <v>1.4999999999999999E-2</v>
      </c>
      <c r="IF522" s="11">
        <f t="shared" si="425"/>
        <v>1.74</v>
      </c>
      <c r="IG522" s="11">
        <f t="shared" si="425"/>
        <v>2.3999999999999998E-3</v>
      </c>
      <c r="IH522" s="11">
        <f t="shared" si="425"/>
        <v>1.41</v>
      </c>
      <c r="II522" s="11">
        <f t="shared" si="425"/>
        <v>0</v>
      </c>
    </row>
    <row r="523" spans="4:243" x14ac:dyDescent="0.25">
      <c r="D523" s="20" t="s">
        <v>1137</v>
      </c>
      <c r="E523" s="14">
        <v>40310</v>
      </c>
      <c r="F523" s="18">
        <v>1.1190978707317101</v>
      </c>
      <c r="G523" s="18">
        <v>1.1127555261818201</v>
      </c>
      <c r="H523" s="21">
        <v>82.8</v>
      </c>
      <c r="I523" s="21">
        <v>79.900000000000006</v>
      </c>
      <c r="J523" s="21">
        <v>88</v>
      </c>
      <c r="K523" s="18">
        <v>1</v>
      </c>
      <c r="L523" s="18">
        <v>88.2</v>
      </c>
      <c r="M523" s="18">
        <v>9.3491999999999997</v>
      </c>
      <c r="N523" s="18">
        <v>4.851</v>
      </c>
      <c r="O523" s="18">
        <v>2.6459999999999999</v>
      </c>
      <c r="P523" s="18">
        <v>4.24703286</v>
      </c>
      <c r="Q523" s="19"/>
      <c r="R523" s="18">
        <v>71.2</v>
      </c>
      <c r="S523" s="18">
        <v>20</v>
      </c>
      <c r="T523" s="18">
        <v>33</v>
      </c>
      <c r="U523" s="18">
        <v>38</v>
      </c>
      <c r="V523" s="18">
        <v>42</v>
      </c>
      <c r="W523" s="18">
        <v>45</v>
      </c>
      <c r="X523" s="18"/>
      <c r="Y523" s="18">
        <v>0.3</v>
      </c>
      <c r="Z523" s="18">
        <v>5.6</v>
      </c>
      <c r="AA523" s="18">
        <v>0.19999999999999998</v>
      </c>
      <c r="AB523" s="18">
        <v>0</v>
      </c>
      <c r="AC523" s="18">
        <v>7.1</v>
      </c>
      <c r="AD523" s="18">
        <v>1.9</v>
      </c>
      <c r="AE523" s="18">
        <v>1.2</v>
      </c>
      <c r="AF523" s="18">
        <v>68</v>
      </c>
      <c r="AG523" s="18">
        <v>3.1999999999999997</v>
      </c>
      <c r="AH523" s="18">
        <v>14</v>
      </c>
      <c r="AI523" s="18">
        <v>41.999999999999993</v>
      </c>
      <c r="AJ523" s="18">
        <v>0</v>
      </c>
      <c r="AK523" s="18">
        <v>0.12</v>
      </c>
      <c r="AL523" s="18"/>
      <c r="AM523" s="18">
        <v>3.37</v>
      </c>
      <c r="AN523" s="18">
        <v>2.37</v>
      </c>
      <c r="AO523" s="18">
        <v>2.19</v>
      </c>
      <c r="AP523" s="18">
        <v>3.73</v>
      </c>
      <c r="AQ523" s="18">
        <v>1.1100000000000001</v>
      </c>
      <c r="AR523" s="18">
        <v>3.84</v>
      </c>
      <c r="AS523" s="18">
        <v>12.07</v>
      </c>
      <c r="AT523" s="18">
        <v>3.06</v>
      </c>
      <c r="AU523" s="18">
        <v>5.05</v>
      </c>
      <c r="AV523" s="18">
        <v>4.1100000000000003</v>
      </c>
      <c r="AW523" s="18">
        <v>5.32</v>
      </c>
      <c r="AX523" s="18"/>
      <c r="AY523" s="18">
        <v>1</v>
      </c>
      <c r="AZ523" s="18">
        <v>1</v>
      </c>
      <c r="BA523" s="18">
        <v>1</v>
      </c>
      <c r="BB523" s="18">
        <v>1</v>
      </c>
      <c r="BC523" s="18">
        <v>1</v>
      </c>
      <c r="BD523" s="18">
        <v>1</v>
      </c>
      <c r="BE523" s="18">
        <v>1</v>
      </c>
      <c r="BF523" s="18">
        <v>1</v>
      </c>
      <c r="BG523" s="18">
        <v>1</v>
      </c>
      <c r="BH523" s="18">
        <v>1</v>
      </c>
      <c r="BI523" s="18">
        <v>1</v>
      </c>
      <c r="BJ523" s="19"/>
      <c r="BK523" s="18">
        <v>10.6</v>
      </c>
      <c r="BL523" s="18">
        <v>5.5</v>
      </c>
      <c r="BM523" s="18">
        <v>3</v>
      </c>
      <c r="BN523" s="18">
        <v>4.8152299999999997</v>
      </c>
      <c r="BO523" s="18"/>
      <c r="BP523" s="18">
        <v>120</v>
      </c>
      <c r="BQ523" s="18">
        <v>66</v>
      </c>
      <c r="BR523" s="18">
        <v>1.2688184475416213</v>
      </c>
      <c r="BS523" s="18">
        <v>1.2616275807050115</v>
      </c>
      <c r="BT523" s="19"/>
      <c r="BU523" s="18">
        <v>969.99999999999989</v>
      </c>
      <c r="BV523" s="18">
        <v>613.1642857142856</v>
      </c>
      <c r="BW523" s="18">
        <v>40.18571428571417</v>
      </c>
      <c r="BX523" s="18">
        <v>566</v>
      </c>
      <c r="BY523" s="18">
        <v>41</v>
      </c>
      <c r="BZ523" s="18">
        <v>12.999999999999998</v>
      </c>
      <c r="CA523" s="18">
        <v>184</v>
      </c>
      <c r="CB523" s="19"/>
      <c r="CC523" s="19">
        <v>0.2646</v>
      </c>
      <c r="CD523" s="19">
        <v>4.9391999999999996</v>
      </c>
      <c r="CE523" s="19">
        <v>0.17639999999999997</v>
      </c>
      <c r="CF523" s="19">
        <v>0</v>
      </c>
      <c r="CG523" s="19">
        <v>6.2622</v>
      </c>
      <c r="CH523" s="19">
        <v>1.6758</v>
      </c>
      <c r="CI523" s="19">
        <v>1.0584</v>
      </c>
      <c r="CJ523" s="19"/>
      <c r="CK523" s="19">
        <v>59.975999999999999</v>
      </c>
      <c r="CL523" s="19">
        <v>2.8223999999999996</v>
      </c>
      <c r="CM523" s="19">
        <v>12.348000000000001</v>
      </c>
      <c r="CN523" s="19">
        <v>37.043999999999997</v>
      </c>
      <c r="CO523" s="19">
        <v>0</v>
      </c>
      <c r="CP523" s="19">
        <v>0.10584</v>
      </c>
      <c r="CQ523" s="19">
        <v>66.566304000000002</v>
      </c>
      <c r="CR523" s="19">
        <v>59.482111208447158</v>
      </c>
      <c r="HM523" s="620">
        <f t="shared" ref="HM523:HU523" si="426">HM153</f>
        <v>0.221</v>
      </c>
      <c r="HN523" s="620">
        <f t="shared" si="426"/>
        <v>6.7000000000000004E-2</v>
      </c>
      <c r="HO523" s="620">
        <f t="shared" si="426"/>
        <v>0.20100000000000001</v>
      </c>
      <c r="HP523" s="620">
        <f t="shared" si="426"/>
        <v>1.4999999999999999E-2</v>
      </c>
      <c r="HQ523" s="620">
        <f t="shared" si="426"/>
        <v>1.74</v>
      </c>
      <c r="HR523" s="620">
        <f t="shared" si="426"/>
        <v>2.3999999999999998E-3</v>
      </c>
      <c r="HS523" s="620">
        <f t="shared" si="426"/>
        <v>1.41</v>
      </c>
      <c r="HT523" s="620" t="str">
        <f t="shared" si="426"/>
        <v>as maize silage</v>
      </c>
      <c r="HU523" s="620" t="str">
        <f t="shared" si="426"/>
        <v>offfarm</v>
      </c>
      <c r="HV523" s="22" t="s">
        <v>2051</v>
      </c>
      <c r="IB523" s="11">
        <f t="shared" ref="IB523:II523" si="427">IB153</f>
        <v>0.221</v>
      </c>
      <c r="IC523" s="11">
        <f t="shared" si="427"/>
        <v>6.7000000000000004E-2</v>
      </c>
      <c r="ID523" s="11">
        <f t="shared" si="427"/>
        <v>0.20100000000000001</v>
      </c>
      <c r="IE523" s="11">
        <f t="shared" si="427"/>
        <v>1.4999999999999999E-2</v>
      </c>
      <c r="IF523" s="11">
        <f t="shared" si="427"/>
        <v>1.74</v>
      </c>
      <c r="IG523" s="11">
        <f t="shared" si="427"/>
        <v>2.3999999999999998E-3</v>
      </c>
      <c r="IH523" s="11">
        <f t="shared" si="427"/>
        <v>1.41</v>
      </c>
      <c r="II523" s="11" t="str">
        <f t="shared" si="427"/>
        <v>as maize silage</v>
      </c>
    </row>
    <row r="524" spans="4:243" x14ac:dyDescent="0.25">
      <c r="D524" s="20" t="s">
        <v>1138</v>
      </c>
      <c r="E524" s="14">
        <v>40310</v>
      </c>
      <c r="F524" s="18">
        <v>1.25178887001548</v>
      </c>
      <c r="G524" s="18">
        <v>1.2165111346567701</v>
      </c>
      <c r="H524" s="21">
        <v>91.5</v>
      </c>
      <c r="I524" s="21">
        <v>91.2</v>
      </c>
      <c r="J524" s="21">
        <v>96</v>
      </c>
      <c r="K524" s="18">
        <v>1</v>
      </c>
      <c r="L524" s="18">
        <v>90.5</v>
      </c>
      <c r="M524" s="18">
        <v>59.277500000000003</v>
      </c>
      <c r="N524" s="18">
        <v>6.0635000000000003</v>
      </c>
      <c r="O524" s="18">
        <v>2.3530000000000002</v>
      </c>
      <c r="P524" s="18">
        <v>0.82272727272727297</v>
      </c>
      <c r="Q524" s="19"/>
      <c r="R524" s="18">
        <v>92</v>
      </c>
      <c r="S524" s="18">
        <v>20</v>
      </c>
      <c r="T524" s="18">
        <v>33</v>
      </c>
      <c r="U524" s="18">
        <v>38</v>
      </c>
      <c r="V524" s="18">
        <v>42</v>
      </c>
      <c r="W524" s="18">
        <v>45</v>
      </c>
      <c r="X524" s="18"/>
      <c r="Y524" s="18">
        <v>0.30000000000000004</v>
      </c>
      <c r="Z524" s="18">
        <v>6.3999999999999995</v>
      </c>
      <c r="AA524" s="18">
        <v>0.79999999999999993</v>
      </c>
      <c r="AB524" s="18">
        <v>0</v>
      </c>
      <c r="AC524" s="18">
        <v>5.5</v>
      </c>
      <c r="AD524" s="18">
        <v>1.5999999999999999</v>
      </c>
      <c r="AE524" s="18">
        <v>7.2</v>
      </c>
      <c r="AF524" s="18">
        <v>130</v>
      </c>
      <c r="AG524" s="18">
        <v>11</v>
      </c>
      <c r="AH524" s="18">
        <v>11</v>
      </c>
      <c r="AI524" s="18">
        <v>39</v>
      </c>
      <c r="AJ524" s="18">
        <v>0</v>
      </c>
      <c r="AK524" s="18">
        <v>9.0909090909090939E-2</v>
      </c>
      <c r="AL524" s="18"/>
      <c r="AM524" s="18">
        <v>1.69</v>
      </c>
      <c r="AN524" s="18">
        <v>2.4700000000000002</v>
      </c>
      <c r="AO524" s="18">
        <v>1.78</v>
      </c>
      <c r="AP524" s="18">
        <v>3.39</v>
      </c>
      <c r="AQ524" s="18">
        <v>0.65</v>
      </c>
      <c r="AR524" s="18">
        <v>4.1399999999999997</v>
      </c>
      <c r="AS524" s="18">
        <v>16.43</v>
      </c>
      <c r="AT524" s="18">
        <v>2.09</v>
      </c>
      <c r="AU524" s="18">
        <v>6.15</v>
      </c>
      <c r="AV524" s="18">
        <v>5.21</v>
      </c>
      <c r="AW524" s="18">
        <v>4.7300000000000004</v>
      </c>
      <c r="AX524" s="18"/>
      <c r="AY524" s="18">
        <v>0.97</v>
      </c>
      <c r="AZ524" s="18">
        <v>1.03</v>
      </c>
      <c r="BA524" s="18">
        <v>1</v>
      </c>
      <c r="BB524" s="18">
        <v>1</v>
      </c>
      <c r="BC524" s="18">
        <v>0.96</v>
      </c>
      <c r="BD524" s="18">
        <v>0.98</v>
      </c>
      <c r="BE524" s="18">
        <v>1.01</v>
      </c>
      <c r="BF524" s="18">
        <v>0.99</v>
      </c>
      <c r="BG524" s="18">
        <v>1.02</v>
      </c>
      <c r="BH524" s="18">
        <v>0.99</v>
      </c>
      <c r="BI524" s="18">
        <v>0.98</v>
      </c>
      <c r="BJ524" s="19"/>
      <c r="BK524" s="18">
        <v>65.5</v>
      </c>
      <c r="BL524" s="18">
        <v>6.7</v>
      </c>
      <c r="BM524" s="18">
        <v>2.6</v>
      </c>
      <c r="BN524" s="18">
        <v>0.90909090909090939</v>
      </c>
      <c r="BO524" s="18"/>
      <c r="BP524" s="18">
        <v>120</v>
      </c>
      <c r="BQ524" s="18">
        <v>80.400000000000006</v>
      </c>
      <c r="BR524" s="18">
        <v>1.3831921215640663</v>
      </c>
      <c r="BS524" s="18">
        <v>1.3442111985157681</v>
      </c>
      <c r="BT524" s="19"/>
      <c r="BU524" s="18">
        <v>974</v>
      </c>
      <c r="BV524" s="18">
        <v>225.9957142857138</v>
      </c>
      <c r="BW524" s="18">
        <v>4.1742857142856682</v>
      </c>
      <c r="BX524" s="18" t="s">
        <v>217</v>
      </c>
      <c r="BY524" s="18" t="s">
        <v>217</v>
      </c>
      <c r="BZ524" s="18" t="s">
        <v>217</v>
      </c>
      <c r="CA524" s="18" t="s">
        <v>217</v>
      </c>
      <c r="CB524" s="19"/>
      <c r="CC524" s="19">
        <v>0.27150000000000007</v>
      </c>
      <c r="CD524" s="19">
        <v>5.7919999999999998</v>
      </c>
      <c r="CE524" s="19">
        <v>0.72399999999999998</v>
      </c>
      <c r="CF524" s="19">
        <v>0</v>
      </c>
      <c r="CG524" s="19">
        <v>4.9775</v>
      </c>
      <c r="CH524" s="19">
        <v>1.448</v>
      </c>
      <c r="CI524" s="19">
        <v>6.516</v>
      </c>
      <c r="CJ524" s="19"/>
      <c r="CK524" s="19">
        <v>117.65</v>
      </c>
      <c r="CL524" s="19">
        <v>9.9550000000000001</v>
      </c>
      <c r="CM524" s="19">
        <v>9.9550000000000001</v>
      </c>
      <c r="CN524" s="19">
        <v>35.295000000000002</v>
      </c>
      <c r="CO524" s="19">
        <v>0</v>
      </c>
      <c r="CP524" s="19">
        <v>8.2272727272727303E-2</v>
      </c>
      <c r="CQ524" s="19">
        <v>545.35299999999995</v>
      </c>
      <c r="CR524" s="19">
        <v>435.65893024217092</v>
      </c>
      <c r="HM524" s="620">
        <f t="shared" ref="HM524:HU524" si="428">HM154</f>
        <v>0.221</v>
      </c>
      <c r="HN524" s="620">
        <f t="shared" si="428"/>
        <v>6.7000000000000004E-2</v>
      </c>
      <c r="HO524" s="620">
        <f t="shared" si="428"/>
        <v>0.20100000000000001</v>
      </c>
      <c r="HP524" s="620">
        <f t="shared" si="428"/>
        <v>1.4999999999999999E-2</v>
      </c>
      <c r="HQ524" s="620">
        <f t="shared" si="428"/>
        <v>1.74</v>
      </c>
      <c r="HR524" s="620">
        <f t="shared" si="428"/>
        <v>2.3999999999999998E-3</v>
      </c>
      <c r="HS524" s="620">
        <f t="shared" si="428"/>
        <v>1.41</v>
      </c>
      <c r="HT524" s="620" t="str">
        <f t="shared" si="428"/>
        <v>as maize silage</v>
      </c>
      <c r="HU524" s="620" t="str">
        <f t="shared" si="428"/>
        <v>offfarm</v>
      </c>
      <c r="HV524" s="22" t="s">
        <v>2052</v>
      </c>
      <c r="IB524" s="11">
        <f t="shared" ref="IB524:II524" si="429">IB154</f>
        <v>0.221</v>
      </c>
      <c r="IC524" s="11">
        <f t="shared" si="429"/>
        <v>6.7000000000000004E-2</v>
      </c>
      <c r="ID524" s="11">
        <f t="shared" si="429"/>
        <v>0.20100000000000001</v>
      </c>
      <c r="IE524" s="11">
        <f t="shared" si="429"/>
        <v>1.4999999999999999E-2</v>
      </c>
      <c r="IF524" s="11">
        <f t="shared" si="429"/>
        <v>1.74</v>
      </c>
      <c r="IG524" s="11">
        <f t="shared" si="429"/>
        <v>2.3999999999999998E-3</v>
      </c>
      <c r="IH524" s="11">
        <f t="shared" si="429"/>
        <v>1.41</v>
      </c>
      <c r="II524" s="11" t="str">
        <f t="shared" si="429"/>
        <v>as maize silage</v>
      </c>
    </row>
    <row r="525" spans="4:243" x14ac:dyDescent="0.25">
      <c r="D525" s="20" t="s">
        <v>1139</v>
      </c>
      <c r="E525" s="14">
        <v>40310</v>
      </c>
      <c r="F525" s="18">
        <v>0.71427460675571097</v>
      </c>
      <c r="G525" s="18">
        <v>0.76696209252319103</v>
      </c>
      <c r="H525" s="21">
        <v>67</v>
      </c>
      <c r="I525" s="21">
        <v>58.8</v>
      </c>
      <c r="J525" s="21">
        <v>89</v>
      </c>
      <c r="K525" s="18">
        <v>1</v>
      </c>
      <c r="L525" s="18">
        <v>88.7</v>
      </c>
      <c r="M525" s="18">
        <v>20.401</v>
      </c>
      <c r="N525" s="18">
        <v>3.9914999999999998</v>
      </c>
      <c r="O525" s="18">
        <v>6.2089999999999996</v>
      </c>
      <c r="P525" s="18">
        <v>8.1801109140000001</v>
      </c>
      <c r="Q525" s="19"/>
      <c r="R525" s="18">
        <v>69</v>
      </c>
      <c r="S525" s="18">
        <v>20</v>
      </c>
      <c r="T525" s="18">
        <v>33</v>
      </c>
      <c r="U525" s="18">
        <v>38</v>
      </c>
      <c r="V525" s="18">
        <v>42</v>
      </c>
      <c r="W525" s="18">
        <v>45</v>
      </c>
      <c r="X525" s="18"/>
      <c r="Y525" s="18">
        <v>0.7</v>
      </c>
      <c r="Z525" s="18">
        <v>10.4</v>
      </c>
      <c r="AA525" s="18">
        <v>2.4</v>
      </c>
      <c r="AB525" s="18">
        <v>0</v>
      </c>
      <c r="AC525" s="18">
        <v>13.999999999999998</v>
      </c>
      <c r="AD525" s="18">
        <v>4.6999999999999993</v>
      </c>
      <c r="AE525" s="18">
        <v>5.2</v>
      </c>
      <c r="AF525" s="18">
        <v>169.99999999999997</v>
      </c>
      <c r="AG525" s="18">
        <v>5.3999999999999995</v>
      </c>
      <c r="AH525" s="18">
        <v>23</v>
      </c>
      <c r="AI525" s="18">
        <v>81.999999999999986</v>
      </c>
      <c r="AJ525" s="18">
        <v>0</v>
      </c>
      <c r="AK525" s="18">
        <v>0.15</v>
      </c>
      <c r="AL525" s="18"/>
      <c r="AM525" s="18">
        <v>2.94</v>
      </c>
      <c r="AN525" s="18">
        <v>1.68</v>
      </c>
      <c r="AO525" s="18">
        <v>2.1</v>
      </c>
      <c r="AP525" s="18">
        <v>3.48</v>
      </c>
      <c r="AQ525" s="18">
        <v>0.58000000000000096</v>
      </c>
      <c r="AR525" s="18">
        <v>3.1</v>
      </c>
      <c r="AS525" s="18">
        <v>8.99</v>
      </c>
      <c r="AT525" s="18">
        <v>2.9</v>
      </c>
      <c r="AU525" s="18">
        <v>3.6899999999999902</v>
      </c>
      <c r="AV525" s="18">
        <v>2.93</v>
      </c>
      <c r="AW525" s="18">
        <v>4.6100000000000003</v>
      </c>
      <c r="AX525" s="18"/>
      <c r="AY525" s="18">
        <v>0.96</v>
      </c>
      <c r="AZ525" s="18">
        <v>1.2</v>
      </c>
      <c r="BA525" s="18">
        <v>0.97</v>
      </c>
      <c r="BB525" s="18">
        <v>1.03</v>
      </c>
      <c r="BC525" s="18">
        <v>0.96</v>
      </c>
      <c r="BD525" s="18">
        <v>1.1599999999999999</v>
      </c>
      <c r="BE525" s="18">
        <v>1.23</v>
      </c>
      <c r="BF525" s="18">
        <v>1.0900000000000001</v>
      </c>
      <c r="BG525" s="18">
        <v>1.22</v>
      </c>
      <c r="BH525" s="18">
        <v>1.2</v>
      </c>
      <c r="BI525" s="18">
        <v>1.1200000000000001</v>
      </c>
      <c r="BJ525" s="19"/>
      <c r="BK525" s="18">
        <v>23</v>
      </c>
      <c r="BL525" s="18">
        <v>4.5</v>
      </c>
      <c r="BM525" s="18">
        <v>6.9999999999999991</v>
      </c>
      <c r="BN525" s="18">
        <v>9.2222220000000004</v>
      </c>
      <c r="BO525" s="18"/>
      <c r="BP525" s="18">
        <v>120</v>
      </c>
      <c r="BQ525" s="18">
        <v>54</v>
      </c>
      <c r="BR525" s="18">
        <v>0.80527013162988836</v>
      </c>
      <c r="BS525" s="18">
        <v>0.86466977736549155</v>
      </c>
      <c r="BT525" s="19"/>
      <c r="BU525" s="18">
        <v>929.99999999999989</v>
      </c>
      <c r="BV525" s="18">
        <v>261.2071428571432</v>
      </c>
      <c r="BW525" s="18">
        <v>108.94285714285705</v>
      </c>
      <c r="BX525" s="18" t="s">
        <v>217</v>
      </c>
      <c r="BY525" s="18" t="s">
        <v>217</v>
      </c>
      <c r="BZ525" s="18" t="s">
        <v>217</v>
      </c>
      <c r="CA525" s="18" t="s">
        <v>217</v>
      </c>
      <c r="CB525" s="19"/>
      <c r="CC525" s="19">
        <v>0.62090000000000001</v>
      </c>
      <c r="CD525" s="19">
        <v>9.2248000000000001</v>
      </c>
      <c r="CE525" s="19">
        <v>2.1288</v>
      </c>
      <c r="CF525" s="19">
        <v>0</v>
      </c>
      <c r="CG525" s="19">
        <v>12.417999999999999</v>
      </c>
      <c r="CH525" s="19">
        <v>4.1688999999999998</v>
      </c>
      <c r="CI525" s="19">
        <v>4.6124000000000001</v>
      </c>
      <c r="CJ525" s="19"/>
      <c r="CK525" s="19">
        <v>150.78999999999996</v>
      </c>
      <c r="CL525" s="19">
        <v>4.7897999999999996</v>
      </c>
      <c r="CM525" s="19">
        <v>20.401</v>
      </c>
      <c r="CN525" s="19">
        <v>72.733999999999995</v>
      </c>
      <c r="CO525" s="19">
        <v>0</v>
      </c>
      <c r="CP525" s="19">
        <v>0.13305</v>
      </c>
      <c r="CQ525" s="19">
        <v>140.76689999999999</v>
      </c>
      <c r="CR525" s="19">
        <v>197.0767246498848</v>
      </c>
      <c r="HM525" s="620">
        <f t="shared" ref="HM525:HU525" si="430">HM155</f>
        <v>0.221</v>
      </c>
      <c r="HN525" s="620">
        <f t="shared" si="430"/>
        <v>6.7000000000000004E-2</v>
      </c>
      <c r="HO525" s="620">
        <f t="shared" si="430"/>
        <v>0.20100000000000001</v>
      </c>
      <c r="HP525" s="620">
        <f t="shared" si="430"/>
        <v>1.4999999999999999E-2</v>
      </c>
      <c r="HQ525" s="620">
        <f t="shared" si="430"/>
        <v>1.74</v>
      </c>
      <c r="HR525" s="620">
        <f t="shared" si="430"/>
        <v>2.3999999999999998E-3</v>
      </c>
      <c r="HS525" s="620">
        <f t="shared" si="430"/>
        <v>1.41</v>
      </c>
      <c r="HT525" s="620" t="str">
        <f t="shared" si="430"/>
        <v>as maize silage</v>
      </c>
      <c r="HU525" s="620" t="str">
        <f t="shared" si="430"/>
        <v>offfarm</v>
      </c>
      <c r="HV525" s="22" t="s">
        <v>2052</v>
      </c>
      <c r="IB525" s="11">
        <f t="shared" ref="IB525:II525" si="431">IB155</f>
        <v>0.221</v>
      </c>
      <c r="IC525" s="11">
        <f t="shared" si="431"/>
        <v>6.7000000000000004E-2</v>
      </c>
      <c r="ID525" s="11">
        <f t="shared" si="431"/>
        <v>0.20100000000000001</v>
      </c>
      <c r="IE525" s="11">
        <f t="shared" si="431"/>
        <v>1.4999999999999999E-2</v>
      </c>
      <c r="IF525" s="11">
        <f t="shared" si="431"/>
        <v>1.74</v>
      </c>
      <c r="IG525" s="11">
        <f t="shared" si="431"/>
        <v>2.3999999999999998E-3</v>
      </c>
      <c r="IH525" s="11">
        <f t="shared" si="431"/>
        <v>1.41</v>
      </c>
      <c r="II525" s="11" t="str">
        <f t="shared" si="431"/>
        <v>as maize silage</v>
      </c>
    </row>
    <row r="526" spans="4:243" x14ac:dyDescent="0.25">
      <c r="D526" s="185" t="s">
        <v>1140</v>
      </c>
      <c r="E526" s="14">
        <v>40310</v>
      </c>
      <c r="F526" s="18" t="s">
        <v>217</v>
      </c>
      <c r="G526" s="18" t="s">
        <v>217</v>
      </c>
      <c r="H526" s="21" t="s">
        <v>217</v>
      </c>
      <c r="I526" s="21" t="s">
        <v>217</v>
      </c>
      <c r="J526" s="21">
        <v>90</v>
      </c>
      <c r="K526" s="18">
        <v>1</v>
      </c>
      <c r="L526" s="18">
        <v>90</v>
      </c>
      <c r="M526" s="18">
        <v>14.49</v>
      </c>
      <c r="N526" s="18">
        <v>19.170000000000002</v>
      </c>
      <c r="O526" s="18">
        <v>5.22</v>
      </c>
      <c r="P526" s="18">
        <v>2.97</v>
      </c>
      <c r="Q526" s="19"/>
      <c r="R526" s="18" t="s">
        <v>217</v>
      </c>
      <c r="S526" s="18" t="s">
        <v>217</v>
      </c>
      <c r="T526" s="18" t="s">
        <v>217</v>
      </c>
      <c r="U526" s="18" t="s">
        <v>217</v>
      </c>
      <c r="V526" s="18" t="s">
        <v>217</v>
      </c>
      <c r="W526" s="18" t="s">
        <v>217</v>
      </c>
      <c r="X526" s="18"/>
      <c r="Y526" s="18">
        <v>0.19999999999999887</v>
      </c>
      <c r="Z526" s="18">
        <v>17.399999999999999</v>
      </c>
      <c r="AA526" s="18">
        <v>0</v>
      </c>
      <c r="AB526" s="18">
        <v>0</v>
      </c>
      <c r="AC526" s="18">
        <v>17</v>
      </c>
      <c r="AD526" s="18">
        <v>7.4</v>
      </c>
      <c r="AE526" s="18">
        <v>0</v>
      </c>
      <c r="AF526" s="18">
        <v>114</v>
      </c>
      <c r="AG526" s="18">
        <v>7.0000000000000107</v>
      </c>
      <c r="AH526" s="18">
        <v>44.999999999999886</v>
      </c>
      <c r="AI526" s="18">
        <v>136</v>
      </c>
      <c r="AJ526" s="18">
        <v>0</v>
      </c>
      <c r="AK526" s="18">
        <v>0.09</v>
      </c>
      <c r="AL526" s="18"/>
      <c r="AM526" s="18">
        <v>3.63</v>
      </c>
      <c r="AN526" s="18">
        <v>1.88</v>
      </c>
      <c r="AO526" s="18">
        <v>2.0499999999999998</v>
      </c>
      <c r="AP526" s="18">
        <v>3.92</v>
      </c>
      <c r="AQ526" s="18">
        <v>0.82</v>
      </c>
      <c r="AR526" s="18">
        <v>3.44</v>
      </c>
      <c r="AS526" s="18">
        <v>9.68</v>
      </c>
      <c r="AT526" s="18">
        <v>2.82</v>
      </c>
      <c r="AU526" s="18">
        <v>4.12</v>
      </c>
      <c r="AV526" s="18">
        <v>3.5</v>
      </c>
      <c r="AW526" s="18">
        <v>5.2</v>
      </c>
      <c r="AX526" s="18"/>
      <c r="AY526" s="18">
        <v>1</v>
      </c>
      <c r="AZ526" s="18">
        <v>1</v>
      </c>
      <c r="BA526" s="18">
        <v>1</v>
      </c>
      <c r="BB526" s="18">
        <v>1</v>
      </c>
      <c r="BC526" s="18">
        <v>1</v>
      </c>
      <c r="BD526" s="18">
        <v>1</v>
      </c>
      <c r="BE526" s="18">
        <v>1</v>
      </c>
      <c r="BF526" s="18">
        <v>1</v>
      </c>
      <c r="BG526" s="18">
        <v>1</v>
      </c>
      <c r="BH526" s="18">
        <v>1</v>
      </c>
      <c r="BI526" s="18">
        <v>1</v>
      </c>
      <c r="BJ526" s="19"/>
      <c r="BK526" s="18">
        <v>16.100000000000001</v>
      </c>
      <c r="BL526" s="18">
        <v>21.3</v>
      </c>
      <c r="BM526" s="18">
        <v>5.8</v>
      </c>
      <c r="BN526" s="18">
        <v>3.3000000000000003</v>
      </c>
      <c r="BO526" s="18"/>
      <c r="BP526" s="18">
        <v>0</v>
      </c>
      <c r="BQ526" s="18">
        <v>0</v>
      </c>
      <c r="BR526" s="18" t="s">
        <v>217</v>
      </c>
      <c r="BS526" s="18" t="s">
        <v>217</v>
      </c>
      <c r="BT526" s="19"/>
      <c r="BU526" s="18">
        <v>942</v>
      </c>
      <c r="BV526" s="18" t="s">
        <v>217</v>
      </c>
      <c r="BW526" s="18" t="s">
        <v>217</v>
      </c>
      <c r="BX526" s="18" t="s">
        <v>217</v>
      </c>
      <c r="BY526" s="18" t="s">
        <v>217</v>
      </c>
      <c r="BZ526" s="18" t="s">
        <v>217</v>
      </c>
      <c r="CA526" s="18" t="s">
        <v>217</v>
      </c>
      <c r="CB526" s="19"/>
      <c r="CC526" s="19">
        <v>0.17999999999999899</v>
      </c>
      <c r="CD526" s="19">
        <v>15.659999999999998</v>
      </c>
      <c r="CE526" s="19">
        <v>0</v>
      </c>
      <c r="CF526" s="19">
        <v>0</v>
      </c>
      <c r="CG526" s="19">
        <v>15.3</v>
      </c>
      <c r="CH526" s="19">
        <v>6.66</v>
      </c>
      <c r="CI526" s="19">
        <v>0</v>
      </c>
      <c r="CJ526" s="19"/>
      <c r="CK526" s="19">
        <v>102.60000000000001</v>
      </c>
      <c r="CL526" s="19">
        <v>6.3000000000000096</v>
      </c>
      <c r="CM526" s="19">
        <v>40.499999999999901</v>
      </c>
      <c r="CN526" s="19">
        <v>122.4</v>
      </c>
      <c r="CO526" s="19">
        <v>0</v>
      </c>
      <c r="CP526" s="19">
        <v>8.1000000000000003E-2</v>
      </c>
      <c r="CQ526" s="19">
        <v>0</v>
      </c>
      <c r="CR526" s="19" t="s">
        <v>217</v>
      </c>
      <c r="HM526" s="620">
        <f t="shared" ref="HM526:HU526" si="432">HM156</f>
        <v>0</v>
      </c>
      <c r="HN526" s="620">
        <f t="shared" si="432"/>
        <v>0</v>
      </c>
      <c r="HO526" s="620">
        <f t="shared" si="432"/>
        <v>0</v>
      </c>
      <c r="HP526" s="620">
        <f t="shared" si="432"/>
        <v>0</v>
      </c>
      <c r="HQ526" s="620">
        <f t="shared" si="432"/>
        <v>0</v>
      </c>
      <c r="HR526" s="620">
        <f t="shared" si="432"/>
        <v>0</v>
      </c>
      <c r="HS526" s="620">
        <f t="shared" si="432"/>
        <v>0</v>
      </c>
      <c r="HT526" s="620">
        <f t="shared" si="432"/>
        <v>0</v>
      </c>
      <c r="HU526" s="620" t="str">
        <f t="shared" si="432"/>
        <v>offfarm</v>
      </c>
      <c r="HV526" s="22" t="s">
        <v>2053</v>
      </c>
      <c r="IB526" s="11">
        <f t="shared" ref="IB526:II526" si="433">IB156</f>
        <v>0.47300000000000003</v>
      </c>
      <c r="IC526" s="11">
        <f t="shared" si="433"/>
        <v>0.13</v>
      </c>
      <c r="ID526" s="11">
        <f t="shared" si="433"/>
        <v>0.39100000000000001</v>
      </c>
      <c r="IE526" s="11">
        <f t="shared" si="433"/>
        <v>5.5E-2</v>
      </c>
      <c r="IF526" s="11">
        <f t="shared" si="433"/>
        <v>3.97</v>
      </c>
      <c r="IG526" s="11">
        <f t="shared" si="433"/>
        <v>4.5999999999999999E-3</v>
      </c>
      <c r="IH526" s="11">
        <f t="shared" si="433"/>
        <v>2.73</v>
      </c>
      <c r="II526" s="11">
        <f t="shared" si="433"/>
        <v>0</v>
      </c>
    </row>
    <row r="527" spans="4:243" x14ac:dyDescent="0.25">
      <c r="D527" s="185" t="s">
        <v>1141</v>
      </c>
      <c r="E527" s="14">
        <v>40310</v>
      </c>
      <c r="F527" s="18">
        <v>-0.112682926829268</v>
      </c>
      <c r="G527" s="18">
        <v>-0.108</v>
      </c>
      <c r="H527" s="21">
        <v>70</v>
      </c>
      <c r="I527" s="21">
        <v>70</v>
      </c>
      <c r="J527" s="21">
        <v>0</v>
      </c>
      <c r="K527" s="18">
        <v>1</v>
      </c>
      <c r="L527" s="18">
        <v>99</v>
      </c>
      <c r="M527" s="18">
        <v>0</v>
      </c>
      <c r="N527" s="18">
        <v>0</v>
      </c>
      <c r="O527" s="18">
        <v>99</v>
      </c>
      <c r="P527" s="18">
        <v>0</v>
      </c>
      <c r="Q527" s="19"/>
      <c r="R527" s="18">
        <v>0</v>
      </c>
      <c r="S527" s="18">
        <v>0</v>
      </c>
      <c r="T527" s="18">
        <v>0</v>
      </c>
      <c r="U527" s="18">
        <v>0</v>
      </c>
      <c r="V527" s="18">
        <v>0</v>
      </c>
      <c r="W527" s="18">
        <v>0</v>
      </c>
      <c r="X527" s="18"/>
      <c r="Y527" s="18">
        <v>0</v>
      </c>
      <c r="Z527" s="18">
        <v>0</v>
      </c>
      <c r="AA527" s="18">
        <v>0</v>
      </c>
      <c r="AB527" s="18">
        <v>0</v>
      </c>
      <c r="AC527" s="18">
        <v>0</v>
      </c>
      <c r="AD527" s="18">
        <v>0</v>
      </c>
      <c r="AE527" s="18">
        <v>0</v>
      </c>
      <c r="AF527" s="18">
        <v>0</v>
      </c>
      <c r="AG527" s="18">
        <v>0</v>
      </c>
      <c r="AH527" s="18">
        <v>6363.636363636364</v>
      </c>
      <c r="AI527" s="18">
        <v>0</v>
      </c>
      <c r="AJ527" s="18">
        <v>0</v>
      </c>
      <c r="AK527" s="18">
        <v>0</v>
      </c>
      <c r="AL527" s="18"/>
      <c r="AM527" s="18">
        <v>0</v>
      </c>
      <c r="AN527" s="18">
        <v>0</v>
      </c>
      <c r="AO527" s="18">
        <v>0</v>
      </c>
      <c r="AP527" s="18">
        <v>0</v>
      </c>
      <c r="AQ527" s="18">
        <v>0</v>
      </c>
      <c r="AR527" s="18">
        <v>0</v>
      </c>
      <c r="AS527" s="18">
        <v>0</v>
      </c>
      <c r="AT527" s="18">
        <v>0</v>
      </c>
      <c r="AU527" s="18">
        <v>0</v>
      </c>
      <c r="AV527" s="18">
        <v>0</v>
      </c>
      <c r="AW527" s="18">
        <v>0</v>
      </c>
      <c r="AX527" s="18"/>
      <c r="AY527" s="18">
        <v>1</v>
      </c>
      <c r="AZ527" s="18">
        <v>1</v>
      </c>
      <c r="BA527" s="18">
        <v>1</v>
      </c>
      <c r="BB527" s="18">
        <v>1</v>
      </c>
      <c r="BC527" s="18">
        <v>1</v>
      </c>
      <c r="BD527" s="18">
        <v>1</v>
      </c>
      <c r="BE527" s="18">
        <v>1</v>
      </c>
      <c r="BF527" s="18">
        <v>1</v>
      </c>
      <c r="BG527" s="18">
        <v>1</v>
      </c>
      <c r="BH527" s="18">
        <v>1</v>
      </c>
      <c r="BI527" s="18">
        <v>1</v>
      </c>
      <c r="BJ527" s="19"/>
      <c r="BK527" s="18">
        <v>0</v>
      </c>
      <c r="BL527" s="18">
        <v>0</v>
      </c>
      <c r="BM527" s="18">
        <v>100</v>
      </c>
      <c r="BN527" s="18">
        <v>0</v>
      </c>
      <c r="BO527" s="18"/>
      <c r="BP527" s="18">
        <v>0</v>
      </c>
      <c r="BQ527" s="18">
        <v>0</v>
      </c>
      <c r="BR527" s="18">
        <v>-0.11382113821138182</v>
      </c>
      <c r="BS527" s="18">
        <v>-0.10909090909090909</v>
      </c>
      <c r="BT527" s="19"/>
      <c r="BU527" s="18">
        <v>0</v>
      </c>
      <c r="BV527" s="18">
        <v>0</v>
      </c>
      <c r="BW527" s="18">
        <v>0</v>
      </c>
      <c r="BX527" s="18" t="s">
        <v>217</v>
      </c>
      <c r="BY527" s="18" t="s">
        <v>217</v>
      </c>
      <c r="BZ527" s="18" t="s">
        <v>217</v>
      </c>
      <c r="CA527" s="18" t="s">
        <v>217</v>
      </c>
      <c r="CB527" s="19"/>
      <c r="CC527" s="19">
        <v>0</v>
      </c>
      <c r="CD527" s="19">
        <v>0</v>
      </c>
      <c r="CE527" s="19">
        <v>0</v>
      </c>
      <c r="CF527" s="19">
        <v>0</v>
      </c>
      <c r="CG527" s="19">
        <v>0</v>
      </c>
      <c r="CH527" s="19">
        <v>0</v>
      </c>
      <c r="CI527" s="19">
        <v>0</v>
      </c>
      <c r="CJ527" s="19"/>
      <c r="CK527" s="19">
        <v>0</v>
      </c>
      <c r="CL527" s="19">
        <v>0</v>
      </c>
      <c r="CM527" s="19">
        <v>6300</v>
      </c>
      <c r="CN527" s="19">
        <v>0</v>
      </c>
      <c r="CO527" s="19">
        <v>0</v>
      </c>
      <c r="CP527" s="19">
        <v>0</v>
      </c>
      <c r="CQ527" s="19">
        <v>0</v>
      </c>
      <c r="CR527" s="19">
        <v>0</v>
      </c>
      <c r="HM527" s="620">
        <f t="shared" ref="HM527:HU527" si="434">HM157</f>
        <v>0</v>
      </c>
      <c r="HN527" s="620">
        <f t="shared" si="434"/>
        <v>0</v>
      </c>
      <c r="HO527" s="620">
        <f t="shared" si="434"/>
        <v>0</v>
      </c>
      <c r="HP527" s="620">
        <f t="shared" si="434"/>
        <v>0</v>
      </c>
      <c r="HQ527" s="620">
        <f t="shared" si="434"/>
        <v>0</v>
      </c>
      <c r="HR527" s="620">
        <f t="shared" si="434"/>
        <v>0</v>
      </c>
      <c r="HS527" s="620">
        <f t="shared" si="434"/>
        <v>0</v>
      </c>
      <c r="HT527" s="620">
        <f t="shared" si="434"/>
        <v>0</v>
      </c>
      <c r="HU527" s="620" t="str">
        <f t="shared" si="434"/>
        <v>offfarm</v>
      </c>
      <c r="HV527" s="22" t="s">
        <v>2013</v>
      </c>
      <c r="IB527" s="11">
        <f t="shared" ref="IB527:II527" si="435">IB157</f>
        <v>0.47300000000000003</v>
      </c>
      <c r="IC527" s="11">
        <f t="shared" si="435"/>
        <v>0.13</v>
      </c>
      <c r="ID527" s="11">
        <f t="shared" si="435"/>
        <v>0.39100000000000001</v>
      </c>
      <c r="IE527" s="11">
        <f t="shared" si="435"/>
        <v>5.5E-2</v>
      </c>
      <c r="IF527" s="11">
        <f t="shared" si="435"/>
        <v>3.97</v>
      </c>
      <c r="IG527" s="11">
        <f t="shared" si="435"/>
        <v>4.5999999999999999E-3</v>
      </c>
      <c r="IH527" s="11">
        <f t="shared" si="435"/>
        <v>2.73</v>
      </c>
      <c r="II527" s="11">
        <f t="shared" si="435"/>
        <v>0</v>
      </c>
    </row>
    <row r="528" spans="4:243" x14ac:dyDescent="0.25">
      <c r="D528" s="185" t="s">
        <v>1142</v>
      </c>
      <c r="E528" s="14">
        <v>40310</v>
      </c>
      <c r="F528" s="18">
        <v>-0.112682926829268</v>
      </c>
      <c r="G528" s="18">
        <v>-0.108</v>
      </c>
      <c r="H528" s="21">
        <v>70</v>
      </c>
      <c r="I528" s="21">
        <v>70</v>
      </c>
      <c r="J528" s="21">
        <v>0</v>
      </c>
      <c r="K528" s="18">
        <v>1</v>
      </c>
      <c r="L528" s="18">
        <v>99</v>
      </c>
      <c r="M528" s="18">
        <v>0</v>
      </c>
      <c r="N528" s="18">
        <v>0</v>
      </c>
      <c r="O528" s="18">
        <v>99</v>
      </c>
      <c r="P528" s="18">
        <v>0</v>
      </c>
      <c r="Q528" s="19"/>
      <c r="R528" s="18">
        <v>0</v>
      </c>
      <c r="S528" s="18">
        <v>0</v>
      </c>
      <c r="T528" s="18">
        <v>0</v>
      </c>
      <c r="U528" s="18">
        <v>0</v>
      </c>
      <c r="V528" s="18">
        <v>0</v>
      </c>
      <c r="W528" s="18">
        <v>0</v>
      </c>
      <c r="X528" s="18"/>
      <c r="Y528" s="18">
        <v>0</v>
      </c>
      <c r="Z528" s="18">
        <v>0</v>
      </c>
      <c r="AA528" s="18">
        <v>0</v>
      </c>
      <c r="AB528" s="18">
        <v>0</v>
      </c>
      <c r="AC528" s="18">
        <v>0</v>
      </c>
      <c r="AD528" s="18">
        <v>0</v>
      </c>
      <c r="AE528" s="18">
        <v>0</v>
      </c>
      <c r="AF528" s="18">
        <v>0</v>
      </c>
      <c r="AG528" s="18">
        <v>0</v>
      </c>
      <c r="AH528" s="18">
        <v>7777.7777777777774</v>
      </c>
      <c r="AI528" s="18">
        <v>0</v>
      </c>
      <c r="AJ528" s="18">
        <v>0</v>
      </c>
      <c r="AK528" s="18">
        <v>0</v>
      </c>
      <c r="AL528" s="18"/>
      <c r="AM528" s="18">
        <v>0</v>
      </c>
      <c r="AN528" s="18">
        <v>0</v>
      </c>
      <c r="AO528" s="18">
        <v>0</v>
      </c>
      <c r="AP528" s="18">
        <v>0</v>
      </c>
      <c r="AQ528" s="18">
        <v>0</v>
      </c>
      <c r="AR528" s="18">
        <v>0</v>
      </c>
      <c r="AS528" s="18">
        <v>0</v>
      </c>
      <c r="AT528" s="18">
        <v>0</v>
      </c>
      <c r="AU528" s="18">
        <v>0</v>
      </c>
      <c r="AV528" s="18">
        <v>0</v>
      </c>
      <c r="AW528" s="18">
        <v>0</v>
      </c>
      <c r="AX528" s="18"/>
      <c r="AY528" s="18">
        <v>1</v>
      </c>
      <c r="AZ528" s="18">
        <v>1</v>
      </c>
      <c r="BA528" s="18">
        <v>1</v>
      </c>
      <c r="BB528" s="18">
        <v>1</v>
      </c>
      <c r="BC528" s="18">
        <v>1</v>
      </c>
      <c r="BD528" s="18">
        <v>1</v>
      </c>
      <c r="BE528" s="18">
        <v>1</v>
      </c>
      <c r="BF528" s="18">
        <v>1</v>
      </c>
      <c r="BG528" s="18">
        <v>1</v>
      </c>
      <c r="BH528" s="18">
        <v>1</v>
      </c>
      <c r="BI528" s="18">
        <v>1</v>
      </c>
      <c r="BJ528" s="19"/>
      <c r="BK528" s="18">
        <v>0</v>
      </c>
      <c r="BL528" s="18">
        <v>0</v>
      </c>
      <c r="BM528" s="18">
        <v>100</v>
      </c>
      <c r="BN528" s="18">
        <v>0</v>
      </c>
      <c r="BO528" s="18"/>
      <c r="BP528" s="18">
        <v>0</v>
      </c>
      <c r="BQ528" s="18">
        <v>0</v>
      </c>
      <c r="BR528" s="18">
        <v>-0.11382113821138182</v>
      </c>
      <c r="BS528" s="18">
        <v>-0.10909090909090909</v>
      </c>
      <c r="BT528" s="19"/>
      <c r="BU528" s="18">
        <v>0</v>
      </c>
      <c r="BV528" s="18">
        <v>0</v>
      </c>
      <c r="BW528" s="18">
        <v>0</v>
      </c>
      <c r="BX528" s="18" t="s">
        <v>217</v>
      </c>
      <c r="BY528" s="18" t="s">
        <v>217</v>
      </c>
      <c r="BZ528" s="18" t="s">
        <v>217</v>
      </c>
      <c r="CA528" s="18" t="s">
        <v>217</v>
      </c>
      <c r="CB528" s="19"/>
      <c r="CC528" s="19">
        <v>0</v>
      </c>
      <c r="CD528" s="19">
        <v>0</v>
      </c>
      <c r="CE528" s="19">
        <v>0</v>
      </c>
      <c r="CF528" s="19">
        <v>0</v>
      </c>
      <c r="CG528" s="19">
        <v>0</v>
      </c>
      <c r="CH528" s="19">
        <v>0</v>
      </c>
      <c r="CI528" s="19">
        <v>0</v>
      </c>
      <c r="CJ528" s="19"/>
      <c r="CK528" s="19">
        <v>0</v>
      </c>
      <c r="CL528" s="19">
        <v>0</v>
      </c>
      <c r="CM528" s="19">
        <v>7699.9999999999991</v>
      </c>
      <c r="CN528" s="19">
        <v>0</v>
      </c>
      <c r="CO528" s="19">
        <v>0</v>
      </c>
      <c r="CP528" s="19">
        <v>0</v>
      </c>
      <c r="CQ528" s="19">
        <v>0</v>
      </c>
      <c r="CR528" s="19">
        <v>0</v>
      </c>
      <c r="HM528" s="620">
        <f t="shared" ref="HM528:HU528" si="436">HM158</f>
        <v>0</v>
      </c>
      <c r="HN528" s="620">
        <f t="shared" si="436"/>
        <v>0</v>
      </c>
      <c r="HO528" s="620">
        <f t="shared" si="436"/>
        <v>0</v>
      </c>
      <c r="HP528" s="620">
        <f t="shared" si="436"/>
        <v>0</v>
      </c>
      <c r="HQ528" s="620">
        <f t="shared" si="436"/>
        <v>0</v>
      </c>
      <c r="HR528" s="620">
        <f t="shared" si="436"/>
        <v>0</v>
      </c>
      <c r="HS528" s="620">
        <f t="shared" si="436"/>
        <v>0</v>
      </c>
      <c r="HT528" s="620">
        <f t="shared" si="436"/>
        <v>0</v>
      </c>
      <c r="HU528" s="620" t="str">
        <f t="shared" si="436"/>
        <v>offfarm</v>
      </c>
      <c r="HV528" s="22" t="s">
        <v>2013</v>
      </c>
      <c r="IB528" s="11">
        <f t="shared" ref="IB528:II528" si="437">IB158</f>
        <v>0.47300000000000003</v>
      </c>
      <c r="IC528" s="11">
        <f t="shared" si="437"/>
        <v>0.13</v>
      </c>
      <c r="ID528" s="11">
        <f t="shared" si="437"/>
        <v>0.39100000000000001</v>
      </c>
      <c r="IE528" s="11">
        <f t="shared" si="437"/>
        <v>5.5E-2</v>
      </c>
      <c r="IF528" s="11">
        <f t="shared" si="437"/>
        <v>3.97</v>
      </c>
      <c r="IG528" s="11">
        <f t="shared" si="437"/>
        <v>4.5999999999999999E-3</v>
      </c>
      <c r="IH528" s="11">
        <f t="shared" si="437"/>
        <v>2.73</v>
      </c>
      <c r="II528" s="11">
        <f t="shared" si="437"/>
        <v>0</v>
      </c>
    </row>
    <row r="529" spans="4:243" x14ac:dyDescent="0.25">
      <c r="D529" s="185" t="s">
        <v>1143</v>
      </c>
      <c r="E529" s="14">
        <v>40310</v>
      </c>
      <c r="F529" s="18">
        <v>-0.112682926829268</v>
      </c>
      <c r="G529" s="18">
        <v>-0.108</v>
      </c>
      <c r="H529" s="21">
        <v>70</v>
      </c>
      <c r="I529" s="21">
        <v>70</v>
      </c>
      <c r="J529" s="21">
        <v>0</v>
      </c>
      <c r="K529" s="18">
        <v>1</v>
      </c>
      <c r="L529" s="18">
        <v>99</v>
      </c>
      <c r="M529" s="18">
        <v>0</v>
      </c>
      <c r="N529" s="18">
        <v>0</v>
      </c>
      <c r="O529" s="18">
        <v>99</v>
      </c>
      <c r="P529" s="18">
        <v>0</v>
      </c>
      <c r="Q529" s="19"/>
      <c r="R529" s="18">
        <v>0</v>
      </c>
      <c r="S529" s="18">
        <v>0</v>
      </c>
      <c r="T529" s="18">
        <v>0</v>
      </c>
      <c r="U529" s="18">
        <v>0</v>
      </c>
      <c r="V529" s="18">
        <v>0</v>
      </c>
      <c r="W529" s="18">
        <v>0</v>
      </c>
      <c r="X529" s="18"/>
      <c r="Y529" s="18">
        <v>0</v>
      </c>
      <c r="Z529" s="18">
        <v>0</v>
      </c>
      <c r="AA529" s="18">
        <v>0</v>
      </c>
      <c r="AB529" s="18">
        <v>0</v>
      </c>
      <c r="AC529" s="18">
        <v>0</v>
      </c>
      <c r="AD529" s="18">
        <v>0</v>
      </c>
      <c r="AE529" s="18">
        <v>0</v>
      </c>
      <c r="AF529" s="18">
        <v>0</v>
      </c>
      <c r="AG529" s="18">
        <v>0</v>
      </c>
      <c r="AH529" s="18">
        <v>3333.3333333333335</v>
      </c>
      <c r="AI529" s="18">
        <v>0</v>
      </c>
      <c r="AJ529" s="18">
        <v>0</v>
      </c>
      <c r="AK529" s="18">
        <v>0</v>
      </c>
      <c r="AL529" s="18"/>
      <c r="AM529" s="18">
        <v>0</v>
      </c>
      <c r="AN529" s="18">
        <v>0</v>
      </c>
      <c r="AO529" s="18">
        <v>0</v>
      </c>
      <c r="AP529" s="18">
        <v>0</v>
      </c>
      <c r="AQ529" s="18">
        <v>0</v>
      </c>
      <c r="AR529" s="18">
        <v>0</v>
      </c>
      <c r="AS529" s="18">
        <v>0</v>
      </c>
      <c r="AT529" s="18">
        <v>0</v>
      </c>
      <c r="AU529" s="18">
        <v>0</v>
      </c>
      <c r="AV529" s="18">
        <v>0</v>
      </c>
      <c r="AW529" s="18">
        <v>0</v>
      </c>
      <c r="AX529" s="18"/>
      <c r="AY529" s="18">
        <v>1</v>
      </c>
      <c r="AZ529" s="18">
        <v>1</v>
      </c>
      <c r="BA529" s="18">
        <v>1</v>
      </c>
      <c r="BB529" s="18">
        <v>1</v>
      </c>
      <c r="BC529" s="18">
        <v>1</v>
      </c>
      <c r="BD529" s="18">
        <v>1</v>
      </c>
      <c r="BE529" s="18">
        <v>1</v>
      </c>
      <c r="BF529" s="18">
        <v>1</v>
      </c>
      <c r="BG529" s="18">
        <v>1</v>
      </c>
      <c r="BH529" s="18">
        <v>1</v>
      </c>
      <c r="BI529" s="18">
        <v>1</v>
      </c>
      <c r="BJ529" s="19"/>
      <c r="BK529" s="18">
        <v>0</v>
      </c>
      <c r="BL529" s="18">
        <v>0</v>
      </c>
      <c r="BM529" s="18">
        <v>100</v>
      </c>
      <c r="BN529" s="18">
        <v>0</v>
      </c>
      <c r="BO529" s="18"/>
      <c r="BP529" s="18">
        <v>0</v>
      </c>
      <c r="BQ529" s="18">
        <v>0</v>
      </c>
      <c r="BR529" s="18">
        <v>-0.11382113821138182</v>
      </c>
      <c r="BS529" s="18">
        <v>-0.10909090909090909</v>
      </c>
      <c r="BT529" s="19"/>
      <c r="BU529" s="18">
        <v>0</v>
      </c>
      <c r="BV529" s="18">
        <v>0</v>
      </c>
      <c r="BW529" s="18">
        <v>0</v>
      </c>
      <c r="BX529" s="18" t="s">
        <v>217</v>
      </c>
      <c r="BY529" s="18" t="s">
        <v>217</v>
      </c>
      <c r="BZ529" s="18" t="s">
        <v>217</v>
      </c>
      <c r="CA529" s="18" t="s">
        <v>217</v>
      </c>
      <c r="CB529" s="19"/>
      <c r="CC529" s="19">
        <v>0</v>
      </c>
      <c r="CD529" s="19">
        <v>0</v>
      </c>
      <c r="CE529" s="19">
        <v>0</v>
      </c>
      <c r="CF529" s="19">
        <v>0</v>
      </c>
      <c r="CG529" s="19">
        <v>0</v>
      </c>
      <c r="CH529" s="19">
        <v>0</v>
      </c>
      <c r="CI529" s="19">
        <v>0</v>
      </c>
      <c r="CJ529" s="19"/>
      <c r="CK529" s="19">
        <v>0</v>
      </c>
      <c r="CL529" s="19">
        <v>0</v>
      </c>
      <c r="CM529" s="19">
        <v>3300</v>
      </c>
      <c r="CN529" s="19">
        <v>0</v>
      </c>
      <c r="CO529" s="19">
        <v>0</v>
      </c>
      <c r="CP529" s="19">
        <v>0</v>
      </c>
      <c r="CQ529" s="19">
        <v>0</v>
      </c>
      <c r="CR529" s="19">
        <v>0</v>
      </c>
      <c r="HM529" s="620">
        <f t="shared" ref="HM529:HU529" si="438">HM159</f>
        <v>0</v>
      </c>
      <c r="HN529" s="620">
        <f t="shared" si="438"/>
        <v>0</v>
      </c>
      <c r="HO529" s="620">
        <f t="shared" si="438"/>
        <v>0</v>
      </c>
      <c r="HP529" s="620">
        <f t="shared" si="438"/>
        <v>0</v>
      </c>
      <c r="HQ529" s="620">
        <f t="shared" si="438"/>
        <v>0</v>
      </c>
      <c r="HR529" s="620">
        <f t="shared" si="438"/>
        <v>0</v>
      </c>
      <c r="HS529" s="620">
        <f t="shared" si="438"/>
        <v>0</v>
      </c>
      <c r="HT529" s="620">
        <f t="shared" si="438"/>
        <v>0</v>
      </c>
      <c r="HU529" s="620" t="str">
        <f t="shared" si="438"/>
        <v>offfarm</v>
      </c>
      <c r="HV529" s="22" t="s">
        <v>2013</v>
      </c>
      <c r="IB529" s="11">
        <f t="shared" ref="IB529:II529" si="439">IB159</f>
        <v>0.47300000000000003</v>
      </c>
      <c r="IC529" s="11">
        <f t="shared" si="439"/>
        <v>0.13</v>
      </c>
      <c r="ID529" s="11">
        <f t="shared" si="439"/>
        <v>0.39100000000000001</v>
      </c>
      <c r="IE529" s="11">
        <f t="shared" si="439"/>
        <v>5.5E-2</v>
      </c>
      <c r="IF529" s="11">
        <f t="shared" si="439"/>
        <v>3.97</v>
      </c>
      <c r="IG529" s="11">
        <f t="shared" si="439"/>
        <v>4.5999999999999999E-3</v>
      </c>
      <c r="IH529" s="11">
        <f t="shared" si="439"/>
        <v>2.73</v>
      </c>
      <c r="II529" s="11">
        <f t="shared" si="439"/>
        <v>0</v>
      </c>
    </row>
    <row r="530" spans="4:243" x14ac:dyDescent="0.25">
      <c r="D530" s="185" t="s">
        <v>1144</v>
      </c>
      <c r="E530" s="14">
        <v>40310</v>
      </c>
      <c r="F530" s="18">
        <v>-0.112682926829268</v>
      </c>
      <c r="G530" s="18">
        <v>-0.108</v>
      </c>
      <c r="H530" s="21">
        <v>70</v>
      </c>
      <c r="I530" s="21">
        <v>70</v>
      </c>
      <c r="J530" s="21">
        <v>0</v>
      </c>
      <c r="K530" s="18">
        <v>1</v>
      </c>
      <c r="L530" s="18">
        <v>99</v>
      </c>
      <c r="M530" s="18">
        <v>0</v>
      </c>
      <c r="N530" s="18">
        <v>0</v>
      </c>
      <c r="O530" s="18">
        <v>99</v>
      </c>
      <c r="P530" s="18">
        <v>0</v>
      </c>
      <c r="Q530" s="19"/>
      <c r="R530" s="18">
        <v>0</v>
      </c>
      <c r="S530" s="18">
        <v>0</v>
      </c>
      <c r="T530" s="18">
        <v>0</v>
      </c>
      <c r="U530" s="18">
        <v>0</v>
      </c>
      <c r="V530" s="18">
        <v>0</v>
      </c>
      <c r="W530" s="18">
        <v>0</v>
      </c>
      <c r="X530" s="18"/>
      <c r="Y530" s="18">
        <v>0</v>
      </c>
      <c r="Z530" s="18">
        <v>0</v>
      </c>
      <c r="AA530" s="18">
        <v>0</v>
      </c>
      <c r="AB530" s="18">
        <v>0</v>
      </c>
      <c r="AC530" s="18">
        <v>0</v>
      </c>
      <c r="AD530" s="18">
        <v>0</v>
      </c>
      <c r="AE530" s="18">
        <v>0</v>
      </c>
      <c r="AF530" s="18">
        <v>0</v>
      </c>
      <c r="AG530" s="18">
        <v>0</v>
      </c>
      <c r="AH530" s="18">
        <v>2525.2525252525352</v>
      </c>
      <c r="AI530" s="18">
        <v>0</v>
      </c>
      <c r="AJ530" s="18">
        <v>0</v>
      </c>
      <c r="AK530" s="18">
        <v>0</v>
      </c>
      <c r="AL530" s="18"/>
      <c r="AM530" s="18">
        <v>0</v>
      </c>
      <c r="AN530" s="18">
        <v>0</v>
      </c>
      <c r="AO530" s="18">
        <v>0</v>
      </c>
      <c r="AP530" s="18">
        <v>0</v>
      </c>
      <c r="AQ530" s="18">
        <v>0</v>
      </c>
      <c r="AR530" s="18">
        <v>0</v>
      </c>
      <c r="AS530" s="18">
        <v>0</v>
      </c>
      <c r="AT530" s="18">
        <v>0</v>
      </c>
      <c r="AU530" s="18">
        <v>0</v>
      </c>
      <c r="AV530" s="18">
        <v>0</v>
      </c>
      <c r="AW530" s="18">
        <v>0</v>
      </c>
      <c r="AX530" s="18"/>
      <c r="AY530" s="18">
        <v>1</v>
      </c>
      <c r="AZ530" s="18">
        <v>1</v>
      </c>
      <c r="BA530" s="18">
        <v>1</v>
      </c>
      <c r="BB530" s="18">
        <v>1</v>
      </c>
      <c r="BC530" s="18">
        <v>1</v>
      </c>
      <c r="BD530" s="18">
        <v>1</v>
      </c>
      <c r="BE530" s="18">
        <v>1</v>
      </c>
      <c r="BF530" s="18">
        <v>1</v>
      </c>
      <c r="BG530" s="18">
        <v>1</v>
      </c>
      <c r="BH530" s="18">
        <v>1</v>
      </c>
      <c r="BI530" s="18">
        <v>1</v>
      </c>
      <c r="BJ530" s="19"/>
      <c r="BK530" s="18">
        <v>0</v>
      </c>
      <c r="BL530" s="18">
        <v>0</v>
      </c>
      <c r="BM530" s="18">
        <v>100</v>
      </c>
      <c r="BN530" s="18">
        <v>0</v>
      </c>
      <c r="BO530" s="18"/>
      <c r="BP530" s="18">
        <v>0</v>
      </c>
      <c r="BQ530" s="18">
        <v>0</v>
      </c>
      <c r="BR530" s="18">
        <v>-0.11382113821138182</v>
      </c>
      <c r="BS530" s="18">
        <v>-0.10909090909090909</v>
      </c>
      <c r="BT530" s="19"/>
      <c r="BU530" s="18">
        <v>0</v>
      </c>
      <c r="BV530" s="18">
        <v>0</v>
      </c>
      <c r="BW530" s="18">
        <v>0</v>
      </c>
      <c r="BX530" s="18" t="s">
        <v>217</v>
      </c>
      <c r="BY530" s="18" t="s">
        <v>217</v>
      </c>
      <c r="BZ530" s="18" t="s">
        <v>217</v>
      </c>
      <c r="CA530" s="18" t="s">
        <v>217</v>
      </c>
      <c r="CB530" s="19"/>
      <c r="CC530" s="19">
        <v>0</v>
      </c>
      <c r="CD530" s="19">
        <v>0</v>
      </c>
      <c r="CE530" s="19">
        <v>0</v>
      </c>
      <c r="CF530" s="19">
        <v>0</v>
      </c>
      <c r="CG530" s="19">
        <v>0</v>
      </c>
      <c r="CH530" s="19">
        <v>0</v>
      </c>
      <c r="CI530" s="19">
        <v>0</v>
      </c>
      <c r="CJ530" s="19"/>
      <c r="CK530" s="19">
        <v>0</v>
      </c>
      <c r="CL530" s="19">
        <v>0</v>
      </c>
      <c r="CM530" s="19">
        <v>2500.00000000001</v>
      </c>
      <c r="CN530" s="19">
        <v>0</v>
      </c>
      <c r="CO530" s="19">
        <v>0</v>
      </c>
      <c r="CP530" s="19">
        <v>0</v>
      </c>
      <c r="CQ530" s="19">
        <v>0</v>
      </c>
      <c r="CR530" s="19">
        <v>0</v>
      </c>
      <c r="HM530" s="620">
        <f t="shared" ref="HM530:HU530" si="440">HM160</f>
        <v>0</v>
      </c>
      <c r="HN530" s="620">
        <f t="shared" si="440"/>
        <v>0</v>
      </c>
      <c r="HO530" s="620">
        <f t="shared" si="440"/>
        <v>0</v>
      </c>
      <c r="HP530" s="620">
        <f t="shared" si="440"/>
        <v>0</v>
      </c>
      <c r="HQ530" s="620">
        <f t="shared" si="440"/>
        <v>0</v>
      </c>
      <c r="HR530" s="620">
        <f t="shared" si="440"/>
        <v>0</v>
      </c>
      <c r="HS530" s="620">
        <f t="shared" si="440"/>
        <v>0</v>
      </c>
      <c r="HT530" s="620">
        <f t="shared" si="440"/>
        <v>0</v>
      </c>
      <c r="HU530" s="620" t="str">
        <f t="shared" si="440"/>
        <v>offfarm</v>
      </c>
      <c r="HV530" s="22" t="s">
        <v>2013</v>
      </c>
      <c r="IB530" s="11">
        <f t="shared" ref="IB530:II530" si="441">IB160</f>
        <v>0.47300000000000003</v>
      </c>
      <c r="IC530" s="11">
        <f t="shared" si="441"/>
        <v>0.13</v>
      </c>
      <c r="ID530" s="11">
        <f t="shared" si="441"/>
        <v>0.39100000000000001</v>
      </c>
      <c r="IE530" s="11">
        <f t="shared" si="441"/>
        <v>5.5E-2</v>
      </c>
      <c r="IF530" s="11">
        <f t="shared" si="441"/>
        <v>3.97</v>
      </c>
      <c r="IG530" s="11">
        <f t="shared" si="441"/>
        <v>4.5999999999999999E-3</v>
      </c>
      <c r="IH530" s="11">
        <f t="shared" si="441"/>
        <v>2.73</v>
      </c>
      <c r="II530" s="11">
        <f t="shared" si="441"/>
        <v>0</v>
      </c>
    </row>
    <row r="531" spans="4:243" x14ac:dyDescent="0.25">
      <c r="D531" s="20" t="s">
        <v>1145</v>
      </c>
      <c r="E531" s="14">
        <v>41814</v>
      </c>
      <c r="F531" s="18">
        <v>0.15808302981029801</v>
      </c>
      <c r="G531" s="18">
        <v>0.18512736103896099</v>
      </c>
      <c r="H531" s="21">
        <v>48</v>
      </c>
      <c r="I531" s="21">
        <v>41</v>
      </c>
      <c r="J531" s="21">
        <v>71</v>
      </c>
      <c r="K531" s="18">
        <v>1</v>
      </c>
      <c r="L531" s="18">
        <v>26</v>
      </c>
      <c r="M531" s="18">
        <v>6.2919999999999998</v>
      </c>
      <c r="N531" s="18">
        <v>2.548</v>
      </c>
      <c r="O531" s="18">
        <v>1.17</v>
      </c>
      <c r="P531" s="18">
        <v>4.16</v>
      </c>
      <c r="Q531" s="19"/>
      <c r="R531" s="18">
        <v>64</v>
      </c>
      <c r="S531" s="18">
        <v>30</v>
      </c>
      <c r="T531" s="18">
        <v>42</v>
      </c>
      <c r="U531" s="18">
        <v>46</v>
      </c>
      <c r="V531" s="18">
        <v>50</v>
      </c>
      <c r="W531" s="18">
        <v>53</v>
      </c>
      <c r="X531" s="18"/>
      <c r="Y531" s="18">
        <v>3.3</v>
      </c>
      <c r="Z531" s="18">
        <v>5.9</v>
      </c>
      <c r="AA531" s="18">
        <v>0.19999999999999998</v>
      </c>
      <c r="AB531" s="18">
        <v>1.0999999999999999</v>
      </c>
      <c r="AC531" s="18">
        <v>0.6</v>
      </c>
      <c r="AD531" s="18">
        <v>1.8</v>
      </c>
      <c r="AE531" s="18">
        <v>3</v>
      </c>
      <c r="AF531" s="18">
        <v>240</v>
      </c>
      <c r="AG531" s="18">
        <v>14.5</v>
      </c>
      <c r="AH531" s="18">
        <v>38.699999999999996</v>
      </c>
      <c r="AI531" s="18">
        <v>96.7</v>
      </c>
      <c r="AJ531" s="18">
        <v>0</v>
      </c>
      <c r="AK531" s="18">
        <v>0</v>
      </c>
      <c r="AL531" s="18"/>
      <c r="AM531" s="18">
        <v>3.7</v>
      </c>
      <c r="AN531" s="18">
        <v>2</v>
      </c>
      <c r="AO531" s="18">
        <v>2.1</v>
      </c>
      <c r="AP531" s="18">
        <v>3.6</v>
      </c>
      <c r="AQ531" s="18">
        <v>0.9</v>
      </c>
      <c r="AR531" s="18">
        <v>4.2</v>
      </c>
      <c r="AS531" s="18">
        <v>8.1</v>
      </c>
      <c r="AT531" s="18">
        <v>2.2000000000000002</v>
      </c>
      <c r="AU531" s="18">
        <v>5.2</v>
      </c>
      <c r="AV531" s="18">
        <v>3.9</v>
      </c>
      <c r="AW531" s="18">
        <v>5.2</v>
      </c>
      <c r="AX531" s="18"/>
      <c r="AY531" s="18">
        <v>0.94</v>
      </c>
      <c r="AZ531" s="18">
        <v>1.08</v>
      </c>
      <c r="BA531" s="18">
        <v>1.03</v>
      </c>
      <c r="BB531" s="18">
        <v>0.95</v>
      </c>
      <c r="BC531" s="18">
        <v>0.96</v>
      </c>
      <c r="BD531" s="18">
        <v>1</v>
      </c>
      <c r="BE531" s="18">
        <v>1.01</v>
      </c>
      <c r="BF531" s="18">
        <v>1</v>
      </c>
      <c r="BG531" s="18">
        <v>1.04</v>
      </c>
      <c r="BH531" s="18">
        <v>0.97</v>
      </c>
      <c r="BI531" s="18">
        <v>0.96</v>
      </c>
      <c r="BJ531" s="19"/>
      <c r="BK531" s="18">
        <v>24.2</v>
      </c>
      <c r="BL531" s="18">
        <v>9.8000000000000007</v>
      </c>
      <c r="BM531" s="18">
        <v>4.5</v>
      </c>
      <c r="BN531" s="18">
        <v>16</v>
      </c>
      <c r="BO531" s="18"/>
      <c r="BP531" s="18">
        <v>120</v>
      </c>
      <c r="BQ531" s="18">
        <v>117.60000000000001</v>
      </c>
      <c r="BR531" s="18">
        <v>0.60801165311653083</v>
      </c>
      <c r="BS531" s="18">
        <v>0.71202831168831149</v>
      </c>
      <c r="BT531" s="19"/>
      <c r="BU531" s="18">
        <v>955</v>
      </c>
      <c r="BV531" s="18">
        <v>47.62</v>
      </c>
      <c r="BW531" s="18">
        <v>95.5</v>
      </c>
      <c r="BX531" s="18" t="s">
        <v>217</v>
      </c>
      <c r="BY531" s="18" t="s">
        <v>217</v>
      </c>
      <c r="BZ531" s="18">
        <v>36</v>
      </c>
      <c r="CA531" s="18">
        <v>553</v>
      </c>
      <c r="CB531" s="19"/>
      <c r="CC531" s="19">
        <v>0.85799999999999998</v>
      </c>
      <c r="CD531" s="19">
        <v>1.5340000000000003</v>
      </c>
      <c r="CE531" s="19">
        <v>5.1999999999999998E-2</v>
      </c>
      <c r="CF531" s="19">
        <v>0.28599999999999998</v>
      </c>
      <c r="CG531" s="19">
        <v>0.156</v>
      </c>
      <c r="CH531" s="19">
        <v>0.46800000000000003</v>
      </c>
      <c r="CI531" s="19">
        <v>0.78</v>
      </c>
      <c r="CJ531" s="19"/>
      <c r="CK531" s="19">
        <v>62.400000000000006</v>
      </c>
      <c r="CL531" s="19">
        <v>3.77</v>
      </c>
      <c r="CM531" s="19">
        <v>10.061999999999999</v>
      </c>
      <c r="CN531" s="19">
        <v>25.142000000000003</v>
      </c>
      <c r="CO531" s="19">
        <v>0</v>
      </c>
      <c r="CP531" s="19">
        <v>0</v>
      </c>
      <c r="CQ531" s="19">
        <v>40.268799999999999</v>
      </c>
      <c r="CR531" s="19">
        <v>254.73195983353278</v>
      </c>
      <c r="HM531" s="620">
        <f t="shared" ref="HM531:HU531" si="442">HM161</f>
        <v>0.47300000000000003</v>
      </c>
      <c r="HN531" s="620">
        <f t="shared" si="442"/>
        <v>0.13</v>
      </c>
      <c r="HO531" s="620">
        <f t="shared" si="442"/>
        <v>0.39100000000000001</v>
      </c>
      <c r="HP531" s="620">
        <f t="shared" si="442"/>
        <v>5.5E-2</v>
      </c>
      <c r="HQ531" s="620">
        <f t="shared" si="442"/>
        <v>3.97</v>
      </c>
      <c r="HR531" s="620">
        <f t="shared" si="442"/>
        <v>4.5999999999999999E-3</v>
      </c>
      <c r="HS531" s="620">
        <f t="shared" si="442"/>
        <v>2.73</v>
      </c>
      <c r="HT531" s="620" t="str">
        <f t="shared" si="442"/>
        <v>as barley</v>
      </c>
      <c r="HU531" s="620" t="str">
        <f t="shared" si="442"/>
        <v>offfarm</v>
      </c>
      <c r="HV531" s="22" t="s">
        <v>2054</v>
      </c>
      <c r="IB531" s="11">
        <f t="shared" ref="IB531:II531" si="443">IB161</f>
        <v>0.47300000000000003</v>
      </c>
      <c r="IC531" s="11">
        <f t="shared" si="443"/>
        <v>0.13</v>
      </c>
      <c r="ID531" s="11">
        <f t="shared" si="443"/>
        <v>0.39100000000000001</v>
      </c>
      <c r="IE531" s="11">
        <f t="shared" si="443"/>
        <v>5.5E-2</v>
      </c>
      <c r="IF531" s="11">
        <f t="shared" si="443"/>
        <v>3.97</v>
      </c>
      <c r="IG531" s="11">
        <f t="shared" si="443"/>
        <v>4.5999999999999999E-3</v>
      </c>
      <c r="IH531" s="11">
        <f t="shared" si="443"/>
        <v>2.73</v>
      </c>
      <c r="II531" s="11" t="str">
        <f t="shared" si="443"/>
        <v>as barley</v>
      </c>
    </row>
    <row r="532" spans="4:243" x14ac:dyDescent="0.25">
      <c r="D532" s="20" t="s">
        <v>1146</v>
      </c>
      <c r="E532" s="14">
        <v>41814</v>
      </c>
      <c r="F532" s="18">
        <v>0.53505025474254697</v>
      </c>
      <c r="G532" s="18">
        <v>0.62658491428571494</v>
      </c>
      <c r="H532" s="21">
        <v>48</v>
      </c>
      <c r="I532" s="21">
        <v>41</v>
      </c>
      <c r="J532" s="21">
        <v>91</v>
      </c>
      <c r="K532" s="18">
        <v>1</v>
      </c>
      <c r="L532" s="18">
        <v>88</v>
      </c>
      <c r="M532" s="18">
        <v>21.295999999999999</v>
      </c>
      <c r="N532" s="18">
        <v>8.6240000000000006</v>
      </c>
      <c r="O532" s="18">
        <v>3.96</v>
      </c>
      <c r="P532" s="18">
        <v>14.08</v>
      </c>
      <c r="Q532" s="19"/>
      <c r="R532" s="18">
        <v>64</v>
      </c>
      <c r="S532" s="18">
        <v>30</v>
      </c>
      <c r="T532" s="18">
        <v>42</v>
      </c>
      <c r="U532" s="18">
        <v>46</v>
      </c>
      <c r="V532" s="18">
        <v>50</v>
      </c>
      <c r="W532" s="18">
        <v>53</v>
      </c>
      <c r="X532" s="18"/>
      <c r="Y532" s="18">
        <v>3.3</v>
      </c>
      <c r="Z532" s="18">
        <v>5.9</v>
      </c>
      <c r="AA532" s="18">
        <v>0.19999999999999998</v>
      </c>
      <c r="AB532" s="18">
        <v>1.0999999999999999</v>
      </c>
      <c r="AC532" s="18">
        <v>0.6</v>
      </c>
      <c r="AD532" s="18">
        <v>1.8</v>
      </c>
      <c r="AE532" s="18">
        <v>3</v>
      </c>
      <c r="AF532" s="18">
        <v>240</v>
      </c>
      <c r="AG532" s="18">
        <v>14.5</v>
      </c>
      <c r="AH532" s="18">
        <v>38.699999999999996</v>
      </c>
      <c r="AI532" s="18">
        <v>96.7</v>
      </c>
      <c r="AJ532" s="18">
        <v>0</v>
      </c>
      <c r="AK532" s="18">
        <v>0</v>
      </c>
      <c r="AL532" s="18"/>
      <c r="AM532" s="18">
        <v>3.5</v>
      </c>
      <c r="AN532" s="18">
        <v>2</v>
      </c>
      <c r="AO532" s="18">
        <v>2</v>
      </c>
      <c r="AP532" s="18">
        <v>3.6</v>
      </c>
      <c r="AQ532" s="18">
        <v>1.2</v>
      </c>
      <c r="AR532" s="18">
        <v>4</v>
      </c>
      <c r="AS532" s="18">
        <v>8.4</v>
      </c>
      <c r="AT532" s="18">
        <v>2.2000000000000002</v>
      </c>
      <c r="AU532" s="18">
        <v>5.3</v>
      </c>
      <c r="AV532" s="18">
        <v>3.4</v>
      </c>
      <c r="AW532" s="18">
        <v>5.4</v>
      </c>
      <c r="AX532" s="18"/>
      <c r="AY532" s="18">
        <v>0.94</v>
      </c>
      <c r="AZ532" s="18">
        <v>1.08</v>
      </c>
      <c r="BA532" s="18">
        <v>1.03</v>
      </c>
      <c r="BB532" s="18">
        <v>0.95</v>
      </c>
      <c r="BC532" s="18">
        <v>0.96</v>
      </c>
      <c r="BD532" s="18">
        <v>1</v>
      </c>
      <c r="BE532" s="18">
        <v>1.01</v>
      </c>
      <c r="BF532" s="18">
        <v>1</v>
      </c>
      <c r="BG532" s="18">
        <v>1.04</v>
      </c>
      <c r="BH532" s="18">
        <v>0.97</v>
      </c>
      <c r="BI532" s="18">
        <v>0.96</v>
      </c>
      <c r="BJ532" s="19"/>
      <c r="BK532" s="18">
        <v>24.2</v>
      </c>
      <c r="BL532" s="18">
        <v>9.8000000000000007</v>
      </c>
      <c r="BM532" s="18">
        <v>4.5</v>
      </c>
      <c r="BN532" s="18">
        <v>16</v>
      </c>
      <c r="BO532" s="18"/>
      <c r="BP532" s="18">
        <v>120</v>
      </c>
      <c r="BQ532" s="18">
        <v>117.6</v>
      </c>
      <c r="BR532" s="18">
        <v>0.6080116531165306</v>
      </c>
      <c r="BS532" s="18">
        <v>0.71202831168831249</v>
      </c>
      <c r="BT532" s="19"/>
      <c r="BU532" s="18">
        <v>955</v>
      </c>
      <c r="BV532" s="18">
        <v>47.62</v>
      </c>
      <c r="BW532" s="18">
        <v>95.5</v>
      </c>
      <c r="BX532" s="18" t="s">
        <v>217</v>
      </c>
      <c r="BY532" s="18" t="s">
        <v>217</v>
      </c>
      <c r="BZ532" s="18">
        <v>36</v>
      </c>
      <c r="CA532" s="18">
        <v>553</v>
      </c>
      <c r="CB532" s="19"/>
      <c r="CC532" s="19">
        <v>2.9039999999999999</v>
      </c>
      <c r="CD532" s="19">
        <v>5.1920000000000002</v>
      </c>
      <c r="CE532" s="19">
        <v>0.17599999999999999</v>
      </c>
      <c r="CF532" s="19">
        <v>0.96799999999999986</v>
      </c>
      <c r="CG532" s="19">
        <v>0.52800000000000002</v>
      </c>
      <c r="CH532" s="19">
        <v>1.5840000000000001</v>
      </c>
      <c r="CI532" s="19">
        <v>2.64</v>
      </c>
      <c r="CJ532" s="19"/>
      <c r="CK532" s="19">
        <v>211.2</v>
      </c>
      <c r="CL532" s="19">
        <v>12.76</v>
      </c>
      <c r="CM532" s="19">
        <v>34.055999999999997</v>
      </c>
      <c r="CN532" s="19">
        <v>85.096000000000004</v>
      </c>
      <c r="CO532" s="19">
        <v>0</v>
      </c>
      <c r="CP532" s="19">
        <v>0</v>
      </c>
      <c r="CQ532" s="19">
        <v>136.2944</v>
      </c>
      <c r="CR532" s="19">
        <v>254.73195983353284</v>
      </c>
      <c r="HM532" s="620">
        <f t="shared" ref="HM532:HU532" si="444">HM162</f>
        <v>0.47300000000000003</v>
      </c>
      <c r="HN532" s="620">
        <f t="shared" si="444"/>
        <v>0.13</v>
      </c>
      <c r="HO532" s="620">
        <f t="shared" si="444"/>
        <v>0.39100000000000001</v>
      </c>
      <c r="HP532" s="620">
        <f t="shared" si="444"/>
        <v>5.5E-2</v>
      </c>
      <c r="HQ532" s="620">
        <f t="shared" si="444"/>
        <v>3.97</v>
      </c>
      <c r="HR532" s="620">
        <f t="shared" si="444"/>
        <v>4.5999999999999999E-3</v>
      </c>
      <c r="HS532" s="620">
        <f t="shared" si="444"/>
        <v>2.73</v>
      </c>
      <c r="HT532" s="620" t="str">
        <f t="shared" si="444"/>
        <v>as barley</v>
      </c>
      <c r="HU532" s="620" t="str">
        <f t="shared" si="444"/>
        <v>offfarm</v>
      </c>
      <c r="HV532" s="22" t="s">
        <v>2054</v>
      </c>
      <c r="IB532" s="11">
        <f t="shared" ref="IB532:II532" si="445">IB162</f>
        <v>0.47300000000000003</v>
      </c>
      <c r="IC532" s="11">
        <f t="shared" si="445"/>
        <v>0.13</v>
      </c>
      <c r="ID532" s="11">
        <f t="shared" si="445"/>
        <v>0.39100000000000001</v>
      </c>
      <c r="IE532" s="11">
        <f t="shared" si="445"/>
        <v>5.5E-2</v>
      </c>
      <c r="IF532" s="11">
        <f t="shared" si="445"/>
        <v>3.97</v>
      </c>
      <c r="IG532" s="11">
        <f t="shared" si="445"/>
        <v>4.5999999999999999E-3</v>
      </c>
      <c r="IH532" s="11">
        <f t="shared" si="445"/>
        <v>2.73</v>
      </c>
      <c r="II532" s="11" t="str">
        <f t="shared" si="445"/>
        <v>as barley</v>
      </c>
    </row>
    <row r="533" spans="4:243" x14ac:dyDescent="0.25">
      <c r="D533" s="185" t="s">
        <v>1147</v>
      </c>
      <c r="E533" s="14">
        <v>40310</v>
      </c>
      <c r="F533" s="18">
        <v>1.04116304803339</v>
      </c>
      <c r="G533" s="18">
        <v>1.04538365274809</v>
      </c>
      <c r="H533" s="21">
        <v>82.210912650568304</v>
      </c>
      <c r="I533" s="21">
        <v>77.835766824020197</v>
      </c>
      <c r="J533" s="21">
        <v>94.2891275570273</v>
      </c>
      <c r="K533" s="18">
        <v>1</v>
      </c>
      <c r="L533" s="18">
        <v>91.09</v>
      </c>
      <c r="M533" s="18">
        <v>28.256989787199998</v>
      </c>
      <c r="N533" s="18">
        <v>3.0099997144000001</v>
      </c>
      <c r="O533" s="18">
        <v>2.590000238</v>
      </c>
      <c r="P533" s="18">
        <v>4.4799997172000001</v>
      </c>
      <c r="Q533" s="19"/>
      <c r="R533" s="18">
        <v>90.012735286168507</v>
      </c>
      <c r="S533" s="18">
        <v>20</v>
      </c>
      <c r="T533" s="18">
        <v>27</v>
      </c>
      <c r="U533" s="18">
        <v>30</v>
      </c>
      <c r="V533" s="18">
        <v>32</v>
      </c>
      <c r="W533" s="18">
        <v>33</v>
      </c>
      <c r="X533" s="18"/>
      <c r="Y533" s="18">
        <v>0.69162482160500593</v>
      </c>
      <c r="Z533" s="18">
        <v>4.9950592007904273</v>
      </c>
      <c r="AA533" s="18">
        <v>7.6849441211988237E-2</v>
      </c>
      <c r="AB533" s="18">
        <v>0</v>
      </c>
      <c r="AC533" s="18">
        <v>5.6098345811834553</v>
      </c>
      <c r="AD533" s="18">
        <v>1.6791085739378637</v>
      </c>
      <c r="AE533" s="18">
        <v>0</v>
      </c>
      <c r="AF533" s="18">
        <v>67.83598638708969</v>
      </c>
      <c r="AG533" s="18">
        <v>8.0597211549017338</v>
      </c>
      <c r="AH533" s="18">
        <v>49.029970358985615</v>
      </c>
      <c r="AI533" s="18">
        <v>53.059830936436491</v>
      </c>
      <c r="AJ533" s="18">
        <v>0</v>
      </c>
      <c r="AK533" s="18">
        <v>4.7015040070260181E-2</v>
      </c>
      <c r="AL533" s="18"/>
      <c r="AM533" s="18">
        <v>1.4685215758147501</v>
      </c>
      <c r="AN533" s="18">
        <v>105.717153035625</v>
      </c>
      <c r="AO533" s="18">
        <v>0.753087987597307</v>
      </c>
      <c r="AP533" s="18">
        <v>1.2425951795355501</v>
      </c>
      <c r="AQ533" s="18">
        <v>0.53092703125609897</v>
      </c>
      <c r="AR533" s="18">
        <v>1.2425951795355501</v>
      </c>
      <c r="AS533" s="18">
        <v>2.3383382014896301</v>
      </c>
      <c r="AT533" s="18">
        <v>0.97901438387649398</v>
      </c>
      <c r="AU533" s="18">
        <v>1.4722870157527299</v>
      </c>
      <c r="AV533" s="18">
        <v>1.05432318263622</v>
      </c>
      <c r="AW533" s="18">
        <v>1.8111766101715201</v>
      </c>
      <c r="AX533" s="18"/>
      <c r="AY533" s="18">
        <v>0.82445294558700899</v>
      </c>
      <c r="AZ533" s="18">
        <v>1.1096933259830699</v>
      </c>
      <c r="BA533" s="18">
        <v>0.85710454739243502</v>
      </c>
      <c r="BB533" s="18">
        <v>0.76731264242751296</v>
      </c>
      <c r="BC533" s="18">
        <v>0.93057065145464302</v>
      </c>
      <c r="BD533" s="18">
        <v>0.85710454739243502</v>
      </c>
      <c r="BE533" s="18">
        <v>0.84077874648972195</v>
      </c>
      <c r="BF533" s="18">
        <v>0.88975614919786095</v>
      </c>
      <c r="BG533" s="18">
        <v>0.89791904964921698</v>
      </c>
      <c r="BH533" s="18">
        <v>0.84894164694107799</v>
      </c>
      <c r="BI533" s="18">
        <v>0.84077874648972195</v>
      </c>
      <c r="BJ533" s="19"/>
      <c r="BK533" s="18">
        <v>31.020957061367874</v>
      </c>
      <c r="BL533" s="18">
        <v>3.3044238823141949</v>
      </c>
      <c r="BM533" s="18">
        <v>2.8433420111977163</v>
      </c>
      <c r="BN533" s="18">
        <v>4.9182124461521575</v>
      </c>
      <c r="BO533" s="18"/>
      <c r="BP533" s="18">
        <v>46</v>
      </c>
      <c r="BQ533" s="18">
        <v>15.200349858645295</v>
      </c>
      <c r="BR533" s="18">
        <v>1.1430047733377868</v>
      </c>
      <c r="BS533" s="18">
        <v>1.1476382179691405</v>
      </c>
      <c r="BT533" s="19"/>
      <c r="BU533" s="18">
        <v>971.56657988802283</v>
      </c>
      <c r="BV533" s="18">
        <v>423.66519617109452</v>
      </c>
      <c r="BW533" s="18">
        <v>60.724935245867051</v>
      </c>
      <c r="BX533" s="18">
        <v>386.86661543528373</v>
      </c>
      <c r="BY533" s="18">
        <v>24.179163464705233</v>
      </c>
      <c r="BZ533" s="18">
        <v>47.686683499835326</v>
      </c>
      <c r="CA533" s="18">
        <v>87.313645844768914</v>
      </c>
      <c r="CB533" s="19"/>
      <c r="CC533" s="19">
        <v>0.63000104999999995</v>
      </c>
      <c r="CD533" s="19">
        <v>4.5499994260000003</v>
      </c>
      <c r="CE533" s="19">
        <v>7.0002156000000093E-2</v>
      </c>
      <c r="CF533" s="19">
        <v>0</v>
      </c>
      <c r="CG533" s="19">
        <v>5.1099983200000096</v>
      </c>
      <c r="CH533" s="19">
        <v>1.5295000000000001</v>
      </c>
      <c r="CI533" s="19">
        <v>0</v>
      </c>
      <c r="CJ533" s="19"/>
      <c r="CK533" s="19">
        <v>61.791800000000002</v>
      </c>
      <c r="CL533" s="19">
        <v>7.3415999999999899</v>
      </c>
      <c r="CM533" s="19">
        <v>44.6614</v>
      </c>
      <c r="CN533" s="19">
        <v>48.3322</v>
      </c>
      <c r="CO533" s="19">
        <v>0</v>
      </c>
      <c r="CP533" s="19">
        <v>4.2826000000000003E-2</v>
      </c>
      <c r="CQ533" s="19">
        <v>254.34889416991999</v>
      </c>
      <c r="CR533" s="19">
        <v>244.29304771269892</v>
      </c>
      <c r="HM533" s="620">
        <f t="shared" ref="HM533:HU533" si="446">HM163</f>
        <v>0</v>
      </c>
      <c r="HN533" s="620">
        <f t="shared" si="446"/>
        <v>0</v>
      </c>
      <c r="HO533" s="620">
        <f t="shared" si="446"/>
        <v>0</v>
      </c>
      <c r="HP533" s="620">
        <f t="shared" si="446"/>
        <v>0</v>
      </c>
      <c r="HQ533" s="620">
        <f t="shared" si="446"/>
        <v>0</v>
      </c>
      <c r="HR533" s="620">
        <f t="shared" si="446"/>
        <v>0</v>
      </c>
      <c r="HS533" s="620">
        <f t="shared" si="446"/>
        <v>0</v>
      </c>
      <c r="HT533" s="620">
        <f t="shared" si="446"/>
        <v>0</v>
      </c>
      <c r="HU533" s="620" t="str">
        <f t="shared" si="446"/>
        <v>offfarm</v>
      </c>
      <c r="HV533" s="22" t="s">
        <v>2013</v>
      </c>
      <c r="IB533" s="11">
        <f t="shared" ref="IB533:II533" si="447">IB163</f>
        <v>0.47300000000000003</v>
      </c>
      <c r="IC533" s="11">
        <f t="shared" si="447"/>
        <v>0.13</v>
      </c>
      <c r="ID533" s="11">
        <f t="shared" si="447"/>
        <v>0.39100000000000001</v>
      </c>
      <c r="IE533" s="11">
        <f t="shared" si="447"/>
        <v>5.5E-2</v>
      </c>
      <c r="IF533" s="11">
        <f t="shared" si="447"/>
        <v>3.97</v>
      </c>
      <c r="IG533" s="11">
        <f t="shared" si="447"/>
        <v>4.5999999999999999E-3</v>
      </c>
      <c r="IH533" s="11">
        <f t="shared" si="447"/>
        <v>2.73</v>
      </c>
      <c r="II533" s="11">
        <f t="shared" si="447"/>
        <v>0</v>
      </c>
    </row>
    <row r="534" spans="4:243" x14ac:dyDescent="0.25">
      <c r="D534" s="185" t="s">
        <v>1148</v>
      </c>
      <c r="E534" s="14">
        <v>40310</v>
      </c>
      <c r="F534" s="18">
        <v>1.09757121874076</v>
      </c>
      <c r="G534" s="18">
        <v>1.09264892374399</v>
      </c>
      <c r="H534" s="21">
        <v>84.818443321859206</v>
      </c>
      <c r="I534" s="21">
        <v>81.255199306759096</v>
      </c>
      <c r="J534" s="21">
        <v>95.702665430210203</v>
      </c>
      <c r="K534" s="18">
        <v>1</v>
      </c>
      <c r="L534" s="18">
        <v>92.32</v>
      </c>
      <c r="M534" s="18">
        <v>32.609319817600003</v>
      </c>
      <c r="N534" s="18">
        <v>2.5799997551999998</v>
      </c>
      <c r="O534" s="18">
        <v>2.2200002040000002</v>
      </c>
      <c r="P534" s="18">
        <v>3.8399997575999998</v>
      </c>
      <c r="Q534" s="19"/>
      <c r="R534" s="18">
        <v>92.582049585841304</v>
      </c>
      <c r="S534" s="18">
        <v>20</v>
      </c>
      <c r="T534" s="18">
        <v>27</v>
      </c>
      <c r="U534" s="18">
        <v>30</v>
      </c>
      <c r="V534" s="18">
        <v>32</v>
      </c>
      <c r="W534" s="18">
        <v>33</v>
      </c>
      <c r="X534" s="18"/>
      <c r="Y534" s="18">
        <v>0.58492298526863085</v>
      </c>
      <c r="Z534" s="18">
        <v>4.2244362088388216</v>
      </c>
      <c r="AA534" s="18">
        <v>6.4993336221837103E-2</v>
      </c>
      <c r="AB534" s="18">
        <v>0</v>
      </c>
      <c r="AC534" s="18">
        <v>4.7443658578856152</v>
      </c>
      <c r="AD534" s="18">
        <v>1.4200606585788562</v>
      </c>
      <c r="AE534" s="18">
        <v>0</v>
      </c>
      <c r="AF534" s="18">
        <v>57.370450606585791</v>
      </c>
      <c r="AG534" s="18">
        <v>6.8162911611785093</v>
      </c>
      <c r="AH534" s="18">
        <v>41.465771230502604</v>
      </c>
      <c r="AI534" s="18">
        <v>44.873916811091853</v>
      </c>
      <c r="AJ534" s="18">
        <v>0</v>
      </c>
      <c r="AK534" s="18">
        <v>3.9761698440207972E-2</v>
      </c>
      <c r="AL534" s="18"/>
      <c r="AM534" s="18">
        <v>1.0907311004212701</v>
      </c>
      <c r="AN534" s="18">
        <v>121.89433493067899</v>
      </c>
      <c r="AO534" s="18">
        <v>0.55934928226732095</v>
      </c>
      <c r="AP534" s="18">
        <v>0.92292631574107498</v>
      </c>
      <c r="AQ534" s="18">
        <v>0.39434124399845899</v>
      </c>
      <c r="AR534" s="18">
        <v>0.92292631574107498</v>
      </c>
      <c r="AS534" s="18">
        <v>1.7367795214400299</v>
      </c>
      <c r="AT534" s="18">
        <v>0.72715406694751406</v>
      </c>
      <c r="AU534" s="18">
        <v>1.09352784683261</v>
      </c>
      <c r="AV534" s="18">
        <v>0.78308899517424602</v>
      </c>
      <c r="AW534" s="18">
        <v>1.3452350238529001</v>
      </c>
      <c r="AX534" s="18"/>
      <c r="AY534" s="18">
        <v>0.80157292994704399</v>
      </c>
      <c r="AZ534" s="18">
        <v>1.07933349616896</v>
      </c>
      <c r="BA534" s="18">
        <v>0.83331839251920403</v>
      </c>
      <c r="BB534" s="18">
        <v>0.74601837044576302</v>
      </c>
      <c r="BC534" s="18">
        <v>0.90474568330656402</v>
      </c>
      <c r="BD534" s="18">
        <v>0.83331839251920403</v>
      </c>
      <c r="BE534" s="18">
        <v>0.81744566123312401</v>
      </c>
      <c r="BF534" s="18">
        <v>0.86506385509136396</v>
      </c>
      <c r="BG534" s="18">
        <v>0.87300022073440398</v>
      </c>
      <c r="BH534" s="18">
        <v>0.82538202687616402</v>
      </c>
      <c r="BI534" s="18">
        <v>0.81744566123312401</v>
      </c>
      <c r="BJ534" s="19"/>
      <c r="BK534" s="18">
        <v>35.322053528596193</v>
      </c>
      <c r="BL534" s="18">
        <v>2.7946271178509532</v>
      </c>
      <c r="BM534" s="18">
        <v>2.4046795970537267</v>
      </c>
      <c r="BN534" s="18">
        <v>4.1594451447140379</v>
      </c>
      <c r="BO534" s="18"/>
      <c r="BP534" s="18">
        <v>0</v>
      </c>
      <c r="BQ534" s="18">
        <v>0</v>
      </c>
      <c r="BR534" s="18">
        <v>1.1888769700398181</v>
      </c>
      <c r="BS534" s="18">
        <v>1.1835451946966964</v>
      </c>
      <c r="BT534" s="19"/>
      <c r="BU534" s="18">
        <v>975.95320402946277</v>
      </c>
      <c r="BV534" s="18">
        <v>429.57032486456455</v>
      </c>
      <c r="BW534" s="18">
        <v>49.679420189653712</v>
      </c>
      <c r="BX534" s="18">
        <v>327.18197573656846</v>
      </c>
      <c r="BY534" s="18">
        <v>20.448873483535529</v>
      </c>
      <c r="BZ534" s="18">
        <v>40.329722703639518</v>
      </c>
      <c r="CA534" s="18">
        <v>73.843154246100525</v>
      </c>
      <c r="CB534" s="19"/>
      <c r="CC534" s="19">
        <v>0.54000089999999989</v>
      </c>
      <c r="CD534" s="19">
        <v>3.8999995079999996</v>
      </c>
      <c r="CE534" s="19">
        <v>6.000184800000001E-2</v>
      </c>
      <c r="CF534" s="19">
        <v>0</v>
      </c>
      <c r="CG534" s="19">
        <v>4.3799985599999998</v>
      </c>
      <c r="CH534" s="19">
        <v>1.3109999999999999</v>
      </c>
      <c r="CI534" s="19">
        <v>0</v>
      </c>
      <c r="CJ534" s="19"/>
      <c r="CK534" s="19">
        <v>52.964399999999998</v>
      </c>
      <c r="CL534" s="19">
        <v>6.2927999999999988</v>
      </c>
      <c r="CM534" s="19">
        <v>38.281199999999998</v>
      </c>
      <c r="CN534" s="19">
        <v>41.427599999999991</v>
      </c>
      <c r="CO534" s="19">
        <v>0</v>
      </c>
      <c r="CP534" s="19">
        <v>3.6707999999999998E-2</v>
      </c>
      <c r="CQ534" s="19">
        <v>301.90376643136</v>
      </c>
      <c r="CR534" s="19">
        <v>275.06530899902168</v>
      </c>
      <c r="HM534" s="620">
        <f t="shared" ref="HM534:HU534" si="448">HM164</f>
        <v>0</v>
      </c>
      <c r="HN534" s="620">
        <f t="shared" si="448"/>
        <v>0</v>
      </c>
      <c r="HO534" s="620">
        <f t="shared" si="448"/>
        <v>0</v>
      </c>
      <c r="HP534" s="620">
        <f t="shared" si="448"/>
        <v>0</v>
      </c>
      <c r="HQ534" s="620">
        <f t="shared" si="448"/>
        <v>0</v>
      </c>
      <c r="HR534" s="620">
        <f t="shared" si="448"/>
        <v>0</v>
      </c>
      <c r="HS534" s="620">
        <f t="shared" si="448"/>
        <v>0</v>
      </c>
      <c r="HT534" s="620">
        <f t="shared" si="448"/>
        <v>0</v>
      </c>
      <c r="HU534" s="620" t="str">
        <f t="shared" si="448"/>
        <v>offfarm</v>
      </c>
      <c r="HV534" s="22" t="s">
        <v>2013</v>
      </c>
      <c r="IB534" s="11">
        <f t="shared" ref="IB534:II534" si="449">IB164</f>
        <v>0.47300000000000003</v>
      </c>
      <c r="IC534" s="11">
        <f t="shared" si="449"/>
        <v>0.13</v>
      </c>
      <c r="ID534" s="11">
        <f t="shared" si="449"/>
        <v>0.39100000000000001</v>
      </c>
      <c r="IE534" s="11">
        <f t="shared" si="449"/>
        <v>5.5E-2</v>
      </c>
      <c r="IF534" s="11">
        <f t="shared" si="449"/>
        <v>3.97</v>
      </c>
      <c r="IG534" s="11">
        <f t="shared" si="449"/>
        <v>4.5999999999999999E-3</v>
      </c>
      <c r="IH534" s="11">
        <f t="shared" si="449"/>
        <v>2.73</v>
      </c>
      <c r="II534" s="11">
        <f t="shared" si="449"/>
        <v>0</v>
      </c>
    </row>
    <row r="535" spans="4:243" x14ac:dyDescent="0.25">
      <c r="D535" s="185" t="s">
        <v>1312</v>
      </c>
      <c r="E535" s="14">
        <v>40310</v>
      </c>
      <c r="F535" s="18">
        <v>1.45035224647697</v>
      </c>
      <c r="G535" s="18">
        <v>1.3900778674026</v>
      </c>
      <c r="H535" s="21">
        <v>100</v>
      </c>
      <c r="I535" s="21">
        <v>100</v>
      </c>
      <c r="J535" s="21">
        <v>100</v>
      </c>
      <c r="K535" s="18">
        <v>1</v>
      </c>
      <c r="L535" s="18">
        <v>99.7</v>
      </c>
      <c r="M535" s="18">
        <v>58.723300000000002</v>
      </c>
      <c r="N535" s="18">
        <v>0</v>
      </c>
      <c r="O535" s="18">
        <v>0</v>
      </c>
      <c r="P535" s="18">
        <v>0</v>
      </c>
      <c r="Q535" s="19"/>
      <c r="R535" s="18">
        <v>100</v>
      </c>
      <c r="S535" s="18">
        <v>0</v>
      </c>
      <c r="T535" s="18">
        <v>0</v>
      </c>
      <c r="U535" s="18">
        <v>0</v>
      </c>
      <c r="V535" s="18">
        <v>0</v>
      </c>
      <c r="W535" s="18">
        <v>0</v>
      </c>
      <c r="X535" s="18"/>
      <c r="Y535" s="18">
        <v>0</v>
      </c>
      <c r="Z535" s="18">
        <v>0</v>
      </c>
      <c r="AA535" s="18">
        <v>0</v>
      </c>
      <c r="AB535" s="18">
        <v>0</v>
      </c>
      <c r="AC535" s="18">
        <v>0</v>
      </c>
      <c r="AD535" s="18">
        <v>0</v>
      </c>
      <c r="AE535" s="18">
        <v>0</v>
      </c>
      <c r="AF535" s="18">
        <v>0</v>
      </c>
      <c r="AG535" s="18">
        <v>0</v>
      </c>
      <c r="AH535" s="18">
        <v>0</v>
      </c>
      <c r="AI535" s="18">
        <v>0</v>
      </c>
      <c r="AJ535" s="18">
        <v>0</v>
      </c>
      <c r="AK535" s="18">
        <v>0</v>
      </c>
      <c r="AL535" s="18"/>
      <c r="AM535" s="18">
        <v>0</v>
      </c>
      <c r="AN535" s="18">
        <v>168.6</v>
      </c>
      <c r="AO535" s="18">
        <v>0</v>
      </c>
      <c r="AP535" s="18">
        <v>0</v>
      </c>
      <c r="AQ535" s="18">
        <v>0</v>
      </c>
      <c r="AR535" s="18">
        <v>0</v>
      </c>
      <c r="AS535" s="18">
        <v>0</v>
      </c>
      <c r="AT535" s="18">
        <v>0</v>
      </c>
      <c r="AU535" s="18">
        <v>0</v>
      </c>
      <c r="AV535" s="18">
        <v>0</v>
      </c>
      <c r="AW535" s="18">
        <v>0</v>
      </c>
      <c r="AX535" s="18"/>
      <c r="AY535" s="18">
        <v>1</v>
      </c>
      <c r="AZ535" s="18">
        <v>1</v>
      </c>
      <c r="BA535" s="18">
        <v>1</v>
      </c>
      <c r="BB535" s="18">
        <v>1</v>
      </c>
      <c r="BC535" s="18">
        <v>1</v>
      </c>
      <c r="BD535" s="18">
        <v>1</v>
      </c>
      <c r="BE535" s="18">
        <v>1</v>
      </c>
      <c r="BF535" s="18">
        <v>1</v>
      </c>
      <c r="BG535" s="18">
        <v>1</v>
      </c>
      <c r="BH535" s="18">
        <v>1</v>
      </c>
      <c r="BI535" s="18">
        <v>1</v>
      </c>
      <c r="BJ535" s="19"/>
      <c r="BK535" s="18">
        <v>58.9</v>
      </c>
      <c r="BL535" s="18">
        <v>0</v>
      </c>
      <c r="BM535" s="18">
        <v>0</v>
      </c>
      <c r="BN535" s="18">
        <v>0</v>
      </c>
      <c r="BO535" s="18"/>
      <c r="BP535" s="18">
        <v>0</v>
      </c>
      <c r="BQ535" s="18">
        <v>0</v>
      </c>
      <c r="BR535" s="18">
        <v>1.4547163956639619</v>
      </c>
      <c r="BS535" s="18">
        <v>1.394260649350652</v>
      </c>
      <c r="BT535" s="19"/>
      <c r="BU535" s="18">
        <v>1000</v>
      </c>
      <c r="BV535" s="18">
        <v>464.01</v>
      </c>
      <c r="BW535" s="18">
        <v>0</v>
      </c>
      <c r="BX535" s="18" t="s">
        <v>217</v>
      </c>
      <c r="BY535" s="18" t="s">
        <v>217</v>
      </c>
      <c r="BZ535" s="18" t="s">
        <v>217</v>
      </c>
      <c r="CA535" s="18" t="s">
        <v>217</v>
      </c>
      <c r="CB535" s="19"/>
      <c r="CC535" s="19">
        <v>0</v>
      </c>
      <c r="CD535" s="19">
        <v>0</v>
      </c>
      <c r="CE535" s="19">
        <v>0</v>
      </c>
      <c r="CF535" s="19">
        <v>0</v>
      </c>
      <c r="CG535" s="19">
        <v>0</v>
      </c>
      <c r="CH535" s="19">
        <v>0</v>
      </c>
      <c r="CI535" s="19">
        <v>0</v>
      </c>
      <c r="CJ535" s="19"/>
      <c r="CK535" s="19">
        <v>0</v>
      </c>
      <c r="CL535" s="19">
        <v>0</v>
      </c>
      <c r="CM535" s="19">
        <v>0</v>
      </c>
      <c r="CN535" s="19">
        <v>0</v>
      </c>
      <c r="CO535" s="19">
        <v>0</v>
      </c>
      <c r="CP535" s="19">
        <v>0</v>
      </c>
      <c r="CQ535" s="19">
        <v>587.23299999999995</v>
      </c>
      <c r="CR535" s="19">
        <v>404.88991651954842</v>
      </c>
      <c r="HM535" s="620">
        <f t="shared" ref="HM535:HU535" si="450">HM165</f>
        <v>0</v>
      </c>
      <c r="HN535" s="620">
        <f t="shared" si="450"/>
        <v>0</v>
      </c>
      <c r="HO535" s="620">
        <f t="shared" si="450"/>
        <v>0</v>
      </c>
      <c r="HP535" s="620">
        <f t="shared" si="450"/>
        <v>0</v>
      </c>
      <c r="HQ535" s="620">
        <f t="shared" si="450"/>
        <v>0</v>
      </c>
      <c r="HR535" s="620">
        <f t="shared" si="450"/>
        <v>0</v>
      </c>
      <c r="HS535" s="620">
        <f t="shared" si="450"/>
        <v>0</v>
      </c>
      <c r="HT535" s="620">
        <f t="shared" si="450"/>
        <v>0</v>
      </c>
      <c r="HU535" s="620" t="str">
        <f t="shared" si="450"/>
        <v>offfarm</v>
      </c>
      <c r="HV535" s="22" t="s">
        <v>2013</v>
      </c>
      <c r="IB535" s="11">
        <f t="shared" ref="IB535:II535" si="451">IB165</f>
        <v>0.47300000000000003</v>
      </c>
      <c r="IC535" s="11">
        <f t="shared" si="451"/>
        <v>0.13</v>
      </c>
      <c r="ID535" s="11">
        <f t="shared" si="451"/>
        <v>0.39100000000000001</v>
      </c>
      <c r="IE535" s="11">
        <f t="shared" si="451"/>
        <v>5.5E-2</v>
      </c>
      <c r="IF535" s="11">
        <f t="shared" si="451"/>
        <v>3.97</v>
      </c>
      <c r="IG535" s="11">
        <f t="shared" si="451"/>
        <v>4.5999999999999999E-3</v>
      </c>
      <c r="IH535" s="11">
        <f t="shared" si="451"/>
        <v>2.73</v>
      </c>
      <c r="II535" s="11">
        <f t="shared" si="451"/>
        <v>0</v>
      </c>
    </row>
    <row r="536" spans="4:243" x14ac:dyDescent="0.25">
      <c r="D536" s="20" t="s">
        <v>1149</v>
      </c>
      <c r="E536" s="14">
        <v>40310</v>
      </c>
      <c r="F536" s="18">
        <v>1.16173463753387</v>
      </c>
      <c r="G536" s="18">
        <v>1.14662175324675</v>
      </c>
      <c r="H536" s="21">
        <v>87</v>
      </c>
      <c r="I536" s="21">
        <v>84</v>
      </c>
      <c r="J536" s="21">
        <v>91</v>
      </c>
      <c r="K536" s="18">
        <v>1</v>
      </c>
      <c r="L536" s="18">
        <v>87.5</v>
      </c>
      <c r="M536" s="18">
        <v>9.0124999999999993</v>
      </c>
      <c r="N536" s="18">
        <v>3.2374999999999998</v>
      </c>
      <c r="O536" s="18">
        <v>1.3125</v>
      </c>
      <c r="P536" s="18">
        <v>2.3975</v>
      </c>
      <c r="Q536" s="19"/>
      <c r="R536" s="18">
        <v>79.599999999999994</v>
      </c>
      <c r="S536" s="18">
        <v>16</v>
      </c>
      <c r="T536" s="18">
        <v>31</v>
      </c>
      <c r="U536" s="18">
        <v>36</v>
      </c>
      <c r="V536" s="18">
        <v>42</v>
      </c>
      <c r="W536" s="18">
        <v>45</v>
      </c>
      <c r="X536" s="18"/>
      <c r="Y536" s="18">
        <v>0.3</v>
      </c>
      <c r="Z536" s="18">
        <v>2.9</v>
      </c>
      <c r="AA536" s="18">
        <v>9.9999999999999992E-2</v>
      </c>
      <c r="AB536" s="18">
        <v>0</v>
      </c>
      <c r="AC536" s="18">
        <v>3.5</v>
      </c>
      <c r="AD536" s="18">
        <v>1.3999999999999886</v>
      </c>
      <c r="AE536" s="18">
        <v>0.79999999999999993</v>
      </c>
      <c r="AF536" s="18">
        <v>67</v>
      </c>
      <c r="AG536" s="18">
        <v>6.9999999999999885</v>
      </c>
      <c r="AH536" s="18">
        <v>16</v>
      </c>
      <c r="AI536" s="18">
        <v>20</v>
      </c>
      <c r="AJ536" s="18">
        <v>0</v>
      </c>
      <c r="AK536" s="18">
        <v>0.12</v>
      </c>
      <c r="AL536" s="18"/>
      <c r="AM536" s="18">
        <v>2.27</v>
      </c>
      <c r="AN536" s="18">
        <v>1.76</v>
      </c>
      <c r="AO536" s="18">
        <v>1.91</v>
      </c>
      <c r="AP536" s="18">
        <v>3.29</v>
      </c>
      <c r="AQ536" s="18">
        <v>1.08</v>
      </c>
      <c r="AR536" s="18">
        <v>3.79</v>
      </c>
      <c r="AS536" s="18">
        <v>12.93</v>
      </c>
      <c r="AT536" s="18">
        <v>2.48</v>
      </c>
      <c r="AU536" s="18">
        <v>5.25</v>
      </c>
      <c r="AV536" s="18">
        <v>3.95</v>
      </c>
      <c r="AW536" s="18">
        <v>4.76</v>
      </c>
      <c r="AX536" s="18"/>
      <c r="AY536" s="18">
        <v>0.98</v>
      </c>
      <c r="AZ536" s="18">
        <v>1.02</v>
      </c>
      <c r="BA536" s="18">
        <v>1</v>
      </c>
      <c r="BB536" s="18">
        <v>0.98</v>
      </c>
      <c r="BC536" s="18">
        <v>0.98</v>
      </c>
      <c r="BD536" s="18">
        <v>0.98</v>
      </c>
      <c r="BE536" s="18">
        <v>0.97</v>
      </c>
      <c r="BF536" s="18">
        <v>0.97</v>
      </c>
      <c r="BG536" s="18">
        <v>1.02</v>
      </c>
      <c r="BH536" s="18">
        <v>0.98</v>
      </c>
      <c r="BI536" s="18">
        <v>0.97</v>
      </c>
      <c r="BJ536" s="19"/>
      <c r="BK536" s="18">
        <v>10.299999999999999</v>
      </c>
      <c r="BL536" s="18">
        <v>3.6999999999999997</v>
      </c>
      <c r="BM536" s="18">
        <v>1.5</v>
      </c>
      <c r="BN536" s="18">
        <v>2.7399999999999998</v>
      </c>
      <c r="BO536" s="18"/>
      <c r="BP536" s="18">
        <v>115</v>
      </c>
      <c r="BQ536" s="18">
        <v>42.550000000000004</v>
      </c>
      <c r="BR536" s="18">
        <v>1.3276967286101371</v>
      </c>
      <c r="BS536" s="18">
        <v>1.3104248608534286</v>
      </c>
      <c r="BT536" s="19"/>
      <c r="BU536" s="18">
        <v>985</v>
      </c>
      <c r="BV536" s="18">
        <v>685.11571428571438</v>
      </c>
      <c r="BW536" s="18">
        <v>42.214285714285715</v>
      </c>
      <c r="BX536" s="18" t="s">
        <v>217</v>
      </c>
      <c r="BY536" s="18" t="s">
        <v>217</v>
      </c>
      <c r="BZ536" s="18" t="s">
        <v>217</v>
      </c>
      <c r="CA536" s="18" t="s">
        <v>217</v>
      </c>
      <c r="CB536" s="19"/>
      <c r="CC536" s="19">
        <v>0.26250000000000001</v>
      </c>
      <c r="CD536" s="19">
        <v>2.5375000000000001</v>
      </c>
      <c r="CE536" s="19">
        <v>8.7499999999999994E-2</v>
      </c>
      <c r="CF536" s="19">
        <v>0</v>
      </c>
      <c r="CG536" s="19">
        <v>3.0625</v>
      </c>
      <c r="CH536" s="19">
        <v>1.2249999999999901</v>
      </c>
      <c r="CI536" s="19">
        <v>0.7</v>
      </c>
      <c r="CJ536" s="19"/>
      <c r="CK536" s="19">
        <v>58.625</v>
      </c>
      <c r="CL536" s="19">
        <v>6.1249999999999902</v>
      </c>
      <c r="CM536" s="19">
        <v>14</v>
      </c>
      <c r="CN536" s="19">
        <v>17.5</v>
      </c>
      <c r="CO536" s="19">
        <v>0</v>
      </c>
      <c r="CP536" s="19">
        <v>0.105</v>
      </c>
      <c r="CQ536" s="19">
        <v>71.739500000000007</v>
      </c>
      <c r="CR536" s="19">
        <v>61.752053939175475</v>
      </c>
      <c r="HM536" s="620">
        <f t="shared" ref="HM536:HU536" si="452">HM166</f>
        <v>0</v>
      </c>
      <c r="HN536" s="620">
        <f t="shared" si="452"/>
        <v>0</v>
      </c>
      <c r="HO536" s="620">
        <f t="shared" si="452"/>
        <v>0</v>
      </c>
      <c r="HP536" s="620">
        <f t="shared" si="452"/>
        <v>0</v>
      </c>
      <c r="HQ536" s="620">
        <f t="shared" si="452"/>
        <v>0</v>
      </c>
      <c r="HR536" s="620">
        <f t="shared" si="452"/>
        <v>0</v>
      </c>
      <c r="HS536" s="620">
        <f t="shared" si="452"/>
        <v>0</v>
      </c>
      <c r="HT536" s="620">
        <f t="shared" si="452"/>
        <v>0</v>
      </c>
      <c r="HU536" s="620" t="str">
        <f t="shared" si="452"/>
        <v>offfarm</v>
      </c>
      <c r="HV536" s="22" t="s">
        <v>2013</v>
      </c>
      <c r="IB536" s="11">
        <f t="shared" ref="IB536:II536" si="453">IB166</f>
        <v>0.47300000000000003</v>
      </c>
      <c r="IC536" s="11">
        <f t="shared" si="453"/>
        <v>0.13</v>
      </c>
      <c r="ID536" s="11">
        <f t="shared" si="453"/>
        <v>0.39100000000000001</v>
      </c>
      <c r="IE536" s="11">
        <f t="shared" si="453"/>
        <v>5.5E-2</v>
      </c>
      <c r="IF536" s="11">
        <f t="shared" si="453"/>
        <v>3.97</v>
      </c>
      <c r="IG536" s="11">
        <f t="shared" si="453"/>
        <v>4.5999999999999999E-3</v>
      </c>
      <c r="IH536" s="11">
        <f t="shared" si="453"/>
        <v>2.73</v>
      </c>
      <c r="II536" s="11">
        <f t="shared" si="453"/>
        <v>0</v>
      </c>
    </row>
    <row r="537" spans="4:243" x14ac:dyDescent="0.25">
      <c r="D537" s="20" t="s">
        <v>528</v>
      </c>
      <c r="E537" s="14">
        <v>40310</v>
      </c>
      <c r="F537" s="18">
        <v>-0.112682926829268</v>
      </c>
      <c r="G537" s="18">
        <v>-0.108</v>
      </c>
      <c r="H537" s="21">
        <v>70</v>
      </c>
      <c r="I537" s="21">
        <v>70</v>
      </c>
      <c r="J537" s="21">
        <v>0</v>
      </c>
      <c r="K537" s="18">
        <v>1</v>
      </c>
      <c r="L537" s="18">
        <v>99</v>
      </c>
      <c r="M537" s="18">
        <v>0</v>
      </c>
      <c r="N537" s="18">
        <v>0</v>
      </c>
      <c r="O537" s="18">
        <v>99</v>
      </c>
      <c r="P537" s="18">
        <v>0</v>
      </c>
      <c r="Q537" s="19"/>
      <c r="R537" s="18">
        <v>0</v>
      </c>
      <c r="S537" s="18">
        <v>67</v>
      </c>
      <c r="T537" s="18">
        <v>67</v>
      </c>
      <c r="U537" s="18">
        <v>67</v>
      </c>
      <c r="V537" s="18">
        <v>67</v>
      </c>
      <c r="W537" s="18">
        <v>67</v>
      </c>
      <c r="X537" s="18"/>
      <c r="Y537" s="18">
        <v>161.61616161616161</v>
      </c>
      <c r="Z537" s="18">
        <v>229.2929292929293</v>
      </c>
      <c r="AA537" s="18">
        <v>0</v>
      </c>
      <c r="AB537" s="18">
        <v>0</v>
      </c>
      <c r="AC537" s="18">
        <v>0</v>
      </c>
      <c r="AD537" s="18">
        <v>0</v>
      </c>
      <c r="AE537" s="18">
        <v>0</v>
      </c>
      <c r="AF537" s="18">
        <v>0</v>
      </c>
      <c r="AG537" s="18">
        <v>0</v>
      </c>
      <c r="AH537" s="18">
        <v>0</v>
      </c>
      <c r="AI537" s="18">
        <v>0</v>
      </c>
      <c r="AJ537" s="18">
        <v>0</v>
      </c>
      <c r="AK537" s="18">
        <v>0</v>
      </c>
      <c r="AL537" s="18"/>
      <c r="AM537" s="18">
        <v>0</v>
      </c>
      <c r="AN537" s="18">
        <v>0</v>
      </c>
      <c r="AO537" s="18">
        <v>0</v>
      </c>
      <c r="AP537" s="18">
        <v>0</v>
      </c>
      <c r="AQ537" s="18">
        <v>0</v>
      </c>
      <c r="AR537" s="18">
        <v>0</v>
      </c>
      <c r="AS537" s="18">
        <v>0</v>
      </c>
      <c r="AT537" s="18">
        <v>0</v>
      </c>
      <c r="AU537" s="18">
        <v>0</v>
      </c>
      <c r="AV537" s="18">
        <v>0</v>
      </c>
      <c r="AW537" s="18">
        <v>0</v>
      </c>
      <c r="AX537" s="18"/>
      <c r="AY537" s="18">
        <v>1</v>
      </c>
      <c r="AZ537" s="18">
        <v>1</v>
      </c>
      <c r="BA537" s="18">
        <v>1</v>
      </c>
      <c r="BB537" s="18">
        <v>1</v>
      </c>
      <c r="BC537" s="18">
        <v>1</v>
      </c>
      <c r="BD537" s="18">
        <v>1</v>
      </c>
      <c r="BE537" s="18">
        <v>1</v>
      </c>
      <c r="BF537" s="18">
        <v>1</v>
      </c>
      <c r="BG537" s="18">
        <v>1</v>
      </c>
      <c r="BH537" s="18">
        <v>1</v>
      </c>
      <c r="BI537" s="18">
        <v>1</v>
      </c>
      <c r="BJ537" s="19"/>
      <c r="BK537" s="18">
        <v>0</v>
      </c>
      <c r="BL537" s="18">
        <v>0</v>
      </c>
      <c r="BM537" s="18">
        <v>100</v>
      </c>
      <c r="BN537" s="18">
        <v>0</v>
      </c>
      <c r="BO537" s="18"/>
      <c r="BP537" s="18">
        <v>0</v>
      </c>
      <c r="BQ537" s="18">
        <v>0</v>
      </c>
      <c r="BR537" s="18">
        <v>-0.11382113821138182</v>
      </c>
      <c r="BS537" s="18">
        <v>-0.10909090909090909</v>
      </c>
      <c r="BT537" s="19"/>
      <c r="BU537" s="18">
        <v>0</v>
      </c>
      <c r="BV537" s="18">
        <v>0</v>
      </c>
      <c r="BW537" s="18">
        <v>0</v>
      </c>
      <c r="BX537" s="18" t="s">
        <v>217</v>
      </c>
      <c r="BY537" s="18" t="s">
        <v>217</v>
      </c>
      <c r="BZ537" s="18" t="s">
        <v>217</v>
      </c>
      <c r="CA537" s="18" t="s">
        <v>217</v>
      </c>
      <c r="CB537" s="19"/>
      <c r="CC537" s="19">
        <v>160</v>
      </c>
      <c r="CD537" s="19">
        <v>227</v>
      </c>
      <c r="CE537" s="19">
        <v>0</v>
      </c>
      <c r="CF537" s="19">
        <v>0</v>
      </c>
      <c r="CG537" s="19">
        <v>0</v>
      </c>
      <c r="CH537" s="19">
        <v>0</v>
      </c>
      <c r="CI537" s="19">
        <v>0</v>
      </c>
      <c r="CJ537" s="19"/>
      <c r="CK537" s="19">
        <v>0</v>
      </c>
      <c r="CL537" s="19">
        <v>0</v>
      </c>
      <c r="CM537" s="19">
        <v>0</v>
      </c>
      <c r="CN537" s="19">
        <v>0</v>
      </c>
      <c r="CO537" s="19">
        <v>0</v>
      </c>
      <c r="CP537" s="19">
        <v>0</v>
      </c>
      <c r="CQ537" s="19">
        <v>0</v>
      </c>
      <c r="CR537" s="19">
        <v>0</v>
      </c>
      <c r="HM537" s="620">
        <f t="shared" ref="HM537:HU537" si="454">HM167</f>
        <v>0</v>
      </c>
      <c r="HN537" s="620">
        <f t="shared" si="454"/>
        <v>0</v>
      </c>
      <c r="HO537" s="620">
        <f t="shared" si="454"/>
        <v>0</v>
      </c>
      <c r="HP537" s="620">
        <f t="shared" si="454"/>
        <v>0</v>
      </c>
      <c r="HQ537" s="620">
        <f t="shared" si="454"/>
        <v>0</v>
      </c>
      <c r="HR537" s="620">
        <f t="shared" si="454"/>
        <v>0</v>
      </c>
      <c r="HS537" s="620">
        <f t="shared" si="454"/>
        <v>0</v>
      </c>
      <c r="HT537" s="620">
        <f t="shared" si="454"/>
        <v>0</v>
      </c>
      <c r="HU537" s="620" t="str">
        <f t="shared" si="454"/>
        <v>offfarm</v>
      </c>
      <c r="HV537" s="22" t="s">
        <v>2013</v>
      </c>
      <c r="IB537" s="11">
        <f t="shared" ref="IB537:II537" si="455">IB167</f>
        <v>0.47300000000000003</v>
      </c>
      <c r="IC537" s="11">
        <f t="shared" si="455"/>
        <v>0.13</v>
      </c>
      <c r="ID537" s="11">
        <f t="shared" si="455"/>
        <v>0.39100000000000001</v>
      </c>
      <c r="IE537" s="11">
        <f t="shared" si="455"/>
        <v>5.5E-2</v>
      </c>
      <c r="IF537" s="11">
        <f t="shared" si="455"/>
        <v>3.97</v>
      </c>
      <c r="IG537" s="11">
        <f t="shared" si="455"/>
        <v>4.5999999999999999E-3</v>
      </c>
      <c r="IH537" s="11">
        <f t="shared" si="455"/>
        <v>2.73</v>
      </c>
      <c r="II537" s="11">
        <f t="shared" si="455"/>
        <v>0</v>
      </c>
    </row>
    <row r="538" spans="4:243" x14ac:dyDescent="0.25">
      <c r="D538" s="20" t="s">
        <v>530</v>
      </c>
      <c r="E538" s="14">
        <v>40310</v>
      </c>
      <c r="F538" s="18">
        <v>-0.112682926829268</v>
      </c>
      <c r="G538" s="18">
        <v>-0.108</v>
      </c>
      <c r="H538" s="21">
        <v>70</v>
      </c>
      <c r="I538" s="21">
        <v>70</v>
      </c>
      <c r="J538" s="21">
        <v>0</v>
      </c>
      <c r="K538" s="18">
        <v>1</v>
      </c>
      <c r="L538" s="18">
        <v>99</v>
      </c>
      <c r="M538" s="18">
        <v>0</v>
      </c>
      <c r="N538" s="18">
        <v>0</v>
      </c>
      <c r="O538" s="18">
        <v>99</v>
      </c>
      <c r="P538" s="18">
        <v>0</v>
      </c>
      <c r="Q538" s="19"/>
      <c r="R538" s="18">
        <v>0</v>
      </c>
      <c r="S538" s="18">
        <v>67</v>
      </c>
      <c r="T538" s="18">
        <v>67</v>
      </c>
      <c r="U538" s="18">
        <v>67</v>
      </c>
      <c r="V538" s="18">
        <v>67</v>
      </c>
      <c r="W538" s="18">
        <v>67</v>
      </c>
      <c r="X538" s="18"/>
      <c r="Y538" s="18">
        <v>222.22221999999999</v>
      </c>
      <c r="Z538" s="18">
        <v>222.22221999999999</v>
      </c>
      <c r="AA538" s="18">
        <v>0</v>
      </c>
      <c r="AB538" s="18">
        <v>0</v>
      </c>
      <c r="AC538" s="18">
        <v>0</v>
      </c>
      <c r="AD538" s="18">
        <v>0</v>
      </c>
      <c r="AE538" s="18">
        <v>0</v>
      </c>
      <c r="AF538" s="18">
        <v>0</v>
      </c>
      <c r="AG538" s="18">
        <v>0</v>
      </c>
      <c r="AH538" s="18">
        <v>0</v>
      </c>
      <c r="AI538" s="18">
        <v>0</v>
      </c>
      <c r="AJ538" s="18">
        <v>0</v>
      </c>
      <c r="AK538" s="18">
        <v>0</v>
      </c>
      <c r="AL538" s="18"/>
      <c r="AM538" s="18">
        <v>0</v>
      </c>
      <c r="AN538" s="18">
        <v>0</v>
      </c>
      <c r="AO538" s="18">
        <v>0</v>
      </c>
      <c r="AP538" s="18">
        <v>0</v>
      </c>
      <c r="AQ538" s="18">
        <v>0</v>
      </c>
      <c r="AR538" s="18">
        <v>0</v>
      </c>
      <c r="AS538" s="18">
        <v>0</v>
      </c>
      <c r="AT538" s="18">
        <v>0</v>
      </c>
      <c r="AU538" s="18">
        <v>0</v>
      </c>
      <c r="AV538" s="18">
        <v>0</v>
      </c>
      <c r="AW538" s="18">
        <v>0</v>
      </c>
      <c r="AX538" s="18"/>
      <c r="AY538" s="18">
        <v>1</v>
      </c>
      <c r="AZ538" s="18">
        <v>1</v>
      </c>
      <c r="BA538" s="18">
        <v>1</v>
      </c>
      <c r="BB538" s="18">
        <v>1</v>
      </c>
      <c r="BC538" s="18">
        <v>1</v>
      </c>
      <c r="BD538" s="18">
        <v>1</v>
      </c>
      <c r="BE538" s="18">
        <v>1</v>
      </c>
      <c r="BF538" s="18">
        <v>1</v>
      </c>
      <c r="BG538" s="18">
        <v>1</v>
      </c>
      <c r="BH538" s="18">
        <v>1</v>
      </c>
      <c r="BI538" s="18">
        <v>1</v>
      </c>
      <c r="BJ538" s="19"/>
      <c r="BK538" s="18">
        <v>0</v>
      </c>
      <c r="BL538" s="18">
        <v>0</v>
      </c>
      <c r="BM538" s="18">
        <v>100</v>
      </c>
      <c r="BN538" s="18">
        <v>0</v>
      </c>
      <c r="BO538" s="18"/>
      <c r="BP538" s="18">
        <v>0</v>
      </c>
      <c r="BQ538" s="18">
        <v>0</v>
      </c>
      <c r="BR538" s="18">
        <v>-0.11382113821138182</v>
      </c>
      <c r="BS538" s="18">
        <v>-0.10909090909090909</v>
      </c>
      <c r="BT538" s="19"/>
      <c r="BU538" s="18">
        <v>0</v>
      </c>
      <c r="BV538" s="18">
        <v>0</v>
      </c>
      <c r="BW538" s="18">
        <v>0</v>
      </c>
      <c r="BX538" s="18" t="s">
        <v>217</v>
      </c>
      <c r="BY538" s="18" t="s">
        <v>217</v>
      </c>
      <c r="BZ538" s="18" t="s">
        <v>217</v>
      </c>
      <c r="CA538" s="18" t="s">
        <v>217</v>
      </c>
      <c r="CB538" s="19"/>
      <c r="CC538" s="19">
        <v>219.99999779999999</v>
      </c>
      <c r="CD538" s="19">
        <v>219.99999779999999</v>
      </c>
      <c r="CE538" s="19">
        <v>0</v>
      </c>
      <c r="CF538" s="19">
        <v>0</v>
      </c>
      <c r="CG538" s="19">
        <v>0</v>
      </c>
      <c r="CH538" s="19">
        <v>0</v>
      </c>
      <c r="CI538" s="19">
        <v>0</v>
      </c>
      <c r="CJ538" s="19"/>
      <c r="CK538" s="19">
        <v>0</v>
      </c>
      <c r="CL538" s="19">
        <v>0</v>
      </c>
      <c r="CM538" s="19">
        <v>0</v>
      </c>
      <c r="CN538" s="19">
        <v>0</v>
      </c>
      <c r="CO538" s="19">
        <v>0</v>
      </c>
      <c r="CP538" s="19">
        <v>0</v>
      </c>
      <c r="CQ538" s="19">
        <v>0</v>
      </c>
      <c r="CR538" s="19">
        <v>0</v>
      </c>
      <c r="HM538" s="620">
        <f t="shared" ref="HM538:HU538" si="456">HM168</f>
        <v>0</v>
      </c>
      <c r="HN538" s="620">
        <f t="shared" si="456"/>
        <v>0</v>
      </c>
      <c r="HO538" s="620">
        <f t="shared" si="456"/>
        <v>0</v>
      </c>
      <c r="HP538" s="620">
        <f t="shared" si="456"/>
        <v>0</v>
      </c>
      <c r="HQ538" s="620">
        <f t="shared" si="456"/>
        <v>0</v>
      </c>
      <c r="HR538" s="620">
        <f t="shared" si="456"/>
        <v>0</v>
      </c>
      <c r="HS538" s="620">
        <f t="shared" si="456"/>
        <v>0</v>
      </c>
      <c r="HT538" s="620">
        <f t="shared" si="456"/>
        <v>0</v>
      </c>
      <c r="HU538" s="620" t="str">
        <f t="shared" si="456"/>
        <v>offfarm</v>
      </c>
      <c r="HV538" s="22" t="s">
        <v>2013</v>
      </c>
      <c r="IB538" s="11">
        <f t="shared" ref="IB538:II538" si="457">IB168</f>
        <v>0.47300000000000003</v>
      </c>
      <c r="IC538" s="11">
        <f t="shared" si="457"/>
        <v>0.13</v>
      </c>
      <c r="ID538" s="11">
        <f t="shared" si="457"/>
        <v>0.39100000000000001</v>
      </c>
      <c r="IE538" s="11">
        <f t="shared" si="457"/>
        <v>5.5E-2</v>
      </c>
      <c r="IF538" s="11">
        <f t="shared" si="457"/>
        <v>3.97</v>
      </c>
      <c r="IG538" s="11">
        <f t="shared" si="457"/>
        <v>4.5999999999999999E-3</v>
      </c>
      <c r="IH538" s="11">
        <f t="shared" si="457"/>
        <v>2.73</v>
      </c>
      <c r="II538" s="11">
        <f t="shared" si="457"/>
        <v>0</v>
      </c>
    </row>
    <row r="539" spans="4:243" x14ac:dyDescent="0.25">
      <c r="D539" s="20" t="s">
        <v>532</v>
      </c>
      <c r="E539" s="14">
        <v>40310</v>
      </c>
      <c r="F539" s="18">
        <v>-0.112682926829268</v>
      </c>
      <c r="G539" s="18">
        <v>-0.108</v>
      </c>
      <c r="H539" s="21">
        <v>70</v>
      </c>
      <c r="I539" s="21">
        <v>70</v>
      </c>
      <c r="J539" s="21">
        <v>0</v>
      </c>
      <c r="K539" s="18">
        <v>1</v>
      </c>
      <c r="L539" s="18">
        <v>99</v>
      </c>
      <c r="M539" s="18">
        <v>0</v>
      </c>
      <c r="N539" s="18">
        <v>0</v>
      </c>
      <c r="O539" s="18">
        <v>99</v>
      </c>
      <c r="P539" s="18">
        <v>0</v>
      </c>
      <c r="Q539" s="19"/>
      <c r="R539" s="18">
        <v>0</v>
      </c>
      <c r="S539" s="18">
        <v>80</v>
      </c>
      <c r="T539" s="18">
        <v>80</v>
      </c>
      <c r="U539" s="18">
        <v>80</v>
      </c>
      <c r="V539" s="18">
        <v>80</v>
      </c>
      <c r="W539" s="18">
        <v>80</v>
      </c>
      <c r="X539" s="18"/>
      <c r="Y539" s="18">
        <v>0</v>
      </c>
      <c r="Z539" s="18">
        <v>242.42424</v>
      </c>
      <c r="AA539" s="18">
        <v>202.02020000000002</v>
      </c>
      <c r="AB539" s="18">
        <v>0</v>
      </c>
      <c r="AC539" s="18">
        <v>0</v>
      </c>
      <c r="AD539" s="18">
        <v>0</v>
      </c>
      <c r="AE539" s="18">
        <v>0</v>
      </c>
      <c r="AF539" s="18">
        <v>0</v>
      </c>
      <c r="AG539" s="18">
        <v>0</v>
      </c>
      <c r="AH539" s="18">
        <v>0</v>
      </c>
      <c r="AI539" s="18">
        <v>0</v>
      </c>
      <c r="AJ539" s="18">
        <v>0</v>
      </c>
      <c r="AK539" s="18">
        <v>0</v>
      </c>
      <c r="AL539" s="18"/>
      <c r="AM539" s="18">
        <v>0</v>
      </c>
      <c r="AN539" s="18">
        <v>0</v>
      </c>
      <c r="AO539" s="18">
        <v>0</v>
      </c>
      <c r="AP539" s="18">
        <v>0</v>
      </c>
      <c r="AQ539" s="18">
        <v>0</v>
      </c>
      <c r="AR539" s="18">
        <v>0</v>
      </c>
      <c r="AS539" s="18">
        <v>0</v>
      </c>
      <c r="AT539" s="18">
        <v>0</v>
      </c>
      <c r="AU539" s="18">
        <v>0</v>
      </c>
      <c r="AV539" s="18">
        <v>0</v>
      </c>
      <c r="AW539" s="18">
        <v>0</v>
      </c>
      <c r="AX539" s="18"/>
      <c r="AY539" s="18">
        <v>1</v>
      </c>
      <c r="AZ539" s="18">
        <v>1</v>
      </c>
      <c r="BA539" s="18">
        <v>1</v>
      </c>
      <c r="BB539" s="18">
        <v>1</v>
      </c>
      <c r="BC539" s="18">
        <v>1</v>
      </c>
      <c r="BD539" s="18">
        <v>1</v>
      </c>
      <c r="BE539" s="18">
        <v>1</v>
      </c>
      <c r="BF539" s="18">
        <v>1</v>
      </c>
      <c r="BG539" s="18">
        <v>1</v>
      </c>
      <c r="BH539" s="18">
        <v>1</v>
      </c>
      <c r="BI539" s="18">
        <v>1</v>
      </c>
      <c r="BJ539" s="19"/>
      <c r="BK539" s="18">
        <v>0</v>
      </c>
      <c r="BL539" s="18">
        <v>0</v>
      </c>
      <c r="BM539" s="18">
        <v>100</v>
      </c>
      <c r="BN539" s="18">
        <v>0</v>
      </c>
      <c r="BO539" s="18"/>
      <c r="BP539" s="18">
        <v>0</v>
      </c>
      <c r="BQ539" s="18">
        <v>0</v>
      </c>
      <c r="BR539" s="18">
        <v>-0.11382113821138182</v>
      </c>
      <c r="BS539" s="18">
        <v>-0.10909090909090909</v>
      </c>
      <c r="BT539" s="19"/>
      <c r="BU539" s="18">
        <v>0</v>
      </c>
      <c r="BV539" s="18">
        <v>0</v>
      </c>
      <c r="BW539" s="18">
        <v>0</v>
      </c>
      <c r="BX539" s="18" t="s">
        <v>217</v>
      </c>
      <c r="BY539" s="18" t="s">
        <v>217</v>
      </c>
      <c r="BZ539" s="18" t="s">
        <v>217</v>
      </c>
      <c r="CA539" s="18" t="s">
        <v>217</v>
      </c>
      <c r="CB539" s="19"/>
      <c r="CC539" s="19">
        <v>0</v>
      </c>
      <c r="CD539" s="19">
        <v>239.9999976</v>
      </c>
      <c r="CE539" s="19">
        <v>199.99999800000001</v>
      </c>
      <c r="CF539" s="19">
        <v>0</v>
      </c>
      <c r="CG539" s="19">
        <v>0</v>
      </c>
      <c r="CH539" s="19">
        <v>0</v>
      </c>
      <c r="CI539" s="19">
        <v>0</v>
      </c>
      <c r="CJ539" s="19"/>
      <c r="CK539" s="19">
        <v>0</v>
      </c>
      <c r="CL539" s="19">
        <v>0</v>
      </c>
      <c r="CM539" s="19">
        <v>0</v>
      </c>
      <c r="CN539" s="19">
        <v>0</v>
      </c>
      <c r="CO539" s="19">
        <v>0</v>
      </c>
      <c r="CP539" s="19">
        <v>0</v>
      </c>
      <c r="CQ539" s="19">
        <v>0</v>
      </c>
      <c r="CR539" s="19">
        <v>0</v>
      </c>
      <c r="HM539" s="620">
        <f t="shared" ref="HM539:HU539" si="458">HM169</f>
        <v>0</v>
      </c>
      <c r="HN539" s="620">
        <f t="shared" si="458"/>
        <v>0</v>
      </c>
      <c r="HO539" s="620">
        <f t="shared" si="458"/>
        <v>0</v>
      </c>
      <c r="HP539" s="620">
        <f t="shared" si="458"/>
        <v>0</v>
      </c>
      <c r="HQ539" s="620">
        <f t="shared" si="458"/>
        <v>0</v>
      </c>
      <c r="HR539" s="620">
        <f t="shared" si="458"/>
        <v>0</v>
      </c>
      <c r="HS539" s="620">
        <f t="shared" si="458"/>
        <v>0</v>
      </c>
      <c r="HT539" s="620">
        <f t="shared" si="458"/>
        <v>0</v>
      </c>
      <c r="HU539" s="620" t="str">
        <f t="shared" si="458"/>
        <v>offfarm</v>
      </c>
      <c r="HV539" s="22" t="s">
        <v>2013</v>
      </c>
      <c r="IB539" s="11">
        <f t="shared" ref="IB539:II539" si="459">IB169</f>
        <v>0.47300000000000003</v>
      </c>
      <c r="IC539" s="11">
        <f t="shared" si="459"/>
        <v>0.13</v>
      </c>
      <c r="ID539" s="11">
        <f t="shared" si="459"/>
        <v>0.39100000000000001</v>
      </c>
      <c r="IE539" s="11">
        <f t="shared" si="459"/>
        <v>5.5E-2</v>
      </c>
      <c r="IF539" s="11">
        <f t="shared" si="459"/>
        <v>3.97</v>
      </c>
      <c r="IG539" s="11">
        <f t="shared" si="459"/>
        <v>4.5999999999999999E-3</v>
      </c>
      <c r="IH539" s="11">
        <f t="shared" si="459"/>
        <v>2.73</v>
      </c>
      <c r="II539" s="11">
        <f t="shared" si="459"/>
        <v>0</v>
      </c>
    </row>
    <row r="540" spans="4:243" x14ac:dyDescent="0.25">
      <c r="D540" s="20" t="s">
        <v>1150</v>
      </c>
      <c r="E540" s="14">
        <v>40310</v>
      </c>
      <c r="F540" s="18">
        <v>1.18902422220169</v>
      </c>
      <c r="G540" s="18">
        <v>1.13961022855175</v>
      </c>
      <c r="H540" s="21">
        <v>100</v>
      </c>
      <c r="I540" s="21">
        <v>100</v>
      </c>
      <c r="J540" s="21">
        <v>100</v>
      </c>
      <c r="K540" s="18">
        <v>1</v>
      </c>
      <c r="L540" s="18">
        <v>75</v>
      </c>
      <c r="M540" s="18">
        <v>7.5757575757575798E-5</v>
      </c>
      <c r="N540" s="18">
        <v>0</v>
      </c>
      <c r="O540" s="18">
        <v>0</v>
      </c>
      <c r="P540" s="18">
        <v>0</v>
      </c>
      <c r="Q540" s="19"/>
      <c r="R540" s="18">
        <v>0</v>
      </c>
      <c r="S540" s="18">
        <v>0</v>
      </c>
      <c r="T540" s="18">
        <v>0</v>
      </c>
      <c r="U540" s="18">
        <v>0</v>
      </c>
      <c r="V540" s="18">
        <v>0</v>
      </c>
      <c r="W540" s="18">
        <v>0</v>
      </c>
      <c r="X540" s="18"/>
      <c r="Y540" s="18">
        <v>0</v>
      </c>
      <c r="Z540" s="18">
        <v>0</v>
      </c>
      <c r="AA540" s="18">
        <v>0</v>
      </c>
      <c r="AB540" s="18">
        <v>0</v>
      </c>
      <c r="AC540" s="18">
        <v>0</v>
      </c>
      <c r="AD540" s="18">
        <v>0</v>
      </c>
      <c r="AE540" s="18">
        <v>0</v>
      </c>
      <c r="AF540" s="18">
        <v>0</v>
      </c>
      <c r="AG540" s="18">
        <v>0</v>
      </c>
      <c r="AH540" s="18">
        <v>0</v>
      </c>
      <c r="AI540" s="18">
        <v>0</v>
      </c>
      <c r="AJ540" s="18">
        <v>0</v>
      </c>
      <c r="AK540" s="18">
        <v>0</v>
      </c>
      <c r="AL540" s="18"/>
      <c r="AM540" s="18">
        <v>0</v>
      </c>
      <c r="AN540" s="18">
        <v>0</v>
      </c>
      <c r="AO540" s="18">
        <v>0</v>
      </c>
      <c r="AP540" s="18">
        <v>0</v>
      </c>
      <c r="AQ540" s="18">
        <v>0</v>
      </c>
      <c r="AR540" s="18">
        <v>0</v>
      </c>
      <c r="AS540" s="18">
        <v>0</v>
      </c>
      <c r="AT540" s="18">
        <v>0</v>
      </c>
      <c r="AU540" s="18">
        <v>0</v>
      </c>
      <c r="AV540" s="18">
        <v>0</v>
      </c>
      <c r="AW540" s="18">
        <v>0</v>
      </c>
      <c r="AX540" s="18"/>
      <c r="AY540" s="18">
        <v>1</v>
      </c>
      <c r="AZ540" s="18">
        <v>1</v>
      </c>
      <c r="BA540" s="18">
        <v>1</v>
      </c>
      <c r="BB540" s="18">
        <v>1</v>
      </c>
      <c r="BC540" s="18">
        <v>1</v>
      </c>
      <c r="BD540" s="18">
        <v>1</v>
      </c>
      <c r="BE540" s="18">
        <v>1</v>
      </c>
      <c r="BF540" s="18">
        <v>1</v>
      </c>
      <c r="BG540" s="18">
        <v>1</v>
      </c>
      <c r="BH540" s="18">
        <v>1</v>
      </c>
      <c r="BI540" s="18">
        <v>1</v>
      </c>
      <c r="BJ540" s="19"/>
      <c r="BK540" s="18">
        <v>1.0101010101010106E-4</v>
      </c>
      <c r="BL540" s="18">
        <v>0</v>
      </c>
      <c r="BM540" s="18">
        <v>0</v>
      </c>
      <c r="BN540" s="18">
        <v>0</v>
      </c>
      <c r="BO540" s="18"/>
      <c r="BP540" s="18">
        <v>0</v>
      </c>
      <c r="BQ540" s="18">
        <v>0</v>
      </c>
      <c r="BR540" s="18">
        <v>1.5853656296022534</v>
      </c>
      <c r="BS540" s="18">
        <v>1.5194803047356666</v>
      </c>
      <c r="BT540" s="19"/>
      <c r="BU540" s="18">
        <v>1000</v>
      </c>
      <c r="BV540" s="18">
        <v>999.99908080808143</v>
      </c>
      <c r="BW540" s="18">
        <v>0</v>
      </c>
      <c r="BX540" s="18" t="s">
        <v>217</v>
      </c>
      <c r="BY540" s="18" t="s">
        <v>217</v>
      </c>
      <c r="BZ540" s="18" t="s">
        <v>217</v>
      </c>
      <c r="CA540" s="18" t="s">
        <v>217</v>
      </c>
      <c r="CB540" s="19"/>
      <c r="CC540" s="19">
        <v>0</v>
      </c>
      <c r="CD540" s="19">
        <v>0</v>
      </c>
      <c r="CE540" s="19">
        <v>0</v>
      </c>
      <c r="CF540" s="19">
        <v>0</v>
      </c>
      <c r="CG540" s="19">
        <v>0</v>
      </c>
      <c r="CH540" s="19">
        <v>0</v>
      </c>
      <c r="CI540" s="19">
        <v>0</v>
      </c>
      <c r="CJ540" s="19"/>
      <c r="CK540" s="19">
        <v>0</v>
      </c>
      <c r="CL540" s="19">
        <v>0</v>
      </c>
      <c r="CM540" s="19">
        <v>0</v>
      </c>
      <c r="CN540" s="19">
        <v>0</v>
      </c>
      <c r="CO540" s="19">
        <v>0</v>
      </c>
      <c r="CP540" s="19">
        <v>0</v>
      </c>
      <c r="CQ540" s="19">
        <v>0</v>
      </c>
      <c r="CR540" s="19">
        <v>0</v>
      </c>
      <c r="HM540" s="620">
        <f t="shared" ref="HM540:HU540" si="460">HM170</f>
        <v>0</v>
      </c>
      <c r="HN540" s="620">
        <f t="shared" si="460"/>
        <v>0</v>
      </c>
      <c r="HO540" s="620">
        <f t="shared" si="460"/>
        <v>0</v>
      </c>
      <c r="HP540" s="620">
        <f t="shared" si="460"/>
        <v>0</v>
      </c>
      <c r="HQ540" s="620">
        <f t="shared" si="460"/>
        <v>0</v>
      </c>
      <c r="HR540" s="620">
        <f t="shared" si="460"/>
        <v>0</v>
      </c>
      <c r="HS540" s="620">
        <f t="shared" si="460"/>
        <v>0</v>
      </c>
      <c r="HT540" s="620">
        <f t="shared" si="460"/>
        <v>0</v>
      </c>
      <c r="HU540" s="620" t="str">
        <f t="shared" si="460"/>
        <v>offfarm</v>
      </c>
      <c r="HV540" s="22" t="s">
        <v>2013</v>
      </c>
      <c r="IB540" s="11">
        <f t="shared" ref="IB540:II540" si="461">IB170</f>
        <v>0.47300000000000003</v>
      </c>
      <c r="IC540" s="11">
        <f t="shared" si="461"/>
        <v>0.13</v>
      </c>
      <c r="ID540" s="11">
        <f t="shared" si="461"/>
        <v>0.39100000000000001</v>
      </c>
      <c r="IE540" s="11">
        <f t="shared" si="461"/>
        <v>5.5E-2</v>
      </c>
      <c r="IF540" s="11">
        <f t="shared" si="461"/>
        <v>3.97</v>
      </c>
      <c r="IG540" s="11">
        <f t="shared" si="461"/>
        <v>4.5999999999999999E-3</v>
      </c>
      <c r="IH540" s="11">
        <f t="shared" si="461"/>
        <v>2.73</v>
      </c>
      <c r="II540" s="11">
        <f t="shared" si="461"/>
        <v>0</v>
      </c>
    </row>
    <row r="541" spans="4:243" x14ac:dyDescent="0.25">
      <c r="D541" s="20" t="s">
        <v>535</v>
      </c>
      <c r="E541" s="14">
        <v>40310</v>
      </c>
      <c r="F541" s="18">
        <v>1.2345155826558301</v>
      </c>
      <c r="G541" s="18">
        <v>1.18321103896104</v>
      </c>
      <c r="H541" s="21">
        <v>100</v>
      </c>
      <c r="I541" s="21">
        <v>100</v>
      </c>
      <c r="J541" s="21">
        <v>100</v>
      </c>
      <c r="K541" s="18">
        <v>1</v>
      </c>
      <c r="L541" s="18">
        <v>88</v>
      </c>
      <c r="M541" s="18">
        <v>72</v>
      </c>
      <c r="N541" s="18">
        <v>0.02</v>
      </c>
      <c r="O541" s="18">
        <v>0.08</v>
      </c>
      <c r="P541" s="18">
        <v>0.02</v>
      </c>
      <c r="Q541" s="19"/>
      <c r="R541" s="18">
        <v>100</v>
      </c>
      <c r="S541" s="18">
        <v>0</v>
      </c>
      <c r="T541" s="18">
        <v>0</v>
      </c>
      <c r="U541" s="18">
        <v>0</v>
      </c>
      <c r="V541" s="18">
        <v>0</v>
      </c>
      <c r="W541" s="18">
        <v>0</v>
      </c>
      <c r="X541" s="18"/>
      <c r="Y541" s="18">
        <v>0</v>
      </c>
      <c r="Z541" s="18">
        <v>0</v>
      </c>
      <c r="AA541" s="18">
        <v>0</v>
      </c>
      <c r="AB541" s="18">
        <v>0</v>
      </c>
      <c r="AC541" s="18">
        <v>0</v>
      </c>
      <c r="AD541" s="18">
        <v>0</v>
      </c>
      <c r="AE541" s="18">
        <v>0</v>
      </c>
      <c r="AF541" s="18">
        <v>0</v>
      </c>
      <c r="AG541" s="18">
        <v>0</v>
      </c>
      <c r="AH541" s="18">
        <v>0</v>
      </c>
      <c r="AI541" s="18">
        <v>0</v>
      </c>
      <c r="AJ541" s="18">
        <v>0</v>
      </c>
      <c r="AK541" s="18">
        <v>0</v>
      </c>
      <c r="AL541" s="18"/>
      <c r="AM541" s="18">
        <v>0</v>
      </c>
      <c r="AN541" s="18">
        <v>100</v>
      </c>
      <c r="AO541" s="18">
        <v>0</v>
      </c>
      <c r="AP541" s="18">
        <v>0</v>
      </c>
      <c r="AQ541" s="18">
        <v>0</v>
      </c>
      <c r="AR541" s="18">
        <v>0</v>
      </c>
      <c r="AS541" s="18">
        <v>0</v>
      </c>
      <c r="AT541" s="18">
        <v>0</v>
      </c>
      <c r="AU541" s="18">
        <v>0</v>
      </c>
      <c r="AV541" s="18">
        <v>0</v>
      </c>
      <c r="AW541" s="18">
        <v>0</v>
      </c>
      <c r="AX541" s="18"/>
      <c r="AY541" s="18">
        <v>1</v>
      </c>
      <c r="AZ541" s="18">
        <v>1</v>
      </c>
      <c r="BA541" s="18">
        <v>1</v>
      </c>
      <c r="BB541" s="18">
        <v>1</v>
      </c>
      <c r="BC541" s="18">
        <v>1</v>
      </c>
      <c r="BD541" s="18">
        <v>1</v>
      </c>
      <c r="BE541" s="18">
        <v>1</v>
      </c>
      <c r="BF541" s="18">
        <v>1</v>
      </c>
      <c r="BG541" s="18">
        <v>1</v>
      </c>
      <c r="BH541" s="18">
        <v>1</v>
      </c>
      <c r="BI541" s="18">
        <v>1</v>
      </c>
      <c r="BJ541" s="19"/>
      <c r="BK541" s="18">
        <v>81.818181818181813</v>
      </c>
      <c r="BL541" s="18">
        <v>2.2727272727272728E-2</v>
      </c>
      <c r="BM541" s="18">
        <v>9.0909090909090912E-2</v>
      </c>
      <c r="BN541" s="18">
        <v>2.2727272727272728E-2</v>
      </c>
      <c r="BO541" s="18"/>
      <c r="BP541" s="18">
        <v>0</v>
      </c>
      <c r="BQ541" s="18">
        <v>0</v>
      </c>
      <c r="BR541" s="18">
        <v>1.4028586166543524</v>
      </c>
      <c r="BS541" s="18">
        <v>1.3445579988193637</v>
      </c>
      <c r="BT541" s="19"/>
      <c r="BU541" s="18">
        <v>999.09090909090912</v>
      </c>
      <c r="BV541" s="18">
        <v>254.32500000000002</v>
      </c>
      <c r="BW541" s="18">
        <v>0</v>
      </c>
      <c r="BX541" s="18" t="s">
        <v>217</v>
      </c>
      <c r="BY541" s="18" t="s">
        <v>217</v>
      </c>
      <c r="BZ541" s="18" t="s">
        <v>217</v>
      </c>
      <c r="CA541" s="18" t="s">
        <v>217</v>
      </c>
      <c r="CB541" s="19"/>
      <c r="CC541" s="19">
        <v>0</v>
      </c>
      <c r="CD541" s="19">
        <v>0</v>
      </c>
      <c r="CE541" s="19">
        <v>0</v>
      </c>
      <c r="CF541" s="19">
        <v>0</v>
      </c>
      <c r="CG541" s="19">
        <v>0</v>
      </c>
      <c r="CH541" s="19">
        <v>0</v>
      </c>
      <c r="CI541" s="19">
        <v>0</v>
      </c>
      <c r="CJ541" s="19"/>
      <c r="CK541" s="19">
        <v>0</v>
      </c>
      <c r="CL541" s="19">
        <v>0</v>
      </c>
      <c r="CM541" s="19">
        <v>0</v>
      </c>
      <c r="CN541" s="19">
        <v>0</v>
      </c>
      <c r="CO541" s="19">
        <v>0</v>
      </c>
      <c r="CP541" s="19">
        <v>0</v>
      </c>
      <c r="CQ541" s="19">
        <v>720</v>
      </c>
      <c r="CR541" s="19">
        <v>583.2247159254598</v>
      </c>
      <c r="HM541" s="620">
        <f t="shared" ref="HM541:HU541" si="462">HM171</f>
        <v>0</v>
      </c>
      <c r="HN541" s="620">
        <f t="shared" si="462"/>
        <v>0</v>
      </c>
      <c r="HO541" s="620">
        <f t="shared" si="462"/>
        <v>0</v>
      </c>
      <c r="HP541" s="620">
        <f t="shared" si="462"/>
        <v>0</v>
      </c>
      <c r="HQ541" s="620">
        <f t="shared" si="462"/>
        <v>0</v>
      </c>
      <c r="HR541" s="620">
        <f t="shared" si="462"/>
        <v>0</v>
      </c>
      <c r="HS541" s="620">
        <f t="shared" si="462"/>
        <v>0</v>
      </c>
      <c r="HT541" s="620">
        <f t="shared" si="462"/>
        <v>0</v>
      </c>
      <c r="HU541" s="620" t="str">
        <f t="shared" si="462"/>
        <v>offfarm</v>
      </c>
      <c r="HV541" s="22" t="s">
        <v>2013</v>
      </c>
      <c r="IB541" s="11">
        <f t="shared" ref="IB541:II541" si="463">IB171</f>
        <v>0.47300000000000003</v>
      </c>
      <c r="IC541" s="11">
        <f t="shared" si="463"/>
        <v>0.13</v>
      </c>
      <c r="ID541" s="11">
        <f t="shared" si="463"/>
        <v>0.39100000000000001</v>
      </c>
      <c r="IE541" s="11">
        <f t="shared" si="463"/>
        <v>5.5E-2</v>
      </c>
      <c r="IF541" s="11">
        <f t="shared" si="463"/>
        <v>3.97</v>
      </c>
      <c r="IG541" s="11">
        <f t="shared" si="463"/>
        <v>4.5999999999999999E-3</v>
      </c>
      <c r="IH541" s="11">
        <f t="shared" si="463"/>
        <v>2.73</v>
      </c>
      <c r="II541" s="11">
        <f t="shared" si="463"/>
        <v>0</v>
      </c>
    </row>
    <row r="542" spans="4:243" x14ac:dyDescent="0.25">
      <c r="D542" s="20" t="s">
        <v>1151</v>
      </c>
      <c r="E542" s="14">
        <v>41556</v>
      </c>
      <c r="F542" s="18" t="s">
        <v>217</v>
      </c>
      <c r="G542" s="18" t="s">
        <v>217</v>
      </c>
      <c r="H542" s="21" t="s">
        <v>217</v>
      </c>
      <c r="I542" s="21" t="s">
        <v>217</v>
      </c>
      <c r="J542" s="21">
        <v>91</v>
      </c>
      <c r="K542" s="18">
        <v>1</v>
      </c>
      <c r="L542" s="18">
        <v>95</v>
      </c>
      <c r="M542" s="18" t="s">
        <v>217</v>
      </c>
      <c r="N542" s="18" t="s">
        <v>217</v>
      </c>
      <c r="O542" s="18" t="s">
        <v>217</v>
      </c>
      <c r="P542" s="18" t="s">
        <v>217</v>
      </c>
      <c r="Q542" s="19"/>
      <c r="R542" s="18" t="s">
        <v>217</v>
      </c>
      <c r="S542" s="18" t="s">
        <v>217</v>
      </c>
      <c r="T542" s="18" t="s">
        <v>217</v>
      </c>
      <c r="U542" s="18" t="s">
        <v>217</v>
      </c>
      <c r="V542" s="18" t="s">
        <v>217</v>
      </c>
      <c r="W542" s="18" t="s">
        <v>217</v>
      </c>
      <c r="X542" s="18"/>
      <c r="Y542" s="18" t="s">
        <v>217</v>
      </c>
      <c r="Z542" s="18" t="s">
        <v>217</v>
      </c>
      <c r="AA542" s="18" t="s">
        <v>217</v>
      </c>
      <c r="AB542" s="18" t="s">
        <v>217</v>
      </c>
      <c r="AC542" s="18" t="s">
        <v>217</v>
      </c>
      <c r="AD542" s="18" t="s">
        <v>217</v>
      </c>
      <c r="AE542" s="18" t="s">
        <v>217</v>
      </c>
      <c r="AF542" s="18" t="s">
        <v>217</v>
      </c>
      <c r="AG542" s="18" t="s">
        <v>217</v>
      </c>
      <c r="AH542" s="18" t="s">
        <v>217</v>
      </c>
      <c r="AI542" s="18" t="s">
        <v>217</v>
      </c>
      <c r="AJ542" s="18" t="s">
        <v>217</v>
      </c>
      <c r="AK542" s="18" t="s">
        <v>217</v>
      </c>
      <c r="AL542" s="18"/>
      <c r="AM542" s="18" t="s">
        <v>217</v>
      </c>
      <c r="AN542" s="18" t="s">
        <v>217</v>
      </c>
      <c r="AO542" s="18" t="s">
        <v>217</v>
      </c>
      <c r="AP542" s="18" t="s">
        <v>217</v>
      </c>
      <c r="AQ542" s="18" t="s">
        <v>217</v>
      </c>
      <c r="AR542" s="18" t="s">
        <v>217</v>
      </c>
      <c r="AS542" s="18" t="s">
        <v>217</v>
      </c>
      <c r="AT542" s="18" t="s">
        <v>217</v>
      </c>
      <c r="AU542" s="18" t="s">
        <v>217</v>
      </c>
      <c r="AV542" s="18" t="s">
        <v>217</v>
      </c>
      <c r="AW542" s="18" t="s">
        <v>217</v>
      </c>
      <c r="AX542" s="18"/>
      <c r="AY542" s="18">
        <v>1</v>
      </c>
      <c r="AZ542" s="18">
        <v>1</v>
      </c>
      <c r="BA542" s="18">
        <v>1</v>
      </c>
      <c r="BB542" s="18">
        <v>1</v>
      </c>
      <c r="BC542" s="18">
        <v>1</v>
      </c>
      <c r="BD542" s="18">
        <v>1</v>
      </c>
      <c r="BE542" s="18">
        <v>1</v>
      </c>
      <c r="BF542" s="18">
        <v>1</v>
      </c>
      <c r="BG542" s="18">
        <v>1</v>
      </c>
      <c r="BH542" s="18">
        <v>1</v>
      </c>
      <c r="BI542" s="18">
        <v>1</v>
      </c>
      <c r="BJ542" s="19"/>
      <c r="BK542" s="18" t="s">
        <v>217</v>
      </c>
      <c r="BL542" s="18" t="s">
        <v>217</v>
      </c>
      <c r="BM542" s="18" t="s">
        <v>217</v>
      </c>
      <c r="BN542" s="18" t="s">
        <v>217</v>
      </c>
      <c r="BO542" s="18"/>
      <c r="BP542" s="18" t="s">
        <v>217</v>
      </c>
      <c r="BQ542" s="18" t="s">
        <v>217</v>
      </c>
      <c r="BR542" s="18" t="s">
        <v>217</v>
      </c>
      <c r="BS542" s="18" t="s">
        <v>217</v>
      </c>
      <c r="BT542" s="19"/>
      <c r="BU542" s="18" t="s">
        <v>217</v>
      </c>
      <c r="BV542" s="18" t="s">
        <v>217</v>
      </c>
      <c r="BW542" s="18" t="s">
        <v>217</v>
      </c>
      <c r="BX542" s="18" t="s">
        <v>217</v>
      </c>
      <c r="BY542" s="18" t="s">
        <v>217</v>
      </c>
      <c r="BZ542" s="18" t="s">
        <v>217</v>
      </c>
      <c r="CA542" s="18" t="s">
        <v>217</v>
      </c>
      <c r="CB542" s="19"/>
      <c r="CC542" s="19" t="s">
        <v>217</v>
      </c>
      <c r="CD542" s="19" t="s">
        <v>217</v>
      </c>
      <c r="CE542" s="19" t="s">
        <v>217</v>
      </c>
      <c r="CF542" s="19" t="s">
        <v>217</v>
      </c>
      <c r="CG542" s="19" t="s">
        <v>217</v>
      </c>
      <c r="CH542" s="19" t="s">
        <v>217</v>
      </c>
      <c r="CI542" s="19" t="s">
        <v>217</v>
      </c>
      <c r="CJ542" s="19"/>
      <c r="CK542" s="19" t="s">
        <v>217</v>
      </c>
      <c r="CL542" s="19" t="s">
        <v>217</v>
      </c>
      <c r="CM542" s="19" t="s">
        <v>217</v>
      </c>
      <c r="CN542" s="19" t="s">
        <v>217</v>
      </c>
      <c r="CO542" s="19" t="s">
        <v>217</v>
      </c>
      <c r="CP542" s="19" t="s">
        <v>217</v>
      </c>
      <c r="CQ542" s="19" t="s">
        <v>217</v>
      </c>
      <c r="CR542" s="19" t="s">
        <v>217</v>
      </c>
      <c r="HM542" s="620">
        <f t="shared" ref="HM542:HU542" si="464">HM172</f>
        <v>0</v>
      </c>
      <c r="HN542" s="620">
        <f t="shared" si="464"/>
        <v>0</v>
      </c>
      <c r="HO542" s="620">
        <f t="shared" si="464"/>
        <v>0</v>
      </c>
      <c r="HP542" s="620">
        <f t="shared" si="464"/>
        <v>0</v>
      </c>
      <c r="HQ542" s="620">
        <f t="shared" si="464"/>
        <v>0</v>
      </c>
      <c r="HR542" s="620">
        <f t="shared" si="464"/>
        <v>0</v>
      </c>
      <c r="HS542" s="620">
        <f t="shared" si="464"/>
        <v>0</v>
      </c>
      <c r="HT542" s="620">
        <f t="shared" si="464"/>
        <v>0</v>
      </c>
      <c r="HU542" s="620" t="str">
        <f t="shared" si="464"/>
        <v>offfarm</v>
      </c>
      <c r="HV542" s="22" t="s">
        <v>2055</v>
      </c>
      <c r="IB542" s="11">
        <f t="shared" ref="IB542:II542" si="465">IB172</f>
        <v>0.47300000000000003</v>
      </c>
      <c r="IC542" s="11">
        <f t="shared" si="465"/>
        <v>0.13</v>
      </c>
      <c r="ID542" s="11">
        <f t="shared" si="465"/>
        <v>0.39100000000000001</v>
      </c>
      <c r="IE542" s="11">
        <f t="shared" si="465"/>
        <v>5.5E-2</v>
      </c>
      <c r="IF542" s="11">
        <f t="shared" si="465"/>
        <v>3.97</v>
      </c>
      <c r="IG542" s="11">
        <f t="shared" si="465"/>
        <v>4.5999999999999999E-3</v>
      </c>
      <c r="IH542" s="11">
        <f t="shared" si="465"/>
        <v>2.73</v>
      </c>
      <c r="II542" s="11">
        <f t="shared" si="465"/>
        <v>0</v>
      </c>
    </row>
    <row r="543" spans="4:243" x14ac:dyDescent="0.25">
      <c r="D543" s="185" t="s">
        <v>1152</v>
      </c>
      <c r="E543" s="14">
        <v>40310</v>
      </c>
      <c r="F543" s="18">
        <v>1.26829250368181</v>
      </c>
      <c r="G543" s="18">
        <v>1.21558424378854</v>
      </c>
      <c r="H543" s="21">
        <v>100</v>
      </c>
      <c r="I543" s="21">
        <v>100</v>
      </c>
      <c r="J543" s="21">
        <v>100</v>
      </c>
      <c r="K543" s="18">
        <v>1</v>
      </c>
      <c r="L543" s="18">
        <v>80</v>
      </c>
      <c r="M543" s="18">
        <v>8.0808080808080797E-5</v>
      </c>
      <c r="N543" s="18">
        <v>0</v>
      </c>
      <c r="O543" s="18">
        <v>0</v>
      </c>
      <c r="P543" s="18">
        <v>0</v>
      </c>
      <c r="Q543" s="19"/>
      <c r="R543" s="18">
        <v>0</v>
      </c>
      <c r="S543" s="18">
        <v>0</v>
      </c>
      <c r="T543" s="18">
        <v>0</v>
      </c>
      <c r="U543" s="18">
        <v>0</v>
      </c>
      <c r="V543" s="18">
        <v>0</v>
      </c>
      <c r="W543" s="18">
        <v>0</v>
      </c>
      <c r="X543" s="18"/>
      <c r="Y543" s="18">
        <v>0</v>
      </c>
      <c r="Z543" s="18">
        <v>0</v>
      </c>
      <c r="AA543" s="18">
        <v>0</v>
      </c>
      <c r="AB543" s="18">
        <v>0</v>
      </c>
      <c r="AC543" s="18">
        <v>0</v>
      </c>
      <c r="AD543" s="18">
        <v>0</v>
      </c>
      <c r="AE543" s="18">
        <v>0</v>
      </c>
      <c r="AF543" s="18">
        <v>0</v>
      </c>
      <c r="AG543" s="18">
        <v>0</v>
      </c>
      <c r="AH543" s="18">
        <v>0</v>
      </c>
      <c r="AI543" s="18">
        <v>0</v>
      </c>
      <c r="AJ543" s="18">
        <v>0</v>
      </c>
      <c r="AK543" s="18">
        <v>0</v>
      </c>
      <c r="AL543" s="18"/>
      <c r="AM543" s="18">
        <v>0</v>
      </c>
      <c r="AN543" s="18">
        <v>0</v>
      </c>
      <c r="AO543" s="18">
        <v>0</v>
      </c>
      <c r="AP543" s="18">
        <v>0</v>
      </c>
      <c r="AQ543" s="18">
        <v>0</v>
      </c>
      <c r="AR543" s="18">
        <v>0</v>
      </c>
      <c r="AS543" s="18">
        <v>0</v>
      </c>
      <c r="AT543" s="18">
        <v>0</v>
      </c>
      <c r="AU543" s="18">
        <v>0</v>
      </c>
      <c r="AV543" s="18">
        <v>0</v>
      </c>
      <c r="AW543" s="18">
        <v>0</v>
      </c>
      <c r="AX543" s="18"/>
      <c r="AY543" s="18">
        <v>1</v>
      </c>
      <c r="AZ543" s="18">
        <v>1</v>
      </c>
      <c r="BA543" s="18">
        <v>1</v>
      </c>
      <c r="BB543" s="18">
        <v>1</v>
      </c>
      <c r="BC543" s="18">
        <v>1</v>
      </c>
      <c r="BD543" s="18">
        <v>1</v>
      </c>
      <c r="BE543" s="18">
        <v>1</v>
      </c>
      <c r="BF543" s="18">
        <v>1</v>
      </c>
      <c r="BG543" s="18">
        <v>1</v>
      </c>
      <c r="BH543" s="18">
        <v>1</v>
      </c>
      <c r="BI543" s="18">
        <v>1</v>
      </c>
      <c r="BJ543" s="19"/>
      <c r="BK543" s="18">
        <v>1.01010101010101E-4</v>
      </c>
      <c r="BL543" s="18">
        <v>0</v>
      </c>
      <c r="BM543" s="18">
        <v>0</v>
      </c>
      <c r="BN543" s="18">
        <v>0</v>
      </c>
      <c r="BO543" s="18"/>
      <c r="BP543" s="18">
        <v>0</v>
      </c>
      <c r="BQ543" s="18">
        <v>0</v>
      </c>
      <c r="BR543" s="18">
        <v>1.5853656296022625</v>
      </c>
      <c r="BS543" s="18">
        <v>1.5194803047356751</v>
      </c>
      <c r="BT543" s="19"/>
      <c r="BU543" s="18">
        <v>1000</v>
      </c>
      <c r="BV543" s="18">
        <v>999.99908080808132</v>
      </c>
      <c r="BW543" s="18">
        <v>0</v>
      </c>
      <c r="BX543" s="18" t="s">
        <v>217</v>
      </c>
      <c r="BY543" s="18" t="s">
        <v>217</v>
      </c>
      <c r="BZ543" s="18" t="s">
        <v>217</v>
      </c>
      <c r="CA543" s="18" t="s">
        <v>217</v>
      </c>
      <c r="CB543" s="19"/>
      <c r="CC543" s="19">
        <v>0</v>
      </c>
      <c r="CD543" s="19">
        <v>0</v>
      </c>
      <c r="CE543" s="19">
        <v>0</v>
      </c>
      <c r="CF543" s="19">
        <v>0</v>
      </c>
      <c r="CG543" s="19">
        <v>0</v>
      </c>
      <c r="CH543" s="19">
        <v>0</v>
      </c>
      <c r="CI543" s="19">
        <v>0</v>
      </c>
      <c r="CJ543" s="19"/>
      <c r="CK543" s="19">
        <v>0</v>
      </c>
      <c r="CL543" s="19">
        <v>0</v>
      </c>
      <c r="CM543" s="19">
        <v>0</v>
      </c>
      <c r="CN543" s="19">
        <v>0</v>
      </c>
      <c r="CO543" s="19">
        <v>0</v>
      </c>
      <c r="CP543" s="19">
        <v>0</v>
      </c>
      <c r="CQ543" s="19">
        <v>0</v>
      </c>
      <c r="CR543" s="19">
        <v>0</v>
      </c>
      <c r="HM543" s="620">
        <f t="shared" ref="HM543:HU543" si="466">HM173</f>
        <v>0</v>
      </c>
      <c r="HN543" s="620">
        <f t="shared" si="466"/>
        <v>0</v>
      </c>
      <c r="HO543" s="620">
        <f t="shared" si="466"/>
        <v>0</v>
      </c>
      <c r="HP543" s="620">
        <f t="shared" si="466"/>
        <v>0</v>
      </c>
      <c r="HQ543" s="620">
        <f t="shared" si="466"/>
        <v>0</v>
      </c>
      <c r="HR543" s="620">
        <f t="shared" si="466"/>
        <v>0</v>
      </c>
      <c r="HS543" s="620">
        <f t="shared" si="466"/>
        <v>0</v>
      </c>
      <c r="HT543" s="620">
        <f t="shared" si="466"/>
        <v>0</v>
      </c>
      <c r="HU543" s="620" t="str">
        <f t="shared" si="466"/>
        <v>offfarm</v>
      </c>
      <c r="HV543" s="22" t="s">
        <v>2056</v>
      </c>
      <c r="IB543" s="11">
        <f t="shared" ref="IB543:II543" si="467">IB173</f>
        <v>0.47300000000000003</v>
      </c>
      <c r="IC543" s="11">
        <f t="shared" si="467"/>
        <v>0.13</v>
      </c>
      <c r="ID543" s="11">
        <f t="shared" si="467"/>
        <v>0.39100000000000001</v>
      </c>
      <c r="IE543" s="11">
        <f t="shared" si="467"/>
        <v>5.5E-2</v>
      </c>
      <c r="IF543" s="11">
        <f t="shared" si="467"/>
        <v>3.97</v>
      </c>
      <c r="IG543" s="11">
        <f t="shared" si="467"/>
        <v>4.5999999999999999E-3</v>
      </c>
      <c r="IH543" s="11">
        <f t="shared" si="467"/>
        <v>2.73</v>
      </c>
      <c r="II543" s="11">
        <f t="shared" si="467"/>
        <v>0</v>
      </c>
    </row>
    <row r="544" spans="4:243" x14ac:dyDescent="0.25">
      <c r="D544" s="185" t="s">
        <v>540</v>
      </c>
      <c r="E544" s="14">
        <v>40310</v>
      </c>
      <c r="F544" s="18">
        <v>-0.108130081300813</v>
      </c>
      <c r="G544" s="18">
        <v>-0.103636363636364</v>
      </c>
      <c r="H544" s="21">
        <v>70</v>
      </c>
      <c r="I544" s="21">
        <v>70</v>
      </c>
      <c r="J544" s="21">
        <v>0</v>
      </c>
      <c r="K544" s="18">
        <v>1</v>
      </c>
      <c r="L544" s="18">
        <v>95</v>
      </c>
      <c r="M544" s="18">
        <v>0</v>
      </c>
      <c r="N544" s="18">
        <v>0</v>
      </c>
      <c r="O544" s="18">
        <v>95</v>
      </c>
      <c r="P544" s="18">
        <v>0</v>
      </c>
      <c r="Q544" s="19"/>
      <c r="R544" s="18">
        <v>0</v>
      </c>
      <c r="S544" s="18">
        <v>0</v>
      </c>
      <c r="T544" s="18">
        <v>0</v>
      </c>
      <c r="U544" s="18">
        <v>0</v>
      </c>
      <c r="V544" s="18">
        <v>0</v>
      </c>
      <c r="W544" s="18">
        <v>0</v>
      </c>
      <c r="X544" s="18"/>
      <c r="Y544" s="18">
        <v>0</v>
      </c>
      <c r="Z544" s="18">
        <v>0</v>
      </c>
      <c r="AA544" s="18">
        <v>284.21053000000001</v>
      </c>
      <c r="AB544" s="18">
        <v>0</v>
      </c>
      <c r="AC544" s="18">
        <v>0</v>
      </c>
      <c r="AD544" s="18">
        <v>0</v>
      </c>
      <c r="AE544" s="18">
        <v>0</v>
      </c>
      <c r="AF544" s="18">
        <v>0</v>
      </c>
      <c r="AG544" s="18">
        <v>0</v>
      </c>
      <c r="AH544" s="18">
        <v>0</v>
      </c>
      <c r="AI544" s="18">
        <v>0</v>
      </c>
      <c r="AJ544" s="18">
        <v>0</v>
      </c>
      <c r="AK544" s="18">
        <v>0</v>
      </c>
      <c r="AL544" s="18"/>
      <c r="AM544" s="18">
        <v>0</v>
      </c>
      <c r="AN544" s="18">
        <v>0</v>
      </c>
      <c r="AO544" s="18">
        <v>0</v>
      </c>
      <c r="AP544" s="18">
        <v>0</v>
      </c>
      <c r="AQ544" s="18">
        <v>0</v>
      </c>
      <c r="AR544" s="18">
        <v>0</v>
      </c>
      <c r="AS544" s="18">
        <v>0</v>
      </c>
      <c r="AT544" s="18">
        <v>0</v>
      </c>
      <c r="AU544" s="18">
        <v>0</v>
      </c>
      <c r="AV544" s="18">
        <v>0</v>
      </c>
      <c r="AW544" s="18">
        <v>0</v>
      </c>
      <c r="AX544" s="18"/>
      <c r="AY544" s="18">
        <v>1</v>
      </c>
      <c r="AZ544" s="18">
        <v>1</v>
      </c>
      <c r="BA544" s="18">
        <v>1</v>
      </c>
      <c r="BB544" s="18">
        <v>1</v>
      </c>
      <c r="BC544" s="18">
        <v>1</v>
      </c>
      <c r="BD544" s="18">
        <v>1</v>
      </c>
      <c r="BE544" s="18">
        <v>1</v>
      </c>
      <c r="BF544" s="18">
        <v>1</v>
      </c>
      <c r="BG544" s="18">
        <v>1</v>
      </c>
      <c r="BH544" s="18">
        <v>1</v>
      </c>
      <c r="BI544" s="18">
        <v>1</v>
      </c>
      <c r="BJ544" s="19"/>
      <c r="BK544" s="18">
        <v>0</v>
      </c>
      <c r="BL544" s="18">
        <v>0</v>
      </c>
      <c r="BM544" s="18">
        <v>100</v>
      </c>
      <c r="BN544" s="18">
        <v>0</v>
      </c>
      <c r="BO544" s="18"/>
      <c r="BP544" s="18">
        <v>0</v>
      </c>
      <c r="BQ544" s="18">
        <v>0</v>
      </c>
      <c r="BR544" s="18">
        <v>-0.11382113821138211</v>
      </c>
      <c r="BS544" s="18">
        <v>-0.10909090909090947</v>
      </c>
      <c r="BT544" s="19"/>
      <c r="BU544" s="18">
        <v>0</v>
      </c>
      <c r="BV544" s="18">
        <v>0</v>
      </c>
      <c r="BW544" s="18">
        <v>0</v>
      </c>
      <c r="BX544" s="18" t="s">
        <v>217</v>
      </c>
      <c r="BY544" s="18" t="s">
        <v>217</v>
      </c>
      <c r="BZ544" s="18" t="s">
        <v>217</v>
      </c>
      <c r="CA544" s="18" t="s">
        <v>217</v>
      </c>
      <c r="CB544" s="19"/>
      <c r="CC544" s="19">
        <v>0</v>
      </c>
      <c r="CD544" s="19">
        <v>0</v>
      </c>
      <c r="CE544" s="19">
        <v>270.00000349999999</v>
      </c>
      <c r="CF544" s="19">
        <v>0</v>
      </c>
      <c r="CG544" s="19">
        <v>0</v>
      </c>
      <c r="CH544" s="19">
        <v>0</v>
      </c>
      <c r="CI544" s="19">
        <v>0</v>
      </c>
      <c r="CJ544" s="19"/>
      <c r="CK544" s="19">
        <v>0</v>
      </c>
      <c r="CL544" s="19">
        <v>0</v>
      </c>
      <c r="CM544" s="19">
        <v>0</v>
      </c>
      <c r="CN544" s="19">
        <v>0</v>
      </c>
      <c r="CO544" s="19">
        <v>0</v>
      </c>
      <c r="CP544" s="19">
        <v>0</v>
      </c>
      <c r="CQ544" s="19">
        <v>0</v>
      </c>
      <c r="CR544" s="19">
        <v>0</v>
      </c>
      <c r="HM544" s="620">
        <f t="shared" ref="HM544:HU544" si="468">HM174</f>
        <v>0</v>
      </c>
      <c r="HN544" s="620">
        <f t="shared" si="468"/>
        <v>0</v>
      </c>
      <c r="HO544" s="620">
        <f t="shared" si="468"/>
        <v>0</v>
      </c>
      <c r="HP544" s="620">
        <f t="shared" si="468"/>
        <v>0</v>
      </c>
      <c r="HQ544" s="620">
        <f t="shared" si="468"/>
        <v>0</v>
      </c>
      <c r="HR544" s="620">
        <f t="shared" si="468"/>
        <v>0</v>
      </c>
      <c r="HS544" s="620">
        <f t="shared" si="468"/>
        <v>0</v>
      </c>
      <c r="HT544" s="620">
        <f t="shared" si="468"/>
        <v>0</v>
      </c>
      <c r="HU544" s="620" t="str">
        <f t="shared" si="468"/>
        <v>offfarm</v>
      </c>
      <c r="HV544" s="22" t="s">
        <v>2013</v>
      </c>
      <c r="IB544" s="11">
        <f t="shared" ref="IB544:II544" si="469">IB174</f>
        <v>0.47300000000000003</v>
      </c>
      <c r="IC544" s="11">
        <f t="shared" si="469"/>
        <v>0.13</v>
      </c>
      <c r="ID544" s="11">
        <f t="shared" si="469"/>
        <v>0.39100000000000001</v>
      </c>
      <c r="IE544" s="11">
        <f t="shared" si="469"/>
        <v>5.5E-2</v>
      </c>
      <c r="IF544" s="11">
        <f t="shared" si="469"/>
        <v>3.97</v>
      </c>
      <c r="IG544" s="11">
        <f t="shared" si="469"/>
        <v>4.5999999999999999E-3</v>
      </c>
      <c r="IH544" s="11">
        <f t="shared" si="469"/>
        <v>2.73</v>
      </c>
      <c r="II544" s="11">
        <f t="shared" si="469"/>
        <v>0</v>
      </c>
    </row>
    <row r="545" spans="4:244" x14ac:dyDescent="0.25">
      <c r="D545" s="185" t="s">
        <v>542</v>
      </c>
      <c r="E545" s="14">
        <v>40310</v>
      </c>
      <c r="F545" s="18">
        <v>-0.112682926829268</v>
      </c>
      <c r="G545" s="18">
        <v>-0.108</v>
      </c>
      <c r="H545" s="21">
        <v>70</v>
      </c>
      <c r="I545" s="21">
        <v>70</v>
      </c>
      <c r="J545" s="21">
        <v>0</v>
      </c>
      <c r="K545" s="18">
        <v>1</v>
      </c>
      <c r="L545" s="18">
        <v>99</v>
      </c>
      <c r="M545" s="18">
        <v>0</v>
      </c>
      <c r="N545" s="18">
        <v>0</v>
      </c>
      <c r="O545" s="18">
        <v>99</v>
      </c>
      <c r="P545" s="18">
        <v>0</v>
      </c>
      <c r="Q545" s="19"/>
      <c r="R545" s="18">
        <v>0</v>
      </c>
      <c r="S545" s="18">
        <v>0</v>
      </c>
      <c r="T545" s="18">
        <v>0</v>
      </c>
      <c r="U545" s="18">
        <v>0</v>
      </c>
      <c r="V545" s="18">
        <v>0</v>
      </c>
      <c r="W545" s="18">
        <v>0</v>
      </c>
      <c r="X545" s="18"/>
      <c r="Y545" s="18">
        <v>0</v>
      </c>
      <c r="Z545" s="18">
        <v>0</v>
      </c>
      <c r="AA545" s="18">
        <v>383.83838000000105</v>
      </c>
      <c r="AB545" s="18">
        <v>626.26262999999994</v>
      </c>
      <c r="AC545" s="18">
        <v>0</v>
      </c>
      <c r="AD545" s="18">
        <v>0</v>
      </c>
      <c r="AE545" s="18">
        <v>0</v>
      </c>
      <c r="AF545" s="18">
        <v>0</v>
      </c>
      <c r="AG545" s="18">
        <v>0</v>
      </c>
      <c r="AH545" s="18">
        <v>0</v>
      </c>
      <c r="AI545" s="18">
        <v>0</v>
      </c>
      <c r="AJ545" s="18">
        <v>0</v>
      </c>
      <c r="AK545" s="18">
        <v>0</v>
      </c>
      <c r="AL545" s="18"/>
      <c r="AM545" s="18">
        <v>0</v>
      </c>
      <c r="AN545" s="18">
        <v>0</v>
      </c>
      <c r="AO545" s="18">
        <v>0</v>
      </c>
      <c r="AP545" s="18">
        <v>0</v>
      </c>
      <c r="AQ545" s="18">
        <v>0</v>
      </c>
      <c r="AR545" s="18">
        <v>0</v>
      </c>
      <c r="AS545" s="18">
        <v>0</v>
      </c>
      <c r="AT545" s="18">
        <v>0</v>
      </c>
      <c r="AU545" s="18">
        <v>0</v>
      </c>
      <c r="AV545" s="18">
        <v>0</v>
      </c>
      <c r="AW545" s="18">
        <v>0</v>
      </c>
      <c r="AX545" s="18"/>
      <c r="AY545" s="18">
        <v>1</v>
      </c>
      <c r="AZ545" s="18">
        <v>1</v>
      </c>
      <c r="BA545" s="18">
        <v>1</v>
      </c>
      <c r="BB545" s="18">
        <v>1</v>
      </c>
      <c r="BC545" s="18">
        <v>1</v>
      </c>
      <c r="BD545" s="18">
        <v>1</v>
      </c>
      <c r="BE545" s="18">
        <v>1</v>
      </c>
      <c r="BF545" s="18">
        <v>1</v>
      </c>
      <c r="BG545" s="18">
        <v>1</v>
      </c>
      <c r="BH545" s="18">
        <v>1</v>
      </c>
      <c r="BI545" s="18">
        <v>1</v>
      </c>
      <c r="BJ545" s="19"/>
      <c r="BK545" s="18">
        <v>0</v>
      </c>
      <c r="BL545" s="18">
        <v>0</v>
      </c>
      <c r="BM545" s="18">
        <v>100</v>
      </c>
      <c r="BN545" s="18">
        <v>0</v>
      </c>
      <c r="BO545" s="18"/>
      <c r="BP545" s="18">
        <v>0</v>
      </c>
      <c r="BQ545" s="18">
        <v>0</v>
      </c>
      <c r="BR545" s="18">
        <v>-0.11382113821138182</v>
      </c>
      <c r="BS545" s="18">
        <v>-0.10909090909090909</v>
      </c>
      <c r="BT545" s="19"/>
      <c r="BU545" s="18">
        <v>0</v>
      </c>
      <c r="BV545" s="18">
        <v>0</v>
      </c>
      <c r="BW545" s="18">
        <v>0</v>
      </c>
      <c r="BX545" s="18" t="s">
        <v>217</v>
      </c>
      <c r="BY545" s="18" t="s">
        <v>217</v>
      </c>
      <c r="BZ545" s="18" t="s">
        <v>217</v>
      </c>
      <c r="CA545" s="18" t="s">
        <v>217</v>
      </c>
      <c r="CB545" s="19"/>
      <c r="CC545" s="19">
        <v>0</v>
      </c>
      <c r="CD545" s="19">
        <v>0</v>
      </c>
      <c r="CE545" s="19">
        <v>379.99999620000102</v>
      </c>
      <c r="CF545" s="19">
        <v>620.00000369999998</v>
      </c>
      <c r="CG545" s="19">
        <v>0</v>
      </c>
      <c r="CH545" s="19">
        <v>0</v>
      </c>
      <c r="CI545" s="19">
        <v>0</v>
      </c>
      <c r="CJ545" s="19"/>
      <c r="CK545" s="19">
        <v>0</v>
      </c>
      <c r="CL545" s="19">
        <v>0</v>
      </c>
      <c r="CM545" s="19">
        <v>0</v>
      </c>
      <c r="CN545" s="19">
        <v>0</v>
      </c>
      <c r="CO545" s="19">
        <v>0</v>
      </c>
      <c r="CP545" s="19">
        <v>0</v>
      </c>
      <c r="CQ545" s="19">
        <v>0</v>
      </c>
      <c r="CR545" s="19">
        <v>0</v>
      </c>
      <c r="HM545" s="620">
        <f t="shared" ref="HM545:HU545" si="470">HM175</f>
        <v>0</v>
      </c>
      <c r="HN545" s="620">
        <f t="shared" si="470"/>
        <v>0</v>
      </c>
      <c r="HO545" s="620">
        <f t="shared" si="470"/>
        <v>0</v>
      </c>
      <c r="HP545" s="620">
        <f t="shared" si="470"/>
        <v>0</v>
      </c>
      <c r="HQ545" s="620">
        <f t="shared" si="470"/>
        <v>0</v>
      </c>
      <c r="HR545" s="620">
        <f t="shared" si="470"/>
        <v>0</v>
      </c>
      <c r="HS545" s="620">
        <f t="shared" si="470"/>
        <v>0</v>
      </c>
      <c r="HT545" s="620">
        <f t="shared" si="470"/>
        <v>0</v>
      </c>
      <c r="HU545" s="620" t="str">
        <f t="shared" si="470"/>
        <v>offfarm</v>
      </c>
      <c r="HV545" s="22" t="s">
        <v>2013</v>
      </c>
      <c r="IB545" s="11">
        <f t="shared" ref="IB545:II545" si="471">IB175</f>
        <v>0.47300000000000003</v>
      </c>
      <c r="IC545" s="11">
        <f t="shared" si="471"/>
        <v>0.13</v>
      </c>
      <c r="ID545" s="11">
        <f t="shared" si="471"/>
        <v>0.39100000000000001</v>
      </c>
      <c r="IE545" s="11">
        <f t="shared" si="471"/>
        <v>5.5E-2</v>
      </c>
      <c r="IF545" s="11">
        <f t="shared" si="471"/>
        <v>3.97</v>
      </c>
      <c r="IG545" s="11">
        <f t="shared" si="471"/>
        <v>4.5999999999999999E-3</v>
      </c>
      <c r="IH545" s="11">
        <f t="shared" si="471"/>
        <v>2.73</v>
      </c>
      <c r="II545" s="11">
        <f t="shared" si="471"/>
        <v>0</v>
      </c>
    </row>
    <row r="546" spans="4:244" x14ac:dyDescent="0.25">
      <c r="D546" s="185" t="s">
        <v>1153</v>
      </c>
      <c r="E546" s="14">
        <v>40310</v>
      </c>
      <c r="F546" s="18">
        <v>-0.112682926829268</v>
      </c>
      <c r="G546" s="18">
        <v>-0.108</v>
      </c>
      <c r="H546" s="21">
        <v>70</v>
      </c>
      <c r="I546" s="21">
        <v>70</v>
      </c>
      <c r="J546" s="21">
        <v>0</v>
      </c>
      <c r="K546" s="18">
        <v>1</v>
      </c>
      <c r="L546" s="18">
        <v>99</v>
      </c>
      <c r="M546" s="18">
        <v>0</v>
      </c>
      <c r="N546" s="18">
        <v>0</v>
      </c>
      <c r="O546" s="18">
        <v>99</v>
      </c>
      <c r="P546" s="18">
        <v>0</v>
      </c>
      <c r="Q546" s="19"/>
      <c r="R546" s="18">
        <v>0</v>
      </c>
      <c r="S546" s="18">
        <v>0</v>
      </c>
      <c r="T546" s="18">
        <v>0</v>
      </c>
      <c r="U546" s="18">
        <v>0</v>
      </c>
      <c r="V546" s="18">
        <v>0</v>
      </c>
      <c r="W546" s="18">
        <v>0</v>
      </c>
      <c r="X546" s="18"/>
      <c r="Y546" s="18">
        <v>0</v>
      </c>
      <c r="Z546" s="18">
        <v>0</v>
      </c>
      <c r="AA546" s="18">
        <v>2.6868686868686869</v>
      </c>
      <c r="AB546" s="18">
        <v>0</v>
      </c>
      <c r="AC546" s="18">
        <v>0</v>
      </c>
      <c r="AD546" s="18">
        <v>0</v>
      </c>
      <c r="AE546" s="18">
        <v>0</v>
      </c>
      <c r="AF546" s="18">
        <v>0</v>
      </c>
      <c r="AG546" s="18">
        <v>0</v>
      </c>
      <c r="AH546" s="18">
        <v>0</v>
      </c>
      <c r="AI546" s="18">
        <v>0</v>
      </c>
      <c r="AJ546" s="18">
        <v>0</v>
      </c>
      <c r="AK546" s="18">
        <v>4646.4646464646466</v>
      </c>
      <c r="AL546" s="18"/>
      <c r="AM546" s="18">
        <v>0</v>
      </c>
      <c r="AN546" s="18">
        <v>0</v>
      </c>
      <c r="AO546" s="18">
        <v>0</v>
      </c>
      <c r="AP546" s="18">
        <v>0</v>
      </c>
      <c r="AQ546" s="18">
        <v>0</v>
      </c>
      <c r="AR546" s="18">
        <v>0</v>
      </c>
      <c r="AS546" s="18">
        <v>0</v>
      </c>
      <c r="AT546" s="18">
        <v>0</v>
      </c>
      <c r="AU546" s="18">
        <v>0</v>
      </c>
      <c r="AV546" s="18">
        <v>0</v>
      </c>
      <c r="AW546" s="18">
        <v>0</v>
      </c>
      <c r="AX546" s="18"/>
      <c r="AY546" s="18">
        <v>1</v>
      </c>
      <c r="AZ546" s="18">
        <v>1</v>
      </c>
      <c r="BA546" s="18">
        <v>1</v>
      </c>
      <c r="BB546" s="18">
        <v>1</v>
      </c>
      <c r="BC546" s="18">
        <v>1</v>
      </c>
      <c r="BD546" s="18">
        <v>1</v>
      </c>
      <c r="BE546" s="18">
        <v>1</v>
      </c>
      <c r="BF546" s="18">
        <v>1</v>
      </c>
      <c r="BG546" s="18">
        <v>1</v>
      </c>
      <c r="BH546" s="18">
        <v>1</v>
      </c>
      <c r="BI546" s="18">
        <v>1</v>
      </c>
      <c r="BJ546" s="19"/>
      <c r="BK546" s="18">
        <v>0</v>
      </c>
      <c r="BL546" s="18">
        <v>0</v>
      </c>
      <c r="BM546" s="18">
        <v>100</v>
      </c>
      <c r="BN546" s="18">
        <v>0</v>
      </c>
      <c r="BO546" s="18"/>
      <c r="BP546" s="18">
        <v>0</v>
      </c>
      <c r="BQ546" s="18">
        <v>0</v>
      </c>
      <c r="BR546" s="18">
        <v>-0.11382113821138182</v>
      </c>
      <c r="BS546" s="18">
        <v>-0.10909090909090909</v>
      </c>
      <c r="BT546" s="19"/>
      <c r="BU546" s="18">
        <v>0</v>
      </c>
      <c r="BV546" s="18">
        <v>0</v>
      </c>
      <c r="BW546" s="18">
        <v>0</v>
      </c>
      <c r="BX546" s="18" t="s">
        <v>217</v>
      </c>
      <c r="BY546" s="18" t="s">
        <v>217</v>
      </c>
      <c r="BZ546" s="18" t="s">
        <v>217</v>
      </c>
      <c r="CA546" s="18" t="s">
        <v>217</v>
      </c>
      <c r="CB546" s="19"/>
      <c r="CC546" s="19">
        <v>0</v>
      </c>
      <c r="CD546" s="19">
        <v>0</v>
      </c>
      <c r="CE546" s="19">
        <v>2.66</v>
      </c>
      <c r="CF546" s="19">
        <v>0</v>
      </c>
      <c r="CG546" s="19">
        <v>0</v>
      </c>
      <c r="CH546" s="19">
        <v>0</v>
      </c>
      <c r="CI546" s="19">
        <v>0</v>
      </c>
      <c r="CJ546" s="19"/>
      <c r="CK546" s="19">
        <v>0</v>
      </c>
      <c r="CL546" s="19">
        <v>0</v>
      </c>
      <c r="CM546" s="19">
        <v>0</v>
      </c>
      <c r="CN546" s="19">
        <v>0</v>
      </c>
      <c r="CO546" s="19">
        <v>0</v>
      </c>
      <c r="CP546" s="19">
        <v>4600</v>
      </c>
      <c r="CQ546" s="19">
        <v>0</v>
      </c>
      <c r="CR546" s="19">
        <v>0</v>
      </c>
      <c r="HM546" s="620">
        <f t="shared" ref="HM546:HU546" si="472">HM176</f>
        <v>0</v>
      </c>
      <c r="HN546" s="620">
        <f t="shared" si="472"/>
        <v>0</v>
      </c>
      <c r="HO546" s="620">
        <f t="shared" si="472"/>
        <v>0</v>
      </c>
      <c r="HP546" s="620">
        <f t="shared" si="472"/>
        <v>0</v>
      </c>
      <c r="HQ546" s="620">
        <f t="shared" si="472"/>
        <v>0</v>
      </c>
      <c r="HR546" s="620">
        <f t="shared" si="472"/>
        <v>0</v>
      </c>
      <c r="HS546" s="620">
        <f t="shared" si="472"/>
        <v>0</v>
      </c>
      <c r="HT546" s="620">
        <f t="shared" si="472"/>
        <v>0</v>
      </c>
      <c r="HU546" s="620" t="str">
        <f t="shared" si="472"/>
        <v>offfarm</v>
      </c>
      <c r="HV546" s="22" t="s">
        <v>2013</v>
      </c>
      <c r="IB546" s="11">
        <f t="shared" ref="IB546:II546" si="473">IB176</f>
        <v>0.47300000000000003</v>
      </c>
      <c r="IC546" s="11">
        <f t="shared" si="473"/>
        <v>0.13</v>
      </c>
      <c r="ID546" s="11">
        <f t="shared" si="473"/>
        <v>0.39100000000000001</v>
      </c>
      <c r="IE546" s="11">
        <f t="shared" si="473"/>
        <v>5.5E-2</v>
      </c>
      <c r="IF546" s="11">
        <f t="shared" si="473"/>
        <v>3.97</v>
      </c>
      <c r="IG546" s="11">
        <f t="shared" si="473"/>
        <v>4.5999999999999999E-3</v>
      </c>
      <c r="IH546" s="11">
        <f t="shared" si="473"/>
        <v>2.73</v>
      </c>
      <c r="II546" s="11">
        <f t="shared" si="473"/>
        <v>0</v>
      </c>
    </row>
    <row r="547" spans="4:244" x14ac:dyDescent="0.25">
      <c r="D547" s="185" t="s">
        <v>1154</v>
      </c>
      <c r="E547" s="14">
        <v>40310</v>
      </c>
      <c r="F547" s="18">
        <v>1.45860433604336</v>
      </c>
      <c r="G547" s="18">
        <v>1.39798701298702</v>
      </c>
      <c r="H547" s="21">
        <v>100</v>
      </c>
      <c r="I547" s="21">
        <v>100</v>
      </c>
      <c r="J547" s="21">
        <v>100</v>
      </c>
      <c r="K547" s="18">
        <v>1</v>
      </c>
      <c r="L547" s="18">
        <v>99</v>
      </c>
      <c r="M547" s="18">
        <v>50</v>
      </c>
      <c r="N547" s="18">
        <v>0</v>
      </c>
      <c r="O547" s="18">
        <v>0</v>
      </c>
      <c r="P547" s="18">
        <v>0</v>
      </c>
      <c r="Q547" s="19"/>
      <c r="R547" s="18">
        <v>0</v>
      </c>
      <c r="S547" s="18">
        <v>0</v>
      </c>
      <c r="T547" s="18">
        <v>0</v>
      </c>
      <c r="U547" s="18">
        <v>0</v>
      </c>
      <c r="V547" s="18">
        <v>0</v>
      </c>
      <c r="W547" s="18">
        <v>0</v>
      </c>
      <c r="X547" s="18"/>
      <c r="Y547" s="18">
        <v>0</v>
      </c>
      <c r="Z547" s="18">
        <v>0</v>
      </c>
      <c r="AA547" s="18">
        <v>0</v>
      </c>
      <c r="AB547" s="18">
        <v>0</v>
      </c>
      <c r="AC547" s="18">
        <v>0</v>
      </c>
      <c r="AD547" s="18">
        <v>0</v>
      </c>
      <c r="AE547" s="18">
        <v>0</v>
      </c>
      <c r="AF547" s="18">
        <v>0</v>
      </c>
      <c r="AG547" s="18">
        <v>0</v>
      </c>
      <c r="AH547" s="18">
        <v>0</v>
      </c>
      <c r="AI547" s="18">
        <v>0</v>
      </c>
      <c r="AJ547" s="18">
        <v>0</v>
      </c>
      <c r="AK547" s="18">
        <v>0</v>
      </c>
      <c r="AL547" s="18"/>
      <c r="AM547" s="18">
        <v>0</v>
      </c>
      <c r="AN547" s="18">
        <v>0</v>
      </c>
      <c r="AO547" s="18">
        <v>0</v>
      </c>
      <c r="AP547" s="18">
        <v>0</v>
      </c>
      <c r="AQ547" s="18">
        <v>0</v>
      </c>
      <c r="AR547" s="18">
        <v>0</v>
      </c>
      <c r="AS547" s="18">
        <v>0</v>
      </c>
      <c r="AT547" s="18">
        <v>0</v>
      </c>
      <c r="AU547" s="18">
        <v>0</v>
      </c>
      <c r="AV547" s="18">
        <v>0</v>
      </c>
      <c r="AW547" s="18">
        <v>0</v>
      </c>
      <c r="AX547" s="18"/>
      <c r="AY547" s="18">
        <v>1</v>
      </c>
      <c r="AZ547" s="18">
        <v>1</v>
      </c>
      <c r="BA547" s="18">
        <v>1</v>
      </c>
      <c r="BB547" s="18">
        <v>1</v>
      </c>
      <c r="BC547" s="18">
        <v>1</v>
      </c>
      <c r="BD547" s="18">
        <v>1</v>
      </c>
      <c r="BE547" s="18">
        <v>1</v>
      </c>
      <c r="BF547" s="18">
        <v>1</v>
      </c>
      <c r="BG547" s="18">
        <v>1</v>
      </c>
      <c r="BH547" s="18">
        <v>1</v>
      </c>
      <c r="BI547" s="18">
        <v>1</v>
      </c>
      <c r="BJ547" s="19"/>
      <c r="BK547" s="18">
        <v>50.505050505050505</v>
      </c>
      <c r="BL547" s="18">
        <v>0</v>
      </c>
      <c r="BM547" s="18">
        <v>0</v>
      </c>
      <c r="BN547" s="18">
        <v>0</v>
      </c>
      <c r="BO547" s="18"/>
      <c r="BP547" s="18">
        <v>0</v>
      </c>
      <c r="BQ547" s="18">
        <v>0</v>
      </c>
      <c r="BR547" s="18">
        <v>1.4733377131751111</v>
      </c>
      <c r="BS547" s="18">
        <v>1.4121080939262829</v>
      </c>
      <c r="BT547" s="19"/>
      <c r="BU547" s="18">
        <v>1000</v>
      </c>
      <c r="BV547" s="18">
        <v>540.40404040404042</v>
      </c>
      <c r="BW547" s="18">
        <v>0</v>
      </c>
      <c r="BX547" s="18" t="s">
        <v>217</v>
      </c>
      <c r="BY547" s="18" t="s">
        <v>217</v>
      </c>
      <c r="BZ547" s="18" t="s">
        <v>217</v>
      </c>
      <c r="CA547" s="18" t="s">
        <v>217</v>
      </c>
      <c r="CB547" s="19"/>
      <c r="CC547" s="19">
        <v>0</v>
      </c>
      <c r="CD547" s="19">
        <v>0</v>
      </c>
      <c r="CE547" s="19">
        <v>0</v>
      </c>
      <c r="CF547" s="19">
        <v>0</v>
      </c>
      <c r="CG547" s="19">
        <v>0</v>
      </c>
      <c r="CH547" s="19">
        <v>0</v>
      </c>
      <c r="CI547" s="19">
        <v>0</v>
      </c>
      <c r="CJ547" s="19"/>
      <c r="CK547" s="19">
        <v>0</v>
      </c>
      <c r="CL547" s="19">
        <v>0</v>
      </c>
      <c r="CM547" s="19">
        <v>0</v>
      </c>
      <c r="CN547" s="19">
        <v>0</v>
      </c>
      <c r="CO547" s="19">
        <v>0</v>
      </c>
      <c r="CP547" s="19">
        <v>0</v>
      </c>
      <c r="CQ547" s="19">
        <v>0</v>
      </c>
      <c r="CR547" s="19">
        <v>0</v>
      </c>
      <c r="HM547" s="620">
        <f t="shared" ref="HM547:HU547" si="474">HM177</f>
        <v>0</v>
      </c>
      <c r="HN547" s="620">
        <f t="shared" si="474"/>
        <v>0</v>
      </c>
      <c r="HO547" s="620">
        <f t="shared" si="474"/>
        <v>0</v>
      </c>
      <c r="HP547" s="620">
        <f t="shared" si="474"/>
        <v>0</v>
      </c>
      <c r="HQ547" s="620">
        <f t="shared" si="474"/>
        <v>0</v>
      </c>
      <c r="HR547" s="620">
        <f t="shared" si="474"/>
        <v>0</v>
      </c>
      <c r="HS547" s="620">
        <f t="shared" si="474"/>
        <v>0</v>
      </c>
      <c r="HT547" s="620">
        <f t="shared" si="474"/>
        <v>0</v>
      </c>
      <c r="HU547" s="620" t="str">
        <f t="shared" si="474"/>
        <v>offfarm</v>
      </c>
      <c r="HV547" s="22" t="s">
        <v>2013</v>
      </c>
      <c r="IB547" s="11">
        <f t="shared" ref="IB547:II547" si="475">IB177</f>
        <v>0.47300000000000003</v>
      </c>
      <c r="IC547" s="11">
        <f t="shared" si="475"/>
        <v>0.13</v>
      </c>
      <c r="ID547" s="11">
        <f t="shared" si="475"/>
        <v>0.39100000000000001</v>
      </c>
      <c r="IE547" s="11">
        <f t="shared" si="475"/>
        <v>5.5E-2</v>
      </c>
      <c r="IF547" s="11">
        <f t="shared" si="475"/>
        <v>3.97</v>
      </c>
      <c r="IG547" s="11">
        <f t="shared" si="475"/>
        <v>4.5999999999999999E-3</v>
      </c>
      <c r="IH547" s="11">
        <f t="shared" si="475"/>
        <v>2.73</v>
      </c>
      <c r="II547" s="11">
        <f t="shared" si="475"/>
        <v>0</v>
      </c>
    </row>
    <row r="548" spans="4:244" x14ac:dyDescent="0.25">
      <c r="D548" s="185" t="s">
        <v>1155</v>
      </c>
      <c r="E548" s="14">
        <v>40310</v>
      </c>
      <c r="F548" s="18">
        <v>1.45860433604336</v>
      </c>
      <c r="G548" s="18">
        <v>1.39798701298702</v>
      </c>
      <c r="H548" s="21">
        <v>100</v>
      </c>
      <c r="I548" s="21">
        <v>100</v>
      </c>
      <c r="J548" s="21">
        <v>100</v>
      </c>
      <c r="K548" s="18">
        <v>1</v>
      </c>
      <c r="L548" s="18">
        <v>99</v>
      </c>
      <c r="M548" s="18">
        <v>50</v>
      </c>
      <c r="N548" s="18">
        <v>0</v>
      </c>
      <c r="O548" s="18">
        <v>0</v>
      </c>
      <c r="P548" s="18">
        <v>0</v>
      </c>
      <c r="Q548" s="19"/>
      <c r="R548" s="18">
        <v>0</v>
      </c>
      <c r="S548" s="18">
        <v>0</v>
      </c>
      <c r="T548" s="18">
        <v>0</v>
      </c>
      <c r="U548" s="18">
        <v>0</v>
      </c>
      <c r="V548" s="18">
        <v>0</v>
      </c>
      <c r="W548" s="18">
        <v>0</v>
      </c>
      <c r="X548" s="18"/>
      <c r="Y548" s="18">
        <v>0</v>
      </c>
      <c r="Z548" s="18">
        <v>0</v>
      </c>
      <c r="AA548" s="18">
        <v>0</v>
      </c>
      <c r="AB548" s="18">
        <v>0</v>
      </c>
      <c r="AC548" s="18">
        <v>0</v>
      </c>
      <c r="AD548" s="18">
        <v>0</v>
      </c>
      <c r="AE548" s="18">
        <v>0</v>
      </c>
      <c r="AF548" s="18">
        <v>0</v>
      </c>
      <c r="AG548" s="18">
        <v>0</v>
      </c>
      <c r="AH548" s="18">
        <v>0</v>
      </c>
      <c r="AI548" s="18">
        <v>0</v>
      </c>
      <c r="AJ548" s="18">
        <v>0</v>
      </c>
      <c r="AK548" s="18">
        <v>0</v>
      </c>
      <c r="AL548" s="18"/>
      <c r="AM548" s="18">
        <v>0</v>
      </c>
      <c r="AN548" s="18">
        <v>0</v>
      </c>
      <c r="AO548" s="18">
        <v>0</v>
      </c>
      <c r="AP548" s="18">
        <v>0</v>
      </c>
      <c r="AQ548" s="18">
        <v>0</v>
      </c>
      <c r="AR548" s="18">
        <v>0</v>
      </c>
      <c r="AS548" s="18">
        <v>0</v>
      </c>
      <c r="AT548" s="18">
        <v>0</v>
      </c>
      <c r="AU548" s="18">
        <v>0</v>
      </c>
      <c r="AV548" s="18">
        <v>0</v>
      </c>
      <c r="AW548" s="18">
        <v>0</v>
      </c>
      <c r="AX548" s="18"/>
      <c r="AY548" s="18">
        <v>1</v>
      </c>
      <c r="AZ548" s="18">
        <v>1</v>
      </c>
      <c r="BA548" s="18">
        <v>1</v>
      </c>
      <c r="BB548" s="18">
        <v>1</v>
      </c>
      <c r="BC548" s="18">
        <v>1</v>
      </c>
      <c r="BD548" s="18">
        <v>1</v>
      </c>
      <c r="BE548" s="18">
        <v>1</v>
      </c>
      <c r="BF548" s="18">
        <v>1</v>
      </c>
      <c r="BG548" s="18">
        <v>1</v>
      </c>
      <c r="BH548" s="18">
        <v>1</v>
      </c>
      <c r="BI548" s="18">
        <v>1</v>
      </c>
      <c r="BJ548" s="19"/>
      <c r="BK548" s="18">
        <v>50.505050505050505</v>
      </c>
      <c r="BL548" s="18">
        <v>0</v>
      </c>
      <c r="BM548" s="18">
        <v>0</v>
      </c>
      <c r="BN548" s="18">
        <v>0</v>
      </c>
      <c r="BO548" s="18"/>
      <c r="BP548" s="18">
        <v>0</v>
      </c>
      <c r="BQ548" s="18">
        <v>0</v>
      </c>
      <c r="BR548" s="18">
        <v>1.4733377131751111</v>
      </c>
      <c r="BS548" s="18">
        <v>1.4121080939262829</v>
      </c>
      <c r="BT548" s="19"/>
      <c r="BU548" s="18">
        <v>1000</v>
      </c>
      <c r="BV548" s="18">
        <v>540.40404040404042</v>
      </c>
      <c r="BW548" s="18">
        <v>0</v>
      </c>
      <c r="BX548" s="18" t="s">
        <v>217</v>
      </c>
      <c r="BY548" s="18" t="s">
        <v>217</v>
      </c>
      <c r="BZ548" s="18" t="s">
        <v>217</v>
      </c>
      <c r="CA548" s="18" t="s">
        <v>217</v>
      </c>
      <c r="CB548" s="19"/>
      <c r="CC548" s="19">
        <v>0</v>
      </c>
      <c r="CD548" s="19">
        <v>0</v>
      </c>
      <c r="CE548" s="19">
        <v>0</v>
      </c>
      <c r="CF548" s="19">
        <v>0</v>
      </c>
      <c r="CG548" s="19">
        <v>0</v>
      </c>
      <c r="CH548" s="19">
        <v>0</v>
      </c>
      <c r="CI548" s="19">
        <v>0</v>
      </c>
      <c r="CJ548" s="19"/>
      <c r="CK548" s="19">
        <v>0</v>
      </c>
      <c r="CL548" s="19">
        <v>0</v>
      </c>
      <c r="CM548" s="19">
        <v>0</v>
      </c>
      <c r="CN548" s="19">
        <v>0</v>
      </c>
      <c r="CO548" s="19">
        <v>0</v>
      </c>
      <c r="CP548" s="19">
        <v>0</v>
      </c>
      <c r="CQ548" s="19">
        <v>0</v>
      </c>
      <c r="CR548" s="19">
        <v>0</v>
      </c>
      <c r="HM548" s="620">
        <f t="shared" ref="HM548:HU548" si="476">HM178</f>
        <v>0</v>
      </c>
      <c r="HN548" s="620">
        <f t="shared" si="476"/>
        <v>0</v>
      </c>
      <c r="HO548" s="620">
        <f t="shared" si="476"/>
        <v>0</v>
      </c>
      <c r="HP548" s="620">
        <f t="shared" si="476"/>
        <v>0</v>
      </c>
      <c r="HQ548" s="620">
        <f t="shared" si="476"/>
        <v>0</v>
      </c>
      <c r="HR548" s="620">
        <f t="shared" si="476"/>
        <v>0</v>
      </c>
      <c r="HS548" s="620">
        <f t="shared" si="476"/>
        <v>0</v>
      </c>
      <c r="HT548" s="620">
        <f t="shared" si="476"/>
        <v>0</v>
      </c>
      <c r="HU548" s="620" t="str">
        <f t="shared" si="476"/>
        <v>offfarm</v>
      </c>
      <c r="HV548" s="22" t="s">
        <v>2013</v>
      </c>
      <c r="IB548" s="11">
        <f t="shared" ref="IB548:II548" si="477">IB178</f>
        <v>0.47300000000000003</v>
      </c>
      <c r="IC548" s="11">
        <f t="shared" si="477"/>
        <v>0.13</v>
      </c>
      <c r="ID548" s="11">
        <f t="shared" si="477"/>
        <v>0.39100000000000001</v>
      </c>
      <c r="IE548" s="11">
        <f t="shared" si="477"/>
        <v>5.5E-2</v>
      </c>
      <c r="IF548" s="11">
        <f t="shared" si="477"/>
        <v>3.97</v>
      </c>
      <c r="IG548" s="11">
        <f t="shared" si="477"/>
        <v>4.5999999999999999E-3</v>
      </c>
      <c r="IH548" s="11">
        <f t="shared" si="477"/>
        <v>2.73</v>
      </c>
      <c r="II548" s="11">
        <f t="shared" si="477"/>
        <v>0</v>
      </c>
    </row>
    <row r="549" spans="4:244" x14ac:dyDescent="0.25">
      <c r="D549" s="20" t="s">
        <v>1156</v>
      </c>
      <c r="E549" s="14">
        <v>41533</v>
      </c>
      <c r="F549" s="18">
        <v>0.35074562357723599</v>
      </c>
      <c r="G549" s="18">
        <v>0.48391047029610401</v>
      </c>
      <c r="H549" s="21">
        <v>41.4</v>
      </c>
      <c r="I549" s="21">
        <v>28.8</v>
      </c>
      <c r="J549" s="21">
        <v>74</v>
      </c>
      <c r="K549" s="18">
        <v>1</v>
      </c>
      <c r="L549" s="18">
        <v>90.6</v>
      </c>
      <c r="M549" s="18">
        <v>15.401999999999999</v>
      </c>
      <c r="N549" s="18">
        <v>7.4291999999999998</v>
      </c>
      <c r="O549" s="18">
        <v>3.7145999999999999</v>
      </c>
      <c r="P549" s="18">
        <v>17.5764</v>
      </c>
      <c r="Q549" s="19"/>
      <c r="R549" s="18">
        <v>56.9</v>
      </c>
      <c r="S549" s="18">
        <v>30</v>
      </c>
      <c r="T549" s="18">
        <v>30</v>
      </c>
      <c r="U549" s="18">
        <v>30</v>
      </c>
      <c r="V549" s="18">
        <v>30</v>
      </c>
      <c r="W549" s="18">
        <v>30</v>
      </c>
      <c r="X549" s="18"/>
      <c r="Y549" s="18">
        <v>4.2</v>
      </c>
      <c r="Z549" s="18">
        <v>6.4</v>
      </c>
      <c r="AA549" s="18">
        <v>0.1</v>
      </c>
      <c r="AB549" s="18">
        <v>0</v>
      </c>
      <c r="AC549" s="18">
        <v>7.5</v>
      </c>
      <c r="AD549" s="18">
        <v>3.3</v>
      </c>
      <c r="AE549" s="18">
        <v>2.1</v>
      </c>
      <c r="AF549" s="18">
        <v>480</v>
      </c>
      <c r="AG549" s="18">
        <v>25</v>
      </c>
      <c r="AH549" s="18">
        <v>260</v>
      </c>
      <c r="AI549" s="18">
        <v>47.000000000000007</v>
      </c>
      <c r="AJ549" s="18">
        <v>0</v>
      </c>
      <c r="AK549" s="18">
        <v>0.18000000000000002</v>
      </c>
      <c r="AL549" s="18"/>
      <c r="AM549" s="18">
        <v>2.5099999999999998</v>
      </c>
      <c r="AN549" s="18">
        <v>1.74</v>
      </c>
      <c r="AO549" s="18">
        <v>1.1399999999999999</v>
      </c>
      <c r="AP549" s="18">
        <v>2.82</v>
      </c>
      <c r="AQ549" s="18">
        <v>0.76</v>
      </c>
      <c r="AR549" s="18">
        <v>3.36</v>
      </c>
      <c r="AS549" s="18">
        <v>6.03</v>
      </c>
      <c r="AT549" s="18">
        <v>1.59</v>
      </c>
      <c r="AU549" s="18">
        <v>3.83</v>
      </c>
      <c r="AV549" s="18">
        <v>2.44</v>
      </c>
      <c r="AW549" s="18">
        <v>4.8</v>
      </c>
      <c r="AX549" s="18"/>
      <c r="AY549" s="18">
        <v>1</v>
      </c>
      <c r="AZ549" s="18">
        <v>1</v>
      </c>
      <c r="BA549" s="18">
        <v>1</v>
      </c>
      <c r="BB549" s="18">
        <v>1</v>
      </c>
      <c r="BC549" s="18">
        <v>1</v>
      </c>
      <c r="BD549" s="18">
        <v>1</v>
      </c>
      <c r="BE549" s="18">
        <v>1</v>
      </c>
      <c r="BF549" s="18">
        <v>1</v>
      </c>
      <c r="BG549" s="18">
        <v>1</v>
      </c>
      <c r="BH549" s="18">
        <v>1</v>
      </c>
      <c r="BI549" s="18">
        <v>1</v>
      </c>
      <c r="BJ549" s="19"/>
      <c r="BK549" s="18">
        <v>17</v>
      </c>
      <c r="BL549" s="18">
        <v>8.2000000000000011</v>
      </c>
      <c r="BM549" s="18">
        <v>4.1000000000000005</v>
      </c>
      <c r="BN549" s="18">
        <v>19.400000000000002</v>
      </c>
      <c r="BO549" s="18"/>
      <c r="BP549" s="18">
        <v>54</v>
      </c>
      <c r="BQ549" s="18">
        <v>44.28</v>
      </c>
      <c r="BR549" s="18">
        <v>0.38713644986449891</v>
      </c>
      <c r="BS549" s="18">
        <v>0.53411751688311704</v>
      </c>
      <c r="BT549" s="19"/>
      <c r="BU549" s="18">
        <v>959.00000000000011</v>
      </c>
      <c r="BV549" s="18">
        <v>-9.8339999999999677</v>
      </c>
      <c r="BW549" s="18">
        <v>172.62</v>
      </c>
      <c r="BX549" s="18">
        <v>11</v>
      </c>
      <c r="BY549" s="18">
        <v>24</v>
      </c>
      <c r="BZ549" s="18">
        <v>32</v>
      </c>
      <c r="CA549" s="18">
        <v>570</v>
      </c>
      <c r="CB549" s="19"/>
      <c r="CC549" s="19">
        <v>3.8051999999999997</v>
      </c>
      <c r="CD549" s="19">
        <v>5.7984</v>
      </c>
      <c r="CE549" s="19">
        <v>9.06E-2</v>
      </c>
      <c r="CF549" s="19">
        <v>0</v>
      </c>
      <c r="CG549" s="19">
        <v>6.794999999999999</v>
      </c>
      <c r="CH549" s="19">
        <v>2.9897999999999993</v>
      </c>
      <c r="CI549" s="19">
        <v>1.9025999999999998</v>
      </c>
      <c r="CJ549" s="19"/>
      <c r="CK549" s="19">
        <v>434.87999999999994</v>
      </c>
      <c r="CL549" s="19">
        <v>22.65</v>
      </c>
      <c r="CM549" s="19">
        <v>235.55999999999997</v>
      </c>
      <c r="CN549" s="19">
        <v>42.582000000000001</v>
      </c>
      <c r="CO549" s="19">
        <v>0</v>
      </c>
      <c r="CP549" s="19">
        <v>0.16308</v>
      </c>
      <c r="CQ549" s="19">
        <v>87.637379999999993</v>
      </c>
      <c r="CR549" s="19">
        <v>249.86022378894143</v>
      </c>
      <c r="HM549" s="620">
        <f t="shared" ref="HM549:HU549" si="478">HM179</f>
        <v>0.54099999999999993</v>
      </c>
      <c r="HN549" s="620">
        <f t="shared" si="478"/>
        <v>0.11600000000000001</v>
      </c>
      <c r="HO549" s="620">
        <f t="shared" si="478"/>
        <v>0.25</v>
      </c>
      <c r="HP549" s="620">
        <f t="shared" si="478"/>
        <v>1.2999999999999999E-2</v>
      </c>
      <c r="HQ549" s="620">
        <f t="shared" si="478"/>
        <v>8.86</v>
      </c>
      <c r="HR549" s="620">
        <f t="shared" si="478"/>
        <v>6.9299999999999995E-3</v>
      </c>
      <c r="HS549" s="620">
        <f t="shared" si="478"/>
        <v>1.75</v>
      </c>
      <c r="HT549" s="620" t="str">
        <f t="shared" si="478"/>
        <v>as soybean cake</v>
      </c>
      <c r="HU549" s="620" t="str">
        <f t="shared" si="478"/>
        <v>offfarm</v>
      </c>
      <c r="HV549" s="22" t="s">
        <v>2057</v>
      </c>
      <c r="IB549" s="11">
        <f t="shared" ref="IB549:II549" si="479">IB179</f>
        <v>0.54099999999999993</v>
      </c>
      <c r="IC549" s="11">
        <f t="shared" si="479"/>
        <v>0.11600000000000001</v>
      </c>
      <c r="ID549" s="11">
        <f t="shared" si="479"/>
        <v>0.25</v>
      </c>
      <c r="IE549" s="11">
        <f t="shared" si="479"/>
        <v>1.2999999999999999E-2</v>
      </c>
      <c r="IF549" s="11">
        <f t="shared" si="479"/>
        <v>8.86</v>
      </c>
      <c r="IG549" s="11">
        <f t="shared" si="479"/>
        <v>6.9299999999999995E-3</v>
      </c>
      <c r="IH549" s="11">
        <f t="shared" si="479"/>
        <v>1.75</v>
      </c>
      <c r="II549" s="11" t="str">
        <f t="shared" si="479"/>
        <v>as soybean cake</v>
      </c>
    </row>
    <row r="550" spans="4:244" x14ac:dyDescent="0.25">
      <c r="D550" s="185" t="s">
        <v>1157</v>
      </c>
      <c r="E550" s="14">
        <v>40310</v>
      </c>
      <c r="F550" s="18">
        <v>0.19117298550391101</v>
      </c>
      <c r="G550" s="18">
        <v>0.19653668662582699</v>
      </c>
      <c r="H550" s="21">
        <v>66.2</v>
      </c>
      <c r="I550" s="21" t="s">
        <v>217</v>
      </c>
      <c r="J550" s="21">
        <v>90</v>
      </c>
      <c r="K550" s="18">
        <v>1</v>
      </c>
      <c r="L550" s="18">
        <v>19</v>
      </c>
      <c r="M550" s="18">
        <v>1.25471698113208</v>
      </c>
      <c r="N550" s="18">
        <v>0.95</v>
      </c>
      <c r="O550" s="18">
        <v>0.28499999999999998</v>
      </c>
      <c r="P550" s="18">
        <v>9.2910000000000004</v>
      </c>
      <c r="Q550" s="19"/>
      <c r="R550" s="18">
        <v>55.9264817142857</v>
      </c>
      <c r="S550" s="18" t="s">
        <v>217</v>
      </c>
      <c r="T550" s="18" t="s">
        <v>217</v>
      </c>
      <c r="U550" s="18" t="s">
        <v>217</v>
      </c>
      <c r="V550" s="18" t="s">
        <v>217</v>
      </c>
      <c r="W550" s="18" t="s">
        <v>217</v>
      </c>
      <c r="X550" s="18"/>
      <c r="Y550" s="18">
        <v>4</v>
      </c>
      <c r="Z550" s="18">
        <v>1</v>
      </c>
      <c r="AA550" s="18">
        <v>1.2</v>
      </c>
      <c r="AB550" s="18" t="s">
        <v>217</v>
      </c>
      <c r="AC550" s="18" t="s">
        <v>217</v>
      </c>
      <c r="AD550" s="18" t="s">
        <v>217</v>
      </c>
      <c r="AE550" s="18">
        <v>0</v>
      </c>
      <c r="AF550" s="18">
        <v>0</v>
      </c>
      <c r="AG550" s="18">
        <v>0</v>
      </c>
      <c r="AH550" s="18">
        <v>0</v>
      </c>
      <c r="AI550" s="18">
        <v>0</v>
      </c>
      <c r="AJ550" s="18">
        <v>0</v>
      </c>
      <c r="AK550" s="18">
        <v>0</v>
      </c>
      <c r="AL550" s="18"/>
      <c r="AM550" s="18">
        <v>4.1176469999999998</v>
      </c>
      <c r="AN550" s="18">
        <v>1.470588</v>
      </c>
      <c r="AO550" s="18">
        <v>1.176471</v>
      </c>
      <c r="AP550" s="18">
        <v>3.5294120000000002</v>
      </c>
      <c r="AQ550" s="18" t="s">
        <v>217</v>
      </c>
      <c r="AR550" s="18" t="s">
        <v>217</v>
      </c>
      <c r="AS550" s="18" t="s">
        <v>217</v>
      </c>
      <c r="AT550" s="18" t="s">
        <v>217</v>
      </c>
      <c r="AU550" s="18" t="s">
        <v>217</v>
      </c>
      <c r="AV550" s="18" t="s">
        <v>217</v>
      </c>
      <c r="AW550" s="18" t="s">
        <v>217</v>
      </c>
      <c r="AX550" s="18"/>
      <c r="AY550" s="18">
        <v>1</v>
      </c>
      <c r="AZ550" s="18">
        <v>1</v>
      </c>
      <c r="BA550" s="18">
        <v>1</v>
      </c>
      <c r="BB550" s="18">
        <v>1</v>
      </c>
      <c r="BC550" s="18">
        <v>1</v>
      </c>
      <c r="BD550" s="18">
        <v>1</v>
      </c>
      <c r="BE550" s="18">
        <v>1</v>
      </c>
      <c r="BF550" s="18">
        <v>1</v>
      </c>
      <c r="BG550" s="18">
        <v>1</v>
      </c>
      <c r="BH550" s="18">
        <v>1</v>
      </c>
      <c r="BI550" s="18">
        <v>1</v>
      </c>
      <c r="BJ550" s="19"/>
      <c r="BK550" s="18">
        <v>6.6037735849056842</v>
      </c>
      <c r="BL550" s="18">
        <v>5</v>
      </c>
      <c r="BM550" s="18">
        <v>1.4999999999999998</v>
      </c>
      <c r="BN550" s="18">
        <v>48.9</v>
      </c>
      <c r="BO550" s="18"/>
      <c r="BP550" s="18">
        <v>0</v>
      </c>
      <c r="BQ550" s="18">
        <v>0</v>
      </c>
      <c r="BR550" s="18">
        <v>1.0061736079153212</v>
      </c>
      <c r="BS550" s="18">
        <v>1.034403613820142</v>
      </c>
      <c r="BT550" s="19"/>
      <c r="BU550" s="18">
        <v>985</v>
      </c>
      <c r="BV550" s="18">
        <v>543.47566037735783</v>
      </c>
      <c r="BW550" s="18" t="s">
        <v>217</v>
      </c>
      <c r="BX550" s="18" t="s">
        <v>217</v>
      </c>
      <c r="BY550" s="18" t="s">
        <v>217</v>
      </c>
      <c r="BZ550" s="18" t="s">
        <v>217</v>
      </c>
      <c r="CA550" s="18" t="s">
        <v>217</v>
      </c>
      <c r="CB550" s="19"/>
      <c r="CC550" s="19">
        <v>0.76</v>
      </c>
      <c r="CD550" s="19">
        <v>0.19</v>
      </c>
      <c r="CE550" s="19">
        <v>0.22799999999999998</v>
      </c>
      <c r="CF550" s="19" t="s">
        <v>217</v>
      </c>
      <c r="CG550" s="19" t="s">
        <v>217</v>
      </c>
      <c r="CH550" s="19" t="s">
        <v>217</v>
      </c>
      <c r="CI550" s="19">
        <v>0</v>
      </c>
      <c r="CJ550" s="19"/>
      <c r="CK550" s="19">
        <v>0</v>
      </c>
      <c r="CL550" s="19">
        <v>0</v>
      </c>
      <c r="CM550" s="19">
        <v>0</v>
      </c>
      <c r="CN550" s="19">
        <v>0</v>
      </c>
      <c r="CO550" s="19">
        <v>0</v>
      </c>
      <c r="CP550" s="19">
        <v>0</v>
      </c>
      <c r="CQ550" s="19">
        <v>7.0171906301886704</v>
      </c>
      <c r="CR550" s="19">
        <v>36.705973972693506</v>
      </c>
      <c r="HM550" s="620">
        <f t="shared" ref="HM550:HU550" si="480">HM180</f>
        <v>0</v>
      </c>
      <c r="HN550" s="620">
        <f t="shared" si="480"/>
        <v>0</v>
      </c>
      <c r="HO550" s="620">
        <f t="shared" si="480"/>
        <v>0</v>
      </c>
      <c r="HP550" s="620">
        <f t="shared" si="480"/>
        <v>0</v>
      </c>
      <c r="HQ550" s="620">
        <f t="shared" si="480"/>
        <v>0</v>
      </c>
      <c r="HR550" s="620">
        <f t="shared" si="480"/>
        <v>0</v>
      </c>
      <c r="HS550" s="620">
        <f t="shared" si="480"/>
        <v>0</v>
      </c>
      <c r="HT550" s="620">
        <f t="shared" si="480"/>
        <v>0</v>
      </c>
      <c r="HU550" s="620" t="str">
        <f t="shared" si="480"/>
        <v>offfarm</v>
      </c>
      <c r="HV550" s="22" t="s">
        <v>2013</v>
      </c>
      <c r="IB550" s="11">
        <f t="shared" ref="IB550:II550" si="481">IB180</f>
        <v>0.47300000000000003</v>
      </c>
      <c r="IC550" s="11">
        <f t="shared" si="481"/>
        <v>0.13</v>
      </c>
      <c r="ID550" s="11">
        <f t="shared" si="481"/>
        <v>0.39100000000000001</v>
      </c>
      <c r="IE550" s="11">
        <f t="shared" si="481"/>
        <v>5.5E-2</v>
      </c>
      <c r="IF550" s="11">
        <f t="shared" si="481"/>
        <v>3.97</v>
      </c>
      <c r="IG550" s="11">
        <f t="shared" si="481"/>
        <v>4.5999999999999999E-3</v>
      </c>
      <c r="IH550" s="11">
        <f t="shared" si="481"/>
        <v>2.73</v>
      </c>
      <c r="II550" s="11">
        <f t="shared" si="481"/>
        <v>0</v>
      </c>
    </row>
    <row r="551" spans="4:244" x14ac:dyDescent="0.25">
      <c r="D551" s="185" t="s">
        <v>1158</v>
      </c>
      <c r="E551" s="14">
        <v>40310</v>
      </c>
      <c r="F551" s="18">
        <v>1.45860433604336</v>
      </c>
      <c r="G551" s="18">
        <v>1.39798701298702</v>
      </c>
      <c r="H551" s="21">
        <v>100</v>
      </c>
      <c r="I551" s="21">
        <v>100</v>
      </c>
      <c r="J551" s="21">
        <v>100</v>
      </c>
      <c r="K551" s="18">
        <v>1</v>
      </c>
      <c r="L551" s="18">
        <v>99</v>
      </c>
      <c r="M551" s="18">
        <v>50</v>
      </c>
      <c r="N551" s="18">
        <v>0</v>
      </c>
      <c r="O551" s="18">
        <v>0</v>
      </c>
      <c r="P551" s="18">
        <v>0</v>
      </c>
      <c r="Q551" s="19"/>
      <c r="R551" s="18">
        <v>0</v>
      </c>
      <c r="S551" s="18">
        <v>0</v>
      </c>
      <c r="T551" s="18">
        <v>0</v>
      </c>
      <c r="U551" s="18">
        <v>0</v>
      </c>
      <c r="V551" s="18">
        <v>0</v>
      </c>
      <c r="W551" s="18">
        <v>0</v>
      </c>
      <c r="X551" s="18"/>
      <c r="Y551" s="18">
        <v>0</v>
      </c>
      <c r="Z551" s="18">
        <v>0</v>
      </c>
      <c r="AA551" s="18">
        <v>0</v>
      </c>
      <c r="AB551" s="18">
        <v>0</v>
      </c>
      <c r="AC551" s="18">
        <v>0</v>
      </c>
      <c r="AD551" s="18">
        <v>0</v>
      </c>
      <c r="AE551" s="18">
        <v>0</v>
      </c>
      <c r="AF551" s="18">
        <v>0</v>
      </c>
      <c r="AG551" s="18">
        <v>0</v>
      </c>
      <c r="AH551" s="18">
        <v>0</v>
      </c>
      <c r="AI551" s="18">
        <v>0</v>
      </c>
      <c r="AJ551" s="18">
        <v>0</v>
      </c>
      <c r="AK551" s="18">
        <v>0</v>
      </c>
      <c r="AL551" s="18"/>
      <c r="AM551" s="18">
        <v>0</v>
      </c>
      <c r="AN551" s="18">
        <v>0</v>
      </c>
      <c r="AO551" s="18">
        <v>0</v>
      </c>
      <c r="AP551" s="18">
        <v>0</v>
      </c>
      <c r="AQ551" s="18">
        <v>0</v>
      </c>
      <c r="AR551" s="18">
        <v>0</v>
      </c>
      <c r="AS551" s="18">
        <v>0</v>
      </c>
      <c r="AT551" s="18">
        <v>0</v>
      </c>
      <c r="AU551" s="18">
        <v>0</v>
      </c>
      <c r="AV551" s="18">
        <v>0</v>
      </c>
      <c r="AW551" s="18">
        <v>0</v>
      </c>
      <c r="AX551" s="18"/>
      <c r="AY551" s="18">
        <v>1</v>
      </c>
      <c r="AZ551" s="18">
        <v>1</v>
      </c>
      <c r="BA551" s="18">
        <v>1</v>
      </c>
      <c r="BB551" s="18">
        <v>1</v>
      </c>
      <c r="BC551" s="18">
        <v>1</v>
      </c>
      <c r="BD551" s="18">
        <v>1</v>
      </c>
      <c r="BE551" s="18">
        <v>1</v>
      </c>
      <c r="BF551" s="18">
        <v>1</v>
      </c>
      <c r="BG551" s="18">
        <v>1</v>
      </c>
      <c r="BH551" s="18">
        <v>1</v>
      </c>
      <c r="BI551" s="18">
        <v>1</v>
      </c>
      <c r="BJ551" s="19"/>
      <c r="BK551" s="18">
        <v>50.505050505050505</v>
      </c>
      <c r="BL551" s="18">
        <v>0</v>
      </c>
      <c r="BM551" s="18">
        <v>0</v>
      </c>
      <c r="BN551" s="18">
        <v>0</v>
      </c>
      <c r="BO551" s="18"/>
      <c r="BP551" s="18">
        <v>0</v>
      </c>
      <c r="BQ551" s="18">
        <v>0</v>
      </c>
      <c r="BR551" s="18">
        <v>1.4733377131751111</v>
      </c>
      <c r="BS551" s="18">
        <v>1.4121080939262829</v>
      </c>
      <c r="BT551" s="19"/>
      <c r="BU551" s="18">
        <v>1000</v>
      </c>
      <c r="BV551" s="18">
        <v>540.40404040404042</v>
      </c>
      <c r="BW551" s="18">
        <v>0</v>
      </c>
      <c r="BX551" s="18" t="s">
        <v>217</v>
      </c>
      <c r="BY551" s="18" t="s">
        <v>217</v>
      </c>
      <c r="BZ551" s="18" t="s">
        <v>217</v>
      </c>
      <c r="CA551" s="18" t="s">
        <v>217</v>
      </c>
      <c r="CB551" s="19"/>
      <c r="CC551" s="19">
        <v>0</v>
      </c>
      <c r="CD551" s="19">
        <v>0</v>
      </c>
      <c r="CE551" s="19">
        <v>0</v>
      </c>
      <c r="CF551" s="19">
        <v>0</v>
      </c>
      <c r="CG551" s="19">
        <v>0</v>
      </c>
      <c r="CH551" s="19">
        <v>0</v>
      </c>
      <c r="CI551" s="19">
        <v>0</v>
      </c>
      <c r="CJ551" s="19"/>
      <c r="CK551" s="19">
        <v>0</v>
      </c>
      <c r="CL551" s="19">
        <v>0</v>
      </c>
      <c r="CM551" s="19">
        <v>0</v>
      </c>
      <c r="CN551" s="19">
        <v>0</v>
      </c>
      <c r="CO551" s="19">
        <v>0</v>
      </c>
      <c r="CP551" s="19">
        <v>0</v>
      </c>
      <c r="CQ551" s="19">
        <v>0</v>
      </c>
      <c r="CR551" s="19">
        <v>0</v>
      </c>
      <c r="HM551" s="620">
        <f t="shared" ref="HM551:HU551" si="482">HM181</f>
        <v>0</v>
      </c>
      <c r="HN551" s="620">
        <f t="shared" si="482"/>
        <v>0</v>
      </c>
      <c r="HO551" s="620">
        <f t="shared" si="482"/>
        <v>0</v>
      </c>
      <c r="HP551" s="620">
        <f t="shared" si="482"/>
        <v>0</v>
      </c>
      <c r="HQ551" s="620">
        <f t="shared" si="482"/>
        <v>0</v>
      </c>
      <c r="HR551" s="620">
        <f t="shared" si="482"/>
        <v>0</v>
      </c>
      <c r="HS551" s="620">
        <f t="shared" si="482"/>
        <v>0</v>
      </c>
      <c r="HT551" s="620">
        <f t="shared" si="482"/>
        <v>0</v>
      </c>
      <c r="HU551" s="620" t="str">
        <f t="shared" si="482"/>
        <v>offfarm</v>
      </c>
      <c r="HV551" s="22" t="s">
        <v>2013</v>
      </c>
      <c r="IB551" s="11">
        <f t="shared" ref="IB551:II551" si="483">IB181</f>
        <v>0.47300000000000003</v>
      </c>
      <c r="IC551" s="11">
        <f t="shared" si="483"/>
        <v>0.13</v>
      </c>
      <c r="ID551" s="11">
        <f t="shared" si="483"/>
        <v>0.39100000000000001</v>
      </c>
      <c r="IE551" s="11">
        <f t="shared" si="483"/>
        <v>5.5E-2</v>
      </c>
      <c r="IF551" s="11">
        <f t="shared" si="483"/>
        <v>3.97</v>
      </c>
      <c r="IG551" s="11">
        <f t="shared" si="483"/>
        <v>4.5999999999999999E-3</v>
      </c>
      <c r="IH551" s="11">
        <f t="shared" si="483"/>
        <v>2.73</v>
      </c>
      <c r="II551" s="11">
        <f t="shared" si="483"/>
        <v>0</v>
      </c>
    </row>
    <row r="552" spans="4:244" x14ac:dyDescent="0.25">
      <c r="D552" s="185" t="s">
        <v>1159</v>
      </c>
      <c r="E552" s="14">
        <v>40310</v>
      </c>
      <c r="F552" s="18">
        <v>1.45860433604336</v>
      </c>
      <c r="G552" s="18">
        <v>1.39798701298702</v>
      </c>
      <c r="H552" s="21">
        <v>100</v>
      </c>
      <c r="I552" s="21">
        <v>100</v>
      </c>
      <c r="J552" s="21">
        <v>100</v>
      </c>
      <c r="K552" s="18">
        <v>1</v>
      </c>
      <c r="L552" s="18">
        <v>99</v>
      </c>
      <c r="M552" s="18">
        <v>50</v>
      </c>
      <c r="N552" s="18">
        <v>0</v>
      </c>
      <c r="O552" s="18">
        <v>0</v>
      </c>
      <c r="P552" s="18">
        <v>0</v>
      </c>
      <c r="Q552" s="19"/>
      <c r="R552" s="18">
        <v>0</v>
      </c>
      <c r="S552" s="18">
        <v>0</v>
      </c>
      <c r="T552" s="18">
        <v>0</v>
      </c>
      <c r="U552" s="18">
        <v>0</v>
      </c>
      <c r="V552" s="18">
        <v>0</v>
      </c>
      <c r="W552" s="18">
        <v>0</v>
      </c>
      <c r="X552" s="18"/>
      <c r="Y552" s="18">
        <v>0</v>
      </c>
      <c r="Z552" s="18">
        <v>0</v>
      </c>
      <c r="AA552" s="18">
        <v>0</v>
      </c>
      <c r="AB552" s="18">
        <v>0</v>
      </c>
      <c r="AC552" s="18">
        <v>0</v>
      </c>
      <c r="AD552" s="18">
        <v>0</v>
      </c>
      <c r="AE552" s="18">
        <v>0</v>
      </c>
      <c r="AF552" s="18">
        <v>0</v>
      </c>
      <c r="AG552" s="18">
        <v>0</v>
      </c>
      <c r="AH552" s="18">
        <v>0</v>
      </c>
      <c r="AI552" s="18">
        <v>0</v>
      </c>
      <c r="AJ552" s="18">
        <v>0</v>
      </c>
      <c r="AK552" s="18">
        <v>0</v>
      </c>
      <c r="AL552" s="18"/>
      <c r="AM552" s="18">
        <v>0</v>
      </c>
      <c r="AN552" s="18">
        <v>0</v>
      </c>
      <c r="AO552" s="18">
        <v>0</v>
      </c>
      <c r="AP552" s="18">
        <v>0</v>
      </c>
      <c r="AQ552" s="18">
        <v>0</v>
      </c>
      <c r="AR552" s="18">
        <v>0</v>
      </c>
      <c r="AS552" s="18">
        <v>0</v>
      </c>
      <c r="AT552" s="18">
        <v>0</v>
      </c>
      <c r="AU552" s="18">
        <v>0</v>
      </c>
      <c r="AV552" s="18">
        <v>0</v>
      </c>
      <c r="AW552" s="18">
        <v>0</v>
      </c>
      <c r="AX552" s="18"/>
      <c r="AY552" s="18">
        <v>1</v>
      </c>
      <c r="AZ552" s="18">
        <v>1</v>
      </c>
      <c r="BA552" s="18">
        <v>1</v>
      </c>
      <c r="BB552" s="18">
        <v>1</v>
      </c>
      <c r="BC552" s="18">
        <v>1</v>
      </c>
      <c r="BD552" s="18">
        <v>1</v>
      </c>
      <c r="BE552" s="18">
        <v>1</v>
      </c>
      <c r="BF552" s="18">
        <v>1</v>
      </c>
      <c r="BG552" s="18">
        <v>1</v>
      </c>
      <c r="BH552" s="18">
        <v>1</v>
      </c>
      <c r="BI552" s="18">
        <v>1</v>
      </c>
      <c r="BJ552" s="19"/>
      <c r="BK552" s="18">
        <v>50.505050505050505</v>
      </c>
      <c r="BL552" s="18">
        <v>0</v>
      </c>
      <c r="BM552" s="18">
        <v>0</v>
      </c>
      <c r="BN552" s="18">
        <v>0</v>
      </c>
      <c r="BO552" s="18"/>
      <c r="BP552" s="18">
        <v>0</v>
      </c>
      <c r="BQ552" s="18">
        <v>0</v>
      </c>
      <c r="BR552" s="18">
        <v>1.4733377131751111</v>
      </c>
      <c r="BS552" s="18">
        <v>1.4121080939262829</v>
      </c>
      <c r="BT552" s="19"/>
      <c r="BU552" s="18">
        <v>1000</v>
      </c>
      <c r="BV552" s="18">
        <v>540.40404040404042</v>
      </c>
      <c r="BW552" s="18">
        <v>0</v>
      </c>
      <c r="BX552" s="18" t="s">
        <v>217</v>
      </c>
      <c r="BY552" s="18" t="s">
        <v>217</v>
      </c>
      <c r="BZ552" s="18" t="s">
        <v>217</v>
      </c>
      <c r="CA552" s="18" t="s">
        <v>217</v>
      </c>
      <c r="CB552" s="19"/>
      <c r="CC552" s="19">
        <v>0</v>
      </c>
      <c r="CD552" s="19">
        <v>0</v>
      </c>
      <c r="CE552" s="19">
        <v>0</v>
      </c>
      <c r="CF552" s="19">
        <v>0</v>
      </c>
      <c r="CG552" s="19">
        <v>0</v>
      </c>
      <c r="CH552" s="19">
        <v>0</v>
      </c>
      <c r="CI552" s="19">
        <v>0</v>
      </c>
      <c r="CJ552" s="19"/>
      <c r="CK552" s="19">
        <v>0</v>
      </c>
      <c r="CL552" s="19">
        <v>0</v>
      </c>
      <c r="CM552" s="19">
        <v>0</v>
      </c>
      <c r="CN552" s="19">
        <v>0</v>
      </c>
      <c r="CO552" s="19">
        <v>0</v>
      </c>
      <c r="CP552" s="19">
        <v>0</v>
      </c>
      <c r="CQ552" s="19">
        <v>0</v>
      </c>
      <c r="CR552" s="19">
        <v>0</v>
      </c>
      <c r="HM552" s="620">
        <f t="shared" ref="HM552:HU552" si="484">HM182</f>
        <v>0</v>
      </c>
      <c r="HN552" s="620">
        <f t="shared" si="484"/>
        <v>0</v>
      </c>
      <c r="HO552" s="620">
        <f t="shared" si="484"/>
        <v>0</v>
      </c>
      <c r="HP552" s="620">
        <f t="shared" si="484"/>
        <v>0</v>
      </c>
      <c r="HQ552" s="620">
        <f t="shared" si="484"/>
        <v>0</v>
      </c>
      <c r="HR552" s="620">
        <f t="shared" si="484"/>
        <v>0</v>
      </c>
      <c r="HS552" s="620">
        <f t="shared" si="484"/>
        <v>0</v>
      </c>
      <c r="HT552" s="620">
        <f t="shared" si="484"/>
        <v>0</v>
      </c>
      <c r="HU552" s="620" t="str">
        <f t="shared" si="484"/>
        <v>offfarm</v>
      </c>
      <c r="HV552" s="22" t="s">
        <v>2013</v>
      </c>
      <c r="IB552" s="11">
        <f t="shared" ref="IB552:II552" si="485">IB182</f>
        <v>0.47300000000000003</v>
      </c>
      <c r="IC552" s="11">
        <f t="shared" si="485"/>
        <v>0.13</v>
      </c>
      <c r="ID552" s="11">
        <f t="shared" si="485"/>
        <v>0.39100000000000001</v>
      </c>
      <c r="IE552" s="11">
        <f t="shared" si="485"/>
        <v>5.5E-2</v>
      </c>
      <c r="IF552" s="11">
        <f t="shared" si="485"/>
        <v>3.97</v>
      </c>
      <c r="IG552" s="11">
        <f t="shared" si="485"/>
        <v>4.5999999999999999E-3</v>
      </c>
      <c r="IH552" s="11">
        <f t="shared" si="485"/>
        <v>2.73</v>
      </c>
      <c r="II552" s="11">
        <f t="shared" si="485"/>
        <v>0</v>
      </c>
    </row>
    <row r="553" spans="4:244" x14ac:dyDescent="0.25">
      <c r="D553" s="20" t="s">
        <v>1160</v>
      </c>
      <c r="E553" s="14">
        <v>42517</v>
      </c>
      <c r="F553" s="18">
        <v>2.0692902477739001</v>
      </c>
      <c r="G553" s="18">
        <v>2.0468762654916501</v>
      </c>
      <c r="H553" s="21">
        <v>89</v>
      </c>
      <c r="I553" s="21">
        <v>75.900000000000006</v>
      </c>
      <c r="J553" s="21">
        <v>84</v>
      </c>
      <c r="K553" s="18">
        <v>1</v>
      </c>
      <c r="L553" s="18">
        <v>92.5</v>
      </c>
      <c r="M553" s="18">
        <v>17.945</v>
      </c>
      <c r="N553" s="18">
        <v>46.435000000000002</v>
      </c>
      <c r="O553" s="18">
        <v>3.8849999999999998</v>
      </c>
      <c r="P553" s="18">
        <v>8.3724099499999998</v>
      </c>
      <c r="Q553" s="19"/>
      <c r="R553" s="18">
        <v>63</v>
      </c>
      <c r="S553" s="18">
        <v>27</v>
      </c>
      <c r="T553" s="18">
        <v>40</v>
      </c>
      <c r="U553" s="18">
        <v>45</v>
      </c>
      <c r="V553" s="18">
        <v>50</v>
      </c>
      <c r="W553" s="18">
        <v>53</v>
      </c>
      <c r="X553" s="18"/>
      <c r="Y553" s="18">
        <v>5.8</v>
      </c>
      <c r="Z553" s="18">
        <v>7.6</v>
      </c>
      <c r="AA553" s="18">
        <v>0.1</v>
      </c>
      <c r="AB553" s="18">
        <v>0</v>
      </c>
      <c r="AC553" s="18">
        <v>10</v>
      </c>
      <c r="AD553" s="18">
        <v>3.5</v>
      </c>
      <c r="AE553" s="18">
        <v>4.2</v>
      </c>
      <c r="AF553" s="18">
        <v>90</v>
      </c>
      <c r="AG553" s="18">
        <v>4.0999999999999996</v>
      </c>
      <c r="AH553" s="18">
        <v>42</v>
      </c>
      <c r="AI553" s="18">
        <v>42</v>
      </c>
      <c r="AJ553" s="18">
        <v>0</v>
      </c>
      <c r="AK553" s="18">
        <v>0</v>
      </c>
      <c r="AL553" s="18"/>
      <c r="AM553" s="18">
        <v>6</v>
      </c>
      <c r="AN553" s="18">
        <v>2</v>
      </c>
      <c r="AO553" s="18">
        <v>2.4</v>
      </c>
      <c r="AP553" s="18">
        <v>4.4000000000000004</v>
      </c>
      <c r="AQ553" s="18">
        <v>1.24</v>
      </c>
      <c r="AR553" s="18">
        <v>4.1900000000000004</v>
      </c>
      <c r="AS553" s="18">
        <v>6.86</v>
      </c>
      <c r="AT553" s="18">
        <v>2.74</v>
      </c>
      <c r="AU553" s="18">
        <v>4.01</v>
      </c>
      <c r="AV553" s="18">
        <v>3.12</v>
      </c>
      <c r="AW553" s="18">
        <v>5.39</v>
      </c>
      <c r="AX553" s="18"/>
      <c r="AY553" s="18">
        <v>1.1000000000000001</v>
      </c>
      <c r="AZ553" s="18">
        <v>1.1399999999999999</v>
      </c>
      <c r="BA553" s="18">
        <v>1.1000000000000001</v>
      </c>
      <c r="BB553" s="18">
        <v>1.05</v>
      </c>
      <c r="BC553" s="18">
        <v>1.1399999999999999</v>
      </c>
      <c r="BD553" s="18">
        <v>1.1000000000000001</v>
      </c>
      <c r="BE553" s="18">
        <v>1.08</v>
      </c>
      <c r="BF553" s="18">
        <v>1.08</v>
      </c>
      <c r="BG553" s="18">
        <v>1.17</v>
      </c>
      <c r="BH553" s="18">
        <v>0.97</v>
      </c>
      <c r="BI553" s="18">
        <v>1.1000000000000001</v>
      </c>
      <c r="BJ553" s="19"/>
      <c r="BK553" s="18">
        <v>19.399999999999999</v>
      </c>
      <c r="BL553" s="18">
        <v>50.2</v>
      </c>
      <c r="BM553" s="18">
        <v>4.2</v>
      </c>
      <c r="BN553" s="18">
        <v>9.0512540000000001</v>
      </c>
      <c r="BO553" s="18"/>
      <c r="BP553" s="18">
        <v>116</v>
      </c>
      <c r="BQ553" s="18">
        <v>582.31999999999994</v>
      </c>
      <c r="BR553" s="18">
        <v>2.2370705381339464</v>
      </c>
      <c r="BS553" s="18">
        <v>2.2128392059369189</v>
      </c>
      <c r="BT553" s="19"/>
      <c r="BU553" s="18">
        <v>958</v>
      </c>
      <c r="BV553" s="18">
        <v>9.8571428571429518</v>
      </c>
      <c r="BW553" s="18">
        <v>179.28285714285732</v>
      </c>
      <c r="BX553" s="18" t="s">
        <v>217</v>
      </c>
      <c r="BY553" s="18" t="s">
        <v>217</v>
      </c>
      <c r="BZ553" s="18">
        <v>38.043428571428535</v>
      </c>
      <c r="CA553" s="18">
        <v>215.57942857142811</v>
      </c>
      <c r="CB553" s="19"/>
      <c r="CC553" s="19">
        <v>5.3650000000000002</v>
      </c>
      <c r="CD553" s="19">
        <v>7.03</v>
      </c>
      <c r="CE553" s="19">
        <v>9.2500000000000013E-2</v>
      </c>
      <c r="CF553" s="19">
        <v>0</v>
      </c>
      <c r="CG553" s="19">
        <v>9.25</v>
      </c>
      <c r="CH553" s="19">
        <v>3.2375000000000003</v>
      </c>
      <c r="CI553" s="19">
        <v>3.8850000000000002</v>
      </c>
      <c r="CJ553" s="19"/>
      <c r="CK553" s="19">
        <v>83.25</v>
      </c>
      <c r="CL553" s="19">
        <v>3.7925</v>
      </c>
      <c r="CM553" s="19">
        <v>38.85</v>
      </c>
      <c r="CN553" s="19">
        <v>38.85</v>
      </c>
      <c r="CO553" s="19">
        <v>0</v>
      </c>
      <c r="CP553" s="19">
        <v>0</v>
      </c>
      <c r="CQ553" s="19">
        <v>113.0535</v>
      </c>
      <c r="CR553" s="19">
        <v>54.633950032684218</v>
      </c>
      <c r="HM553" s="620">
        <f t="shared" ref="HM553:HU553" si="486">HM183</f>
        <v>0.51300000000000001</v>
      </c>
      <c r="HN553" s="620">
        <f t="shared" si="486"/>
        <v>8.9999999999999993E-3</v>
      </c>
      <c r="HO553" s="620">
        <f t="shared" si="486"/>
        <v>0.32600000000000001</v>
      </c>
      <c r="HP553" s="620">
        <f t="shared" si="486"/>
        <v>0.05</v>
      </c>
      <c r="HQ553" s="620">
        <f t="shared" si="486"/>
        <v>4</v>
      </c>
      <c r="HR553" s="620">
        <f t="shared" si="486"/>
        <v>3.8999999999999998E-3</v>
      </c>
      <c r="HS553" s="620">
        <f t="shared" si="486"/>
        <v>2.2799999999999998</v>
      </c>
      <c r="HT553" s="620" t="str">
        <f t="shared" si="486"/>
        <v>as rapeseed cake</v>
      </c>
      <c r="HU553" s="620" t="str">
        <f t="shared" si="486"/>
        <v>offfarm</v>
      </c>
      <c r="HV553" s="22" t="s">
        <v>2058</v>
      </c>
      <c r="IB553" s="11">
        <f t="shared" ref="IB553:II553" si="487">IB183</f>
        <v>0.51300000000000001</v>
      </c>
      <c r="IC553" s="11">
        <f t="shared" si="487"/>
        <v>8.9999999999999993E-3</v>
      </c>
      <c r="ID553" s="11">
        <f t="shared" si="487"/>
        <v>0.32600000000000001</v>
      </c>
      <c r="IE553" s="11">
        <f t="shared" si="487"/>
        <v>0.05</v>
      </c>
      <c r="IF553" s="11">
        <f t="shared" si="487"/>
        <v>4</v>
      </c>
      <c r="IG553" s="11">
        <f t="shared" si="487"/>
        <v>3.8999999999999998E-3</v>
      </c>
      <c r="IH553" s="11">
        <f t="shared" si="487"/>
        <v>2.2799999999999998</v>
      </c>
      <c r="II553" s="11" t="str">
        <f t="shared" si="487"/>
        <v>as rapeseed cake</v>
      </c>
    </row>
    <row r="554" spans="4:244" x14ac:dyDescent="0.25">
      <c r="D554" s="20" t="s">
        <v>1161</v>
      </c>
      <c r="E554" s="14">
        <v>42695</v>
      </c>
      <c r="F554" s="18">
        <v>0.92038352055013495</v>
      </c>
      <c r="G554" s="18">
        <v>0.98072628546326901</v>
      </c>
      <c r="H554" s="21">
        <v>79.3</v>
      </c>
      <c r="I554" s="21">
        <v>58.999993000000003</v>
      </c>
      <c r="J554" s="21">
        <v>86</v>
      </c>
      <c r="K554" s="18">
        <v>1</v>
      </c>
      <c r="L554" s="18">
        <v>89.74</v>
      </c>
      <c r="M554" s="18">
        <v>28.662956000000001</v>
      </c>
      <c r="N554" s="18">
        <v>11.235448</v>
      </c>
      <c r="O554" s="18">
        <v>6.8022919999999996</v>
      </c>
      <c r="P554" s="18">
        <v>12.913586</v>
      </c>
      <c r="Q554" s="19"/>
      <c r="R554" s="18">
        <v>77</v>
      </c>
      <c r="S554" s="18">
        <v>27</v>
      </c>
      <c r="T554" s="18">
        <v>40</v>
      </c>
      <c r="U554" s="18">
        <v>45</v>
      </c>
      <c r="V554" s="18">
        <v>50</v>
      </c>
      <c r="W554" s="18">
        <v>53</v>
      </c>
      <c r="X554" s="18"/>
      <c r="Y554" s="18">
        <v>8.6300000000000008</v>
      </c>
      <c r="Z554" s="18">
        <v>11.840000000000002</v>
      </c>
      <c r="AA554" s="18">
        <v>0.1</v>
      </c>
      <c r="AB554" s="18">
        <v>0.5</v>
      </c>
      <c r="AC554" s="18">
        <v>13.5</v>
      </c>
      <c r="AD554" s="18">
        <v>4.7</v>
      </c>
      <c r="AE554" s="18">
        <v>6.7000000000000011</v>
      </c>
      <c r="AF554" s="18">
        <v>200</v>
      </c>
      <c r="AG554" s="18">
        <v>7.3</v>
      </c>
      <c r="AH554" s="18">
        <v>61</v>
      </c>
      <c r="AI554" s="18">
        <v>55</v>
      </c>
      <c r="AJ554" s="18">
        <v>0</v>
      </c>
      <c r="AK554" s="18">
        <v>0.11</v>
      </c>
      <c r="AL554" s="18"/>
      <c r="AM554" s="18">
        <v>5.5000000000000098</v>
      </c>
      <c r="AN554" s="18">
        <v>2</v>
      </c>
      <c r="AO554" s="18">
        <v>2.4900000000000002</v>
      </c>
      <c r="AP554" s="18">
        <v>4.4000000000000004</v>
      </c>
      <c r="AQ554" s="18">
        <v>1.27</v>
      </c>
      <c r="AR554" s="18">
        <v>3.9000000000000101</v>
      </c>
      <c r="AS554" s="18">
        <v>7.1</v>
      </c>
      <c r="AT554" s="18">
        <v>2.79</v>
      </c>
      <c r="AU554" s="18">
        <v>4</v>
      </c>
      <c r="AV554" s="18">
        <v>3.02</v>
      </c>
      <c r="AW554" s="18">
        <v>5.19</v>
      </c>
      <c r="AX554" s="18"/>
      <c r="AY554" s="18">
        <v>1.01</v>
      </c>
      <c r="AZ554" s="18">
        <v>1.1299999999999999</v>
      </c>
      <c r="BA554" s="18">
        <v>1.05</v>
      </c>
      <c r="BB554" s="18">
        <v>0.99</v>
      </c>
      <c r="BC554" s="18">
        <v>1.03</v>
      </c>
      <c r="BD554" s="18">
        <v>1.03</v>
      </c>
      <c r="BE554" s="18">
        <v>1.07</v>
      </c>
      <c r="BF554" s="18">
        <v>1.1000000000000001</v>
      </c>
      <c r="BG554" s="18">
        <v>1.07</v>
      </c>
      <c r="BH554" s="18">
        <v>1.03</v>
      </c>
      <c r="BI554" s="18">
        <v>1</v>
      </c>
      <c r="BJ554" s="19"/>
      <c r="BK554" s="18">
        <v>31.94</v>
      </c>
      <c r="BL554" s="18">
        <v>12.52</v>
      </c>
      <c r="BM554" s="18">
        <v>7.58</v>
      </c>
      <c r="BN554" s="18">
        <v>14.39</v>
      </c>
      <c r="BO554" s="18"/>
      <c r="BP554" s="18">
        <v>115</v>
      </c>
      <c r="BQ554" s="18">
        <v>143.98000000000002</v>
      </c>
      <c r="BR554" s="18">
        <v>1.0256112330623299</v>
      </c>
      <c r="BS554" s="18">
        <v>1.0928530036363595</v>
      </c>
      <c r="BT554" s="19"/>
      <c r="BU554" s="18">
        <v>924.2</v>
      </c>
      <c r="BV554" s="18">
        <v>52.774600000000007</v>
      </c>
      <c r="BW554" s="18">
        <v>268.01809242000002</v>
      </c>
      <c r="BX554" s="18" t="s">
        <v>217</v>
      </c>
      <c r="BY554" s="18" t="s">
        <v>217</v>
      </c>
      <c r="BZ554" s="18">
        <v>62.003909999999998</v>
      </c>
      <c r="CA554" s="18">
        <v>351.35549000000003</v>
      </c>
      <c r="CB554" s="19"/>
      <c r="CC554" s="19">
        <v>7.7445620000000002</v>
      </c>
      <c r="CD554" s="19">
        <v>10.625216000000002</v>
      </c>
      <c r="CE554" s="19">
        <v>8.974E-2</v>
      </c>
      <c r="CF554" s="19">
        <v>0.44869999999999999</v>
      </c>
      <c r="CG554" s="19">
        <v>12.1149</v>
      </c>
      <c r="CH554" s="19">
        <v>4.2177800000000003</v>
      </c>
      <c r="CI554" s="19">
        <v>6.0125800000000007</v>
      </c>
      <c r="CJ554" s="19"/>
      <c r="CK554" s="19">
        <v>179.48</v>
      </c>
      <c r="CL554" s="19">
        <v>6.5510199999999994</v>
      </c>
      <c r="CM554" s="19">
        <v>54.741399999999999</v>
      </c>
      <c r="CN554" s="19">
        <v>49.356999999999999</v>
      </c>
      <c r="CO554" s="19">
        <v>0</v>
      </c>
      <c r="CP554" s="19">
        <v>9.8713999999999996E-2</v>
      </c>
      <c r="CQ554" s="19">
        <v>220.70476120000001</v>
      </c>
      <c r="CR554" s="19">
        <v>239.79651555264653</v>
      </c>
      <c r="HM554" s="620">
        <f t="shared" ref="HM554:HU554" si="488">HM184</f>
        <v>0.51300000000000001</v>
      </c>
      <c r="HN554" s="620">
        <f t="shared" si="488"/>
        <v>8.9999999999999993E-3</v>
      </c>
      <c r="HO554" s="620">
        <f t="shared" si="488"/>
        <v>0.32600000000000001</v>
      </c>
      <c r="HP554" s="620">
        <f t="shared" si="488"/>
        <v>0.05</v>
      </c>
      <c r="HQ554" s="620">
        <f t="shared" si="488"/>
        <v>4</v>
      </c>
      <c r="HR554" s="620">
        <f t="shared" si="488"/>
        <v>3.8999999999999998E-3</v>
      </c>
      <c r="HS554" s="620">
        <f t="shared" si="488"/>
        <v>2.2799999999999998</v>
      </c>
      <c r="HT554" s="620">
        <f t="shared" si="488"/>
        <v>0</v>
      </c>
      <c r="HU554" s="620" t="str">
        <f t="shared" si="488"/>
        <v>offfarm</v>
      </c>
      <c r="HV554" s="22" t="s">
        <v>838</v>
      </c>
      <c r="IB554" s="11">
        <f t="shared" ref="IB554:II554" si="489">IB184</f>
        <v>0.51300000000000001</v>
      </c>
      <c r="IC554" s="11">
        <f t="shared" si="489"/>
        <v>8.9999999999999993E-3</v>
      </c>
      <c r="ID554" s="11">
        <f t="shared" si="489"/>
        <v>0.32600000000000001</v>
      </c>
      <c r="IE554" s="11">
        <f t="shared" si="489"/>
        <v>0.05</v>
      </c>
      <c r="IF554" s="11">
        <f t="shared" si="489"/>
        <v>4</v>
      </c>
      <c r="IG554" s="11">
        <f t="shared" si="489"/>
        <v>3.8999999999999998E-3</v>
      </c>
      <c r="IH554" s="11">
        <f t="shared" si="489"/>
        <v>2.2799999999999998</v>
      </c>
      <c r="II554" s="11">
        <f t="shared" si="489"/>
        <v>0</v>
      </c>
    </row>
    <row r="555" spans="4:244" x14ac:dyDescent="0.25">
      <c r="D555" s="20" t="s">
        <v>1162</v>
      </c>
      <c r="E555" s="14">
        <v>42695</v>
      </c>
      <c r="F555" s="18">
        <v>0.80949159616724697</v>
      </c>
      <c r="G555" s="18">
        <v>0.86478308582560304</v>
      </c>
      <c r="H555" s="21">
        <v>80.099999999999994</v>
      </c>
      <c r="I555" s="21">
        <v>62.5</v>
      </c>
      <c r="J555" s="21">
        <v>85</v>
      </c>
      <c r="K555" s="18">
        <v>1</v>
      </c>
      <c r="L555" s="18">
        <v>90</v>
      </c>
      <c r="M555" s="18">
        <v>34.56</v>
      </c>
      <c r="N555" s="18">
        <v>5.0000400000000003</v>
      </c>
      <c r="O555" s="18">
        <v>7.02</v>
      </c>
      <c r="P555" s="18">
        <v>13.05</v>
      </c>
      <c r="Q555" s="19"/>
      <c r="R555" s="18">
        <v>76</v>
      </c>
      <c r="S555" s="18">
        <v>27</v>
      </c>
      <c r="T555" s="18">
        <v>40</v>
      </c>
      <c r="U555" s="18">
        <v>45</v>
      </c>
      <c r="V555" s="18">
        <v>50</v>
      </c>
      <c r="W555" s="18">
        <v>53</v>
      </c>
      <c r="X555" s="18"/>
      <c r="Y555" s="18">
        <v>9.6</v>
      </c>
      <c r="Z555" s="18">
        <v>12.9</v>
      </c>
      <c r="AA555" s="18">
        <v>0.4</v>
      </c>
      <c r="AB555" s="18">
        <v>0.5</v>
      </c>
      <c r="AC555" s="18">
        <v>15</v>
      </c>
      <c r="AD555" s="18">
        <v>5.2999999999999989</v>
      </c>
      <c r="AE555" s="18">
        <v>7.3</v>
      </c>
      <c r="AF555" s="18">
        <v>260</v>
      </c>
      <c r="AG555" s="18">
        <v>6.4</v>
      </c>
      <c r="AH555" s="18">
        <v>76.000000000000014</v>
      </c>
      <c r="AI555" s="18">
        <v>73</v>
      </c>
      <c r="AJ555" s="18">
        <v>0</v>
      </c>
      <c r="AK555" s="18">
        <v>0.11</v>
      </c>
      <c r="AL555" s="18"/>
      <c r="AM555" s="18">
        <v>5.5</v>
      </c>
      <c r="AN555" s="18">
        <v>2</v>
      </c>
      <c r="AO555" s="18">
        <v>2.4900000000000002</v>
      </c>
      <c r="AP555" s="18">
        <v>4.4000000000000004</v>
      </c>
      <c r="AQ555" s="18">
        <v>1.27</v>
      </c>
      <c r="AR555" s="18">
        <v>3.9000000000000101</v>
      </c>
      <c r="AS555" s="18">
        <v>7.1</v>
      </c>
      <c r="AT555" s="18">
        <v>2.79</v>
      </c>
      <c r="AU555" s="18">
        <v>4</v>
      </c>
      <c r="AV555" s="18">
        <v>3.02</v>
      </c>
      <c r="AW555" s="18">
        <v>5.19</v>
      </c>
      <c r="AX555" s="18"/>
      <c r="AY555" s="18">
        <v>1.01</v>
      </c>
      <c r="AZ555" s="18">
        <v>1.1399999999999999</v>
      </c>
      <c r="BA555" s="18">
        <v>1.07</v>
      </c>
      <c r="BB555" s="18">
        <v>1</v>
      </c>
      <c r="BC555" s="18">
        <v>0.99</v>
      </c>
      <c r="BD555" s="18">
        <v>1.03</v>
      </c>
      <c r="BE555" s="18">
        <v>1.07</v>
      </c>
      <c r="BF555" s="18">
        <v>1.0900000000000001</v>
      </c>
      <c r="BG555" s="18">
        <v>1.07</v>
      </c>
      <c r="BH555" s="18">
        <v>1.04</v>
      </c>
      <c r="BI555" s="18">
        <v>1.01</v>
      </c>
      <c r="BJ555" s="19"/>
      <c r="BK555" s="18">
        <v>38.4</v>
      </c>
      <c r="BL555" s="18">
        <v>5.5556000000000001</v>
      </c>
      <c r="BM555" s="18">
        <v>7.8</v>
      </c>
      <c r="BN555" s="18">
        <v>14.5</v>
      </c>
      <c r="BO555" s="18"/>
      <c r="BP555" s="18">
        <v>115</v>
      </c>
      <c r="BQ555" s="18">
        <v>63.889399999999995</v>
      </c>
      <c r="BR555" s="18">
        <v>0.89943510685249661</v>
      </c>
      <c r="BS555" s="18">
        <v>0.96087009536178114</v>
      </c>
      <c r="BT555" s="19"/>
      <c r="BU555" s="18">
        <v>922</v>
      </c>
      <c r="BV555" s="18">
        <v>103.375537142857</v>
      </c>
      <c r="BW555" s="18">
        <v>231.81714285714332</v>
      </c>
      <c r="BX555" s="18">
        <v>19.000000000000004</v>
      </c>
      <c r="BY555" s="18">
        <v>82</v>
      </c>
      <c r="BZ555" s="18">
        <v>53.487603428571553</v>
      </c>
      <c r="CA555" s="18">
        <v>303.09641942857223</v>
      </c>
      <c r="CB555" s="19"/>
      <c r="CC555" s="19">
        <v>8.64</v>
      </c>
      <c r="CD555" s="19">
        <v>11.610000000000001</v>
      </c>
      <c r="CE555" s="19">
        <v>0.36000000000000004</v>
      </c>
      <c r="CF555" s="19">
        <v>0.45</v>
      </c>
      <c r="CG555" s="19">
        <v>13.5</v>
      </c>
      <c r="CH555" s="19">
        <v>4.7699999999999996</v>
      </c>
      <c r="CI555" s="19">
        <v>6.57</v>
      </c>
      <c r="CJ555" s="19"/>
      <c r="CK555" s="19">
        <v>234</v>
      </c>
      <c r="CL555" s="19">
        <v>5.7600000000000007</v>
      </c>
      <c r="CM555" s="19">
        <v>68.40000000000002</v>
      </c>
      <c r="CN555" s="19">
        <v>65.7</v>
      </c>
      <c r="CO555" s="19">
        <v>0</v>
      </c>
      <c r="CP555" s="19">
        <v>9.9000000000000005E-2</v>
      </c>
      <c r="CQ555" s="19">
        <v>262.65600000000001</v>
      </c>
      <c r="CR555" s="19">
        <v>324.47032340250922</v>
      </c>
      <c r="HM555" s="620">
        <f t="shared" ref="HM555:HU555" si="490">HM185</f>
        <v>0.51300000000000001</v>
      </c>
      <c r="HN555" s="620">
        <f t="shared" si="490"/>
        <v>8.9999999999999993E-3</v>
      </c>
      <c r="HO555" s="620">
        <f t="shared" si="490"/>
        <v>0.32600000000000001</v>
      </c>
      <c r="HP555" s="620">
        <f t="shared" si="490"/>
        <v>0.05</v>
      </c>
      <c r="HQ555" s="620">
        <f t="shared" si="490"/>
        <v>4</v>
      </c>
      <c r="HR555" s="620">
        <f t="shared" si="490"/>
        <v>3.8999999999999998E-3</v>
      </c>
      <c r="HS555" s="620">
        <f t="shared" si="490"/>
        <v>2.2799999999999998</v>
      </c>
      <c r="HT555" s="620">
        <f t="shared" si="490"/>
        <v>0</v>
      </c>
      <c r="HU555" s="620" t="str">
        <f t="shared" si="490"/>
        <v>offfarm</v>
      </c>
      <c r="HV555" s="22" t="s">
        <v>838</v>
      </c>
      <c r="IB555" s="11">
        <f t="shared" ref="IB555:II555" si="491">IB185</f>
        <v>0.51300000000000001</v>
      </c>
      <c r="IC555" s="11">
        <f t="shared" si="491"/>
        <v>8.9999999999999993E-3</v>
      </c>
      <c r="ID555" s="11">
        <f t="shared" si="491"/>
        <v>0.32600000000000001</v>
      </c>
      <c r="IE555" s="11">
        <f t="shared" si="491"/>
        <v>0.05</v>
      </c>
      <c r="IF555" s="11">
        <f t="shared" si="491"/>
        <v>4</v>
      </c>
      <c r="IG555" s="11">
        <f t="shared" si="491"/>
        <v>3.8999999999999998E-3</v>
      </c>
      <c r="IH555" s="11">
        <f t="shared" si="491"/>
        <v>2.2799999999999998</v>
      </c>
      <c r="II555" s="11">
        <f t="shared" si="491"/>
        <v>0</v>
      </c>
    </row>
    <row r="556" spans="4:244" x14ac:dyDescent="0.25">
      <c r="D556" s="20" t="s">
        <v>1163</v>
      </c>
      <c r="E556" s="14">
        <v>42695</v>
      </c>
      <c r="F556" s="18">
        <v>0.89144277100270997</v>
      </c>
      <c r="G556" s="18">
        <v>0.94997746662337601</v>
      </c>
      <c r="H556" s="21">
        <v>80.5</v>
      </c>
      <c r="I556" s="21">
        <v>60.4</v>
      </c>
      <c r="J556" s="21">
        <v>86</v>
      </c>
      <c r="K556" s="18">
        <v>1</v>
      </c>
      <c r="L556" s="18">
        <v>88.9</v>
      </c>
      <c r="M556" s="18">
        <v>31.114999999999998</v>
      </c>
      <c r="N556" s="18">
        <v>9.3345000000000002</v>
      </c>
      <c r="O556" s="18">
        <v>6.2229999999999999</v>
      </c>
      <c r="P556" s="18">
        <v>12.0015</v>
      </c>
      <c r="Q556" s="19"/>
      <c r="R556" s="18">
        <v>76</v>
      </c>
      <c r="S556" s="18">
        <v>27</v>
      </c>
      <c r="T556" s="18">
        <v>40</v>
      </c>
      <c r="U556" s="18">
        <v>45</v>
      </c>
      <c r="V556" s="18">
        <v>50</v>
      </c>
      <c r="W556" s="18">
        <v>53</v>
      </c>
      <c r="X556" s="18"/>
      <c r="Y556" s="18">
        <v>8.6</v>
      </c>
      <c r="Z556" s="18">
        <v>12.200000000000001</v>
      </c>
      <c r="AA556" s="18">
        <v>0.1</v>
      </c>
      <c r="AB556" s="18">
        <v>0.5</v>
      </c>
      <c r="AC556" s="18">
        <v>13.5</v>
      </c>
      <c r="AD556" s="18">
        <v>4.8999999999999995</v>
      </c>
      <c r="AE556" s="18">
        <v>6.7000000000000011</v>
      </c>
      <c r="AF556" s="18">
        <v>220</v>
      </c>
      <c r="AG556" s="18">
        <v>6.5</v>
      </c>
      <c r="AH556" s="18">
        <v>67</v>
      </c>
      <c r="AI556" s="18">
        <v>57.999999999999993</v>
      </c>
      <c r="AJ556" s="18">
        <v>0</v>
      </c>
      <c r="AK556" s="18">
        <v>0.10999999999999999</v>
      </c>
      <c r="AL556" s="18"/>
      <c r="AM556" s="18">
        <v>5.5000000000000098</v>
      </c>
      <c r="AN556" s="18">
        <v>2</v>
      </c>
      <c r="AO556" s="18">
        <v>2.4900000000000002</v>
      </c>
      <c r="AP556" s="18">
        <v>4.4000000000000004</v>
      </c>
      <c r="AQ556" s="18">
        <v>1.27</v>
      </c>
      <c r="AR556" s="18">
        <v>3.9000000000000101</v>
      </c>
      <c r="AS556" s="18">
        <v>7.1</v>
      </c>
      <c r="AT556" s="18">
        <v>2.79</v>
      </c>
      <c r="AU556" s="18">
        <v>4</v>
      </c>
      <c r="AV556" s="18">
        <v>3.02</v>
      </c>
      <c r="AW556" s="18">
        <v>5.19</v>
      </c>
      <c r="AX556" s="18"/>
      <c r="AY556" s="18">
        <v>1.01</v>
      </c>
      <c r="AZ556" s="18">
        <v>1.1399999999999999</v>
      </c>
      <c r="BA556" s="18">
        <v>1.07</v>
      </c>
      <c r="BB556" s="18">
        <v>1</v>
      </c>
      <c r="BC556" s="18">
        <v>0.99</v>
      </c>
      <c r="BD556" s="18">
        <v>1.03</v>
      </c>
      <c r="BE556" s="18">
        <v>1.07</v>
      </c>
      <c r="BF556" s="18">
        <v>1.0900000000000001</v>
      </c>
      <c r="BG556" s="18">
        <v>1.07</v>
      </c>
      <c r="BH556" s="18">
        <v>1.04</v>
      </c>
      <c r="BI556" s="18">
        <v>1.01</v>
      </c>
      <c r="BJ556" s="19"/>
      <c r="BK556" s="18">
        <v>35</v>
      </c>
      <c r="BL556" s="18">
        <v>10.5</v>
      </c>
      <c r="BM556" s="18">
        <v>6.9999999999999991</v>
      </c>
      <c r="BN556" s="18">
        <v>13.5</v>
      </c>
      <c r="BO556" s="18"/>
      <c r="BP556" s="18">
        <v>115</v>
      </c>
      <c r="BQ556" s="18">
        <v>120.74999999999999</v>
      </c>
      <c r="BR556" s="18">
        <v>1.0027477739063104</v>
      </c>
      <c r="BS556" s="18">
        <v>1.0685910760667896</v>
      </c>
      <c r="BT556" s="19"/>
      <c r="BU556" s="18">
        <v>929.99999999999989</v>
      </c>
      <c r="BV556" s="18">
        <v>61.257142857142853</v>
      </c>
      <c r="BW556" s="18">
        <v>267.04285714285714</v>
      </c>
      <c r="BX556" s="18" t="s">
        <v>217</v>
      </c>
      <c r="BY556" s="18" t="s">
        <v>217</v>
      </c>
      <c r="BZ556" s="18">
        <v>59.751428571428569</v>
      </c>
      <c r="CA556" s="18">
        <v>338.59142857142859</v>
      </c>
      <c r="CB556" s="19"/>
      <c r="CC556" s="19">
        <v>7.6453999999999995</v>
      </c>
      <c r="CD556" s="19">
        <v>10.845800000000001</v>
      </c>
      <c r="CE556" s="19">
        <v>8.8900000000000007E-2</v>
      </c>
      <c r="CF556" s="19">
        <v>0.44450000000000001</v>
      </c>
      <c r="CG556" s="19">
        <v>12.0015</v>
      </c>
      <c r="CH556" s="19">
        <v>4.3560999999999996</v>
      </c>
      <c r="CI556" s="19">
        <v>5.9563000000000006</v>
      </c>
      <c r="CJ556" s="19"/>
      <c r="CK556" s="19">
        <v>195.58</v>
      </c>
      <c r="CL556" s="19">
        <v>5.7785000000000002</v>
      </c>
      <c r="CM556" s="19">
        <v>59.563000000000002</v>
      </c>
      <c r="CN556" s="19">
        <v>51.561999999999998</v>
      </c>
      <c r="CO556" s="19">
        <v>0</v>
      </c>
      <c r="CP556" s="19">
        <v>9.7789999999999988E-2</v>
      </c>
      <c r="CQ556" s="19">
        <v>236.47399999999999</v>
      </c>
      <c r="CR556" s="19">
        <v>265.27109500704125</v>
      </c>
      <c r="HM556" s="620">
        <f t="shared" ref="HM556:HU556" si="492">HM186</f>
        <v>0.51300000000000001</v>
      </c>
      <c r="HN556" s="620">
        <f t="shared" si="492"/>
        <v>8.9999999999999993E-3</v>
      </c>
      <c r="HO556" s="620">
        <f t="shared" si="492"/>
        <v>0.32600000000000001</v>
      </c>
      <c r="HP556" s="620">
        <f t="shared" si="492"/>
        <v>0.05</v>
      </c>
      <c r="HQ556" s="620">
        <f t="shared" si="492"/>
        <v>4</v>
      </c>
      <c r="HR556" s="620">
        <f t="shared" si="492"/>
        <v>3.8999999999999998E-3</v>
      </c>
      <c r="HS556" s="620">
        <f t="shared" si="492"/>
        <v>2.2799999999999998</v>
      </c>
      <c r="HT556" s="620">
        <f t="shared" si="492"/>
        <v>0</v>
      </c>
      <c r="HU556" s="620" t="str">
        <f t="shared" si="492"/>
        <v>offfarm</v>
      </c>
      <c r="HV556" s="22" t="s">
        <v>838</v>
      </c>
      <c r="IB556" s="11">
        <f t="shared" ref="IB556:II556" si="493">IB186</f>
        <v>0.51300000000000001</v>
      </c>
      <c r="IC556" s="11">
        <f t="shared" si="493"/>
        <v>8.9999999999999993E-3</v>
      </c>
      <c r="ID556" s="11">
        <f t="shared" si="493"/>
        <v>0.32600000000000001</v>
      </c>
      <c r="IE556" s="11">
        <f t="shared" si="493"/>
        <v>0.05</v>
      </c>
      <c r="IF556" s="11">
        <f t="shared" si="493"/>
        <v>4</v>
      </c>
      <c r="IG556" s="11">
        <f t="shared" si="493"/>
        <v>3.8999999999999998E-3</v>
      </c>
      <c r="IH556" s="11">
        <f t="shared" si="493"/>
        <v>2.2799999999999998</v>
      </c>
      <c r="II556" s="11">
        <f t="shared" si="493"/>
        <v>0</v>
      </c>
    </row>
    <row r="557" spans="4:244" x14ac:dyDescent="0.25">
      <c r="D557" s="20" t="s">
        <v>1164</v>
      </c>
      <c r="E557" s="14">
        <v>42695</v>
      </c>
      <c r="F557" s="18">
        <v>0.73206973199574199</v>
      </c>
      <c r="G557" s="18">
        <v>0.79725024696185498</v>
      </c>
      <c r="H557" s="21">
        <v>79</v>
      </c>
      <c r="I557" s="21">
        <v>59.300007000000001</v>
      </c>
      <c r="J557" s="21">
        <v>86</v>
      </c>
      <c r="K557" s="18">
        <v>1</v>
      </c>
      <c r="L557" s="18">
        <v>88.78</v>
      </c>
      <c r="M557" s="18">
        <v>34.313470000000002</v>
      </c>
      <c r="N557" s="18">
        <v>4.0661240000000003</v>
      </c>
      <c r="O557" s="18">
        <v>7.2622039999999997</v>
      </c>
      <c r="P557" s="18">
        <v>13.547828000000001</v>
      </c>
      <c r="Q557" s="19"/>
      <c r="R557" s="18">
        <v>76</v>
      </c>
      <c r="S557" s="18">
        <v>27</v>
      </c>
      <c r="T557" s="18">
        <v>40</v>
      </c>
      <c r="U557" s="18">
        <v>45</v>
      </c>
      <c r="V557" s="18">
        <v>50</v>
      </c>
      <c r="W557" s="18">
        <v>53</v>
      </c>
      <c r="X557" s="18"/>
      <c r="Y557" s="18">
        <v>8.3352106330254561</v>
      </c>
      <c r="Z557" s="18">
        <v>11.826988060373958</v>
      </c>
      <c r="AA557" s="18">
        <v>0.4</v>
      </c>
      <c r="AB557" s="18">
        <v>0</v>
      </c>
      <c r="AC557" s="18">
        <v>15</v>
      </c>
      <c r="AD557" s="18">
        <v>5.3</v>
      </c>
      <c r="AE557" s="18">
        <v>7.2999999999999989</v>
      </c>
      <c r="AF557" s="18">
        <v>260</v>
      </c>
      <c r="AG557" s="18">
        <v>6.4</v>
      </c>
      <c r="AH557" s="18">
        <v>76</v>
      </c>
      <c r="AI557" s="18">
        <v>73</v>
      </c>
      <c r="AJ557" s="18">
        <v>0</v>
      </c>
      <c r="AK557" s="18">
        <v>0.09</v>
      </c>
      <c r="AL557" s="18"/>
      <c r="AM557" s="18">
        <v>5.5</v>
      </c>
      <c r="AN557" s="18">
        <v>2</v>
      </c>
      <c r="AO557" s="18">
        <v>2.4900000000000002</v>
      </c>
      <c r="AP557" s="18">
        <v>4.3999999999999897</v>
      </c>
      <c r="AQ557" s="18">
        <v>1.27</v>
      </c>
      <c r="AR557" s="18">
        <v>3.9</v>
      </c>
      <c r="AS557" s="18">
        <v>7.1</v>
      </c>
      <c r="AT557" s="18">
        <v>2.79</v>
      </c>
      <c r="AU557" s="18">
        <v>4</v>
      </c>
      <c r="AV557" s="18">
        <v>3.02</v>
      </c>
      <c r="AW557" s="18">
        <v>5.1899999999999897</v>
      </c>
      <c r="AX557" s="18"/>
      <c r="AY557" s="18">
        <v>1.01</v>
      </c>
      <c r="AZ557" s="18">
        <v>1.1399999999999999</v>
      </c>
      <c r="BA557" s="18">
        <v>1.07</v>
      </c>
      <c r="BB557" s="18">
        <v>1</v>
      </c>
      <c r="BC557" s="18">
        <v>0.99</v>
      </c>
      <c r="BD557" s="18">
        <v>1.03</v>
      </c>
      <c r="BE557" s="18">
        <v>1.07</v>
      </c>
      <c r="BF557" s="18">
        <v>1.0900000000000001</v>
      </c>
      <c r="BG557" s="18">
        <v>1.07</v>
      </c>
      <c r="BH557" s="18">
        <v>1.04</v>
      </c>
      <c r="BI557" s="18">
        <v>1.01</v>
      </c>
      <c r="BJ557" s="19"/>
      <c r="BK557" s="18">
        <v>38.65</v>
      </c>
      <c r="BL557" s="18">
        <v>4.58</v>
      </c>
      <c r="BM557" s="18">
        <v>8.18</v>
      </c>
      <c r="BN557" s="18">
        <v>15.260000000000002</v>
      </c>
      <c r="BO557" s="18"/>
      <c r="BP557" s="18">
        <v>116</v>
      </c>
      <c r="BQ557" s="18">
        <v>53.128</v>
      </c>
      <c r="BR557" s="18">
        <v>0.82458856949283843</v>
      </c>
      <c r="BS557" s="18">
        <v>0.89800658589981408</v>
      </c>
      <c r="BT557" s="19"/>
      <c r="BU557" s="18">
        <v>918.2</v>
      </c>
      <c r="BV557" s="18">
        <v>70.82928571428566</v>
      </c>
      <c r="BW557" s="18">
        <v>258.40762246571416</v>
      </c>
      <c r="BX557" s="18" t="s">
        <v>217</v>
      </c>
      <c r="BY557" s="18" t="s">
        <v>217</v>
      </c>
      <c r="BZ557" s="18">
        <v>59.361857142857055</v>
      </c>
      <c r="CA557" s="18">
        <v>336.38385714285647</v>
      </c>
      <c r="CB557" s="19"/>
      <c r="CC557" s="19">
        <v>7.4</v>
      </c>
      <c r="CD557" s="19">
        <v>10.5</v>
      </c>
      <c r="CE557" s="19">
        <v>0.35512000000000005</v>
      </c>
      <c r="CF557" s="19">
        <v>0</v>
      </c>
      <c r="CG557" s="19">
        <v>13.317</v>
      </c>
      <c r="CH557" s="19">
        <v>4.7053399999999996</v>
      </c>
      <c r="CI557" s="19">
        <v>6.4809399999999995</v>
      </c>
      <c r="CJ557" s="19"/>
      <c r="CK557" s="19">
        <v>230.828</v>
      </c>
      <c r="CL557" s="19">
        <v>5.6819200000000007</v>
      </c>
      <c r="CM557" s="19">
        <v>67.472800000000007</v>
      </c>
      <c r="CN557" s="19">
        <v>64.809399999999997</v>
      </c>
      <c r="CO557" s="19">
        <v>0</v>
      </c>
      <c r="CP557" s="19">
        <v>7.9902000000000001E-2</v>
      </c>
      <c r="CQ557" s="19">
        <v>260.78237200000001</v>
      </c>
      <c r="CR557" s="19">
        <v>356.22613612102845</v>
      </c>
      <c r="HM557" s="620">
        <f t="shared" ref="HM557:HU557" si="494">HM187</f>
        <v>0.51300000000000001</v>
      </c>
      <c r="HN557" s="620">
        <f t="shared" si="494"/>
        <v>8.9999999999999993E-3</v>
      </c>
      <c r="HO557" s="620">
        <f t="shared" si="494"/>
        <v>0.32600000000000001</v>
      </c>
      <c r="HP557" s="620">
        <f t="shared" si="494"/>
        <v>0.05</v>
      </c>
      <c r="HQ557" s="620">
        <f t="shared" si="494"/>
        <v>4</v>
      </c>
      <c r="HR557" s="620">
        <f t="shared" si="494"/>
        <v>3.8999999999999998E-3</v>
      </c>
      <c r="HS557" s="620">
        <f t="shared" si="494"/>
        <v>2.2799999999999998</v>
      </c>
      <c r="HT557" s="620">
        <f t="shared" si="494"/>
        <v>0</v>
      </c>
      <c r="HU557" s="620" t="str">
        <f t="shared" si="494"/>
        <v>offfarm</v>
      </c>
      <c r="HV557" s="22" t="s">
        <v>838</v>
      </c>
      <c r="IB557" s="11">
        <f t="shared" ref="IB557:II557" si="495">IB187</f>
        <v>0.51300000000000001</v>
      </c>
      <c r="IC557" s="11">
        <f t="shared" si="495"/>
        <v>8.9999999999999993E-3</v>
      </c>
      <c r="ID557" s="11">
        <f t="shared" si="495"/>
        <v>0.32600000000000001</v>
      </c>
      <c r="IE557" s="11">
        <f t="shared" si="495"/>
        <v>0.05</v>
      </c>
      <c r="IF557" s="11">
        <f t="shared" si="495"/>
        <v>4</v>
      </c>
      <c r="IG557" s="11">
        <f t="shared" si="495"/>
        <v>3.8999999999999998E-3</v>
      </c>
      <c r="IH557" s="11">
        <f t="shared" si="495"/>
        <v>2.2799999999999998</v>
      </c>
      <c r="II557" s="11">
        <f t="shared" si="495"/>
        <v>0</v>
      </c>
    </row>
    <row r="558" spans="4:244" x14ac:dyDescent="0.25">
      <c r="D558" s="185" t="s">
        <v>1313</v>
      </c>
      <c r="E558" s="14">
        <v>42694</v>
      </c>
      <c r="F558" s="18">
        <v>8.8104758240325001E-2</v>
      </c>
      <c r="G558" s="18">
        <v>8.4706997112623E-2</v>
      </c>
      <c r="H558" s="21">
        <v>99</v>
      </c>
      <c r="I558" s="21">
        <v>98</v>
      </c>
      <c r="J558" s="21">
        <v>98.981374793096293</v>
      </c>
      <c r="K558" s="18">
        <v>0.99046698256273802</v>
      </c>
      <c r="L558" s="18">
        <v>5</v>
      </c>
      <c r="M558" s="18">
        <v>1.72</v>
      </c>
      <c r="N558" s="18">
        <v>0.96499999999999997</v>
      </c>
      <c r="O558" s="18">
        <v>0.42049999999999998</v>
      </c>
      <c r="P558" s="18">
        <v>0</v>
      </c>
      <c r="Q558" s="19"/>
      <c r="R558" s="18">
        <v>89.5</v>
      </c>
      <c r="S558" s="18">
        <v>54</v>
      </c>
      <c r="T558" s="18">
        <v>54</v>
      </c>
      <c r="U558" s="18">
        <v>54</v>
      </c>
      <c r="V558" s="18">
        <v>54</v>
      </c>
      <c r="W558" s="18">
        <v>54</v>
      </c>
      <c r="X558" s="18"/>
      <c r="Y558" s="18">
        <v>9.4</v>
      </c>
      <c r="Z558" s="18">
        <v>7.5</v>
      </c>
      <c r="AA558" s="18">
        <v>3.4</v>
      </c>
      <c r="AB558" s="18">
        <v>0.85007331539028996</v>
      </c>
      <c r="AC558" s="18">
        <v>10.4</v>
      </c>
      <c r="AD558" s="18">
        <v>0.9</v>
      </c>
      <c r="AE558" s="18">
        <v>3.2262606865684398</v>
      </c>
      <c r="AF558" s="18">
        <v>8.4967822299933609</v>
      </c>
      <c r="AG558" s="18">
        <v>3.9708961632940203</v>
      </c>
      <c r="AH558" s="18">
        <v>2.0510997980681198</v>
      </c>
      <c r="AI558" s="18">
        <v>42.620305452160999</v>
      </c>
      <c r="AJ558" s="18">
        <v>0</v>
      </c>
      <c r="AK558" s="18">
        <v>0.125912016154552</v>
      </c>
      <c r="AL558" s="18"/>
      <c r="AM558" s="18">
        <v>7.8424772440414801</v>
      </c>
      <c r="AN558" s="18">
        <v>2.4507238025786902</v>
      </c>
      <c r="AO558" s="18">
        <v>0.872159635435106</v>
      </c>
      <c r="AP558" s="18">
        <v>4.4670890731962096</v>
      </c>
      <c r="AQ558" s="18">
        <v>1.2980895787062801</v>
      </c>
      <c r="AR558" s="18">
        <v>5.7098137479309603</v>
      </c>
      <c r="AS558" s="18">
        <v>9.9646121068829103</v>
      </c>
      <c r="AT558" s="18">
        <v>2.83889590447076</v>
      </c>
      <c r="AU558" s="18">
        <v>4.78846578860467</v>
      </c>
      <c r="AV558" s="18">
        <v>4.8558006479101303</v>
      </c>
      <c r="AW558" s="18">
        <v>6.6879646441255796</v>
      </c>
      <c r="AX558" s="18"/>
      <c r="AY558" s="18">
        <v>0.96</v>
      </c>
      <c r="AZ558" s="18">
        <v>1.04</v>
      </c>
      <c r="BA558" s="18">
        <v>1.04</v>
      </c>
      <c r="BB558" s="18">
        <v>1.02</v>
      </c>
      <c r="BC558" s="18">
        <v>1.04</v>
      </c>
      <c r="BD558" s="18">
        <v>1.03</v>
      </c>
      <c r="BE558" s="18">
        <v>1.06</v>
      </c>
      <c r="BF558" s="18">
        <v>1.03</v>
      </c>
      <c r="BG558" s="18">
        <v>1.03</v>
      </c>
      <c r="BH558" s="18">
        <v>1.03</v>
      </c>
      <c r="BI558" s="18">
        <v>1.02</v>
      </c>
      <c r="BJ558" s="19"/>
      <c r="BK558" s="18">
        <v>34.4</v>
      </c>
      <c r="BL558" s="18">
        <v>19.3</v>
      </c>
      <c r="BM558" s="18">
        <v>8.41</v>
      </c>
      <c r="BN558" s="18">
        <v>0</v>
      </c>
      <c r="BO558" s="18"/>
      <c r="BP558" s="18">
        <v>34</v>
      </c>
      <c r="BQ558" s="18">
        <v>65.62</v>
      </c>
      <c r="BR558" s="18">
        <v>1.7620951648065</v>
      </c>
      <c r="BS558" s="18">
        <v>1.6941399422524601</v>
      </c>
      <c r="BT558" s="19"/>
      <c r="BU558" s="18">
        <v>915.9</v>
      </c>
      <c r="BV558" s="18">
        <v>393.40671428571397</v>
      </c>
      <c r="BW558" s="18">
        <v>13.084285714285699</v>
      </c>
      <c r="BX558" s="18">
        <v>0</v>
      </c>
      <c r="BY558" s="18">
        <v>478.24570177367394</v>
      </c>
      <c r="BZ558" s="18">
        <v>0</v>
      </c>
      <c r="CA558" s="18">
        <v>0</v>
      </c>
      <c r="CB558" s="19"/>
      <c r="CC558" s="19">
        <v>0.47000000000000003</v>
      </c>
      <c r="CD558" s="19">
        <v>0.375</v>
      </c>
      <c r="CE558" s="19">
        <v>0.17</v>
      </c>
      <c r="CF558" s="19">
        <v>4.2503665769514504E-2</v>
      </c>
      <c r="CG558" s="19">
        <v>0.52</v>
      </c>
      <c r="CH558" s="19">
        <v>4.5000000000000005E-2</v>
      </c>
      <c r="CI558" s="19">
        <v>0.16131303432842201</v>
      </c>
      <c r="CJ558" s="19"/>
      <c r="CK558" s="19">
        <v>0.42483911149966808</v>
      </c>
      <c r="CL558" s="19">
        <v>0.19854480816470102</v>
      </c>
      <c r="CM558" s="19">
        <v>0.102554989903406</v>
      </c>
      <c r="CN558" s="19">
        <v>2.13101527260805</v>
      </c>
      <c r="CO558" s="19">
        <v>0</v>
      </c>
      <c r="CP558" s="19">
        <v>6.2956008077276002E-3</v>
      </c>
      <c r="CQ558" s="19">
        <v>15.394</v>
      </c>
      <c r="CR558" s="19">
        <v>174.72382090884918</v>
      </c>
      <c r="HM558" s="620">
        <f t="shared" ref="HM558:HU558" si="496">HM188</f>
        <v>0</v>
      </c>
      <c r="HN558" s="620">
        <f t="shared" si="496"/>
        <v>0</v>
      </c>
      <c r="HO558" s="620">
        <f t="shared" si="496"/>
        <v>0</v>
      </c>
      <c r="HP558" s="620">
        <f t="shared" si="496"/>
        <v>0</v>
      </c>
      <c r="HQ558" s="620">
        <f t="shared" si="496"/>
        <v>0</v>
      </c>
      <c r="HR558" s="620">
        <f t="shared" si="496"/>
        <v>0</v>
      </c>
      <c r="HS558" s="620">
        <f t="shared" si="496"/>
        <v>0</v>
      </c>
      <c r="HT558" s="620">
        <f t="shared" si="496"/>
        <v>0</v>
      </c>
      <c r="HU558" s="620" t="str">
        <f t="shared" si="496"/>
        <v>offfarm</v>
      </c>
      <c r="HV558" s="22" t="s">
        <v>2059</v>
      </c>
      <c r="IB558" s="11">
        <f t="shared" ref="IB558:II558" si="497">IB188</f>
        <v>0.47300000000000003</v>
      </c>
      <c r="IC558" s="11">
        <f t="shared" si="497"/>
        <v>0.13</v>
      </c>
      <c r="ID558" s="11">
        <f t="shared" si="497"/>
        <v>0.39100000000000001</v>
      </c>
      <c r="IE558" s="11">
        <f t="shared" si="497"/>
        <v>5.5E-2</v>
      </c>
      <c r="IF558" s="11">
        <f t="shared" si="497"/>
        <v>3.97</v>
      </c>
      <c r="IG558" s="11">
        <f t="shared" si="497"/>
        <v>4.5999999999999999E-3</v>
      </c>
      <c r="IH558" s="11">
        <f t="shared" si="497"/>
        <v>2.73</v>
      </c>
      <c r="II558" s="11">
        <f t="shared" si="497"/>
        <v>0</v>
      </c>
    </row>
    <row r="559" spans="4:244" x14ac:dyDescent="0.25">
      <c r="D559" s="20" t="s">
        <v>1165</v>
      </c>
      <c r="E559" s="14">
        <v>40310</v>
      </c>
      <c r="F559" s="18" t="s">
        <v>217</v>
      </c>
      <c r="G559" s="18" t="s">
        <v>217</v>
      </c>
      <c r="H559" s="21" t="s">
        <v>217</v>
      </c>
      <c r="I559" s="21" t="s">
        <v>217</v>
      </c>
      <c r="J559" s="21">
        <v>90</v>
      </c>
      <c r="K559" s="18">
        <v>1</v>
      </c>
      <c r="L559" s="18">
        <v>88</v>
      </c>
      <c r="M559" s="18">
        <v>11.89999976</v>
      </c>
      <c r="N559" s="18">
        <v>12.90000008</v>
      </c>
      <c r="O559" s="18">
        <v>7.1000001599999996</v>
      </c>
      <c r="P559" s="18">
        <v>4.1000000800000098</v>
      </c>
      <c r="Q559" s="19"/>
      <c r="R559" s="18" t="s">
        <v>217</v>
      </c>
      <c r="S559" s="18" t="s">
        <v>217</v>
      </c>
      <c r="T559" s="18" t="s">
        <v>217</v>
      </c>
      <c r="U559" s="18" t="s">
        <v>217</v>
      </c>
      <c r="V559" s="18" t="s">
        <v>217</v>
      </c>
      <c r="W559" s="18" t="s">
        <v>217</v>
      </c>
      <c r="X559" s="18"/>
      <c r="Y559" s="18">
        <v>0.34090999999999888</v>
      </c>
      <c r="Z559" s="18">
        <v>1.25</v>
      </c>
      <c r="AA559" s="18">
        <v>0</v>
      </c>
      <c r="AB559" s="18">
        <v>0</v>
      </c>
      <c r="AC559" s="18">
        <v>1.0227299999999999</v>
      </c>
      <c r="AD559" s="18">
        <v>0</v>
      </c>
      <c r="AE559" s="18">
        <v>0</v>
      </c>
      <c r="AF559" s="18">
        <v>0</v>
      </c>
      <c r="AG559" s="18">
        <v>0</v>
      </c>
      <c r="AH559" s="18">
        <v>0</v>
      </c>
      <c r="AI559" s="18">
        <v>0</v>
      </c>
      <c r="AJ559" s="18">
        <v>0</v>
      </c>
      <c r="AK559" s="18">
        <v>0</v>
      </c>
      <c r="AL559" s="18"/>
      <c r="AM559" s="18">
        <v>3.63</v>
      </c>
      <c r="AN559" s="18">
        <v>2.67</v>
      </c>
      <c r="AO559" s="18">
        <v>2</v>
      </c>
      <c r="AP559" s="18">
        <v>3.19</v>
      </c>
      <c r="AQ559" s="18">
        <v>1.33</v>
      </c>
      <c r="AR559" s="18">
        <v>4</v>
      </c>
      <c r="AS559" s="18">
        <v>7.93</v>
      </c>
      <c r="AT559" s="18">
        <v>2.37</v>
      </c>
      <c r="AU559" s="18">
        <v>5.1100000000000003</v>
      </c>
      <c r="AV559" s="18">
        <v>4.8099999999999996</v>
      </c>
      <c r="AW559" s="18">
        <v>5.9300000000000104</v>
      </c>
      <c r="AX559" s="18"/>
      <c r="AY559" s="18">
        <v>1</v>
      </c>
      <c r="AZ559" s="18">
        <v>1</v>
      </c>
      <c r="BA559" s="18">
        <v>1</v>
      </c>
      <c r="BB559" s="18">
        <v>1</v>
      </c>
      <c r="BC559" s="18">
        <v>1</v>
      </c>
      <c r="BD559" s="18">
        <v>1</v>
      </c>
      <c r="BE559" s="18">
        <v>1</v>
      </c>
      <c r="BF559" s="18">
        <v>1</v>
      </c>
      <c r="BG559" s="18">
        <v>1</v>
      </c>
      <c r="BH559" s="18">
        <v>1</v>
      </c>
      <c r="BI559" s="18">
        <v>1</v>
      </c>
      <c r="BJ559" s="19"/>
      <c r="BK559" s="18">
        <v>13.522727</v>
      </c>
      <c r="BL559" s="18">
        <v>14.659091</v>
      </c>
      <c r="BM559" s="18">
        <v>8.0681820000000002</v>
      </c>
      <c r="BN559" s="18">
        <v>4.6590910000000108</v>
      </c>
      <c r="BO559" s="18"/>
      <c r="BP559" s="18">
        <v>92</v>
      </c>
      <c r="BQ559" s="18">
        <v>134.8636372</v>
      </c>
      <c r="BR559" s="18" t="s">
        <v>217</v>
      </c>
      <c r="BS559" s="18" t="s">
        <v>217</v>
      </c>
      <c r="BT559" s="19"/>
      <c r="BU559" s="18">
        <v>919.31817999999998</v>
      </c>
      <c r="BV559" s="18" t="s">
        <v>217</v>
      </c>
      <c r="BW559" s="18" t="s">
        <v>217</v>
      </c>
      <c r="BX559" s="18" t="s">
        <v>217</v>
      </c>
      <c r="BY559" s="18" t="s">
        <v>217</v>
      </c>
      <c r="BZ559" s="18" t="s">
        <v>217</v>
      </c>
      <c r="CA559" s="18" t="s">
        <v>217</v>
      </c>
      <c r="CB559" s="19"/>
      <c r="CC559" s="19">
        <v>0.30000079999999901</v>
      </c>
      <c r="CD559" s="19">
        <v>1.1000000000000001</v>
      </c>
      <c r="CE559" s="19">
        <v>0</v>
      </c>
      <c r="CF559" s="19">
        <v>0</v>
      </c>
      <c r="CG559" s="19">
        <v>0.90000239999999998</v>
      </c>
      <c r="CH559" s="19">
        <v>0</v>
      </c>
      <c r="CI559" s="19">
        <v>0</v>
      </c>
      <c r="CJ559" s="19"/>
      <c r="CK559" s="19">
        <v>0</v>
      </c>
      <c r="CL559" s="19">
        <v>0</v>
      </c>
      <c r="CM559" s="19">
        <v>0</v>
      </c>
      <c r="CN559" s="19">
        <v>0</v>
      </c>
      <c r="CO559" s="19">
        <v>0</v>
      </c>
      <c r="CP559" s="19">
        <v>0</v>
      </c>
      <c r="CQ559" s="19">
        <v>0</v>
      </c>
      <c r="CR559" s="19" t="s">
        <v>217</v>
      </c>
      <c r="HM559" s="620">
        <f t="shared" ref="HM559:HU559" si="498">HM189</f>
        <v>0.47300000000000003</v>
      </c>
      <c r="HN559" s="620">
        <f t="shared" si="498"/>
        <v>0.13</v>
      </c>
      <c r="HO559" s="620">
        <f t="shared" si="498"/>
        <v>0.39100000000000001</v>
      </c>
      <c r="HP559" s="620">
        <f t="shared" si="498"/>
        <v>5.5E-2</v>
      </c>
      <c r="HQ559" s="620">
        <f t="shared" si="498"/>
        <v>3.97</v>
      </c>
      <c r="HR559" s="620">
        <f t="shared" si="498"/>
        <v>4.5999999999999999E-3</v>
      </c>
      <c r="HS559" s="620">
        <f t="shared" si="498"/>
        <v>2.73</v>
      </c>
      <c r="HT559" s="620" t="str">
        <f t="shared" si="498"/>
        <v>as barley</v>
      </c>
      <c r="HU559" s="620" t="str">
        <f t="shared" si="498"/>
        <v>offfarm</v>
      </c>
      <c r="HV559" s="22" t="s">
        <v>2060</v>
      </c>
      <c r="IB559" s="11">
        <f t="shared" ref="IB559:II559" si="499">IB189</f>
        <v>0.47300000000000003</v>
      </c>
      <c r="IC559" s="11">
        <f t="shared" si="499"/>
        <v>0.13</v>
      </c>
      <c r="ID559" s="11">
        <f t="shared" si="499"/>
        <v>0.39100000000000001</v>
      </c>
      <c r="IE559" s="11">
        <f t="shared" si="499"/>
        <v>5.5E-2</v>
      </c>
      <c r="IF559" s="11">
        <f t="shared" si="499"/>
        <v>3.97</v>
      </c>
      <c r="IG559" s="11">
        <f t="shared" si="499"/>
        <v>4.5999999999999999E-3</v>
      </c>
      <c r="IH559" s="11">
        <f t="shared" si="499"/>
        <v>2.73</v>
      </c>
      <c r="II559" s="11" t="str">
        <f t="shared" si="499"/>
        <v>as barley</v>
      </c>
      <c r="IJ559" s="11" t="str">
        <f>topdowntables!R20</f>
        <v>rye - on farm</v>
      </c>
    </row>
    <row r="560" spans="4:244" x14ac:dyDescent="0.25">
      <c r="D560" s="20" t="s">
        <v>1171</v>
      </c>
      <c r="E560" s="14">
        <v>42683</v>
      </c>
      <c r="F560" s="18">
        <v>1.09173033294618</v>
      </c>
      <c r="G560" s="18">
        <v>1.08569860111317</v>
      </c>
      <c r="H560" s="21">
        <v>89.6</v>
      </c>
      <c r="I560" s="21">
        <v>82.8</v>
      </c>
      <c r="J560" s="21">
        <v>90</v>
      </c>
      <c r="K560" s="18">
        <v>1</v>
      </c>
      <c r="L560" s="18">
        <v>85</v>
      </c>
      <c r="M560" s="18">
        <v>7.4</v>
      </c>
      <c r="N560" s="18">
        <v>1.7</v>
      </c>
      <c r="O560" s="18">
        <v>1.5</v>
      </c>
      <c r="P560" s="18">
        <v>2.2999999999999998</v>
      </c>
      <c r="Q560" s="19"/>
      <c r="R560" s="18">
        <v>77</v>
      </c>
      <c r="S560" s="18">
        <v>50</v>
      </c>
      <c r="T560" s="18">
        <v>53</v>
      </c>
      <c r="U560" s="18">
        <v>54</v>
      </c>
      <c r="V560" s="18">
        <v>55</v>
      </c>
      <c r="W560" s="18">
        <v>56</v>
      </c>
      <c r="X560" s="18"/>
      <c r="Y560" s="18">
        <v>0.47058823529411764</v>
      </c>
      <c r="Z560" s="18">
        <v>3.0588235294117645</v>
      </c>
      <c r="AA560" s="18">
        <v>0.1</v>
      </c>
      <c r="AB560" s="18">
        <v>0</v>
      </c>
      <c r="AC560" s="18">
        <v>5.6</v>
      </c>
      <c r="AD560" s="18">
        <v>1.1000000000000001</v>
      </c>
      <c r="AE560" s="18">
        <v>1.3</v>
      </c>
      <c r="AF560" s="18">
        <v>34</v>
      </c>
      <c r="AG560" s="18">
        <v>3.5</v>
      </c>
      <c r="AH560" s="18">
        <v>28</v>
      </c>
      <c r="AI560" s="18">
        <v>34</v>
      </c>
      <c r="AJ560" s="18">
        <v>0</v>
      </c>
      <c r="AK560" s="18">
        <v>0.03</v>
      </c>
      <c r="AL560" s="18"/>
      <c r="AM560" s="18">
        <v>3.7</v>
      </c>
      <c r="AN560" s="18">
        <v>1.7</v>
      </c>
      <c r="AO560" s="18">
        <v>2.35</v>
      </c>
      <c r="AP560" s="18">
        <v>3.29</v>
      </c>
      <c r="AQ560" s="18">
        <v>1.07</v>
      </c>
      <c r="AR560" s="18">
        <v>3.48</v>
      </c>
      <c r="AS560" s="18">
        <v>6.28</v>
      </c>
      <c r="AT560" s="18">
        <v>2.2799999999999998</v>
      </c>
      <c r="AU560" s="18">
        <v>4.49</v>
      </c>
      <c r="AV560" s="18">
        <v>2.7</v>
      </c>
      <c r="AW560" s="18">
        <v>4.67</v>
      </c>
      <c r="AX560" s="18"/>
      <c r="AY560" s="18">
        <v>0.97</v>
      </c>
      <c r="AZ560" s="18">
        <v>1.04</v>
      </c>
      <c r="BA560" s="18">
        <v>1.01</v>
      </c>
      <c r="BB560" s="18">
        <v>0.88</v>
      </c>
      <c r="BC560" s="18">
        <v>0.99</v>
      </c>
      <c r="BD560" s="18">
        <v>1</v>
      </c>
      <c r="BE560" s="18">
        <v>1.03</v>
      </c>
      <c r="BF560" s="18">
        <v>1.03</v>
      </c>
      <c r="BG560" s="18">
        <v>1.06</v>
      </c>
      <c r="BH560" s="18">
        <v>1</v>
      </c>
      <c r="BI560" s="18">
        <v>0.99</v>
      </c>
      <c r="BJ560" s="19"/>
      <c r="BK560" s="18">
        <v>8.7058823529411757</v>
      </c>
      <c r="BL560" s="18">
        <v>2</v>
      </c>
      <c r="BM560" s="18">
        <v>1.7647058823529411</v>
      </c>
      <c r="BN560" s="18">
        <v>2.7058823529411762</v>
      </c>
      <c r="BO560" s="18"/>
      <c r="BP560" s="18">
        <v>105</v>
      </c>
      <c r="BQ560" s="18">
        <v>21.000000000000004</v>
      </c>
      <c r="BR560" s="18">
        <v>1.284388626995506</v>
      </c>
      <c r="BS560" s="18">
        <v>1.2772924718978471</v>
      </c>
      <c r="BT560" s="19"/>
      <c r="BU560" s="18">
        <v>982.35294117647061</v>
      </c>
      <c r="BV560" s="18">
        <v>686.13613445378223</v>
      </c>
      <c r="BW560" s="18">
        <v>95.428571428571402</v>
      </c>
      <c r="BX560" s="18">
        <v>612.99999999999989</v>
      </c>
      <c r="BY560" s="18">
        <v>32</v>
      </c>
      <c r="BZ560" s="18">
        <v>39</v>
      </c>
      <c r="CA560" s="18">
        <v>129</v>
      </c>
      <c r="CB560" s="19"/>
      <c r="CC560" s="19">
        <v>0.39999999999999997</v>
      </c>
      <c r="CD560" s="19">
        <v>2.5999999999999996</v>
      </c>
      <c r="CE560" s="19">
        <v>8.5000000000000006E-2</v>
      </c>
      <c r="CF560" s="19">
        <v>0</v>
      </c>
      <c r="CG560" s="19">
        <v>4.76</v>
      </c>
      <c r="CH560" s="19">
        <v>0.93500000000000005</v>
      </c>
      <c r="CI560" s="19">
        <v>1.105</v>
      </c>
      <c r="CJ560" s="19"/>
      <c r="CK560" s="19">
        <v>28.9</v>
      </c>
      <c r="CL560" s="19">
        <v>2.9750000000000001</v>
      </c>
      <c r="CM560" s="19">
        <v>23.8</v>
      </c>
      <c r="CN560" s="19">
        <v>28.9</v>
      </c>
      <c r="CO560" s="19">
        <v>0</v>
      </c>
      <c r="CP560" s="19">
        <v>2.5499999999999998E-2</v>
      </c>
      <c r="CQ560" s="19">
        <v>56.98</v>
      </c>
      <c r="CR560" s="19">
        <v>52.192375974597923</v>
      </c>
      <c r="HM560" s="620">
        <f t="shared" ref="HM560:HU560" si="500">HM190</f>
        <v>0.47300000000000003</v>
      </c>
      <c r="HN560" s="620">
        <f t="shared" si="500"/>
        <v>0.13</v>
      </c>
      <c r="HO560" s="620">
        <f t="shared" si="500"/>
        <v>0.39100000000000001</v>
      </c>
      <c r="HP560" s="620">
        <f t="shared" si="500"/>
        <v>5.5E-2</v>
      </c>
      <c r="HQ560" s="620">
        <f t="shared" si="500"/>
        <v>3.97</v>
      </c>
      <c r="HR560" s="620">
        <f t="shared" si="500"/>
        <v>4.5999999999999999E-3</v>
      </c>
      <c r="HS560" s="620">
        <f t="shared" si="500"/>
        <v>2.73</v>
      </c>
      <c r="HT560" s="620" t="str">
        <f t="shared" si="500"/>
        <v>as barley</v>
      </c>
      <c r="HU560" s="620" t="str">
        <f t="shared" si="500"/>
        <v>offfarm</v>
      </c>
      <c r="HV560" s="22" t="s">
        <v>2061</v>
      </c>
      <c r="IB560" s="11">
        <f t="shared" ref="IB560:II560" si="501">IB190</f>
        <v>0.47300000000000003</v>
      </c>
      <c r="IC560" s="11">
        <f t="shared" si="501"/>
        <v>0.13</v>
      </c>
      <c r="ID560" s="11">
        <f t="shared" si="501"/>
        <v>0.39100000000000001</v>
      </c>
      <c r="IE560" s="11">
        <f t="shared" si="501"/>
        <v>5.5E-2</v>
      </c>
      <c r="IF560" s="11">
        <f t="shared" si="501"/>
        <v>3.97</v>
      </c>
      <c r="IG560" s="11">
        <f t="shared" si="501"/>
        <v>4.5999999999999999E-3</v>
      </c>
      <c r="IH560" s="11">
        <f t="shared" si="501"/>
        <v>2.73</v>
      </c>
      <c r="II560" s="11" t="str">
        <f t="shared" si="501"/>
        <v>as barley</v>
      </c>
      <c r="IJ560" s="11" t="str">
        <f>IJ559</f>
        <v>rye - on farm</v>
      </c>
    </row>
    <row r="561" spans="4:244" x14ac:dyDescent="0.25">
      <c r="D561" s="20" t="s">
        <v>1172</v>
      </c>
      <c r="E561" s="14">
        <v>42683</v>
      </c>
      <c r="F561" s="18">
        <v>1.1002161053039099</v>
      </c>
      <c r="G561" s="18">
        <v>1.09166288682746</v>
      </c>
      <c r="H561" s="21">
        <v>89.6</v>
      </c>
      <c r="I561" s="21">
        <v>83.5</v>
      </c>
      <c r="J561" s="21">
        <v>90</v>
      </c>
      <c r="K561" s="18">
        <v>1</v>
      </c>
      <c r="L561" s="18">
        <v>85</v>
      </c>
      <c r="M561" s="18">
        <v>7.4</v>
      </c>
      <c r="N561" s="18">
        <v>1.7</v>
      </c>
      <c r="O561" s="18">
        <v>1.5</v>
      </c>
      <c r="P561" s="18">
        <v>2.2999999999999998</v>
      </c>
      <c r="Q561" s="19"/>
      <c r="R561" s="18">
        <v>77</v>
      </c>
      <c r="S561" s="18">
        <v>50</v>
      </c>
      <c r="T561" s="18">
        <v>53</v>
      </c>
      <c r="U561" s="18">
        <v>54</v>
      </c>
      <c r="V561" s="18">
        <v>55</v>
      </c>
      <c r="W561" s="18">
        <v>56</v>
      </c>
      <c r="X561" s="18"/>
      <c r="Y561" s="18">
        <v>0.47058823529411764</v>
      </c>
      <c r="Z561" s="18">
        <v>3.0588235294117645</v>
      </c>
      <c r="AA561" s="18">
        <v>0.1</v>
      </c>
      <c r="AB561" s="18">
        <v>0</v>
      </c>
      <c r="AC561" s="18">
        <v>5.6</v>
      </c>
      <c r="AD561" s="18">
        <v>1.1000000000000001</v>
      </c>
      <c r="AE561" s="18">
        <v>1.3</v>
      </c>
      <c r="AF561" s="18">
        <v>34</v>
      </c>
      <c r="AG561" s="18">
        <v>3.5</v>
      </c>
      <c r="AH561" s="18">
        <v>28</v>
      </c>
      <c r="AI561" s="18">
        <v>34</v>
      </c>
      <c r="AJ561" s="18">
        <v>0</v>
      </c>
      <c r="AK561" s="18">
        <v>0.03</v>
      </c>
      <c r="AL561" s="18"/>
      <c r="AM561" s="18">
        <v>3.7</v>
      </c>
      <c r="AN561" s="18">
        <v>1.7</v>
      </c>
      <c r="AO561" s="18">
        <v>2.35</v>
      </c>
      <c r="AP561" s="18">
        <v>3.29</v>
      </c>
      <c r="AQ561" s="18">
        <v>1.07</v>
      </c>
      <c r="AR561" s="18">
        <v>3.48</v>
      </c>
      <c r="AS561" s="18">
        <v>6.28</v>
      </c>
      <c r="AT561" s="18">
        <v>2.2799999999999998</v>
      </c>
      <c r="AU561" s="18">
        <v>4.49</v>
      </c>
      <c r="AV561" s="18">
        <v>2.7</v>
      </c>
      <c r="AW561" s="18">
        <v>4.67</v>
      </c>
      <c r="AX561" s="18"/>
      <c r="AY561" s="18">
        <v>0.97</v>
      </c>
      <c r="AZ561" s="18">
        <v>1.04</v>
      </c>
      <c r="BA561" s="18">
        <v>1.01</v>
      </c>
      <c r="BB561" s="18">
        <v>0.88</v>
      </c>
      <c r="BC561" s="18">
        <v>0.99</v>
      </c>
      <c r="BD561" s="18">
        <v>1</v>
      </c>
      <c r="BE561" s="18">
        <v>1.03</v>
      </c>
      <c r="BF561" s="18">
        <v>1.03</v>
      </c>
      <c r="BG561" s="18">
        <v>1.06</v>
      </c>
      <c r="BH561" s="18">
        <v>1</v>
      </c>
      <c r="BI561" s="18">
        <v>0.99</v>
      </c>
      <c r="BJ561" s="19"/>
      <c r="BK561" s="18">
        <v>8.7058823529411757</v>
      </c>
      <c r="BL561" s="18">
        <v>2</v>
      </c>
      <c r="BM561" s="18">
        <v>1.7647058823529411</v>
      </c>
      <c r="BN561" s="18">
        <v>2.7058823529411762</v>
      </c>
      <c r="BO561" s="18"/>
      <c r="BP561" s="18">
        <v>105</v>
      </c>
      <c r="BQ561" s="18">
        <v>21.000000000000004</v>
      </c>
      <c r="BR561" s="18">
        <v>1.2943718885928353</v>
      </c>
      <c r="BS561" s="18">
        <v>1.2843092786205412</v>
      </c>
      <c r="BT561" s="19"/>
      <c r="BU561" s="18">
        <v>982.35294117647061</v>
      </c>
      <c r="BV561" s="18">
        <v>695.95966386554585</v>
      </c>
      <c r="BW561" s="18">
        <v>85.605042016806593</v>
      </c>
      <c r="BX561" s="18">
        <v>612.99999999999989</v>
      </c>
      <c r="BY561" s="18">
        <v>32</v>
      </c>
      <c r="BZ561" s="18">
        <v>39</v>
      </c>
      <c r="CA561" s="18">
        <v>129</v>
      </c>
      <c r="CB561" s="19"/>
      <c r="CC561" s="19">
        <v>0.39999999999999997</v>
      </c>
      <c r="CD561" s="19">
        <v>2.5999999999999996</v>
      </c>
      <c r="CE561" s="19">
        <v>8.5000000000000006E-2</v>
      </c>
      <c r="CF561" s="19">
        <v>0</v>
      </c>
      <c r="CG561" s="19">
        <v>4.76</v>
      </c>
      <c r="CH561" s="19">
        <v>0.93500000000000005</v>
      </c>
      <c r="CI561" s="19">
        <v>1.105</v>
      </c>
      <c r="CJ561" s="19"/>
      <c r="CK561" s="19">
        <v>28.9</v>
      </c>
      <c r="CL561" s="19">
        <v>2.9750000000000001</v>
      </c>
      <c r="CM561" s="19">
        <v>23.8</v>
      </c>
      <c r="CN561" s="19">
        <v>28.9</v>
      </c>
      <c r="CO561" s="19">
        <v>0</v>
      </c>
      <c r="CP561" s="19">
        <v>2.5499999999999998E-2</v>
      </c>
      <c r="CQ561" s="19">
        <v>56.98</v>
      </c>
      <c r="CR561" s="19">
        <v>51.789825403674271</v>
      </c>
      <c r="HM561" s="620">
        <f t="shared" ref="HM561:HU561" si="502">HM191</f>
        <v>0.47300000000000003</v>
      </c>
      <c r="HN561" s="620">
        <f t="shared" si="502"/>
        <v>0.13</v>
      </c>
      <c r="HO561" s="620">
        <f t="shared" si="502"/>
        <v>0.39100000000000001</v>
      </c>
      <c r="HP561" s="620">
        <f t="shared" si="502"/>
        <v>5.5E-2</v>
      </c>
      <c r="HQ561" s="620">
        <f t="shared" si="502"/>
        <v>3.97</v>
      </c>
      <c r="HR561" s="620">
        <f t="shared" si="502"/>
        <v>4.5999999999999999E-3</v>
      </c>
      <c r="HS561" s="620">
        <f t="shared" si="502"/>
        <v>2.73</v>
      </c>
      <c r="HT561" s="620" t="str">
        <f t="shared" si="502"/>
        <v>as barley</v>
      </c>
      <c r="HU561" s="620" t="str">
        <f t="shared" si="502"/>
        <v>offfarm</v>
      </c>
      <c r="HV561" s="22" t="s">
        <v>2061</v>
      </c>
      <c r="IB561" s="11">
        <f t="shared" ref="IB561:II561" si="503">IB191</f>
        <v>0.47300000000000003</v>
      </c>
      <c r="IC561" s="11">
        <f t="shared" si="503"/>
        <v>0.13</v>
      </c>
      <c r="ID561" s="11">
        <f t="shared" si="503"/>
        <v>0.39100000000000001</v>
      </c>
      <c r="IE561" s="11">
        <f t="shared" si="503"/>
        <v>5.5E-2</v>
      </c>
      <c r="IF561" s="11">
        <f t="shared" si="503"/>
        <v>3.97</v>
      </c>
      <c r="IG561" s="11">
        <f t="shared" si="503"/>
        <v>4.5999999999999999E-3</v>
      </c>
      <c r="IH561" s="11">
        <f t="shared" si="503"/>
        <v>2.73</v>
      </c>
      <c r="II561" s="11" t="str">
        <f t="shared" si="503"/>
        <v>as barley</v>
      </c>
      <c r="IJ561" s="11" t="str">
        <f t="shared" ref="IJ561:IJ569" si="504">IJ560</f>
        <v>rye - on farm</v>
      </c>
    </row>
    <row r="562" spans="4:244" x14ac:dyDescent="0.25">
      <c r="D562" s="20" t="s">
        <v>1173</v>
      </c>
      <c r="E562" s="14">
        <v>42683</v>
      </c>
      <c r="F562" s="18">
        <v>1.09173033294618</v>
      </c>
      <c r="G562" s="18">
        <v>1.08569860111317</v>
      </c>
      <c r="H562" s="21">
        <v>89.6</v>
      </c>
      <c r="I562" s="21">
        <v>82.8</v>
      </c>
      <c r="J562" s="21">
        <v>90</v>
      </c>
      <c r="K562" s="18">
        <v>1</v>
      </c>
      <c r="L562" s="18">
        <v>85</v>
      </c>
      <c r="M562" s="18">
        <v>7.4</v>
      </c>
      <c r="N562" s="18">
        <v>1.7</v>
      </c>
      <c r="O562" s="18">
        <v>1.5</v>
      </c>
      <c r="P562" s="18">
        <v>2.2999999999999998</v>
      </c>
      <c r="Q562" s="19"/>
      <c r="R562" s="18">
        <v>77</v>
      </c>
      <c r="S562" s="18">
        <v>28</v>
      </c>
      <c r="T562" s="18">
        <v>42</v>
      </c>
      <c r="U562" s="18">
        <v>47</v>
      </c>
      <c r="V562" s="18">
        <v>52</v>
      </c>
      <c r="W562" s="18">
        <v>55</v>
      </c>
      <c r="X562" s="18"/>
      <c r="Y562" s="18">
        <v>0.47058823529411764</v>
      </c>
      <c r="Z562" s="18">
        <v>3.0588235294117645</v>
      </c>
      <c r="AA562" s="18">
        <v>0.1</v>
      </c>
      <c r="AB562" s="18">
        <v>0</v>
      </c>
      <c r="AC562" s="18">
        <v>4.9411800000000001</v>
      </c>
      <c r="AD562" s="18">
        <v>1.2</v>
      </c>
      <c r="AE562" s="18">
        <v>0</v>
      </c>
      <c r="AF562" s="18">
        <v>71</v>
      </c>
      <c r="AG562" s="18">
        <v>4.9999999999999885</v>
      </c>
      <c r="AH562" s="18">
        <v>30</v>
      </c>
      <c r="AI562" s="18">
        <v>31</v>
      </c>
      <c r="AJ562" s="18">
        <v>0</v>
      </c>
      <c r="AK562" s="18">
        <v>0.03</v>
      </c>
      <c r="AL562" s="18"/>
      <c r="AM562" s="18">
        <v>3.7</v>
      </c>
      <c r="AN562" s="18">
        <v>1.7</v>
      </c>
      <c r="AO562" s="18">
        <v>2.35</v>
      </c>
      <c r="AP562" s="18">
        <v>3.29</v>
      </c>
      <c r="AQ562" s="18">
        <v>1.07</v>
      </c>
      <c r="AR562" s="18">
        <v>3.48</v>
      </c>
      <c r="AS562" s="18">
        <v>6.28</v>
      </c>
      <c r="AT562" s="18">
        <v>2.2799999999999998</v>
      </c>
      <c r="AU562" s="18">
        <v>4.49</v>
      </c>
      <c r="AV562" s="18">
        <v>2.7</v>
      </c>
      <c r="AW562" s="18">
        <v>4.67</v>
      </c>
      <c r="AX562" s="18"/>
      <c r="AY562" s="18">
        <v>0.97</v>
      </c>
      <c r="AZ562" s="18">
        <v>1.04</v>
      </c>
      <c r="BA562" s="18">
        <v>1.01</v>
      </c>
      <c r="BB562" s="18">
        <v>0.88</v>
      </c>
      <c r="BC562" s="18">
        <v>0.99</v>
      </c>
      <c r="BD562" s="18">
        <v>1</v>
      </c>
      <c r="BE562" s="18">
        <v>1.03</v>
      </c>
      <c r="BF562" s="18">
        <v>1.03</v>
      </c>
      <c r="BG562" s="18">
        <v>1.06</v>
      </c>
      <c r="BH562" s="18">
        <v>1</v>
      </c>
      <c r="BI562" s="18">
        <v>0.99</v>
      </c>
      <c r="BJ562" s="19"/>
      <c r="BK562" s="18">
        <v>8.7058823529411757</v>
      </c>
      <c r="BL562" s="18">
        <v>2</v>
      </c>
      <c r="BM562" s="18">
        <v>1.7647058823529411</v>
      </c>
      <c r="BN562" s="18">
        <v>2.7058823529411762</v>
      </c>
      <c r="BO562" s="18"/>
      <c r="BP562" s="18">
        <v>105</v>
      </c>
      <c r="BQ562" s="18">
        <v>21.000000000000004</v>
      </c>
      <c r="BR562" s="18">
        <v>1.284388626995506</v>
      </c>
      <c r="BS562" s="18">
        <v>1.2772924718978471</v>
      </c>
      <c r="BT562" s="19"/>
      <c r="BU562" s="18">
        <v>982.35294117647061</v>
      </c>
      <c r="BV562" s="18">
        <v>686.13613445378223</v>
      </c>
      <c r="BW562" s="18">
        <v>95.428571428571402</v>
      </c>
      <c r="BX562" s="18">
        <v>612.99999999999989</v>
      </c>
      <c r="BY562" s="18">
        <v>32</v>
      </c>
      <c r="BZ562" s="18">
        <v>39</v>
      </c>
      <c r="CA562" s="18">
        <v>129</v>
      </c>
      <c r="CB562" s="19"/>
      <c r="CC562" s="19">
        <v>0.39999999999999997</v>
      </c>
      <c r="CD562" s="19">
        <v>2.5999999999999996</v>
      </c>
      <c r="CE562" s="19">
        <v>8.5000000000000006E-2</v>
      </c>
      <c r="CF562" s="19">
        <v>0</v>
      </c>
      <c r="CG562" s="19">
        <v>4.2000029999999997</v>
      </c>
      <c r="CH562" s="19">
        <v>1.02</v>
      </c>
      <c r="CI562" s="19">
        <v>0</v>
      </c>
      <c r="CJ562" s="19"/>
      <c r="CK562" s="19">
        <v>60.35</v>
      </c>
      <c r="CL562" s="19">
        <v>4.2499999999999902</v>
      </c>
      <c r="CM562" s="19">
        <v>25.5</v>
      </c>
      <c r="CN562" s="19">
        <v>26.349999999999998</v>
      </c>
      <c r="CO562" s="19">
        <v>0</v>
      </c>
      <c r="CP562" s="19">
        <v>2.5499999999999998E-2</v>
      </c>
      <c r="CQ562" s="19">
        <v>56.98</v>
      </c>
      <c r="CR562" s="19">
        <v>52.192375974597923</v>
      </c>
      <c r="HM562" s="620">
        <f t="shared" ref="HM562:HU562" si="505">HM192</f>
        <v>0.47300000000000003</v>
      </c>
      <c r="HN562" s="620">
        <f t="shared" si="505"/>
        <v>0.13</v>
      </c>
      <c r="HO562" s="620">
        <f t="shared" si="505"/>
        <v>0.39100000000000001</v>
      </c>
      <c r="HP562" s="620">
        <f t="shared" si="505"/>
        <v>5.5E-2</v>
      </c>
      <c r="HQ562" s="620">
        <f t="shared" si="505"/>
        <v>3.97</v>
      </c>
      <c r="HR562" s="620">
        <f t="shared" si="505"/>
        <v>4.5999999999999999E-3</v>
      </c>
      <c r="HS562" s="620">
        <f t="shared" si="505"/>
        <v>2.73</v>
      </c>
      <c r="HT562" s="620" t="str">
        <f t="shared" si="505"/>
        <v>as barley</v>
      </c>
      <c r="HU562" s="620" t="str">
        <f t="shared" si="505"/>
        <v>offfarm</v>
      </c>
      <c r="HV562" s="22" t="s">
        <v>2061</v>
      </c>
      <c r="IB562" s="11">
        <f t="shared" ref="IB562:II562" si="506">IB192</f>
        <v>0.47300000000000003</v>
      </c>
      <c r="IC562" s="11">
        <f t="shared" si="506"/>
        <v>0.13</v>
      </c>
      <c r="ID562" s="11">
        <f t="shared" si="506"/>
        <v>0.39100000000000001</v>
      </c>
      <c r="IE562" s="11">
        <f t="shared" si="506"/>
        <v>5.5E-2</v>
      </c>
      <c r="IF562" s="11">
        <f t="shared" si="506"/>
        <v>3.97</v>
      </c>
      <c r="IG562" s="11">
        <f t="shared" si="506"/>
        <v>4.5999999999999999E-3</v>
      </c>
      <c r="IH562" s="11">
        <f t="shared" si="506"/>
        <v>2.73</v>
      </c>
      <c r="II562" s="11" t="str">
        <f t="shared" si="506"/>
        <v>as barley</v>
      </c>
      <c r="IJ562" s="11" t="str">
        <f t="shared" si="504"/>
        <v>rye - on farm</v>
      </c>
    </row>
    <row r="563" spans="4:244" x14ac:dyDescent="0.25">
      <c r="D563" s="20" t="s">
        <v>1174</v>
      </c>
      <c r="E563" s="14">
        <v>42683</v>
      </c>
      <c r="F563" s="18">
        <v>1.1002161053039099</v>
      </c>
      <c r="G563" s="18">
        <v>1.09166288682746</v>
      </c>
      <c r="H563" s="21">
        <v>89.6</v>
      </c>
      <c r="I563" s="21">
        <v>83.5</v>
      </c>
      <c r="J563" s="21">
        <v>90</v>
      </c>
      <c r="K563" s="18">
        <v>1</v>
      </c>
      <c r="L563" s="18">
        <v>85</v>
      </c>
      <c r="M563" s="18">
        <v>7.4</v>
      </c>
      <c r="N563" s="18">
        <v>1.7</v>
      </c>
      <c r="O563" s="18">
        <v>1.5</v>
      </c>
      <c r="P563" s="18">
        <v>2.2999999999999998</v>
      </c>
      <c r="Q563" s="19"/>
      <c r="R563" s="18">
        <v>77</v>
      </c>
      <c r="S563" s="18">
        <v>28</v>
      </c>
      <c r="T563" s="18">
        <v>42</v>
      </c>
      <c r="U563" s="18">
        <v>47</v>
      </c>
      <c r="V563" s="18">
        <v>52</v>
      </c>
      <c r="W563" s="18">
        <v>55</v>
      </c>
      <c r="X563" s="18"/>
      <c r="Y563" s="18">
        <v>0.47058823529411764</v>
      </c>
      <c r="Z563" s="18">
        <v>3.0588235294117645</v>
      </c>
      <c r="AA563" s="18">
        <v>0.1</v>
      </c>
      <c r="AB563" s="18">
        <v>0</v>
      </c>
      <c r="AC563" s="18">
        <v>4.9411800000000001</v>
      </c>
      <c r="AD563" s="18">
        <v>1.2</v>
      </c>
      <c r="AE563" s="18">
        <v>0</v>
      </c>
      <c r="AF563" s="18">
        <v>71</v>
      </c>
      <c r="AG563" s="18">
        <v>4.9999999999999885</v>
      </c>
      <c r="AH563" s="18">
        <v>30</v>
      </c>
      <c r="AI563" s="18">
        <v>31</v>
      </c>
      <c r="AJ563" s="18">
        <v>0</v>
      </c>
      <c r="AK563" s="18">
        <v>0.03</v>
      </c>
      <c r="AL563" s="18"/>
      <c r="AM563" s="18">
        <v>3.7</v>
      </c>
      <c r="AN563" s="18">
        <v>1.7</v>
      </c>
      <c r="AO563" s="18">
        <v>2.35</v>
      </c>
      <c r="AP563" s="18">
        <v>3.29</v>
      </c>
      <c r="AQ563" s="18">
        <v>1.07</v>
      </c>
      <c r="AR563" s="18">
        <v>3.48</v>
      </c>
      <c r="AS563" s="18">
        <v>6.28</v>
      </c>
      <c r="AT563" s="18">
        <v>2.2799999999999998</v>
      </c>
      <c r="AU563" s="18">
        <v>4.49</v>
      </c>
      <c r="AV563" s="18">
        <v>2.7</v>
      </c>
      <c r="AW563" s="18">
        <v>4.67</v>
      </c>
      <c r="AX563" s="18"/>
      <c r="AY563" s="18">
        <v>0.97</v>
      </c>
      <c r="AZ563" s="18">
        <v>1.04</v>
      </c>
      <c r="BA563" s="18">
        <v>1.01</v>
      </c>
      <c r="BB563" s="18">
        <v>0.88</v>
      </c>
      <c r="BC563" s="18">
        <v>0.99</v>
      </c>
      <c r="BD563" s="18">
        <v>1</v>
      </c>
      <c r="BE563" s="18">
        <v>1.03</v>
      </c>
      <c r="BF563" s="18">
        <v>1.03</v>
      </c>
      <c r="BG563" s="18">
        <v>1.06</v>
      </c>
      <c r="BH563" s="18">
        <v>1</v>
      </c>
      <c r="BI563" s="18">
        <v>0.99</v>
      </c>
      <c r="BJ563" s="19"/>
      <c r="BK563" s="18">
        <v>8.7058823529411757</v>
      </c>
      <c r="BL563" s="18">
        <v>2</v>
      </c>
      <c r="BM563" s="18">
        <v>1.7647058823529411</v>
      </c>
      <c r="BN563" s="18">
        <v>2.7058823529411762</v>
      </c>
      <c r="BO563" s="18"/>
      <c r="BP563" s="18">
        <v>105</v>
      </c>
      <c r="BQ563" s="18">
        <v>21.000000000000004</v>
      </c>
      <c r="BR563" s="18">
        <v>1.2943718885928353</v>
      </c>
      <c r="BS563" s="18">
        <v>1.2843092786205412</v>
      </c>
      <c r="BT563" s="19"/>
      <c r="BU563" s="18">
        <v>982.35294117647061</v>
      </c>
      <c r="BV563" s="18">
        <v>695.95966386554585</v>
      </c>
      <c r="BW563" s="18">
        <v>85.605042016806593</v>
      </c>
      <c r="BX563" s="18">
        <v>612.99999999999989</v>
      </c>
      <c r="BY563" s="18">
        <v>32</v>
      </c>
      <c r="BZ563" s="18">
        <v>39</v>
      </c>
      <c r="CA563" s="18">
        <v>129</v>
      </c>
      <c r="CB563" s="19"/>
      <c r="CC563" s="19">
        <v>0.39999999999999997</v>
      </c>
      <c r="CD563" s="19">
        <v>2.5999999999999996</v>
      </c>
      <c r="CE563" s="19">
        <v>8.5000000000000006E-2</v>
      </c>
      <c r="CF563" s="19">
        <v>0</v>
      </c>
      <c r="CG563" s="19">
        <v>4.2000029999999997</v>
      </c>
      <c r="CH563" s="19">
        <v>1.02</v>
      </c>
      <c r="CI563" s="19">
        <v>0</v>
      </c>
      <c r="CJ563" s="19"/>
      <c r="CK563" s="19">
        <v>60.35</v>
      </c>
      <c r="CL563" s="19">
        <v>4.2499999999999902</v>
      </c>
      <c r="CM563" s="19">
        <v>25.5</v>
      </c>
      <c r="CN563" s="19">
        <v>26.349999999999998</v>
      </c>
      <c r="CO563" s="19">
        <v>0</v>
      </c>
      <c r="CP563" s="19">
        <v>2.5499999999999998E-2</v>
      </c>
      <c r="CQ563" s="19">
        <v>56.98</v>
      </c>
      <c r="CR563" s="19">
        <v>51.789825403674271</v>
      </c>
      <c r="HM563" s="620">
        <f t="shared" ref="HM563:HU563" si="507">HM193</f>
        <v>0.47300000000000003</v>
      </c>
      <c r="HN563" s="620">
        <f t="shared" si="507"/>
        <v>0.13</v>
      </c>
      <c r="HO563" s="620">
        <f t="shared" si="507"/>
        <v>0.39100000000000001</v>
      </c>
      <c r="HP563" s="620">
        <f t="shared" si="507"/>
        <v>5.5E-2</v>
      </c>
      <c r="HQ563" s="620">
        <f t="shared" si="507"/>
        <v>3.97</v>
      </c>
      <c r="HR563" s="620">
        <f t="shared" si="507"/>
        <v>4.5999999999999999E-3</v>
      </c>
      <c r="HS563" s="620">
        <f t="shared" si="507"/>
        <v>2.73</v>
      </c>
      <c r="HT563" s="620" t="str">
        <f t="shared" si="507"/>
        <v>as barley</v>
      </c>
      <c r="HU563" s="620" t="str">
        <f t="shared" si="507"/>
        <v>offfarm</v>
      </c>
      <c r="HV563" s="22" t="s">
        <v>2061</v>
      </c>
      <c r="IB563" s="11">
        <f t="shared" ref="IB563:II563" si="508">IB193</f>
        <v>0.47300000000000003</v>
      </c>
      <c r="IC563" s="11">
        <f t="shared" si="508"/>
        <v>0.13</v>
      </c>
      <c r="ID563" s="11">
        <f t="shared" si="508"/>
        <v>0.39100000000000001</v>
      </c>
      <c r="IE563" s="11">
        <f t="shared" si="508"/>
        <v>5.5E-2</v>
      </c>
      <c r="IF563" s="11">
        <f t="shared" si="508"/>
        <v>3.97</v>
      </c>
      <c r="IG563" s="11">
        <f t="shared" si="508"/>
        <v>4.5999999999999999E-3</v>
      </c>
      <c r="IH563" s="11">
        <f t="shared" si="508"/>
        <v>2.73</v>
      </c>
      <c r="II563" s="11" t="str">
        <f t="shared" si="508"/>
        <v>as barley</v>
      </c>
      <c r="IJ563" s="11" t="str">
        <f t="shared" si="504"/>
        <v>rye - on farm</v>
      </c>
    </row>
    <row r="564" spans="4:244" x14ac:dyDescent="0.25">
      <c r="D564" s="20" t="s">
        <v>1314</v>
      </c>
      <c r="E564" s="14">
        <v>42683</v>
      </c>
      <c r="F564" s="18">
        <v>1.0915497193186201</v>
      </c>
      <c r="G564" s="18">
        <v>1.08454487198516</v>
      </c>
      <c r="H564" s="21">
        <v>89.1</v>
      </c>
      <c r="I564" s="21">
        <v>82.9</v>
      </c>
      <c r="J564" s="21">
        <v>90</v>
      </c>
      <c r="K564" s="18">
        <v>1</v>
      </c>
      <c r="L564" s="18">
        <v>85</v>
      </c>
      <c r="M564" s="18">
        <v>8.1</v>
      </c>
      <c r="N564" s="18">
        <v>1.8</v>
      </c>
      <c r="O564" s="18">
        <v>1.5</v>
      </c>
      <c r="P564" s="18">
        <v>2.2999999999999998</v>
      </c>
      <c r="Q564" s="19"/>
      <c r="R564" s="18">
        <v>77</v>
      </c>
      <c r="S564" s="18">
        <v>50</v>
      </c>
      <c r="T564" s="18">
        <v>53</v>
      </c>
      <c r="U564" s="18">
        <v>54</v>
      </c>
      <c r="V564" s="18">
        <v>55</v>
      </c>
      <c r="W564" s="18">
        <v>56</v>
      </c>
      <c r="X564" s="18"/>
      <c r="Y564" s="18">
        <v>0.50588235294117645</v>
      </c>
      <c r="Z564" s="18">
        <v>3.0588235294117645</v>
      </c>
      <c r="AA564" s="18">
        <v>0.1</v>
      </c>
      <c r="AB564" s="18">
        <v>0</v>
      </c>
      <c r="AC564" s="18">
        <v>4.9411800000000001</v>
      </c>
      <c r="AD564" s="18">
        <v>1.2</v>
      </c>
      <c r="AE564" s="18">
        <v>0</v>
      </c>
      <c r="AF564" s="18">
        <v>71</v>
      </c>
      <c r="AG564" s="18">
        <v>4.9999999999999885</v>
      </c>
      <c r="AH564" s="18">
        <v>30</v>
      </c>
      <c r="AI564" s="18">
        <v>31</v>
      </c>
      <c r="AJ564" s="18">
        <v>0</v>
      </c>
      <c r="AK564" s="18">
        <v>0.03</v>
      </c>
      <c r="AL564" s="18"/>
      <c r="AM564" s="18">
        <v>3.7</v>
      </c>
      <c r="AN564" s="18">
        <v>1.7</v>
      </c>
      <c r="AO564" s="18">
        <v>2.35</v>
      </c>
      <c r="AP564" s="18">
        <v>3.29</v>
      </c>
      <c r="AQ564" s="18">
        <v>1.07</v>
      </c>
      <c r="AR564" s="18">
        <v>3.48</v>
      </c>
      <c r="AS564" s="18">
        <v>6.28</v>
      </c>
      <c r="AT564" s="18">
        <v>2.2799999999999998</v>
      </c>
      <c r="AU564" s="18">
        <v>4.49</v>
      </c>
      <c r="AV564" s="18">
        <v>2.7</v>
      </c>
      <c r="AW564" s="18">
        <v>4.67</v>
      </c>
      <c r="AX564" s="18"/>
      <c r="AY564" s="18">
        <v>0.97</v>
      </c>
      <c r="AZ564" s="18">
        <v>1.04</v>
      </c>
      <c r="BA564" s="18">
        <v>1.01</v>
      </c>
      <c r="BB564" s="18">
        <v>0.88</v>
      </c>
      <c r="BC564" s="18">
        <v>0.99</v>
      </c>
      <c r="BD564" s="18">
        <v>1</v>
      </c>
      <c r="BE564" s="18">
        <v>1.03</v>
      </c>
      <c r="BF564" s="18">
        <v>1.03</v>
      </c>
      <c r="BG564" s="18">
        <v>1.06</v>
      </c>
      <c r="BH564" s="18">
        <v>1</v>
      </c>
      <c r="BI564" s="18">
        <v>0.99</v>
      </c>
      <c r="BJ564" s="19"/>
      <c r="BK564" s="18">
        <v>9.5294117647058822</v>
      </c>
      <c r="BL564" s="18">
        <v>2.1176470588235294</v>
      </c>
      <c r="BM564" s="18">
        <v>1.7647058823529411</v>
      </c>
      <c r="BN564" s="18">
        <v>2.7058823529411762</v>
      </c>
      <c r="BO564" s="18"/>
      <c r="BP564" s="18">
        <v>105</v>
      </c>
      <c r="BQ564" s="18">
        <v>22.235294117647054</v>
      </c>
      <c r="BR564" s="18">
        <v>1.2841761403748471</v>
      </c>
      <c r="BS564" s="18">
        <v>1.275935143511953</v>
      </c>
      <c r="BT564" s="19"/>
      <c r="BU564" s="18">
        <v>982.35294117647061</v>
      </c>
      <c r="BV564" s="18">
        <v>681.00924369747884</v>
      </c>
      <c r="BW564" s="18">
        <v>87.008403361344349</v>
      </c>
      <c r="BX564" s="18">
        <v>612.99999999999989</v>
      </c>
      <c r="BY564" s="18">
        <v>32</v>
      </c>
      <c r="BZ564" s="18">
        <v>39</v>
      </c>
      <c r="CA564" s="18">
        <v>129</v>
      </c>
      <c r="CB564" s="19"/>
      <c r="CC564" s="19">
        <v>0.43</v>
      </c>
      <c r="CD564" s="19">
        <v>2.5999999999999996</v>
      </c>
      <c r="CE564" s="19">
        <v>8.5000000000000006E-2</v>
      </c>
      <c r="CF564" s="19">
        <v>0</v>
      </c>
      <c r="CG564" s="19">
        <v>4.2000029999999997</v>
      </c>
      <c r="CH564" s="19">
        <v>1.02</v>
      </c>
      <c r="CI564" s="19">
        <v>0</v>
      </c>
      <c r="CJ564" s="19"/>
      <c r="CK564" s="19">
        <v>60.35</v>
      </c>
      <c r="CL564" s="19">
        <v>4.2499999999999902</v>
      </c>
      <c r="CM564" s="19">
        <v>25.5</v>
      </c>
      <c r="CN564" s="19">
        <v>26.349999999999998</v>
      </c>
      <c r="CO564" s="19">
        <v>0</v>
      </c>
      <c r="CP564" s="19">
        <v>2.5499999999999998E-2</v>
      </c>
      <c r="CQ564" s="19">
        <v>62.37</v>
      </c>
      <c r="CR564" s="19">
        <v>57.138945570828717</v>
      </c>
      <c r="HM564" s="620">
        <f t="shared" ref="HM564:HU564" si="509">HM194</f>
        <v>0.47300000000000003</v>
      </c>
      <c r="HN564" s="620">
        <f t="shared" si="509"/>
        <v>0.13</v>
      </c>
      <c r="HO564" s="620">
        <f t="shared" si="509"/>
        <v>0.39100000000000001</v>
      </c>
      <c r="HP564" s="620">
        <f t="shared" si="509"/>
        <v>5.5E-2</v>
      </c>
      <c r="HQ564" s="620">
        <f t="shared" si="509"/>
        <v>3.97</v>
      </c>
      <c r="HR564" s="620">
        <f t="shared" si="509"/>
        <v>4.5999999999999999E-3</v>
      </c>
      <c r="HS564" s="620">
        <f t="shared" si="509"/>
        <v>2.73</v>
      </c>
      <c r="HT564" s="620" t="str">
        <f t="shared" si="509"/>
        <v>as barley</v>
      </c>
      <c r="HU564" s="620" t="str">
        <f t="shared" si="509"/>
        <v>offfarm</v>
      </c>
      <c r="HV564" s="22" t="s">
        <v>2061</v>
      </c>
      <c r="IB564" s="11">
        <f t="shared" ref="IB564:II564" si="510">IB194</f>
        <v>0.47300000000000003</v>
      </c>
      <c r="IC564" s="11">
        <f t="shared" si="510"/>
        <v>0.13</v>
      </c>
      <c r="ID564" s="11">
        <f t="shared" si="510"/>
        <v>0.39100000000000001</v>
      </c>
      <c r="IE564" s="11">
        <f t="shared" si="510"/>
        <v>5.5E-2</v>
      </c>
      <c r="IF564" s="11">
        <f t="shared" si="510"/>
        <v>3.97</v>
      </c>
      <c r="IG564" s="11">
        <f t="shared" si="510"/>
        <v>4.5999999999999999E-3</v>
      </c>
      <c r="IH564" s="11">
        <f t="shared" si="510"/>
        <v>2.73</v>
      </c>
      <c r="II564" s="11" t="str">
        <f t="shared" si="510"/>
        <v>as barley</v>
      </c>
      <c r="IJ564" s="11" t="str">
        <f t="shared" si="504"/>
        <v>rye - on farm</v>
      </c>
    </row>
    <row r="565" spans="4:244" x14ac:dyDescent="0.25">
      <c r="D565" s="20" t="s">
        <v>1166</v>
      </c>
      <c r="E565" s="14">
        <v>42683</v>
      </c>
      <c r="F565" s="18">
        <v>1.10003549167634</v>
      </c>
      <c r="G565" s="18">
        <v>1.0905091576994399</v>
      </c>
      <c r="H565" s="21">
        <v>89.1</v>
      </c>
      <c r="I565" s="21">
        <v>83.6</v>
      </c>
      <c r="J565" s="21">
        <v>90</v>
      </c>
      <c r="K565" s="18">
        <v>1</v>
      </c>
      <c r="L565" s="18">
        <v>85</v>
      </c>
      <c r="M565" s="18">
        <v>8.1</v>
      </c>
      <c r="N565" s="18">
        <v>1.8</v>
      </c>
      <c r="O565" s="18">
        <v>1.5</v>
      </c>
      <c r="P565" s="18">
        <v>2.2999999999999998</v>
      </c>
      <c r="Q565" s="19"/>
      <c r="R565" s="18">
        <v>77</v>
      </c>
      <c r="S565" s="18">
        <v>50</v>
      </c>
      <c r="T565" s="18">
        <v>53</v>
      </c>
      <c r="U565" s="18">
        <v>54</v>
      </c>
      <c r="V565" s="18">
        <v>55</v>
      </c>
      <c r="W565" s="18">
        <v>56</v>
      </c>
      <c r="X565" s="18"/>
      <c r="Y565" s="18">
        <v>0.50588235294117645</v>
      </c>
      <c r="Z565" s="18">
        <v>3.0588235294117645</v>
      </c>
      <c r="AA565" s="18">
        <v>0.1</v>
      </c>
      <c r="AB565" s="18">
        <v>0</v>
      </c>
      <c r="AC565" s="18">
        <v>4.9411800000000001</v>
      </c>
      <c r="AD565" s="18">
        <v>1.2</v>
      </c>
      <c r="AE565" s="18">
        <v>0</v>
      </c>
      <c r="AF565" s="18">
        <v>71</v>
      </c>
      <c r="AG565" s="18">
        <v>4.9999999999999885</v>
      </c>
      <c r="AH565" s="18">
        <v>30</v>
      </c>
      <c r="AI565" s="18">
        <v>31</v>
      </c>
      <c r="AJ565" s="18">
        <v>0</v>
      </c>
      <c r="AK565" s="18">
        <v>0.03</v>
      </c>
      <c r="AL565" s="18"/>
      <c r="AM565" s="18">
        <v>3.7</v>
      </c>
      <c r="AN565" s="18">
        <v>1.7</v>
      </c>
      <c r="AO565" s="18">
        <v>2.35</v>
      </c>
      <c r="AP565" s="18">
        <v>3.29</v>
      </c>
      <c r="AQ565" s="18">
        <v>1.07</v>
      </c>
      <c r="AR565" s="18">
        <v>3.48</v>
      </c>
      <c r="AS565" s="18">
        <v>6.28</v>
      </c>
      <c r="AT565" s="18">
        <v>2.2799999999999998</v>
      </c>
      <c r="AU565" s="18">
        <v>4.49</v>
      </c>
      <c r="AV565" s="18">
        <v>2.7</v>
      </c>
      <c r="AW565" s="18">
        <v>4.67</v>
      </c>
      <c r="AX565" s="18"/>
      <c r="AY565" s="18">
        <v>0.97</v>
      </c>
      <c r="AZ565" s="18">
        <v>1.04</v>
      </c>
      <c r="BA565" s="18">
        <v>1.01</v>
      </c>
      <c r="BB565" s="18">
        <v>0.88</v>
      </c>
      <c r="BC565" s="18">
        <v>0.99</v>
      </c>
      <c r="BD565" s="18">
        <v>1</v>
      </c>
      <c r="BE565" s="18">
        <v>1.03</v>
      </c>
      <c r="BF565" s="18">
        <v>1.03</v>
      </c>
      <c r="BG565" s="18">
        <v>1.06</v>
      </c>
      <c r="BH565" s="18">
        <v>1</v>
      </c>
      <c r="BI565" s="18">
        <v>0.99</v>
      </c>
      <c r="BJ565" s="19"/>
      <c r="BK565" s="18">
        <v>9.5294117647058822</v>
      </c>
      <c r="BL565" s="18">
        <v>2.1176470588235294</v>
      </c>
      <c r="BM565" s="18">
        <v>1.7647058823529411</v>
      </c>
      <c r="BN565" s="18">
        <v>2.7058823529411762</v>
      </c>
      <c r="BO565" s="18"/>
      <c r="BP565" s="18">
        <v>105</v>
      </c>
      <c r="BQ565" s="18">
        <v>22.235294117647054</v>
      </c>
      <c r="BR565" s="18">
        <v>1.2941594019721645</v>
      </c>
      <c r="BS565" s="18">
        <v>1.2829519502346352</v>
      </c>
      <c r="BT565" s="19"/>
      <c r="BU565" s="18">
        <v>982.35294117647061</v>
      </c>
      <c r="BV565" s="18">
        <v>690.83277310924473</v>
      </c>
      <c r="BW565" s="18">
        <v>77.184873949579767</v>
      </c>
      <c r="BX565" s="18">
        <v>612.99999999999989</v>
      </c>
      <c r="BY565" s="18">
        <v>32</v>
      </c>
      <c r="BZ565" s="18">
        <v>39</v>
      </c>
      <c r="CA565" s="18">
        <v>129</v>
      </c>
      <c r="CB565" s="19"/>
      <c r="CC565" s="19">
        <v>0.43</v>
      </c>
      <c r="CD565" s="19">
        <v>2.5999999999999996</v>
      </c>
      <c r="CE565" s="19">
        <v>8.5000000000000006E-2</v>
      </c>
      <c r="CF565" s="19">
        <v>0</v>
      </c>
      <c r="CG565" s="19">
        <v>4.2000029999999997</v>
      </c>
      <c r="CH565" s="19">
        <v>1.02</v>
      </c>
      <c r="CI565" s="19">
        <v>0</v>
      </c>
      <c r="CJ565" s="19"/>
      <c r="CK565" s="19">
        <v>60.35</v>
      </c>
      <c r="CL565" s="19">
        <v>4.2499999999999902</v>
      </c>
      <c r="CM565" s="19">
        <v>25.5</v>
      </c>
      <c r="CN565" s="19">
        <v>26.349999999999998</v>
      </c>
      <c r="CO565" s="19">
        <v>0</v>
      </c>
      <c r="CP565" s="19">
        <v>2.5499999999999998E-2</v>
      </c>
      <c r="CQ565" s="19">
        <v>62.37</v>
      </c>
      <c r="CR565" s="19">
        <v>56.698170624435569</v>
      </c>
      <c r="HM565" s="620">
        <f t="shared" ref="HM565:HU565" si="511">HM195</f>
        <v>0.47300000000000003</v>
      </c>
      <c r="HN565" s="620">
        <f t="shared" si="511"/>
        <v>0.13</v>
      </c>
      <c r="HO565" s="620">
        <f t="shared" si="511"/>
        <v>0.39100000000000001</v>
      </c>
      <c r="HP565" s="620">
        <f t="shared" si="511"/>
        <v>5.5E-2</v>
      </c>
      <c r="HQ565" s="620">
        <f t="shared" si="511"/>
        <v>3.97</v>
      </c>
      <c r="HR565" s="620">
        <f t="shared" si="511"/>
        <v>4.5999999999999999E-3</v>
      </c>
      <c r="HS565" s="620">
        <f t="shared" si="511"/>
        <v>2.73</v>
      </c>
      <c r="HT565" s="620" t="str">
        <f t="shared" si="511"/>
        <v>as barley</v>
      </c>
      <c r="HU565" s="620" t="str">
        <f t="shared" si="511"/>
        <v>offfarm</v>
      </c>
      <c r="HV565" s="22" t="s">
        <v>2061</v>
      </c>
      <c r="IB565" s="11">
        <f t="shared" ref="IB565:II565" si="512">IB195</f>
        <v>0.47300000000000003</v>
      </c>
      <c r="IC565" s="11">
        <f t="shared" si="512"/>
        <v>0.13</v>
      </c>
      <c r="ID565" s="11">
        <f t="shared" si="512"/>
        <v>0.39100000000000001</v>
      </c>
      <c r="IE565" s="11">
        <f t="shared" si="512"/>
        <v>5.5E-2</v>
      </c>
      <c r="IF565" s="11">
        <f t="shared" si="512"/>
        <v>3.97</v>
      </c>
      <c r="IG565" s="11">
        <f t="shared" si="512"/>
        <v>4.5999999999999999E-3</v>
      </c>
      <c r="IH565" s="11">
        <f t="shared" si="512"/>
        <v>2.73</v>
      </c>
      <c r="II565" s="11" t="str">
        <f t="shared" si="512"/>
        <v>as barley</v>
      </c>
      <c r="IJ565" s="11" t="str">
        <f t="shared" si="504"/>
        <v>rye - on farm</v>
      </c>
    </row>
    <row r="566" spans="4:244" x14ac:dyDescent="0.25">
      <c r="D566" s="20" t="s">
        <v>1167</v>
      </c>
      <c r="E566" s="14">
        <v>42683</v>
      </c>
      <c r="F566" s="18">
        <v>1.0915497193186201</v>
      </c>
      <c r="G566" s="18">
        <v>1.08454487198516</v>
      </c>
      <c r="H566" s="21">
        <v>89.1</v>
      </c>
      <c r="I566" s="21">
        <v>82.9</v>
      </c>
      <c r="J566" s="21">
        <v>90</v>
      </c>
      <c r="K566" s="18">
        <v>1</v>
      </c>
      <c r="L566" s="18">
        <v>85</v>
      </c>
      <c r="M566" s="18">
        <v>8.1</v>
      </c>
      <c r="N566" s="18">
        <v>1.8</v>
      </c>
      <c r="O566" s="18">
        <v>1.5</v>
      </c>
      <c r="P566" s="18">
        <v>2.2999999999999998</v>
      </c>
      <c r="Q566" s="19"/>
      <c r="R566" s="18">
        <v>77</v>
      </c>
      <c r="S566" s="18">
        <v>28</v>
      </c>
      <c r="T566" s="18">
        <v>42</v>
      </c>
      <c r="U566" s="18">
        <v>47</v>
      </c>
      <c r="V566" s="18">
        <v>52</v>
      </c>
      <c r="W566" s="18">
        <v>55</v>
      </c>
      <c r="X566" s="18"/>
      <c r="Y566" s="18">
        <v>0.50588235294117645</v>
      </c>
      <c r="Z566" s="18">
        <v>3.0588235294117645</v>
      </c>
      <c r="AA566" s="18">
        <v>0.1</v>
      </c>
      <c r="AB566" s="18">
        <v>0</v>
      </c>
      <c r="AC566" s="18">
        <v>4.9411800000000001</v>
      </c>
      <c r="AD566" s="18">
        <v>1.2</v>
      </c>
      <c r="AE566" s="18">
        <v>0</v>
      </c>
      <c r="AF566" s="18">
        <v>71</v>
      </c>
      <c r="AG566" s="18">
        <v>4.9999999999999885</v>
      </c>
      <c r="AH566" s="18">
        <v>30</v>
      </c>
      <c r="AI566" s="18">
        <v>31</v>
      </c>
      <c r="AJ566" s="18">
        <v>0</v>
      </c>
      <c r="AK566" s="18">
        <v>0.03</v>
      </c>
      <c r="AL566" s="18"/>
      <c r="AM566" s="18">
        <v>3.7</v>
      </c>
      <c r="AN566" s="18">
        <v>1.7</v>
      </c>
      <c r="AO566" s="18">
        <v>2.35</v>
      </c>
      <c r="AP566" s="18">
        <v>3.29</v>
      </c>
      <c r="AQ566" s="18">
        <v>1.07</v>
      </c>
      <c r="AR566" s="18">
        <v>3.48</v>
      </c>
      <c r="AS566" s="18">
        <v>6.28</v>
      </c>
      <c r="AT566" s="18">
        <v>2.2799999999999998</v>
      </c>
      <c r="AU566" s="18">
        <v>4.49</v>
      </c>
      <c r="AV566" s="18">
        <v>2.7</v>
      </c>
      <c r="AW566" s="18">
        <v>4.67</v>
      </c>
      <c r="AX566" s="18"/>
      <c r="AY566" s="18">
        <v>0.97</v>
      </c>
      <c r="AZ566" s="18">
        <v>1.04</v>
      </c>
      <c r="BA566" s="18">
        <v>1.01</v>
      </c>
      <c r="BB566" s="18">
        <v>0.88</v>
      </c>
      <c r="BC566" s="18">
        <v>0.99</v>
      </c>
      <c r="BD566" s="18">
        <v>1</v>
      </c>
      <c r="BE566" s="18">
        <v>1.03</v>
      </c>
      <c r="BF566" s="18">
        <v>1.03</v>
      </c>
      <c r="BG566" s="18">
        <v>1.06</v>
      </c>
      <c r="BH566" s="18">
        <v>1</v>
      </c>
      <c r="BI566" s="18">
        <v>0.99</v>
      </c>
      <c r="BJ566" s="19"/>
      <c r="BK566" s="18">
        <v>9.5294117647058822</v>
      </c>
      <c r="BL566" s="18">
        <v>2.1176470588235294</v>
      </c>
      <c r="BM566" s="18">
        <v>1.7647058823529411</v>
      </c>
      <c r="BN566" s="18">
        <v>2.7058823529411762</v>
      </c>
      <c r="BO566" s="18"/>
      <c r="BP566" s="18">
        <v>105</v>
      </c>
      <c r="BQ566" s="18">
        <v>22.235294117647054</v>
      </c>
      <c r="BR566" s="18">
        <v>1.2841761403748471</v>
      </c>
      <c r="BS566" s="18">
        <v>1.275935143511953</v>
      </c>
      <c r="BT566" s="19"/>
      <c r="BU566" s="18">
        <v>982.35294117647061</v>
      </c>
      <c r="BV566" s="18">
        <v>681.00924369747884</v>
      </c>
      <c r="BW566" s="18">
        <v>87.008403361344349</v>
      </c>
      <c r="BX566" s="18">
        <v>612.99999999999989</v>
      </c>
      <c r="BY566" s="18">
        <v>32</v>
      </c>
      <c r="BZ566" s="18">
        <v>39</v>
      </c>
      <c r="CA566" s="18">
        <v>129</v>
      </c>
      <c r="CB566" s="19"/>
      <c r="CC566" s="19">
        <v>0.43</v>
      </c>
      <c r="CD566" s="19">
        <v>2.5999999999999996</v>
      </c>
      <c r="CE566" s="19">
        <v>8.5000000000000006E-2</v>
      </c>
      <c r="CF566" s="19">
        <v>0</v>
      </c>
      <c r="CG566" s="19">
        <v>4.2000029999999997</v>
      </c>
      <c r="CH566" s="19">
        <v>1.02</v>
      </c>
      <c r="CI566" s="19">
        <v>0</v>
      </c>
      <c r="CJ566" s="19"/>
      <c r="CK566" s="19">
        <v>60.35</v>
      </c>
      <c r="CL566" s="19">
        <v>4.2499999999999902</v>
      </c>
      <c r="CM566" s="19">
        <v>25.5</v>
      </c>
      <c r="CN566" s="19">
        <v>26.349999999999998</v>
      </c>
      <c r="CO566" s="19">
        <v>0</v>
      </c>
      <c r="CP566" s="19">
        <v>2.5499999999999998E-2</v>
      </c>
      <c r="CQ566" s="19">
        <v>62.37</v>
      </c>
      <c r="CR566" s="19">
        <v>57.138945570828717</v>
      </c>
      <c r="HM566" s="620">
        <f t="shared" ref="HM566:HU566" si="513">HM196</f>
        <v>0.47300000000000003</v>
      </c>
      <c r="HN566" s="620">
        <f t="shared" si="513"/>
        <v>0.13</v>
      </c>
      <c r="HO566" s="620">
        <f t="shared" si="513"/>
        <v>0.39100000000000001</v>
      </c>
      <c r="HP566" s="620">
        <f t="shared" si="513"/>
        <v>5.5E-2</v>
      </c>
      <c r="HQ566" s="620">
        <f t="shared" si="513"/>
        <v>3.97</v>
      </c>
      <c r="HR566" s="620">
        <f t="shared" si="513"/>
        <v>4.5999999999999999E-3</v>
      </c>
      <c r="HS566" s="620">
        <f t="shared" si="513"/>
        <v>2.73</v>
      </c>
      <c r="HT566" s="620" t="str">
        <f t="shared" si="513"/>
        <v>as barley</v>
      </c>
      <c r="HU566" s="620" t="str">
        <f t="shared" si="513"/>
        <v>offfarm</v>
      </c>
      <c r="HV566" s="22" t="s">
        <v>2061</v>
      </c>
      <c r="IB566" s="11">
        <f t="shared" ref="IB566:II566" si="514">IB196</f>
        <v>0.47300000000000003</v>
      </c>
      <c r="IC566" s="11">
        <f t="shared" si="514"/>
        <v>0.13</v>
      </c>
      <c r="ID566" s="11">
        <f t="shared" si="514"/>
        <v>0.39100000000000001</v>
      </c>
      <c r="IE566" s="11">
        <f t="shared" si="514"/>
        <v>5.5E-2</v>
      </c>
      <c r="IF566" s="11">
        <f t="shared" si="514"/>
        <v>3.97</v>
      </c>
      <c r="IG566" s="11">
        <f t="shared" si="514"/>
        <v>4.5999999999999999E-3</v>
      </c>
      <c r="IH566" s="11">
        <f t="shared" si="514"/>
        <v>2.73</v>
      </c>
      <c r="II566" s="11" t="str">
        <f t="shared" si="514"/>
        <v>as barley</v>
      </c>
      <c r="IJ566" s="11" t="str">
        <f t="shared" si="504"/>
        <v>rye - on farm</v>
      </c>
    </row>
    <row r="567" spans="4:244" x14ac:dyDescent="0.25">
      <c r="D567" s="20" t="s">
        <v>1168</v>
      </c>
      <c r="E567" s="14">
        <v>42683</v>
      </c>
      <c r="F567" s="18">
        <v>1.10003549167634</v>
      </c>
      <c r="G567" s="18">
        <v>1.0905091576994399</v>
      </c>
      <c r="H567" s="21">
        <v>89.1</v>
      </c>
      <c r="I567" s="21">
        <v>83.6</v>
      </c>
      <c r="J567" s="21">
        <v>90</v>
      </c>
      <c r="K567" s="18">
        <v>1</v>
      </c>
      <c r="L567" s="18">
        <v>85</v>
      </c>
      <c r="M567" s="18">
        <v>8.1</v>
      </c>
      <c r="N567" s="18">
        <v>1.8</v>
      </c>
      <c r="O567" s="18">
        <v>1.5</v>
      </c>
      <c r="P567" s="18">
        <v>2.2999999999999998</v>
      </c>
      <c r="Q567" s="19"/>
      <c r="R567" s="18">
        <v>77</v>
      </c>
      <c r="S567" s="18">
        <v>28</v>
      </c>
      <c r="T567" s="18">
        <v>42</v>
      </c>
      <c r="U567" s="18">
        <v>47</v>
      </c>
      <c r="V567" s="18">
        <v>52</v>
      </c>
      <c r="W567" s="18">
        <v>55</v>
      </c>
      <c r="X567" s="18"/>
      <c r="Y567" s="18">
        <v>0.50588235294117645</v>
      </c>
      <c r="Z567" s="18">
        <v>3.0588235294117645</v>
      </c>
      <c r="AA567" s="18">
        <v>0.1</v>
      </c>
      <c r="AB567" s="18">
        <v>0</v>
      </c>
      <c r="AC567" s="18">
        <v>4.9411800000000001</v>
      </c>
      <c r="AD567" s="18">
        <v>1.2</v>
      </c>
      <c r="AE567" s="18">
        <v>0</v>
      </c>
      <c r="AF567" s="18">
        <v>71</v>
      </c>
      <c r="AG567" s="18">
        <v>4.9999999999999885</v>
      </c>
      <c r="AH567" s="18">
        <v>30</v>
      </c>
      <c r="AI567" s="18">
        <v>31</v>
      </c>
      <c r="AJ567" s="18">
        <v>0</v>
      </c>
      <c r="AK567" s="18">
        <v>0.03</v>
      </c>
      <c r="AL567" s="18"/>
      <c r="AM567" s="18">
        <v>3.7</v>
      </c>
      <c r="AN567" s="18">
        <v>1.7</v>
      </c>
      <c r="AO567" s="18">
        <v>2.35</v>
      </c>
      <c r="AP567" s="18">
        <v>3.29</v>
      </c>
      <c r="AQ567" s="18">
        <v>1.07</v>
      </c>
      <c r="AR567" s="18">
        <v>3.48</v>
      </c>
      <c r="AS567" s="18">
        <v>6.28</v>
      </c>
      <c r="AT567" s="18">
        <v>2.2799999999999998</v>
      </c>
      <c r="AU567" s="18">
        <v>4.49</v>
      </c>
      <c r="AV567" s="18">
        <v>2.7</v>
      </c>
      <c r="AW567" s="18">
        <v>4.67</v>
      </c>
      <c r="AX567" s="18"/>
      <c r="AY567" s="18">
        <v>0.97</v>
      </c>
      <c r="AZ567" s="18">
        <v>1.04</v>
      </c>
      <c r="BA567" s="18">
        <v>1.01</v>
      </c>
      <c r="BB567" s="18">
        <v>0.88</v>
      </c>
      <c r="BC567" s="18">
        <v>0.99</v>
      </c>
      <c r="BD567" s="18">
        <v>1</v>
      </c>
      <c r="BE567" s="18">
        <v>1.03</v>
      </c>
      <c r="BF567" s="18">
        <v>1.03</v>
      </c>
      <c r="BG567" s="18">
        <v>1.06</v>
      </c>
      <c r="BH567" s="18">
        <v>1</v>
      </c>
      <c r="BI567" s="18">
        <v>0.99</v>
      </c>
      <c r="BJ567" s="19"/>
      <c r="BK567" s="18">
        <v>9.5294117647058822</v>
      </c>
      <c r="BL567" s="18">
        <v>2.1176470588235294</v>
      </c>
      <c r="BM567" s="18">
        <v>1.7647058823529411</v>
      </c>
      <c r="BN567" s="18">
        <v>2.7058823529411762</v>
      </c>
      <c r="BO567" s="18"/>
      <c r="BP567" s="18">
        <v>105</v>
      </c>
      <c r="BQ567" s="18">
        <v>22.235294117647054</v>
      </c>
      <c r="BR567" s="18">
        <v>1.2941594019721645</v>
      </c>
      <c r="BS567" s="18">
        <v>1.2829519502346352</v>
      </c>
      <c r="BT567" s="19"/>
      <c r="BU567" s="18">
        <v>982.35294117647061</v>
      </c>
      <c r="BV567" s="18">
        <v>690.83277310924473</v>
      </c>
      <c r="BW567" s="18">
        <v>77.184873949579767</v>
      </c>
      <c r="BX567" s="18">
        <v>612.99999999999989</v>
      </c>
      <c r="BY567" s="18">
        <v>32</v>
      </c>
      <c r="BZ567" s="18">
        <v>39</v>
      </c>
      <c r="CA567" s="18">
        <v>129</v>
      </c>
      <c r="CB567" s="19"/>
      <c r="CC567" s="19">
        <v>0.43</v>
      </c>
      <c r="CD567" s="19">
        <v>2.5999999999999996</v>
      </c>
      <c r="CE567" s="19">
        <v>8.5000000000000006E-2</v>
      </c>
      <c r="CF567" s="19">
        <v>0</v>
      </c>
      <c r="CG567" s="19">
        <v>4.2000029999999997</v>
      </c>
      <c r="CH567" s="19">
        <v>1.02</v>
      </c>
      <c r="CI567" s="19">
        <v>0</v>
      </c>
      <c r="CJ567" s="19"/>
      <c r="CK567" s="19">
        <v>60.35</v>
      </c>
      <c r="CL567" s="19">
        <v>4.2499999999999902</v>
      </c>
      <c r="CM567" s="19">
        <v>25.5</v>
      </c>
      <c r="CN567" s="19">
        <v>26.349999999999998</v>
      </c>
      <c r="CO567" s="19">
        <v>0</v>
      </c>
      <c r="CP567" s="19">
        <v>2.5499999999999998E-2</v>
      </c>
      <c r="CQ567" s="19">
        <v>62.37</v>
      </c>
      <c r="CR567" s="19">
        <v>56.698170624435569</v>
      </c>
      <c r="HM567" s="620">
        <f t="shared" ref="HM567:HU567" si="515">HM197</f>
        <v>0.47300000000000003</v>
      </c>
      <c r="HN567" s="620">
        <f t="shared" si="515"/>
        <v>0.13</v>
      </c>
      <c r="HO567" s="620">
        <f t="shared" si="515"/>
        <v>0.39100000000000001</v>
      </c>
      <c r="HP567" s="620">
        <f t="shared" si="515"/>
        <v>5.5E-2</v>
      </c>
      <c r="HQ567" s="620">
        <f t="shared" si="515"/>
        <v>3.97</v>
      </c>
      <c r="HR567" s="620">
        <f t="shared" si="515"/>
        <v>4.5999999999999999E-3</v>
      </c>
      <c r="HS567" s="620">
        <f t="shared" si="515"/>
        <v>2.73</v>
      </c>
      <c r="HT567" s="620" t="str">
        <f t="shared" si="515"/>
        <v>as barley</v>
      </c>
      <c r="HU567" s="620" t="str">
        <f t="shared" si="515"/>
        <v>offfarm</v>
      </c>
      <c r="HV567" s="22" t="s">
        <v>2061</v>
      </c>
      <c r="IB567" s="11">
        <f t="shared" ref="IB567:II567" si="516">IB197</f>
        <v>0.47300000000000003</v>
      </c>
      <c r="IC567" s="11">
        <f t="shared" si="516"/>
        <v>0.13</v>
      </c>
      <c r="ID567" s="11">
        <f t="shared" si="516"/>
        <v>0.39100000000000001</v>
      </c>
      <c r="IE567" s="11">
        <f t="shared" si="516"/>
        <v>5.5E-2</v>
      </c>
      <c r="IF567" s="11">
        <f t="shared" si="516"/>
        <v>3.97</v>
      </c>
      <c r="IG567" s="11">
        <f t="shared" si="516"/>
        <v>4.5999999999999999E-3</v>
      </c>
      <c r="IH567" s="11">
        <f t="shared" si="516"/>
        <v>2.73</v>
      </c>
      <c r="II567" s="11" t="str">
        <f t="shared" si="516"/>
        <v>as barley</v>
      </c>
      <c r="IJ567" s="11" t="str">
        <f t="shared" si="504"/>
        <v>rye - on farm</v>
      </c>
    </row>
    <row r="568" spans="4:244" x14ac:dyDescent="0.25">
      <c r="D568" s="20" t="s">
        <v>1169</v>
      </c>
      <c r="E568" s="14">
        <v>42678</v>
      </c>
      <c r="F568" s="18">
        <v>1.0935850561362701</v>
      </c>
      <c r="G568" s="18">
        <v>1.08530074508348</v>
      </c>
      <c r="H568" s="21">
        <v>89.1</v>
      </c>
      <c r="I568" s="21">
        <v>83.300035500000007</v>
      </c>
      <c r="J568" s="21">
        <v>90</v>
      </c>
      <c r="K568" s="18">
        <v>1</v>
      </c>
      <c r="L568" s="18">
        <v>85</v>
      </c>
      <c r="M568" s="18">
        <v>9.9999999999999591</v>
      </c>
      <c r="N568" s="18">
        <v>1.8</v>
      </c>
      <c r="O568" s="18">
        <v>1.4</v>
      </c>
      <c r="P568" s="18">
        <v>2.2999999999999998</v>
      </c>
      <c r="Q568" s="19"/>
      <c r="R568" s="18">
        <v>77</v>
      </c>
      <c r="S568" s="18">
        <v>28</v>
      </c>
      <c r="T568" s="18">
        <v>42</v>
      </c>
      <c r="U568" s="18">
        <v>47</v>
      </c>
      <c r="V568" s="18">
        <v>52</v>
      </c>
      <c r="W568" s="18">
        <v>55</v>
      </c>
      <c r="X568" s="18"/>
      <c r="Y568" s="18">
        <v>0.50588235294117645</v>
      </c>
      <c r="Z568" s="18">
        <v>3.0588235294117645</v>
      </c>
      <c r="AA568" s="18">
        <v>0.1</v>
      </c>
      <c r="AB568" s="18">
        <v>0</v>
      </c>
      <c r="AC568" s="18">
        <v>4.9411800000000001</v>
      </c>
      <c r="AD568" s="18">
        <v>1.2</v>
      </c>
      <c r="AE568" s="18">
        <v>0</v>
      </c>
      <c r="AF568" s="18">
        <v>71</v>
      </c>
      <c r="AG568" s="18">
        <v>4.9999999999999885</v>
      </c>
      <c r="AH568" s="18">
        <v>30</v>
      </c>
      <c r="AI568" s="18">
        <v>31</v>
      </c>
      <c r="AJ568" s="18">
        <v>0</v>
      </c>
      <c r="AK568" s="18">
        <v>0.03</v>
      </c>
      <c r="AL568" s="18"/>
      <c r="AM568" s="18">
        <v>3.7</v>
      </c>
      <c r="AN568" s="18">
        <v>1.7</v>
      </c>
      <c r="AO568" s="18">
        <v>2.35</v>
      </c>
      <c r="AP568" s="18">
        <v>3.29</v>
      </c>
      <c r="AQ568" s="18">
        <v>1.07</v>
      </c>
      <c r="AR568" s="18">
        <v>3.48</v>
      </c>
      <c r="AS568" s="18">
        <v>6.28</v>
      </c>
      <c r="AT568" s="18">
        <v>2.2799999999999998</v>
      </c>
      <c r="AU568" s="18">
        <v>4.49</v>
      </c>
      <c r="AV568" s="18">
        <v>2.7</v>
      </c>
      <c r="AW568" s="18">
        <v>4.67</v>
      </c>
      <c r="AX568" s="18"/>
      <c r="AY568" s="18">
        <v>0.97</v>
      </c>
      <c r="AZ568" s="18">
        <v>1.04</v>
      </c>
      <c r="BA568" s="18">
        <v>1.01</v>
      </c>
      <c r="BB568" s="18">
        <v>0.88</v>
      </c>
      <c r="BC568" s="18">
        <v>0.99</v>
      </c>
      <c r="BD568" s="18">
        <v>1</v>
      </c>
      <c r="BE568" s="18">
        <v>1.03</v>
      </c>
      <c r="BF568" s="18">
        <v>1.03</v>
      </c>
      <c r="BG568" s="18">
        <v>1.06</v>
      </c>
      <c r="BH568" s="18">
        <v>1</v>
      </c>
      <c r="BI568" s="18">
        <v>0.99</v>
      </c>
      <c r="BJ568" s="19"/>
      <c r="BK568" s="18">
        <v>11.764705882352892</v>
      </c>
      <c r="BL568" s="18">
        <v>2.1176470588235294</v>
      </c>
      <c r="BM568" s="18">
        <v>1.6470588235294117</v>
      </c>
      <c r="BN568" s="18">
        <v>2.7058823529411762</v>
      </c>
      <c r="BO568" s="18"/>
      <c r="BP568" s="18">
        <v>105</v>
      </c>
      <c r="BQ568" s="18">
        <v>22.235294117647054</v>
      </c>
      <c r="BR568" s="18">
        <v>1.2865706542779649</v>
      </c>
      <c r="BS568" s="18">
        <v>1.2768244059805647</v>
      </c>
      <c r="BT568" s="19"/>
      <c r="BU568" s="18">
        <v>983.52941176470586</v>
      </c>
      <c r="BV568" s="18">
        <v>667.23226890756359</v>
      </c>
      <c r="BW568" s="18">
        <v>81.491938184874002</v>
      </c>
      <c r="BX568" s="18">
        <v>612.99999999999989</v>
      </c>
      <c r="BY568" s="18">
        <v>32</v>
      </c>
      <c r="BZ568" s="18">
        <v>39</v>
      </c>
      <c r="CA568" s="18">
        <v>129</v>
      </c>
      <c r="CB568" s="19"/>
      <c r="CC568" s="19">
        <v>0.43</v>
      </c>
      <c r="CD568" s="19">
        <v>2.5999999999999996</v>
      </c>
      <c r="CE568" s="19">
        <v>8.5000000000000006E-2</v>
      </c>
      <c r="CF568" s="19">
        <v>0</v>
      </c>
      <c r="CG568" s="19">
        <v>4.2000029999999997</v>
      </c>
      <c r="CH568" s="19">
        <v>1.02</v>
      </c>
      <c r="CI568" s="19">
        <v>0</v>
      </c>
      <c r="CJ568" s="19"/>
      <c r="CK568" s="19">
        <v>60.35</v>
      </c>
      <c r="CL568" s="19">
        <v>4.2499999999999902</v>
      </c>
      <c r="CM568" s="19">
        <v>25.5</v>
      </c>
      <c r="CN568" s="19">
        <v>26.349999999999998</v>
      </c>
      <c r="CO568" s="19">
        <v>0</v>
      </c>
      <c r="CP568" s="19">
        <v>2.5499999999999998E-2</v>
      </c>
      <c r="CQ568" s="19">
        <v>76.999999999999702</v>
      </c>
      <c r="CR568" s="19">
        <v>70.410618330911831</v>
      </c>
      <c r="HM568" s="620">
        <f t="shared" ref="HM568:HU568" si="517">HM198</f>
        <v>0.47300000000000003</v>
      </c>
      <c r="HN568" s="620">
        <f t="shared" si="517"/>
        <v>0.13</v>
      </c>
      <c r="HO568" s="620">
        <f t="shared" si="517"/>
        <v>0.39100000000000001</v>
      </c>
      <c r="HP568" s="620">
        <f t="shared" si="517"/>
        <v>5.5E-2</v>
      </c>
      <c r="HQ568" s="620">
        <f t="shared" si="517"/>
        <v>3.97</v>
      </c>
      <c r="HR568" s="620">
        <f t="shared" si="517"/>
        <v>4.5999999999999999E-3</v>
      </c>
      <c r="HS568" s="620">
        <f t="shared" si="517"/>
        <v>2.73</v>
      </c>
      <c r="HT568" s="620" t="str">
        <f t="shared" si="517"/>
        <v>as barley</v>
      </c>
      <c r="HU568" s="620" t="str">
        <f t="shared" si="517"/>
        <v>offfarm</v>
      </c>
      <c r="HV568" s="22" t="s">
        <v>2061</v>
      </c>
      <c r="IB568" s="11">
        <f t="shared" ref="IB568:II568" si="518">IB198</f>
        <v>0.47300000000000003</v>
      </c>
      <c r="IC568" s="11">
        <f t="shared" si="518"/>
        <v>0.13</v>
      </c>
      <c r="ID568" s="11">
        <f t="shared" si="518"/>
        <v>0.39100000000000001</v>
      </c>
      <c r="IE568" s="11">
        <f t="shared" si="518"/>
        <v>5.5E-2</v>
      </c>
      <c r="IF568" s="11">
        <f t="shared" si="518"/>
        <v>3.97</v>
      </c>
      <c r="IG568" s="11">
        <f t="shared" si="518"/>
        <v>4.5999999999999999E-3</v>
      </c>
      <c r="IH568" s="11">
        <f t="shared" si="518"/>
        <v>2.73</v>
      </c>
      <c r="II568" s="11" t="str">
        <f t="shared" si="518"/>
        <v>as barley</v>
      </c>
      <c r="IJ568" s="11" t="str">
        <f t="shared" si="504"/>
        <v>rye - on farm</v>
      </c>
    </row>
    <row r="569" spans="4:244" x14ac:dyDescent="0.25">
      <c r="D569" s="20" t="s">
        <v>1170</v>
      </c>
      <c r="E569" s="14">
        <v>42678</v>
      </c>
      <c r="F569" s="18">
        <v>1.09161691750677</v>
      </c>
      <c r="G569" s="18">
        <v>1.0845305780363601</v>
      </c>
      <c r="H569" s="21">
        <v>89.1</v>
      </c>
      <c r="I569" s="21">
        <v>83.199979200000001</v>
      </c>
      <c r="J569" s="21">
        <v>90</v>
      </c>
      <c r="K569" s="18">
        <v>1</v>
      </c>
      <c r="L569" s="18">
        <v>85</v>
      </c>
      <c r="M569" s="18">
        <v>11.5</v>
      </c>
      <c r="N569" s="18">
        <v>1.8</v>
      </c>
      <c r="O569" s="18">
        <v>1.4</v>
      </c>
      <c r="P569" s="18">
        <v>2.2999999999999998</v>
      </c>
      <c r="Q569" s="19"/>
      <c r="R569" s="18">
        <v>77</v>
      </c>
      <c r="S569" s="18">
        <v>28</v>
      </c>
      <c r="T569" s="18">
        <v>42</v>
      </c>
      <c r="U569" s="18">
        <v>47</v>
      </c>
      <c r="V569" s="18">
        <v>52</v>
      </c>
      <c r="W569" s="18">
        <v>55</v>
      </c>
      <c r="X569" s="18"/>
      <c r="Y569" s="18">
        <v>0.50588235294117645</v>
      </c>
      <c r="Z569" s="18">
        <v>3.0588235294117645</v>
      </c>
      <c r="AA569" s="18">
        <v>0.1</v>
      </c>
      <c r="AB569" s="18">
        <v>0</v>
      </c>
      <c r="AC569" s="18">
        <v>4.9411800000000001</v>
      </c>
      <c r="AD569" s="18">
        <v>1.2</v>
      </c>
      <c r="AE569" s="18">
        <v>0</v>
      </c>
      <c r="AF569" s="18">
        <v>71</v>
      </c>
      <c r="AG569" s="18">
        <v>4.9999999999999885</v>
      </c>
      <c r="AH569" s="18">
        <v>30</v>
      </c>
      <c r="AI569" s="18">
        <v>31</v>
      </c>
      <c r="AJ569" s="18">
        <v>0</v>
      </c>
      <c r="AK569" s="18">
        <v>0.03</v>
      </c>
      <c r="AL569" s="18"/>
      <c r="AM569" s="18">
        <v>3.7</v>
      </c>
      <c r="AN569" s="18">
        <v>1.7</v>
      </c>
      <c r="AO569" s="18">
        <v>2.35</v>
      </c>
      <c r="AP569" s="18">
        <v>3.29</v>
      </c>
      <c r="AQ569" s="18">
        <v>1.07</v>
      </c>
      <c r="AR569" s="18">
        <v>3.48</v>
      </c>
      <c r="AS569" s="18">
        <v>6.28</v>
      </c>
      <c r="AT569" s="18">
        <v>2.2799999999999998</v>
      </c>
      <c r="AU569" s="18">
        <v>4.49</v>
      </c>
      <c r="AV569" s="18">
        <v>2.7</v>
      </c>
      <c r="AW569" s="18">
        <v>4.67</v>
      </c>
      <c r="AX569" s="18"/>
      <c r="AY569" s="18">
        <v>0.97</v>
      </c>
      <c r="AZ569" s="18">
        <v>1.04</v>
      </c>
      <c r="BA569" s="18">
        <v>1.01</v>
      </c>
      <c r="BB569" s="18">
        <v>0.88</v>
      </c>
      <c r="BC569" s="18">
        <v>0.99</v>
      </c>
      <c r="BD569" s="18">
        <v>1</v>
      </c>
      <c r="BE569" s="18">
        <v>1.03</v>
      </c>
      <c r="BF569" s="18">
        <v>1.03</v>
      </c>
      <c r="BG569" s="18">
        <v>1.06</v>
      </c>
      <c r="BH569" s="18">
        <v>1</v>
      </c>
      <c r="BI569" s="18">
        <v>0.99</v>
      </c>
      <c r="BJ569" s="19"/>
      <c r="BK569" s="18">
        <v>13.529411764705882</v>
      </c>
      <c r="BL569" s="18">
        <v>2.1176470588235294</v>
      </c>
      <c r="BM569" s="18">
        <v>1.6470588235294117</v>
      </c>
      <c r="BN569" s="18">
        <v>2.7058823529411762</v>
      </c>
      <c r="BO569" s="18"/>
      <c r="BP569" s="18">
        <v>105</v>
      </c>
      <c r="BQ569" s="18">
        <v>22.235294117647054</v>
      </c>
      <c r="BR569" s="18">
        <v>1.2842551970667884</v>
      </c>
      <c r="BS569" s="18">
        <v>1.2759183271016001</v>
      </c>
      <c r="BT569" s="19"/>
      <c r="BU569" s="18">
        <v>983.52941176470586</v>
      </c>
      <c r="BV569" s="18">
        <v>649.76811111260463</v>
      </c>
      <c r="BW569" s="18">
        <v>82.897771240335999</v>
      </c>
      <c r="BX569" s="18">
        <v>612.99999999999989</v>
      </c>
      <c r="BY569" s="18">
        <v>32</v>
      </c>
      <c r="BZ569" s="18">
        <v>39</v>
      </c>
      <c r="CA569" s="18">
        <v>129</v>
      </c>
      <c r="CB569" s="19"/>
      <c r="CC569" s="19">
        <v>0.43</v>
      </c>
      <c r="CD569" s="19">
        <v>2.5999999999999996</v>
      </c>
      <c r="CE569" s="19">
        <v>8.5000000000000006E-2</v>
      </c>
      <c r="CF569" s="19">
        <v>0</v>
      </c>
      <c r="CG569" s="19">
        <v>4.2000029999999997</v>
      </c>
      <c r="CH569" s="19">
        <v>1.02</v>
      </c>
      <c r="CI569" s="19">
        <v>0</v>
      </c>
      <c r="CJ569" s="19"/>
      <c r="CK569" s="19">
        <v>60.35</v>
      </c>
      <c r="CL569" s="19">
        <v>4.2499999999999902</v>
      </c>
      <c r="CM569" s="19">
        <v>25.5</v>
      </c>
      <c r="CN569" s="19">
        <v>26.349999999999998</v>
      </c>
      <c r="CO569" s="19">
        <v>0</v>
      </c>
      <c r="CP569" s="19">
        <v>2.5499999999999998E-2</v>
      </c>
      <c r="CQ569" s="19">
        <v>88.549999999999798</v>
      </c>
      <c r="CR569" s="19">
        <v>81.118200515109393</v>
      </c>
      <c r="HM569" s="620">
        <f t="shared" ref="HM569:HU569" si="519">HM199</f>
        <v>0.47300000000000003</v>
      </c>
      <c r="HN569" s="620">
        <f t="shared" si="519"/>
        <v>0.13</v>
      </c>
      <c r="HO569" s="620">
        <f t="shared" si="519"/>
        <v>0.39100000000000001</v>
      </c>
      <c r="HP569" s="620">
        <f t="shared" si="519"/>
        <v>5.5E-2</v>
      </c>
      <c r="HQ569" s="620">
        <f t="shared" si="519"/>
        <v>3.97</v>
      </c>
      <c r="HR569" s="620">
        <f t="shared" si="519"/>
        <v>4.5999999999999999E-3</v>
      </c>
      <c r="HS569" s="620">
        <f t="shared" si="519"/>
        <v>2.73</v>
      </c>
      <c r="HT569" s="620" t="str">
        <f t="shared" si="519"/>
        <v>as barley</v>
      </c>
      <c r="HU569" s="620" t="str">
        <f t="shared" si="519"/>
        <v>offfarm</v>
      </c>
      <c r="HV569" s="22" t="s">
        <v>2061</v>
      </c>
      <c r="IB569" s="11">
        <f t="shared" ref="IB569:II569" si="520">IB199</f>
        <v>0.47300000000000003</v>
      </c>
      <c r="IC569" s="11">
        <f t="shared" si="520"/>
        <v>0.13</v>
      </c>
      <c r="ID569" s="11">
        <f t="shared" si="520"/>
        <v>0.39100000000000001</v>
      </c>
      <c r="IE569" s="11">
        <f t="shared" si="520"/>
        <v>5.5E-2</v>
      </c>
      <c r="IF569" s="11">
        <f t="shared" si="520"/>
        <v>3.97</v>
      </c>
      <c r="IG569" s="11">
        <f t="shared" si="520"/>
        <v>4.5999999999999999E-3</v>
      </c>
      <c r="IH569" s="11">
        <f t="shared" si="520"/>
        <v>2.73</v>
      </c>
      <c r="II569" s="11" t="str">
        <f t="shared" si="520"/>
        <v>as barley</v>
      </c>
      <c r="IJ569" s="11" t="str">
        <f t="shared" si="504"/>
        <v>rye - on farm</v>
      </c>
    </row>
    <row r="570" spans="4:244" x14ac:dyDescent="0.25">
      <c r="D570" s="185" t="s">
        <v>594</v>
      </c>
      <c r="E570" s="14">
        <v>41753</v>
      </c>
      <c r="F570" s="18">
        <v>0.43457073170731803</v>
      </c>
      <c r="G570" s="18">
        <v>0.41651064935065002</v>
      </c>
      <c r="H570" s="21">
        <v>100</v>
      </c>
      <c r="I570" s="21">
        <v>100</v>
      </c>
      <c r="J570" s="21">
        <v>100</v>
      </c>
      <c r="K570" s="18">
        <v>1</v>
      </c>
      <c r="L570" s="18">
        <v>99.5</v>
      </c>
      <c r="M570" s="18">
        <v>1.4</v>
      </c>
      <c r="N570" s="18">
        <v>7.4</v>
      </c>
      <c r="O570" s="18">
        <v>77.099999999999994</v>
      </c>
      <c r="P570" s="18">
        <v>0</v>
      </c>
      <c r="Q570" s="19"/>
      <c r="R570" s="18">
        <v>0</v>
      </c>
      <c r="S570" s="18">
        <v>0</v>
      </c>
      <c r="T570" s="18">
        <v>0</v>
      </c>
      <c r="U570" s="18">
        <v>0</v>
      </c>
      <c r="V570" s="18">
        <v>0</v>
      </c>
      <c r="W570" s="18">
        <v>0</v>
      </c>
      <c r="X570" s="18"/>
      <c r="Y570" s="18">
        <v>0</v>
      </c>
      <c r="Z570" s="18">
        <v>0</v>
      </c>
      <c r="AA570" s="18">
        <v>0</v>
      </c>
      <c r="AB570" s="18">
        <v>0</v>
      </c>
      <c r="AC570" s="18">
        <v>0</v>
      </c>
      <c r="AD570" s="18">
        <v>0</v>
      </c>
      <c r="AE570" s="18">
        <v>0</v>
      </c>
      <c r="AF570" s="18">
        <v>0</v>
      </c>
      <c r="AG570" s="18">
        <v>0</v>
      </c>
      <c r="AH570" s="18">
        <v>0</v>
      </c>
      <c r="AI570" s="18">
        <v>0</v>
      </c>
      <c r="AJ570" s="18">
        <v>0</v>
      </c>
      <c r="AK570" s="18">
        <v>0</v>
      </c>
      <c r="AL570" s="18"/>
      <c r="AM570" s="18">
        <v>0</v>
      </c>
      <c r="AN570" s="18">
        <v>0</v>
      </c>
      <c r="AO570" s="18">
        <v>0</v>
      </c>
      <c r="AP570" s="18">
        <v>0</v>
      </c>
      <c r="AQ570" s="18">
        <v>0</v>
      </c>
      <c r="AR570" s="18">
        <v>0</v>
      </c>
      <c r="AS570" s="18">
        <v>0</v>
      </c>
      <c r="AT570" s="18">
        <v>0</v>
      </c>
      <c r="AU570" s="18">
        <v>0</v>
      </c>
      <c r="AV570" s="18">
        <v>0</v>
      </c>
      <c r="AW570" s="18">
        <v>0</v>
      </c>
      <c r="AX570" s="18"/>
      <c r="AY570" s="18">
        <v>1</v>
      </c>
      <c r="AZ570" s="18">
        <v>1</v>
      </c>
      <c r="BA570" s="18">
        <v>1</v>
      </c>
      <c r="BB570" s="18">
        <v>1</v>
      </c>
      <c r="BC570" s="18">
        <v>1</v>
      </c>
      <c r="BD570" s="18">
        <v>1</v>
      </c>
      <c r="BE570" s="18">
        <v>1</v>
      </c>
      <c r="BF570" s="18">
        <v>1</v>
      </c>
      <c r="BG570" s="18">
        <v>1</v>
      </c>
      <c r="BH570" s="18">
        <v>1</v>
      </c>
      <c r="BI570" s="18">
        <v>1</v>
      </c>
      <c r="BJ570" s="19"/>
      <c r="BK570" s="18">
        <v>1.4070351758793969</v>
      </c>
      <c r="BL570" s="18">
        <v>7.4371859296482414</v>
      </c>
      <c r="BM570" s="18">
        <v>77.487437185929636</v>
      </c>
      <c r="BN570" s="18">
        <v>0</v>
      </c>
      <c r="BO570" s="18"/>
      <c r="BP570" s="18">
        <v>0</v>
      </c>
      <c r="BQ570" s="18">
        <v>0</v>
      </c>
      <c r="BR570" s="18">
        <v>0.43675450422846035</v>
      </c>
      <c r="BS570" s="18">
        <v>0.41860366768909552</v>
      </c>
      <c r="BT570" s="19"/>
      <c r="BU570" s="18">
        <v>225.12562814070353</v>
      </c>
      <c r="BV570" s="18">
        <v>140.18090452261305</v>
      </c>
      <c r="BW570" s="18">
        <v>0</v>
      </c>
      <c r="BX570" s="18" t="s">
        <v>217</v>
      </c>
      <c r="BY570" s="18" t="s">
        <v>217</v>
      </c>
      <c r="BZ570" s="18" t="s">
        <v>217</v>
      </c>
      <c r="CA570" s="18" t="s">
        <v>217</v>
      </c>
      <c r="CB570" s="19"/>
      <c r="CC570" s="19">
        <v>0</v>
      </c>
      <c r="CD570" s="19">
        <v>0</v>
      </c>
      <c r="CE570" s="19">
        <v>0</v>
      </c>
      <c r="CF570" s="19">
        <v>0</v>
      </c>
      <c r="CG570" s="19">
        <v>0</v>
      </c>
      <c r="CH570" s="19">
        <v>0</v>
      </c>
      <c r="CI570" s="19">
        <v>0</v>
      </c>
      <c r="CJ570" s="19"/>
      <c r="CK570" s="19">
        <v>0</v>
      </c>
      <c r="CL570" s="19">
        <v>0</v>
      </c>
      <c r="CM570" s="19">
        <v>0</v>
      </c>
      <c r="CN570" s="19">
        <v>0</v>
      </c>
      <c r="CO570" s="19">
        <v>0</v>
      </c>
      <c r="CP570" s="19">
        <v>0</v>
      </c>
      <c r="CQ570" s="19">
        <v>0</v>
      </c>
      <c r="CR570" s="19">
        <v>0</v>
      </c>
      <c r="HM570" s="620">
        <f t="shared" ref="HM570:HU570" si="521">HM200</f>
        <v>0</v>
      </c>
      <c r="HN570" s="620">
        <f t="shared" si="521"/>
        <v>0</v>
      </c>
      <c r="HO570" s="620">
        <f t="shared" si="521"/>
        <v>0</v>
      </c>
      <c r="HP570" s="620">
        <f t="shared" si="521"/>
        <v>0</v>
      </c>
      <c r="HQ570" s="620">
        <f t="shared" si="521"/>
        <v>0</v>
      </c>
      <c r="HR570" s="620">
        <f t="shared" si="521"/>
        <v>0</v>
      </c>
      <c r="HS570" s="620">
        <f t="shared" si="521"/>
        <v>0</v>
      </c>
      <c r="HT570" s="620">
        <f t="shared" si="521"/>
        <v>0</v>
      </c>
      <c r="HU570" s="620" t="str">
        <f t="shared" si="521"/>
        <v>offfarm</v>
      </c>
      <c r="HV570" s="22" t="s">
        <v>2013</v>
      </c>
      <c r="IB570" s="11">
        <f t="shared" ref="IB570:II570" si="522">IB200</f>
        <v>0.47300000000000003</v>
      </c>
      <c r="IC570" s="11">
        <f t="shared" si="522"/>
        <v>0.13</v>
      </c>
      <c r="ID570" s="11">
        <f t="shared" si="522"/>
        <v>0.39100000000000001</v>
      </c>
      <c r="IE570" s="11">
        <f t="shared" si="522"/>
        <v>5.5E-2</v>
      </c>
      <c r="IF570" s="11">
        <f t="shared" si="522"/>
        <v>3.97</v>
      </c>
      <c r="IG570" s="11">
        <f t="shared" si="522"/>
        <v>4.5999999999999999E-3</v>
      </c>
      <c r="IH570" s="11">
        <f t="shared" si="522"/>
        <v>2.73</v>
      </c>
      <c r="II570" s="11">
        <f t="shared" si="522"/>
        <v>0</v>
      </c>
    </row>
    <row r="571" spans="4:244" x14ac:dyDescent="0.25">
      <c r="D571" s="185" t="s">
        <v>596</v>
      </c>
      <c r="E571" s="14">
        <v>41753</v>
      </c>
      <c r="F571" s="18">
        <v>0.88144756097560995</v>
      </c>
      <c r="G571" s="18">
        <v>0.84481597402597397</v>
      </c>
      <c r="H571" s="21">
        <v>100</v>
      </c>
      <c r="I571" s="21">
        <v>100</v>
      </c>
      <c r="J571" s="21">
        <v>100</v>
      </c>
      <c r="K571" s="18">
        <v>1</v>
      </c>
      <c r="L571" s="18">
        <v>56</v>
      </c>
      <c r="M571" s="18">
        <v>2.1</v>
      </c>
      <c r="N571" s="18">
        <v>0</v>
      </c>
      <c r="O571" s="18">
        <v>0.1</v>
      </c>
      <c r="P571" s="18">
        <v>0</v>
      </c>
      <c r="Q571" s="19"/>
      <c r="R571" s="18">
        <v>0</v>
      </c>
      <c r="S571" s="18">
        <v>0</v>
      </c>
      <c r="T571" s="18">
        <v>0</v>
      </c>
      <c r="U571" s="18">
        <v>0</v>
      </c>
      <c r="V571" s="18">
        <v>0</v>
      </c>
      <c r="W571" s="18">
        <v>0</v>
      </c>
      <c r="X571" s="18"/>
      <c r="Y571" s="18">
        <v>0</v>
      </c>
      <c r="Z571" s="18">
        <v>0</v>
      </c>
      <c r="AA571" s="18">
        <v>0</v>
      </c>
      <c r="AB571" s="18">
        <v>0</v>
      </c>
      <c r="AC571" s="18">
        <v>0</v>
      </c>
      <c r="AD571" s="18">
        <v>0</v>
      </c>
      <c r="AE571" s="18">
        <v>0</v>
      </c>
      <c r="AF571" s="18">
        <v>0</v>
      </c>
      <c r="AG571" s="18">
        <v>0</v>
      </c>
      <c r="AH571" s="18">
        <v>0</v>
      </c>
      <c r="AI571" s="18">
        <v>0</v>
      </c>
      <c r="AJ571" s="18">
        <v>0</v>
      </c>
      <c r="AK571" s="18">
        <v>0</v>
      </c>
      <c r="AL571" s="18"/>
      <c r="AM571" s="18">
        <v>0</v>
      </c>
      <c r="AN571" s="18">
        <v>0</v>
      </c>
      <c r="AO571" s="18">
        <v>0</v>
      </c>
      <c r="AP571" s="18">
        <v>0</v>
      </c>
      <c r="AQ571" s="18">
        <v>0</v>
      </c>
      <c r="AR571" s="18">
        <v>0</v>
      </c>
      <c r="AS571" s="18">
        <v>0</v>
      </c>
      <c r="AT571" s="18">
        <v>0</v>
      </c>
      <c r="AU571" s="18">
        <v>0</v>
      </c>
      <c r="AV571" s="18">
        <v>0</v>
      </c>
      <c r="AW571" s="18">
        <v>0</v>
      </c>
      <c r="AX571" s="18"/>
      <c r="AY571" s="18">
        <v>1</v>
      </c>
      <c r="AZ571" s="18">
        <v>1</v>
      </c>
      <c r="BA571" s="18">
        <v>1</v>
      </c>
      <c r="BB571" s="18">
        <v>1</v>
      </c>
      <c r="BC571" s="18">
        <v>1</v>
      </c>
      <c r="BD571" s="18">
        <v>1</v>
      </c>
      <c r="BE571" s="18">
        <v>1</v>
      </c>
      <c r="BF571" s="18">
        <v>1</v>
      </c>
      <c r="BG571" s="18">
        <v>1</v>
      </c>
      <c r="BH571" s="18">
        <v>1</v>
      </c>
      <c r="BI571" s="18">
        <v>1</v>
      </c>
      <c r="BJ571" s="19"/>
      <c r="BK571" s="18">
        <v>3.75</v>
      </c>
      <c r="BL571" s="18">
        <v>0</v>
      </c>
      <c r="BM571" s="18">
        <v>0.17857142857142858</v>
      </c>
      <c r="BN571" s="18">
        <v>0</v>
      </c>
      <c r="BO571" s="18"/>
      <c r="BP571" s="18">
        <v>0</v>
      </c>
      <c r="BQ571" s="18">
        <v>0</v>
      </c>
      <c r="BR571" s="18">
        <v>1.5740135017421606</v>
      </c>
      <c r="BS571" s="18">
        <v>1.5085999536178107</v>
      </c>
      <c r="BT571" s="19"/>
      <c r="BU571" s="18">
        <v>998.21428571428567</v>
      </c>
      <c r="BV571" s="18">
        <v>964.08928571428567</v>
      </c>
      <c r="BW571" s="18">
        <v>0</v>
      </c>
      <c r="BX571" s="18" t="s">
        <v>217</v>
      </c>
      <c r="BY571" s="18" t="s">
        <v>217</v>
      </c>
      <c r="BZ571" s="18" t="s">
        <v>217</v>
      </c>
      <c r="CA571" s="18" t="s">
        <v>217</v>
      </c>
      <c r="CB571" s="19"/>
      <c r="CC571" s="19">
        <v>0</v>
      </c>
      <c r="CD571" s="19">
        <v>0</v>
      </c>
      <c r="CE571" s="19">
        <v>0</v>
      </c>
      <c r="CF571" s="19">
        <v>0</v>
      </c>
      <c r="CG571" s="19">
        <v>0</v>
      </c>
      <c r="CH571" s="19">
        <v>0</v>
      </c>
      <c r="CI571" s="19">
        <v>0</v>
      </c>
      <c r="CJ571" s="19"/>
      <c r="CK571" s="19">
        <v>0</v>
      </c>
      <c r="CL571" s="19">
        <v>0</v>
      </c>
      <c r="CM571" s="19">
        <v>0</v>
      </c>
      <c r="CN571" s="19">
        <v>0</v>
      </c>
      <c r="CO571" s="19">
        <v>0</v>
      </c>
      <c r="CP571" s="19">
        <v>0</v>
      </c>
      <c r="CQ571" s="19">
        <v>0</v>
      </c>
      <c r="CR571" s="19">
        <v>0</v>
      </c>
      <c r="HM571" s="620">
        <f t="shared" ref="HM571:HU571" si="523">HM201</f>
        <v>0</v>
      </c>
      <c r="HN571" s="620">
        <f t="shared" si="523"/>
        <v>0</v>
      </c>
      <c r="HO571" s="620">
        <f t="shared" si="523"/>
        <v>0</v>
      </c>
      <c r="HP571" s="620">
        <f t="shared" si="523"/>
        <v>0</v>
      </c>
      <c r="HQ571" s="620">
        <f t="shared" si="523"/>
        <v>0</v>
      </c>
      <c r="HR571" s="620">
        <f t="shared" si="523"/>
        <v>0</v>
      </c>
      <c r="HS571" s="620">
        <f t="shared" si="523"/>
        <v>0</v>
      </c>
      <c r="HT571" s="620">
        <f t="shared" si="523"/>
        <v>0</v>
      </c>
      <c r="HU571" s="620" t="str">
        <f t="shared" si="523"/>
        <v>offfarm</v>
      </c>
      <c r="HV571" s="22" t="s">
        <v>2013</v>
      </c>
      <c r="IB571" s="11">
        <f t="shared" ref="IB571:II571" si="524">IB201</f>
        <v>0.47300000000000003</v>
      </c>
      <c r="IC571" s="11">
        <f t="shared" si="524"/>
        <v>0.13</v>
      </c>
      <c r="ID571" s="11">
        <f t="shared" si="524"/>
        <v>0.39100000000000001</v>
      </c>
      <c r="IE571" s="11">
        <f t="shared" si="524"/>
        <v>5.5E-2</v>
      </c>
      <c r="IF571" s="11">
        <f t="shared" si="524"/>
        <v>3.97</v>
      </c>
      <c r="IG571" s="11">
        <f t="shared" si="524"/>
        <v>4.5999999999999999E-3</v>
      </c>
      <c r="IH571" s="11">
        <f t="shared" si="524"/>
        <v>2.73</v>
      </c>
      <c r="II571" s="11">
        <f t="shared" si="524"/>
        <v>0</v>
      </c>
    </row>
    <row r="572" spans="4:244" x14ac:dyDescent="0.25">
      <c r="D572" s="185" t="s">
        <v>598</v>
      </c>
      <c r="E572" s="14">
        <v>41751</v>
      </c>
      <c r="F572" s="18">
        <v>0.43457073170731803</v>
      </c>
      <c r="G572" s="18">
        <v>0.41651064935065002</v>
      </c>
      <c r="H572" s="21">
        <v>100</v>
      </c>
      <c r="I572" s="21">
        <v>100</v>
      </c>
      <c r="J572" s="21">
        <v>100</v>
      </c>
      <c r="K572" s="18">
        <v>1</v>
      </c>
      <c r="L572" s="18">
        <v>99.5</v>
      </c>
      <c r="M572" s="18">
        <v>1.4</v>
      </c>
      <c r="N572" s="18">
        <v>7.4</v>
      </c>
      <c r="O572" s="18">
        <v>77.099999999999994</v>
      </c>
      <c r="P572" s="18">
        <v>0</v>
      </c>
      <c r="Q572" s="19"/>
      <c r="R572" s="18">
        <v>0</v>
      </c>
      <c r="S572" s="18">
        <v>0</v>
      </c>
      <c r="T572" s="18">
        <v>0</v>
      </c>
      <c r="U572" s="18">
        <v>0</v>
      </c>
      <c r="V572" s="18">
        <v>0</v>
      </c>
      <c r="W572" s="18">
        <v>0</v>
      </c>
      <c r="X572" s="18"/>
      <c r="Y572" s="18">
        <v>0</v>
      </c>
      <c r="Z572" s="18">
        <v>0</v>
      </c>
      <c r="AA572" s="18">
        <v>0</v>
      </c>
      <c r="AB572" s="18">
        <v>0</v>
      </c>
      <c r="AC572" s="18">
        <v>0</v>
      </c>
      <c r="AD572" s="18">
        <v>0</v>
      </c>
      <c r="AE572" s="18">
        <v>0</v>
      </c>
      <c r="AF572" s="18">
        <v>0</v>
      </c>
      <c r="AG572" s="18">
        <v>0</v>
      </c>
      <c r="AH572" s="18">
        <v>0</v>
      </c>
      <c r="AI572" s="18">
        <v>0</v>
      </c>
      <c r="AJ572" s="18">
        <v>0</v>
      </c>
      <c r="AK572" s="18">
        <v>0</v>
      </c>
      <c r="AL572" s="18"/>
      <c r="AM572" s="18">
        <v>0</v>
      </c>
      <c r="AN572" s="18">
        <v>0</v>
      </c>
      <c r="AO572" s="18">
        <v>0</v>
      </c>
      <c r="AP572" s="18">
        <v>0</v>
      </c>
      <c r="AQ572" s="18">
        <v>0</v>
      </c>
      <c r="AR572" s="18">
        <v>0</v>
      </c>
      <c r="AS572" s="18">
        <v>0</v>
      </c>
      <c r="AT572" s="18">
        <v>0</v>
      </c>
      <c r="AU572" s="18">
        <v>0</v>
      </c>
      <c r="AV572" s="18">
        <v>0</v>
      </c>
      <c r="AW572" s="18">
        <v>0</v>
      </c>
      <c r="AX572" s="18"/>
      <c r="AY572" s="18">
        <v>1</v>
      </c>
      <c r="AZ572" s="18">
        <v>1</v>
      </c>
      <c r="BA572" s="18">
        <v>1</v>
      </c>
      <c r="BB572" s="18">
        <v>1</v>
      </c>
      <c r="BC572" s="18">
        <v>1</v>
      </c>
      <c r="BD572" s="18">
        <v>1</v>
      </c>
      <c r="BE572" s="18">
        <v>1</v>
      </c>
      <c r="BF572" s="18">
        <v>1</v>
      </c>
      <c r="BG572" s="18">
        <v>1</v>
      </c>
      <c r="BH572" s="18">
        <v>1</v>
      </c>
      <c r="BI572" s="18">
        <v>1</v>
      </c>
      <c r="BJ572" s="19"/>
      <c r="BK572" s="18">
        <v>1.4070351758793969</v>
      </c>
      <c r="BL572" s="18">
        <v>7.4371859296482414</v>
      </c>
      <c r="BM572" s="18">
        <v>77.487437185929636</v>
      </c>
      <c r="BN572" s="18">
        <v>0</v>
      </c>
      <c r="BO572" s="18"/>
      <c r="BP572" s="18">
        <v>0</v>
      </c>
      <c r="BQ572" s="18">
        <v>0</v>
      </c>
      <c r="BR572" s="18">
        <v>0.43675450422846035</v>
      </c>
      <c r="BS572" s="18">
        <v>0.41860366768909552</v>
      </c>
      <c r="BT572" s="19"/>
      <c r="BU572" s="18">
        <v>225.12562814070353</v>
      </c>
      <c r="BV572" s="18">
        <v>140.18090452261305</v>
      </c>
      <c r="BW572" s="18">
        <v>0</v>
      </c>
      <c r="BX572" s="18" t="s">
        <v>217</v>
      </c>
      <c r="BY572" s="18" t="s">
        <v>217</v>
      </c>
      <c r="BZ572" s="18" t="s">
        <v>217</v>
      </c>
      <c r="CA572" s="18" t="s">
        <v>217</v>
      </c>
      <c r="CB572" s="19"/>
      <c r="CC572" s="19">
        <v>0</v>
      </c>
      <c r="CD572" s="19">
        <v>0</v>
      </c>
      <c r="CE572" s="19">
        <v>0</v>
      </c>
      <c r="CF572" s="19">
        <v>0</v>
      </c>
      <c r="CG572" s="19">
        <v>0</v>
      </c>
      <c r="CH572" s="19">
        <v>0</v>
      </c>
      <c r="CI572" s="19">
        <v>0</v>
      </c>
      <c r="CJ572" s="19"/>
      <c r="CK572" s="19">
        <v>0</v>
      </c>
      <c r="CL572" s="19">
        <v>0</v>
      </c>
      <c r="CM572" s="19">
        <v>0</v>
      </c>
      <c r="CN572" s="19">
        <v>0</v>
      </c>
      <c r="CO572" s="19">
        <v>0</v>
      </c>
      <c r="CP572" s="19">
        <v>0</v>
      </c>
      <c r="CQ572" s="19">
        <v>0</v>
      </c>
      <c r="CR572" s="19">
        <v>0</v>
      </c>
      <c r="HM572" s="620">
        <f t="shared" ref="HM572:HU572" si="525">HM202</f>
        <v>0</v>
      </c>
      <c r="HN572" s="620">
        <f t="shared" si="525"/>
        <v>0</v>
      </c>
      <c r="HO572" s="620">
        <f t="shared" si="525"/>
        <v>0</v>
      </c>
      <c r="HP572" s="620">
        <f t="shared" si="525"/>
        <v>0</v>
      </c>
      <c r="HQ572" s="620">
        <f t="shared" si="525"/>
        <v>0</v>
      </c>
      <c r="HR572" s="620">
        <f t="shared" si="525"/>
        <v>0</v>
      </c>
      <c r="HS572" s="620">
        <f t="shared" si="525"/>
        <v>0</v>
      </c>
      <c r="HT572" s="620">
        <f t="shared" si="525"/>
        <v>0</v>
      </c>
      <c r="HU572" s="620" t="str">
        <f t="shared" si="525"/>
        <v>offfarm</v>
      </c>
      <c r="HV572" s="22" t="s">
        <v>2013</v>
      </c>
      <c r="IB572" s="11">
        <f t="shared" ref="IB572:II572" si="526">IB202</f>
        <v>0.47300000000000003</v>
      </c>
      <c r="IC572" s="11">
        <f t="shared" si="526"/>
        <v>0.13</v>
      </c>
      <c r="ID572" s="11">
        <f t="shared" si="526"/>
        <v>0.39100000000000001</v>
      </c>
      <c r="IE572" s="11">
        <f t="shared" si="526"/>
        <v>5.5E-2</v>
      </c>
      <c r="IF572" s="11">
        <f t="shared" si="526"/>
        <v>3.97</v>
      </c>
      <c r="IG572" s="11">
        <f t="shared" si="526"/>
        <v>4.5999999999999999E-3</v>
      </c>
      <c r="IH572" s="11">
        <f t="shared" si="526"/>
        <v>2.73</v>
      </c>
      <c r="II572" s="11">
        <f t="shared" si="526"/>
        <v>0</v>
      </c>
    </row>
    <row r="573" spans="4:244" x14ac:dyDescent="0.25">
      <c r="D573" s="185" t="s">
        <v>600</v>
      </c>
      <c r="E573" s="14">
        <v>40310</v>
      </c>
      <c r="F573" s="18">
        <v>0.88144756097560995</v>
      </c>
      <c r="G573" s="18">
        <v>0.84481597402597397</v>
      </c>
      <c r="H573" s="21">
        <v>100</v>
      </c>
      <c r="I573" s="21">
        <v>100</v>
      </c>
      <c r="J573" s="21">
        <v>100</v>
      </c>
      <c r="K573" s="18">
        <v>1</v>
      </c>
      <c r="L573" s="18">
        <v>56</v>
      </c>
      <c r="M573" s="18">
        <v>2.1</v>
      </c>
      <c r="N573" s="18">
        <v>0</v>
      </c>
      <c r="O573" s="18">
        <v>0.1</v>
      </c>
      <c r="P573" s="18">
        <v>0</v>
      </c>
      <c r="Q573" s="19"/>
      <c r="R573" s="18">
        <v>0</v>
      </c>
      <c r="S573" s="18">
        <v>0</v>
      </c>
      <c r="T573" s="18">
        <v>0</v>
      </c>
      <c r="U573" s="18">
        <v>0</v>
      </c>
      <c r="V573" s="18">
        <v>0</v>
      </c>
      <c r="W573" s="18">
        <v>0</v>
      </c>
      <c r="X573" s="18"/>
      <c r="Y573" s="18">
        <v>0</v>
      </c>
      <c r="Z573" s="18">
        <v>0</v>
      </c>
      <c r="AA573" s="18">
        <v>0</v>
      </c>
      <c r="AB573" s="18">
        <v>0</v>
      </c>
      <c r="AC573" s="18">
        <v>0</v>
      </c>
      <c r="AD573" s="18">
        <v>0</v>
      </c>
      <c r="AE573" s="18">
        <v>0</v>
      </c>
      <c r="AF573" s="18">
        <v>0</v>
      </c>
      <c r="AG573" s="18">
        <v>0</v>
      </c>
      <c r="AH573" s="18">
        <v>0</v>
      </c>
      <c r="AI573" s="18">
        <v>0</v>
      </c>
      <c r="AJ573" s="18">
        <v>0</v>
      </c>
      <c r="AK573" s="18">
        <v>0</v>
      </c>
      <c r="AL573" s="18"/>
      <c r="AM573" s="18">
        <v>0</v>
      </c>
      <c r="AN573" s="18">
        <v>0</v>
      </c>
      <c r="AO573" s="18">
        <v>0</v>
      </c>
      <c r="AP573" s="18">
        <v>0</v>
      </c>
      <c r="AQ573" s="18">
        <v>0</v>
      </c>
      <c r="AR573" s="18">
        <v>0</v>
      </c>
      <c r="AS573" s="18">
        <v>0</v>
      </c>
      <c r="AT573" s="18">
        <v>0</v>
      </c>
      <c r="AU573" s="18">
        <v>0</v>
      </c>
      <c r="AV573" s="18">
        <v>0</v>
      </c>
      <c r="AW573" s="18">
        <v>0</v>
      </c>
      <c r="AX573" s="18"/>
      <c r="AY573" s="18">
        <v>1</v>
      </c>
      <c r="AZ573" s="18">
        <v>1</v>
      </c>
      <c r="BA573" s="18">
        <v>1</v>
      </c>
      <c r="BB573" s="18">
        <v>1</v>
      </c>
      <c r="BC573" s="18">
        <v>1</v>
      </c>
      <c r="BD573" s="18">
        <v>1</v>
      </c>
      <c r="BE573" s="18">
        <v>1</v>
      </c>
      <c r="BF573" s="18">
        <v>1</v>
      </c>
      <c r="BG573" s="18">
        <v>1</v>
      </c>
      <c r="BH573" s="18">
        <v>1</v>
      </c>
      <c r="BI573" s="18">
        <v>1</v>
      </c>
      <c r="BJ573" s="19"/>
      <c r="BK573" s="18">
        <v>3.75</v>
      </c>
      <c r="BL573" s="18">
        <v>0</v>
      </c>
      <c r="BM573" s="18">
        <v>0.17857142857142858</v>
      </c>
      <c r="BN573" s="18">
        <v>0</v>
      </c>
      <c r="BO573" s="18"/>
      <c r="BP573" s="18">
        <v>0</v>
      </c>
      <c r="BQ573" s="18">
        <v>0</v>
      </c>
      <c r="BR573" s="18">
        <v>1.5740135017421606</v>
      </c>
      <c r="BS573" s="18">
        <v>1.5085999536178107</v>
      </c>
      <c r="BT573" s="19"/>
      <c r="BU573" s="18">
        <v>998.21428571428567</v>
      </c>
      <c r="BV573" s="18">
        <v>964.08928571428567</v>
      </c>
      <c r="BW573" s="18">
        <v>0</v>
      </c>
      <c r="BX573" s="18" t="s">
        <v>217</v>
      </c>
      <c r="BY573" s="18" t="s">
        <v>217</v>
      </c>
      <c r="BZ573" s="18" t="s">
        <v>217</v>
      </c>
      <c r="CA573" s="18" t="s">
        <v>217</v>
      </c>
      <c r="CB573" s="19"/>
      <c r="CC573" s="19">
        <v>0</v>
      </c>
      <c r="CD573" s="19">
        <v>0</v>
      </c>
      <c r="CE573" s="19">
        <v>0</v>
      </c>
      <c r="CF573" s="19">
        <v>0</v>
      </c>
      <c r="CG573" s="19">
        <v>0</v>
      </c>
      <c r="CH573" s="19">
        <v>0</v>
      </c>
      <c r="CI573" s="19">
        <v>0</v>
      </c>
      <c r="CJ573" s="19"/>
      <c r="CK573" s="19">
        <v>0</v>
      </c>
      <c r="CL573" s="19">
        <v>0</v>
      </c>
      <c r="CM573" s="19">
        <v>0</v>
      </c>
      <c r="CN573" s="19">
        <v>0</v>
      </c>
      <c r="CO573" s="19">
        <v>0</v>
      </c>
      <c r="CP573" s="19">
        <v>0</v>
      </c>
      <c r="CQ573" s="19">
        <v>0</v>
      </c>
      <c r="CR573" s="19">
        <v>0</v>
      </c>
      <c r="HM573" s="620">
        <f t="shared" ref="HM573:HU573" si="527">HM203</f>
        <v>0</v>
      </c>
      <c r="HN573" s="620">
        <f t="shared" si="527"/>
        <v>0</v>
      </c>
      <c r="HO573" s="620">
        <f t="shared" si="527"/>
        <v>0</v>
      </c>
      <c r="HP573" s="620">
        <f t="shared" si="527"/>
        <v>0</v>
      </c>
      <c r="HQ573" s="620">
        <f t="shared" si="527"/>
        <v>0</v>
      </c>
      <c r="HR573" s="620">
        <f t="shared" si="527"/>
        <v>0</v>
      </c>
      <c r="HS573" s="620">
        <f t="shared" si="527"/>
        <v>0</v>
      </c>
      <c r="HT573" s="620">
        <f t="shared" si="527"/>
        <v>0</v>
      </c>
      <c r="HU573" s="620" t="str">
        <f t="shared" si="527"/>
        <v>offfarm</v>
      </c>
      <c r="HV573" s="22" t="s">
        <v>2013</v>
      </c>
      <c r="IB573" s="11">
        <f t="shared" ref="IB573:II573" si="528">IB203</f>
        <v>0.47300000000000003</v>
      </c>
      <c r="IC573" s="11">
        <f t="shared" si="528"/>
        <v>0.13</v>
      </c>
      <c r="ID573" s="11">
        <f t="shared" si="528"/>
        <v>0.39100000000000001</v>
      </c>
      <c r="IE573" s="11">
        <f t="shared" si="528"/>
        <v>5.5E-2</v>
      </c>
      <c r="IF573" s="11">
        <f t="shared" si="528"/>
        <v>3.97</v>
      </c>
      <c r="IG573" s="11">
        <f t="shared" si="528"/>
        <v>4.5999999999999999E-3</v>
      </c>
      <c r="IH573" s="11">
        <f t="shared" si="528"/>
        <v>2.73</v>
      </c>
      <c r="II573" s="11">
        <f t="shared" si="528"/>
        <v>0</v>
      </c>
    </row>
    <row r="574" spans="4:244" x14ac:dyDescent="0.25">
      <c r="D574" s="185" t="s">
        <v>601</v>
      </c>
      <c r="E574" s="14">
        <v>40310</v>
      </c>
      <c r="F574" s="18">
        <v>0.43457073170731803</v>
      </c>
      <c r="G574" s="18">
        <v>0.41651064935065002</v>
      </c>
      <c r="H574" s="21">
        <v>100</v>
      </c>
      <c r="I574" s="21">
        <v>100</v>
      </c>
      <c r="J574" s="21">
        <v>100</v>
      </c>
      <c r="K574" s="18">
        <v>1</v>
      </c>
      <c r="L574" s="18">
        <v>99.5</v>
      </c>
      <c r="M574" s="18">
        <v>1.4</v>
      </c>
      <c r="N574" s="18">
        <v>7.4</v>
      </c>
      <c r="O574" s="18">
        <v>77.099999999999994</v>
      </c>
      <c r="P574" s="18">
        <v>0</v>
      </c>
      <c r="Q574" s="19"/>
      <c r="R574" s="18">
        <v>0</v>
      </c>
      <c r="S574" s="18">
        <v>0</v>
      </c>
      <c r="T574" s="18">
        <v>0</v>
      </c>
      <c r="U574" s="18">
        <v>0</v>
      </c>
      <c r="V574" s="18">
        <v>0</v>
      </c>
      <c r="W574" s="18">
        <v>0</v>
      </c>
      <c r="X574" s="18"/>
      <c r="Y574" s="18">
        <v>0</v>
      </c>
      <c r="Z574" s="18">
        <v>0</v>
      </c>
      <c r="AA574" s="18">
        <v>0</v>
      </c>
      <c r="AB574" s="18">
        <v>0</v>
      </c>
      <c r="AC574" s="18">
        <v>0</v>
      </c>
      <c r="AD574" s="18">
        <v>0</v>
      </c>
      <c r="AE574" s="18">
        <v>0</v>
      </c>
      <c r="AF574" s="18">
        <v>0</v>
      </c>
      <c r="AG574" s="18">
        <v>0</v>
      </c>
      <c r="AH574" s="18">
        <v>0</v>
      </c>
      <c r="AI574" s="18">
        <v>0</v>
      </c>
      <c r="AJ574" s="18">
        <v>0</v>
      </c>
      <c r="AK574" s="18">
        <v>0</v>
      </c>
      <c r="AL574" s="18"/>
      <c r="AM574" s="18">
        <v>0</v>
      </c>
      <c r="AN574" s="18">
        <v>0</v>
      </c>
      <c r="AO574" s="18">
        <v>0</v>
      </c>
      <c r="AP574" s="18">
        <v>0</v>
      </c>
      <c r="AQ574" s="18">
        <v>0</v>
      </c>
      <c r="AR574" s="18">
        <v>0</v>
      </c>
      <c r="AS574" s="18">
        <v>0</v>
      </c>
      <c r="AT574" s="18">
        <v>0</v>
      </c>
      <c r="AU574" s="18">
        <v>0</v>
      </c>
      <c r="AV574" s="18">
        <v>0</v>
      </c>
      <c r="AW574" s="18">
        <v>0</v>
      </c>
      <c r="AX574" s="18"/>
      <c r="AY574" s="18">
        <v>1</v>
      </c>
      <c r="AZ574" s="18">
        <v>1</v>
      </c>
      <c r="BA574" s="18">
        <v>1</v>
      </c>
      <c r="BB574" s="18">
        <v>1</v>
      </c>
      <c r="BC574" s="18">
        <v>1</v>
      </c>
      <c r="BD574" s="18">
        <v>1</v>
      </c>
      <c r="BE574" s="18">
        <v>1</v>
      </c>
      <c r="BF574" s="18">
        <v>1</v>
      </c>
      <c r="BG574" s="18">
        <v>1</v>
      </c>
      <c r="BH574" s="18">
        <v>1</v>
      </c>
      <c r="BI574" s="18">
        <v>1</v>
      </c>
      <c r="BJ574" s="19"/>
      <c r="BK574" s="18">
        <v>1.4070351758793969</v>
      </c>
      <c r="BL574" s="18">
        <v>7.4371859296482414</v>
      </c>
      <c r="BM574" s="18">
        <v>77.487437185929636</v>
      </c>
      <c r="BN574" s="18">
        <v>0</v>
      </c>
      <c r="BO574" s="18"/>
      <c r="BP574" s="18">
        <v>0</v>
      </c>
      <c r="BQ574" s="18">
        <v>0</v>
      </c>
      <c r="BR574" s="18">
        <v>0.43675450422846035</v>
      </c>
      <c r="BS574" s="18">
        <v>0.41860366768909552</v>
      </c>
      <c r="BT574" s="19"/>
      <c r="BU574" s="18">
        <v>225.12562814070353</v>
      </c>
      <c r="BV574" s="18">
        <v>140.18090452261305</v>
      </c>
      <c r="BW574" s="18">
        <v>0</v>
      </c>
      <c r="BX574" s="18" t="s">
        <v>217</v>
      </c>
      <c r="BY574" s="18" t="s">
        <v>217</v>
      </c>
      <c r="BZ574" s="18" t="s">
        <v>217</v>
      </c>
      <c r="CA574" s="18" t="s">
        <v>217</v>
      </c>
      <c r="CB574" s="19"/>
      <c r="CC574" s="19">
        <v>0</v>
      </c>
      <c r="CD574" s="19">
        <v>0</v>
      </c>
      <c r="CE574" s="19">
        <v>0</v>
      </c>
      <c r="CF574" s="19">
        <v>0</v>
      </c>
      <c r="CG574" s="19">
        <v>0</v>
      </c>
      <c r="CH574" s="19">
        <v>0</v>
      </c>
      <c r="CI574" s="19">
        <v>0</v>
      </c>
      <c r="CJ574" s="19"/>
      <c r="CK574" s="19">
        <v>0</v>
      </c>
      <c r="CL574" s="19">
        <v>0</v>
      </c>
      <c r="CM574" s="19">
        <v>0</v>
      </c>
      <c r="CN574" s="19">
        <v>0</v>
      </c>
      <c r="CO574" s="19">
        <v>0</v>
      </c>
      <c r="CP574" s="19">
        <v>0</v>
      </c>
      <c r="CQ574" s="19">
        <v>0</v>
      </c>
      <c r="CR574" s="19">
        <v>0</v>
      </c>
      <c r="HM574" s="620">
        <f t="shared" ref="HM574:HU574" si="529">HM204</f>
        <v>0</v>
      </c>
      <c r="HN574" s="620">
        <f t="shared" si="529"/>
        <v>0</v>
      </c>
      <c r="HO574" s="620">
        <f t="shared" si="529"/>
        <v>0</v>
      </c>
      <c r="HP574" s="620">
        <f t="shared" si="529"/>
        <v>0</v>
      </c>
      <c r="HQ574" s="620">
        <f t="shared" si="529"/>
        <v>0</v>
      </c>
      <c r="HR574" s="620">
        <f t="shared" si="529"/>
        <v>0</v>
      </c>
      <c r="HS574" s="620">
        <f t="shared" si="529"/>
        <v>0</v>
      </c>
      <c r="HT574" s="620">
        <f t="shared" si="529"/>
        <v>0</v>
      </c>
      <c r="HU574" s="620" t="str">
        <f t="shared" si="529"/>
        <v>offfarm</v>
      </c>
      <c r="HV574" s="22" t="s">
        <v>2013</v>
      </c>
      <c r="IB574" s="11">
        <f t="shared" ref="IB574:II574" si="530">IB204</f>
        <v>0.47300000000000003</v>
      </c>
      <c r="IC574" s="11">
        <f t="shared" si="530"/>
        <v>0.13</v>
      </c>
      <c r="ID574" s="11">
        <f t="shared" si="530"/>
        <v>0.39100000000000001</v>
      </c>
      <c r="IE574" s="11">
        <f t="shared" si="530"/>
        <v>5.5E-2</v>
      </c>
      <c r="IF574" s="11">
        <f t="shared" si="530"/>
        <v>3.97</v>
      </c>
      <c r="IG574" s="11">
        <f t="shared" si="530"/>
        <v>4.5999999999999999E-3</v>
      </c>
      <c r="IH574" s="11">
        <f t="shared" si="530"/>
        <v>2.73</v>
      </c>
      <c r="II574" s="11">
        <f t="shared" si="530"/>
        <v>0</v>
      </c>
    </row>
    <row r="575" spans="4:244" x14ac:dyDescent="0.25">
      <c r="D575" s="185" t="s">
        <v>602</v>
      </c>
      <c r="E575" s="14">
        <v>40310</v>
      </c>
      <c r="F575" s="18">
        <v>1.45860433604336</v>
      </c>
      <c r="G575" s="18">
        <v>1.39798701298702</v>
      </c>
      <c r="H575" s="21">
        <v>100</v>
      </c>
      <c r="I575" s="21">
        <v>100</v>
      </c>
      <c r="J575" s="21">
        <v>100</v>
      </c>
      <c r="K575" s="18">
        <v>1</v>
      </c>
      <c r="L575" s="18">
        <v>99</v>
      </c>
      <c r="M575" s="18">
        <v>50</v>
      </c>
      <c r="N575" s="18">
        <v>0</v>
      </c>
      <c r="O575" s="18">
        <v>0</v>
      </c>
      <c r="P575" s="18">
        <v>0</v>
      </c>
      <c r="Q575" s="19"/>
      <c r="R575" s="18">
        <v>0</v>
      </c>
      <c r="S575" s="18">
        <v>0</v>
      </c>
      <c r="T575" s="18">
        <v>0</v>
      </c>
      <c r="U575" s="18">
        <v>0</v>
      </c>
      <c r="V575" s="18">
        <v>0</v>
      </c>
      <c r="W575" s="18">
        <v>0</v>
      </c>
      <c r="X575" s="18"/>
      <c r="Y575" s="18">
        <v>0</v>
      </c>
      <c r="Z575" s="18">
        <v>0</v>
      </c>
      <c r="AA575" s="18">
        <v>0</v>
      </c>
      <c r="AB575" s="18">
        <v>0</v>
      </c>
      <c r="AC575" s="18">
        <v>0</v>
      </c>
      <c r="AD575" s="18">
        <v>0</v>
      </c>
      <c r="AE575" s="18">
        <v>0</v>
      </c>
      <c r="AF575" s="18">
        <v>0</v>
      </c>
      <c r="AG575" s="18">
        <v>0</v>
      </c>
      <c r="AH575" s="18">
        <v>0</v>
      </c>
      <c r="AI575" s="18">
        <v>0</v>
      </c>
      <c r="AJ575" s="18">
        <v>0</v>
      </c>
      <c r="AK575" s="18">
        <v>0</v>
      </c>
      <c r="AL575" s="18"/>
      <c r="AM575" s="18">
        <v>0</v>
      </c>
      <c r="AN575" s="18">
        <v>0</v>
      </c>
      <c r="AO575" s="18">
        <v>0</v>
      </c>
      <c r="AP575" s="18">
        <v>0</v>
      </c>
      <c r="AQ575" s="18">
        <v>0</v>
      </c>
      <c r="AR575" s="18">
        <v>0</v>
      </c>
      <c r="AS575" s="18">
        <v>0</v>
      </c>
      <c r="AT575" s="18">
        <v>0</v>
      </c>
      <c r="AU575" s="18">
        <v>0</v>
      </c>
      <c r="AV575" s="18">
        <v>0</v>
      </c>
      <c r="AW575" s="18">
        <v>0</v>
      </c>
      <c r="AX575" s="18"/>
      <c r="AY575" s="18">
        <v>1</v>
      </c>
      <c r="AZ575" s="18">
        <v>1</v>
      </c>
      <c r="BA575" s="18">
        <v>1</v>
      </c>
      <c r="BB575" s="18">
        <v>1</v>
      </c>
      <c r="BC575" s="18">
        <v>1</v>
      </c>
      <c r="BD575" s="18">
        <v>1</v>
      </c>
      <c r="BE575" s="18">
        <v>1</v>
      </c>
      <c r="BF575" s="18">
        <v>1</v>
      </c>
      <c r="BG575" s="18">
        <v>1</v>
      </c>
      <c r="BH575" s="18">
        <v>1</v>
      </c>
      <c r="BI575" s="18">
        <v>1</v>
      </c>
      <c r="BJ575" s="19"/>
      <c r="BK575" s="18">
        <v>50.505050505050505</v>
      </c>
      <c r="BL575" s="18">
        <v>0</v>
      </c>
      <c r="BM575" s="18">
        <v>0</v>
      </c>
      <c r="BN575" s="18">
        <v>0</v>
      </c>
      <c r="BO575" s="18"/>
      <c r="BP575" s="18">
        <v>0</v>
      </c>
      <c r="BQ575" s="18">
        <v>0</v>
      </c>
      <c r="BR575" s="18">
        <v>1.4733377131751111</v>
      </c>
      <c r="BS575" s="18">
        <v>1.4121080939262829</v>
      </c>
      <c r="BT575" s="19"/>
      <c r="BU575" s="18">
        <v>1000</v>
      </c>
      <c r="BV575" s="18">
        <v>540.40404040404042</v>
      </c>
      <c r="BW575" s="18">
        <v>0</v>
      </c>
      <c r="BX575" s="18" t="s">
        <v>217</v>
      </c>
      <c r="BY575" s="18" t="s">
        <v>217</v>
      </c>
      <c r="BZ575" s="18" t="s">
        <v>217</v>
      </c>
      <c r="CA575" s="18" t="s">
        <v>217</v>
      </c>
      <c r="CB575" s="19"/>
      <c r="CC575" s="19">
        <v>0</v>
      </c>
      <c r="CD575" s="19">
        <v>0</v>
      </c>
      <c r="CE575" s="19">
        <v>0</v>
      </c>
      <c r="CF575" s="19">
        <v>0</v>
      </c>
      <c r="CG575" s="19">
        <v>0</v>
      </c>
      <c r="CH575" s="19">
        <v>0</v>
      </c>
      <c r="CI575" s="19">
        <v>0</v>
      </c>
      <c r="CJ575" s="19"/>
      <c r="CK575" s="19">
        <v>0</v>
      </c>
      <c r="CL575" s="19">
        <v>0</v>
      </c>
      <c r="CM575" s="19">
        <v>0</v>
      </c>
      <c r="CN575" s="19">
        <v>0</v>
      </c>
      <c r="CO575" s="19">
        <v>0</v>
      </c>
      <c r="CP575" s="19">
        <v>0</v>
      </c>
      <c r="CQ575" s="19">
        <v>0</v>
      </c>
      <c r="CR575" s="19">
        <v>0</v>
      </c>
      <c r="HM575" s="620">
        <f t="shared" ref="HM575:HU575" si="531">HM205</f>
        <v>0</v>
      </c>
      <c r="HN575" s="620">
        <f t="shared" si="531"/>
        <v>0</v>
      </c>
      <c r="HO575" s="620">
        <f t="shared" si="531"/>
        <v>0</v>
      </c>
      <c r="HP575" s="620">
        <f t="shared" si="531"/>
        <v>0</v>
      </c>
      <c r="HQ575" s="620">
        <f t="shared" si="531"/>
        <v>0</v>
      </c>
      <c r="HR575" s="620">
        <f t="shared" si="531"/>
        <v>0</v>
      </c>
      <c r="HS575" s="620">
        <f t="shared" si="531"/>
        <v>0</v>
      </c>
      <c r="HT575" s="620">
        <f t="shared" si="531"/>
        <v>0</v>
      </c>
      <c r="HU575" s="620" t="str">
        <f t="shared" si="531"/>
        <v>offfarm</v>
      </c>
      <c r="HV575" s="22" t="s">
        <v>2013</v>
      </c>
      <c r="IB575" s="11">
        <f t="shared" ref="IB575:II575" si="532">IB205</f>
        <v>0.47300000000000003</v>
      </c>
      <c r="IC575" s="11">
        <f t="shared" si="532"/>
        <v>0.13</v>
      </c>
      <c r="ID575" s="11">
        <f t="shared" si="532"/>
        <v>0.39100000000000001</v>
      </c>
      <c r="IE575" s="11">
        <f t="shared" si="532"/>
        <v>5.5E-2</v>
      </c>
      <c r="IF575" s="11">
        <f t="shared" si="532"/>
        <v>3.97</v>
      </c>
      <c r="IG575" s="11">
        <f t="shared" si="532"/>
        <v>4.5999999999999999E-3</v>
      </c>
      <c r="IH575" s="11">
        <f t="shared" si="532"/>
        <v>2.73</v>
      </c>
      <c r="II575" s="11">
        <f t="shared" si="532"/>
        <v>0</v>
      </c>
    </row>
    <row r="576" spans="4:244" x14ac:dyDescent="0.25">
      <c r="D576" s="185" t="s">
        <v>603</v>
      </c>
      <c r="E576" s="14">
        <v>40310</v>
      </c>
      <c r="F576" s="18">
        <v>1.45860433604336</v>
      </c>
      <c r="G576" s="18">
        <v>1.39798701298702</v>
      </c>
      <c r="H576" s="21">
        <v>100</v>
      </c>
      <c r="I576" s="21">
        <v>100</v>
      </c>
      <c r="J576" s="21">
        <v>100</v>
      </c>
      <c r="K576" s="18">
        <v>1</v>
      </c>
      <c r="L576" s="18">
        <v>99</v>
      </c>
      <c r="M576" s="18">
        <v>50</v>
      </c>
      <c r="N576" s="18">
        <v>0</v>
      </c>
      <c r="O576" s="18">
        <v>0</v>
      </c>
      <c r="P576" s="18">
        <v>0</v>
      </c>
      <c r="Q576" s="19"/>
      <c r="R576" s="18">
        <v>0</v>
      </c>
      <c r="S576" s="18">
        <v>0</v>
      </c>
      <c r="T576" s="18">
        <v>0</v>
      </c>
      <c r="U576" s="18">
        <v>0</v>
      </c>
      <c r="V576" s="18">
        <v>0</v>
      </c>
      <c r="W576" s="18">
        <v>0</v>
      </c>
      <c r="X576" s="18"/>
      <c r="Y576" s="18">
        <v>0</v>
      </c>
      <c r="Z576" s="18">
        <v>0</v>
      </c>
      <c r="AA576" s="18">
        <v>0</v>
      </c>
      <c r="AB576" s="18">
        <v>0</v>
      </c>
      <c r="AC576" s="18">
        <v>0</v>
      </c>
      <c r="AD576" s="18">
        <v>0</v>
      </c>
      <c r="AE576" s="18">
        <v>0</v>
      </c>
      <c r="AF576" s="18">
        <v>0</v>
      </c>
      <c r="AG576" s="18">
        <v>0</v>
      </c>
      <c r="AH576" s="18">
        <v>0</v>
      </c>
      <c r="AI576" s="18">
        <v>0</v>
      </c>
      <c r="AJ576" s="18">
        <v>0</v>
      </c>
      <c r="AK576" s="18">
        <v>0</v>
      </c>
      <c r="AL576" s="18"/>
      <c r="AM576" s="18">
        <v>0</v>
      </c>
      <c r="AN576" s="18">
        <v>0</v>
      </c>
      <c r="AO576" s="18">
        <v>0</v>
      </c>
      <c r="AP576" s="18">
        <v>0</v>
      </c>
      <c r="AQ576" s="18">
        <v>0</v>
      </c>
      <c r="AR576" s="18">
        <v>0</v>
      </c>
      <c r="AS576" s="18">
        <v>0</v>
      </c>
      <c r="AT576" s="18">
        <v>0</v>
      </c>
      <c r="AU576" s="18">
        <v>0</v>
      </c>
      <c r="AV576" s="18">
        <v>0</v>
      </c>
      <c r="AW576" s="18">
        <v>0</v>
      </c>
      <c r="AX576" s="18"/>
      <c r="AY576" s="18">
        <v>1</v>
      </c>
      <c r="AZ576" s="18">
        <v>1</v>
      </c>
      <c r="BA576" s="18">
        <v>1</v>
      </c>
      <c r="BB576" s="18">
        <v>1</v>
      </c>
      <c r="BC576" s="18">
        <v>1</v>
      </c>
      <c r="BD576" s="18">
        <v>1</v>
      </c>
      <c r="BE576" s="18">
        <v>1</v>
      </c>
      <c r="BF576" s="18">
        <v>1</v>
      </c>
      <c r="BG576" s="18">
        <v>1</v>
      </c>
      <c r="BH576" s="18">
        <v>1</v>
      </c>
      <c r="BI576" s="18">
        <v>1</v>
      </c>
      <c r="BJ576" s="19"/>
      <c r="BK576" s="18">
        <v>50.505050505050505</v>
      </c>
      <c r="BL576" s="18">
        <v>0</v>
      </c>
      <c r="BM576" s="18">
        <v>0</v>
      </c>
      <c r="BN576" s="18">
        <v>0</v>
      </c>
      <c r="BO576" s="18"/>
      <c r="BP576" s="18">
        <v>0</v>
      </c>
      <c r="BQ576" s="18">
        <v>0</v>
      </c>
      <c r="BR576" s="18">
        <v>1.4733377131751111</v>
      </c>
      <c r="BS576" s="18">
        <v>1.4121080939262829</v>
      </c>
      <c r="BT576" s="19"/>
      <c r="BU576" s="18">
        <v>1000</v>
      </c>
      <c r="BV576" s="18">
        <v>540.40404040404042</v>
      </c>
      <c r="BW576" s="18">
        <v>0</v>
      </c>
      <c r="BX576" s="18" t="s">
        <v>217</v>
      </c>
      <c r="BY576" s="18" t="s">
        <v>217</v>
      </c>
      <c r="BZ576" s="18" t="s">
        <v>217</v>
      </c>
      <c r="CA576" s="18" t="s">
        <v>217</v>
      </c>
      <c r="CB576" s="19"/>
      <c r="CC576" s="19">
        <v>0</v>
      </c>
      <c r="CD576" s="19">
        <v>0</v>
      </c>
      <c r="CE576" s="19">
        <v>0</v>
      </c>
      <c r="CF576" s="19">
        <v>0</v>
      </c>
      <c r="CG576" s="19">
        <v>0</v>
      </c>
      <c r="CH576" s="19">
        <v>0</v>
      </c>
      <c r="CI576" s="19">
        <v>0</v>
      </c>
      <c r="CJ576" s="19"/>
      <c r="CK576" s="19">
        <v>0</v>
      </c>
      <c r="CL576" s="19">
        <v>0</v>
      </c>
      <c r="CM576" s="19">
        <v>0</v>
      </c>
      <c r="CN576" s="19">
        <v>0</v>
      </c>
      <c r="CO576" s="19">
        <v>0</v>
      </c>
      <c r="CP576" s="19">
        <v>0</v>
      </c>
      <c r="CQ576" s="19">
        <v>0</v>
      </c>
      <c r="CR576" s="19">
        <v>0</v>
      </c>
      <c r="HM576" s="620">
        <f t="shared" ref="HM576:HU576" si="533">HM206</f>
        <v>0</v>
      </c>
      <c r="HN576" s="620">
        <f t="shared" si="533"/>
        <v>0</v>
      </c>
      <c r="HO576" s="620">
        <f t="shared" si="533"/>
        <v>0</v>
      </c>
      <c r="HP576" s="620">
        <f t="shared" si="533"/>
        <v>0</v>
      </c>
      <c r="HQ576" s="620">
        <f t="shared" si="533"/>
        <v>0</v>
      </c>
      <c r="HR576" s="620">
        <f t="shared" si="533"/>
        <v>0</v>
      </c>
      <c r="HS576" s="620">
        <f t="shared" si="533"/>
        <v>0</v>
      </c>
      <c r="HT576" s="620">
        <f t="shared" si="533"/>
        <v>0</v>
      </c>
      <c r="HU576" s="620" t="str">
        <f t="shared" si="533"/>
        <v>offfarm</v>
      </c>
      <c r="HV576" s="22" t="s">
        <v>2013</v>
      </c>
      <c r="IB576" s="11">
        <f t="shared" ref="IB576:II576" si="534">IB206</f>
        <v>0.47300000000000003</v>
      </c>
      <c r="IC576" s="11">
        <f t="shared" si="534"/>
        <v>0.13</v>
      </c>
      <c r="ID576" s="11">
        <f t="shared" si="534"/>
        <v>0.39100000000000001</v>
      </c>
      <c r="IE576" s="11">
        <f t="shared" si="534"/>
        <v>5.5E-2</v>
      </c>
      <c r="IF576" s="11">
        <f t="shared" si="534"/>
        <v>3.97</v>
      </c>
      <c r="IG576" s="11">
        <f t="shared" si="534"/>
        <v>4.5999999999999999E-3</v>
      </c>
      <c r="IH576" s="11">
        <f t="shared" si="534"/>
        <v>2.73</v>
      </c>
      <c r="II576" s="11">
        <f t="shared" si="534"/>
        <v>0</v>
      </c>
    </row>
    <row r="577" spans="4:243" x14ac:dyDescent="0.25">
      <c r="D577" s="20" t="s">
        <v>1176</v>
      </c>
      <c r="E577" s="14">
        <v>40310</v>
      </c>
      <c r="F577" s="18">
        <v>0.11841517460317399</v>
      </c>
      <c r="G577" s="18">
        <v>0.113962717387755</v>
      </c>
      <c r="H577" s="21">
        <v>99</v>
      </c>
      <c r="I577" s="21">
        <v>98</v>
      </c>
      <c r="J577" s="21">
        <v>98</v>
      </c>
      <c r="K577" s="18">
        <v>1</v>
      </c>
      <c r="L577" s="18">
        <v>8.8000000000000007</v>
      </c>
      <c r="M577" s="18">
        <v>3.52</v>
      </c>
      <c r="N577" s="18">
        <v>8.7999999999999995E-2</v>
      </c>
      <c r="O577" s="18">
        <v>0.73919999999999997</v>
      </c>
      <c r="P577" s="18">
        <v>0</v>
      </c>
      <c r="Q577" s="19"/>
      <c r="R577" s="18">
        <v>94</v>
      </c>
      <c r="S577" s="18">
        <v>58</v>
      </c>
      <c r="T577" s="18">
        <v>58</v>
      </c>
      <c r="U577" s="18">
        <v>58</v>
      </c>
      <c r="V577" s="18">
        <v>58</v>
      </c>
      <c r="W577" s="18">
        <v>58</v>
      </c>
      <c r="X577" s="18"/>
      <c r="Y577" s="18">
        <v>13.9</v>
      </c>
      <c r="Z577" s="18">
        <v>10.5</v>
      </c>
      <c r="AA577" s="18">
        <v>6.6999999999999993</v>
      </c>
      <c r="AB577" s="18">
        <v>0</v>
      </c>
      <c r="AC577" s="18">
        <v>15.999999999999998</v>
      </c>
      <c r="AD577" s="18">
        <v>1.2</v>
      </c>
      <c r="AE577" s="18">
        <v>0</v>
      </c>
      <c r="AF577" s="18">
        <v>23</v>
      </c>
      <c r="AG577" s="18">
        <v>5</v>
      </c>
      <c r="AH577" s="18">
        <v>3.9999999999999996</v>
      </c>
      <c r="AI577" s="18">
        <v>47.999999999999886</v>
      </c>
      <c r="AJ577" s="18">
        <v>0</v>
      </c>
      <c r="AK577" s="18">
        <v>0.13</v>
      </c>
      <c r="AL577" s="18"/>
      <c r="AM577" s="18">
        <v>7.87</v>
      </c>
      <c r="AN577" s="18">
        <v>2.4700000000000002</v>
      </c>
      <c r="AO577" s="18">
        <v>0.86</v>
      </c>
      <c r="AP577" s="18">
        <v>4.45</v>
      </c>
      <c r="AQ577" s="18">
        <v>1.3</v>
      </c>
      <c r="AR577" s="18">
        <v>5.71</v>
      </c>
      <c r="AS577" s="18">
        <v>10</v>
      </c>
      <c r="AT577" s="18">
        <v>2.87</v>
      </c>
      <c r="AU577" s="18">
        <v>4.83</v>
      </c>
      <c r="AV577" s="18">
        <v>4.91</v>
      </c>
      <c r="AW577" s="18">
        <v>6.72</v>
      </c>
      <c r="AX577" s="18"/>
      <c r="AY577" s="18">
        <v>1.03</v>
      </c>
      <c r="AZ577" s="18">
        <v>1.03</v>
      </c>
      <c r="BA577" s="18">
        <v>1.04</v>
      </c>
      <c r="BB577" s="18">
        <v>1.03</v>
      </c>
      <c r="BC577" s="18">
        <v>1</v>
      </c>
      <c r="BD577" s="18">
        <v>1.01</v>
      </c>
      <c r="BE577" s="18">
        <v>1.03</v>
      </c>
      <c r="BF577" s="18">
        <v>1.02</v>
      </c>
      <c r="BG577" s="18">
        <v>1.04</v>
      </c>
      <c r="BH577" s="18">
        <v>0.93</v>
      </c>
      <c r="BI577" s="18">
        <v>0.98</v>
      </c>
      <c r="BJ577" s="19"/>
      <c r="BK577" s="18">
        <v>40</v>
      </c>
      <c r="BL577" s="18">
        <v>0.99999999999999989</v>
      </c>
      <c r="BM577" s="18">
        <v>8.3999999999999986</v>
      </c>
      <c r="BN577" s="18">
        <v>0</v>
      </c>
      <c r="BO577" s="18"/>
      <c r="BP577" s="18">
        <v>0</v>
      </c>
      <c r="BQ577" s="18">
        <v>0</v>
      </c>
      <c r="BR577" s="18">
        <v>1.345626984126977</v>
      </c>
      <c r="BS577" s="18">
        <v>1.2950308794063068</v>
      </c>
      <c r="BT577" s="19"/>
      <c r="BU577" s="18">
        <v>916</v>
      </c>
      <c r="BV577" s="18">
        <v>520.05428571428627</v>
      </c>
      <c r="BW577" s="18">
        <v>13.085714285714317</v>
      </c>
      <c r="BX577" s="18">
        <v>0</v>
      </c>
      <c r="BY577" s="18">
        <v>503.99999999999994</v>
      </c>
      <c r="BZ577" s="18">
        <v>0</v>
      </c>
      <c r="CA577" s="18">
        <v>0</v>
      </c>
      <c r="CB577" s="19"/>
      <c r="CC577" s="19">
        <v>1.2232000000000001</v>
      </c>
      <c r="CD577" s="19">
        <v>0.92400000000000004</v>
      </c>
      <c r="CE577" s="19">
        <v>0.58960000000000001</v>
      </c>
      <c r="CF577" s="19">
        <v>0</v>
      </c>
      <c r="CG577" s="19">
        <v>1.4079999999999999</v>
      </c>
      <c r="CH577" s="19">
        <v>0.10560000000000001</v>
      </c>
      <c r="CI577" s="19">
        <v>0</v>
      </c>
      <c r="CJ577" s="19"/>
      <c r="CK577" s="19">
        <v>2.024</v>
      </c>
      <c r="CL577" s="19">
        <v>0.44000000000000006</v>
      </c>
      <c r="CM577" s="19">
        <v>0.35199999999999998</v>
      </c>
      <c r="CN577" s="19">
        <v>4.2239999999999904</v>
      </c>
      <c r="CO577" s="19">
        <v>0</v>
      </c>
      <c r="CP577" s="19">
        <v>1.1440000000000002E-2</v>
      </c>
      <c r="CQ577" s="19">
        <v>33.088000000000001</v>
      </c>
      <c r="CR577" s="19">
        <v>279.42364744115417</v>
      </c>
      <c r="HM577" s="620">
        <f t="shared" ref="HM577:HU577" si="535">HM207</f>
        <v>8.1999999999999993</v>
      </c>
      <c r="HN577" s="620">
        <f t="shared" si="535"/>
        <v>0</v>
      </c>
      <c r="HO577" s="620">
        <f t="shared" si="535"/>
        <v>0</v>
      </c>
      <c r="HP577" s="620">
        <f t="shared" si="535"/>
        <v>0</v>
      </c>
      <c r="HQ577" s="620">
        <f t="shared" si="535"/>
        <v>0</v>
      </c>
      <c r="HR577" s="620">
        <f t="shared" si="535"/>
        <v>0</v>
      </c>
      <c r="HS577" s="620">
        <f t="shared" si="535"/>
        <v>0</v>
      </c>
      <c r="HT577" s="620" t="str">
        <f t="shared" si="535"/>
        <v>as conventional (Flysjo, 2011)</v>
      </c>
      <c r="HU577" s="620" t="str">
        <f t="shared" si="535"/>
        <v>offfarm</v>
      </c>
      <c r="HV577" s="22" t="s">
        <v>2062</v>
      </c>
      <c r="IB577" s="11">
        <f t="shared" ref="IB577:II577" si="536">IB207</f>
        <v>8.1999999999999993</v>
      </c>
      <c r="IC577" s="11">
        <f t="shared" si="536"/>
        <v>0.13</v>
      </c>
      <c r="ID577" s="11">
        <f t="shared" si="536"/>
        <v>0.39100000000000001</v>
      </c>
      <c r="IE577" s="11">
        <f t="shared" si="536"/>
        <v>5.5E-2</v>
      </c>
      <c r="IF577" s="11">
        <f t="shared" si="536"/>
        <v>3.97</v>
      </c>
      <c r="IG577" s="11">
        <f t="shared" si="536"/>
        <v>4.5999999999999999E-3</v>
      </c>
      <c r="IH577" s="11">
        <f t="shared" si="536"/>
        <v>2.73</v>
      </c>
      <c r="II577" s="11" t="str">
        <f t="shared" si="536"/>
        <v>as conventional (Flysjo, 2011)</v>
      </c>
    </row>
    <row r="578" spans="4:243" x14ac:dyDescent="0.25">
      <c r="D578" s="20" t="s">
        <v>1175</v>
      </c>
      <c r="E578" s="14">
        <v>40310</v>
      </c>
      <c r="F578" s="18">
        <v>1.2873559860627199</v>
      </c>
      <c r="G578" s="18">
        <v>1.2389684909833101</v>
      </c>
      <c r="H578" s="21">
        <v>99</v>
      </c>
      <c r="I578" s="21">
        <v>98</v>
      </c>
      <c r="J578" s="21">
        <v>99</v>
      </c>
      <c r="K578" s="18">
        <v>1</v>
      </c>
      <c r="L578" s="18">
        <v>96</v>
      </c>
      <c r="M578" s="18">
        <v>35.423999999999999</v>
      </c>
      <c r="N578" s="18">
        <v>0.48</v>
      </c>
      <c r="O578" s="18">
        <v>8.0640000000000001</v>
      </c>
      <c r="P578" s="18">
        <v>0</v>
      </c>
      <c r="Q578" s="19"/>
      <c r="R578" s="18">
        <v>94</v>
      </c>
      <c r="S578" s="18">
        <v>58</v>
      </c>
      <c r="T578" s="18">
        <v>58</v>
      </c>
      <c r="U578" s="18">
        <v>58</v>
      </c>
      <c r="V578" s="18">
        <v>58</v>
      </c>
      <c r="W578" s="18">
        <v>58</v>
      </c>
      <c r="X578" s="18"/>
      <c r="Y578" s="18">
        <v>13.7</v>
      </c>
      <c r="Z578" s="18">
        <v>10.199999999999999</v>
      </c>
      <c r="AA578" s="18">
        <v>5.6000000000000005</v>
      </c>
      <c r="AB578" s="18">
        <v>0</v>
      </c>
      <c r="AC578" s="18">
        <v>14</v>
      </c>
      <c r="AD578" s="18">
        <v>1.2</v>
      </c>
      <c r="AE578" s="18">
        <v>3.4</v>
      </c>
      <c r="AF578" s="18">
        <v>4</v>
      </c>
      <c r="AG578" s="18">
        <v>3</v>
      </c>
      <c r="AH578" s="18">
        <v>2</v>
      </c>
      <c r="AI578" s="18">
        <v>44</v>
      </c>
      <c r="AJ578" s="18">
        <v>0</v>
      </c>
      <c r="AK578" s="18">
        <v>0.13</v>
      </c>
      <c r="AL578" s="18"/>
      <c r="AM578" s="18">
        <v>7.87</v>
      </c>
      <c r="AN578" s="18">
        <v>2.4700000000000002</v>
      </c>
      <c r="AO578" s="18">
        <v>0.86</v>
      </c>
      <c r="AP578" s="18">
        <v>4.45</v>
      </c>
      <c r="AQ578" s="18">
        <v>1.3</v>
      </c>
      <c r="AR578" s="18">
        <v>5.71</v>
      </c>
      <c r="AS578" s="18">
        <v>10</v>
      </c>
      <c r="AT578" s="18">
        <v>2.87</v>
      </c>
      <c r="AU578" s="18">
        <v>4.83</v>
      </c>
      <c r="AV578" s="18">
        <v>4.91</v>
      </c>
      <c r="AW578" s="18">
        <v>6.72</v>
      </c>
      <c r="AX578" s="18"/>
      <c r="AY578" s="18">
        <v>1.03</v>
      </c>
      <c r="AZ578" s="18">
        <v>1.03</v>
      </c>
      <c r="BA578" s="18">
        <v>1.04</v>
      </c>
      <c r="BB578" s="18">
        <v>1.03</v>
      </c>
      <c r="BC578" s="18">
        <v>1</v>
      </c>
      <c r="BD578" s="18">
        <v>1.01</v>
      </c>
      <c r="BE578" s="18">
        <v>1.03</v>
      </c>
      <c r="BF578" s="18">
        <v>1.02</v>
      </c>
      <c r="BG578" s="18">
        <v>1.04</v>
      </c>
      <c r="BH578" s="18">
        <v>0.93</v>
      </c>
      <c r="BI578" s="18">
        <v>0.98</v>
      </c>
      <c r="BJ578" s="19"/>
      <c r="BK578" s="18">
        <v>36.9</v>
      </c>
      <c r="BL578" s="18">
        <v>0.5</v>
      </c>
      <c r="BM578" s="18">
        <v>8.4</v>
      </c>
      <c r="BN578" s="18">
        <v>0</v>
      </c>
      <c r="BO578" s="18"/>
      <c r="BP578" s="18">
        <v>34</v>
      </c>
      <c r="BQ578" s="18">
        <v>1.7</v>
      </c>
      <c r="BR578" s="18">
        <v>1.3409958188153333</v>
      </c>
      <c r="BS578" s="18">
        <v>1.2905921781076146</v>
      </c>
      <c r="BT578" s="19"/>
      <c r="BU578" s="18">
        <v>916</v>
      </c>
      <c r="BV578" s="18">
        <v>553.11428571428644</v>
      </c>
      <c r="BW578" s="18">
        <v>13.085714285714271</v>
      </c>
      <c r="BX578" s="18">
        <v>0</v>
      </c>
      <c r="BY578" s="18">
        <v>504</v>
      </c>
      <c r="BZ578" s="18">
        <v>0</v>
      </c>
      <c r="CA578" s="18">
        <v>0</v>
      </c>
      <c r="CB578" s="19"/>
      <c r="CC578" s="19">
        <v>13.151999999999999</v>
      </c>
      <c r="CD578" s="19">
        <v>9.7919999999999998</v>
      </c>
      <c r="CE578" s="19">
        <v>5.3760000000000003</v>
      </c>
      <c r="CF578" s="19">
        <v>0</v>
      </c>
      <c r="CG578" s="19">
        <v>13.44</v>
      </c>
      <c r="CH578" s="19">
        <v>1.1519999999999999</v>
      </c>
      <c r="CI578" s="19">
        <v>3.2639999999999998</v>
      </c>
      <c r="CJ578" s="19"/>
      <c r="CK578" s="19">
        <v>3.84</v>
      </c>
      <c r="CL578" s="19">
        <v>2.88</v>
      </c>
      <c r="CM578" s="19">
        <v>1.92</v>
      </c>
      <c r="CN578" s="19">
        <v>42.239999999999995</v>
      </c>
      <c r="CO578" s="19">
        <v>0</v>
      </c>
      <c r="CP578" s="19">
        <v>0.12479999999999999</v>
      </c>
      <c r="CQ578" s="19">
        <v>332.98559999999998</v>
      </c>
      <c r="CR578" s="19">
        <v>258.65852460779791</v>
      </c>
      <c r="HM578" s="620">
        <f t="shared" ref="HM578:HU578" si="537">HM208</f>
        <v>8.1999999999999993</v>
      </c>
      <c r="HN578" s="620">
        <f t="shared" si="537"/>
        <v>0</v>
      </c>
      <c r="HO578" s="620">
        <f t="shared" si="537"/>
        <v>0</v>
      </c>
      <c r="HP578" s="620">
        <f t="shared" si="537"/>
        <v>0</v>
      </c>
      <c r="HQ578" s="620">
        <f t="shared" si="537"/>
        <v>0</v>
      </c>
      <c r="HR578" s="620">
        <f t="shared" si="537"/>
        <v>0</v>
      </c>
      <c r="HS578" s="620">
        <f t="shared" si="537"/>
        <v>0</v>
      </c>
      <c r="HT578" s="620" t="str">
        <f t="shared" si="537"/>
        <v>as conventional (Flysjo, 2011)</v>
      </c>
      <c r="HU578" s="620" t="str">
        <f t="shared" si="537"/>
        <v>offfarm</v>
      </c>
      <c r="HV578" s="22" t="s">
        <v>2063</v>
      </c>
      <c r="IB578" s="11">
        <f t="shared" ref="IB578:II578" si="538">IB208</f>
        <v>8.1999999999999993</v>
      </c>
      <c r="IC578" s="11">
        <f t="shared" si="538"/>
        <v>0.13</v>
      </c>
      <c r="ID578" s="11">
        <f t="shared" si="538"/>
        <v>0.39100000000000001</v>
      </c>
      <c r="IE578" s="11">
        <f t="shared" si="538"/>
        <v>5.5E-2</v>
      </c>
      <c r="IF578" s="11">
        <f t="shared" si="538"/>
        <v>3.97</v>
      </c>
      <c r="IG578" s="11">
        <f t="shared" si="538"/>
        <v>4.5999999999999999E-3</v>
      </c>
      <c r="IH578" s="11">
        <f t="shared" si="538"/>
        <v>2.73</v>
      </c>
      <c r="II578" s="11" t="str">
        <f t="shared" si="538"/>
        <v>as conventional (Flysjo, 2011)</v>
      </c>
    </row>
    <row r="579" spans="4:243" x14ac:dyDescent="0.25">
      <c r="D579" s="20" t="s">
        <v>1177</v>
      </c>
      <c r="E579" s="14">
        <v>40310</v>
      </c>
      <c r="F579" s="18">
        <v>1.3027731029810301</v>
      </c>
      <c r="G579" s="18">
        <v>1.25589916103896</v>
      </c>
      <c r="H579" s="21">
        <v>96</v>
      </c>
      <c r="I579" s="21">
        <v>96</v>
      </c>
      <c r="J579" s="21">
        <v>96</v>
      </c>
      <c r="K579" s="18">
        <v>1</v>
      </c>
      <c r="L579" s="18">
        <v>95</v>
      </c>
      <c r="M579" s="18">
        <v>32.299999999999997</v>
      </c>
      <c r="N579" s="18">
        <v>3.61</v>
      </c>
      <c r="O579" s="18">
        <v>8.6449999999999996</v>
      </c>
      <c r="P579" s="18">
        <v>1.1399999999999999</v>
      </c>
      <c r="Q579" s="19"/>
      <c r="R579" s="18">
        <v>94</v>
      </c>
      <c r="S579" s="18">
        <v>58</v>
      </c>
      <c r="T579" s="18">
        <v>58</v>
      </c>
      <c r="U579" s="18">
        <v>58</v>
      </c>
      <c r="V579" s="18">
        <v>58</v>
      </c>
      <c r="W579" s="18">
        <v>58</v>
      </c>
      <c r="X579" s="18"/>
      <c r="Y579" s="18">
        <v>13.360550000000002</v>
      </c>
      <c r="Z579" s="18">
        <v>9.72682</v>
      </c>
      <c r="AA579" s="18">
        <v>6.3012299999999994</v>
      </c>
      <c r="AB579" s="18">
        <v>0</v>
      </c>
      <c r="AC579" s="18">
        <v>16.497540000000001</v>
      </c>
      <c r="AD579" s="18">
        <v>1.22451</v>
      </c>
      <c r="AE579" s="18">
        <v>3.4</v>
      </c>
      <c r="AF579" s="18">
        <v>43.965326999999995</v>
      </c>
      <c r="AG579" s="18">
        <v>5.0631050000000002</v>
      </c>
      <c r="AH579" s="18">
        <v>8.8444710000000004</v>
      </c>
      <c r="AI579" s="18">
        <v>46.013621999999998</v>
      </c>
      <c r="AJ579" s="18">
        <v>0</v>
      </c>
      <c r="AK579" s="18">
        <v>0.12289600000000001</v>
      </c>
      <c r="AL579" s="18"/>
      <c r="AM579" s="18">
        <v>7.9</v>
      </c>
      <c r="AN579" s="18">
        <v>2.4</v>
      </c>
      <c r="AO579" s="18">
        <v>0.8</v>
      </c>
      <c r="AP579" s="18">
        <v>4.9000000000000004</v>
      </c>
      <c r="AQ579" s="18">
        <v>1.8</v>
      </c>
      <c r="AR579" s="18">
        <v>5.285666</v>
      </c>
      <c r="AS579" s="18">
        <v>9.9152470000000008</v>
      </c>
      <c r="AT579" s="18">
        <v>2.8562940000000001</v>
      </c>
      <c r="AU579" s="18">
        <v>4.6387919999999996</v>
      </c>
      <c r="AV579" s="18">
        <v>4.62</v>
      </c>
      <c r="AW579" s="18">
        <v>6.5545530000000003</v>
      </c>
      <c r="AX579" s="18"/>
      <c r="AY579" s="18">
        <v>1.03</v>
      </c>
      <c r="AZ579" s="18">
        <v>1.03</v>
      </c>
      <c r="BA579" s="18">
        <v>1.04</v>
      </c>
      <c r="BB579" s="18">
        <v>1.03</v>
      </c>
      <c r="BC579" s="18">
        <v>1</v>
      </c>
      <c r="BD579" s="18">
        <v>1.01</v>
      </c>
      <c r="BE579" s="18">
        <v>1.03</v>
      </c>
      <c r="BF579" s="18">
        <v>1.02</v>
      </c>
      <c r="BG579" s="18">
        <v>1.04</v>
      </c>
      <c r="BH579" s="18">
        <v>0.93</v>
      </c>
      <c r="BI579" s="18">
        <v>0.98</v>
      </c>
      <c r="BJ579" s="19"/>
      <c r="BK579" s="18">
        <v>34</v>
      </c>
      <c r="BL579" s="18">
        <v>3.8</v>
      </c>
      <c r="BM579" s="18">
        <v>9.1</v>
      </c>
      <c r="BN579" s="18">
        <v>1.2</v>
      </c>
      <c r="BO579" s="18"/>
      <c r="BP579" s="18">
        <v>34</v>
      </c>
      <c r="BQ579" s="18">
        <v>12.92</v>
      </c>
      <c r="BR579" s="18">
        <v>1.3713401084010843</v>
      </c>
      <c r="BS579" s="18">
        <v>1.3219991168831158</v>
      </c>
      <c r="BT579" s="19"/>
      <c r="BU579" s="18">
        <v>909</v>
      </c>
      <c r="BV579" s="18">
        <v>526.38</v>
      </c>
      <c r="BW579" s="18">
        <v>0</v>
      </c>
      <c r="BX579" s="18">
        <v>20.217370000000003</v>
      </c>
      <c r="BY579" s="18">
        <v>454.73684000000003</v>
      </c>
      <c r="BZ579" s="18" t="s">
        <v>217</v>
      </c>
      <c r="CA579" s="18" t="s">
        <v>217</v>
      </c>
      <c r="CB579" s="19"/>
      <c r="CC579" s="19">
        <v>12.692522500000001</v>
      </c>
      <c r="CD579" s="19">
        <v>9.2404789999999988</v>
      </c>
      <c r="CE579" s="19">
        <v>5.9861684999999989</v>
      </c>
      <c r="CF579" s="19">
        <v>0</v>
      </c>
      <c r="CG579" s="19">
        <v>15.672663</v>
      </c>
      <c r="CH579" s="19">
        <v>1.1632844999999998</v>
      </c>
      <c r="CI579" s="19">
        <v>3.23</v>
      </c>
      <c r="CJ579" s="19"/>
      <c r="CK579" s="19">
        <v>41.767060649999991</v>
      </c>
      <c r="CL579" s="19">
        <v>4.8099497500000004</v>
      </c>
      <c r="CM579" s="19">
        <v>8.4022474500000008</v>
      </c>
      <c r="CN579" s="19">
        <v>43.7129409</v>
      </c>
      <c r="CO579" s="19">
        <v>0</v>
      </c>
      <c r="CP579" s="19">
        <v>0.1167512</v>
      </c>
      <c r="CQ579" s="19">
        <v>303.62</v>
      </c>
      <c r="CR579" s="19">
        <v>233.0566998238227</v>
      </c>
      <c r="HM579" s="620">
        <f t="shared" ref="HM579:HU579" si="539">HM209</f>
        <v>8.1999999999999993</v>
      </c>
      <c r="HN579" s="620">
        <f t="shared" si="539"/>
        <v>0</v>
      </c>
      <c r="HO579" s="620">
        <f t="shared" si="539"/>
        <v>0</v>
      </c>
      <c r="HP579" s="620">
        <f t="shared" si="539"/>
        <v>0</v>
      </c>
      <c r="HQ579" s="620">
        <f t="shared" si="539"/>
        <v>0</v>
      </c>
      <c r="HR579" s="620">
        <f t="shared" si="539"/>
        <v>0</v>
      </c>
      <c r="HS579" s="620">
        <f t="shared" si="539"/>
        <v>0</v>
      </c>
      <c r="HT579" s="620" t="str">
        <f t="shared" si="539"/>
        <v>as conventional (Flysjo, 2011)</v>
      </c>
      <c r="HU579" s="620" t="str">
        <f t="shared" si="539"/>
        <v>offfarm</v>
      </c>
      <c r="HV579" s="22" t="s">
        <v>2063</v>
      </c>
      <c r="IB579" s="11">
        <f t="shared" ref="IB579:II579" si="540">IB209</f>
        <v>8.1999999999999993</v>
      </c>
      <c r="IC579" s="11">
        <f t="shared" si="540"/>
        <v>0.13</v>
      </c>
      <c r="ID579" s="11">
        <f t="shared" si="540"/>
        <v>0.39100000000000001</v>
      </c>
      <c r="IE579" s="11">
        <f t="shared" si="540"/>
        <v>5.5E-2</v>
      </c>
      <c r="IF579" s="11">
        <f t="shared" si="540"/>
        <v>3.97</v>
      </c>
      <c r="IG579" s="11">
        <f t="shared" si="540"/>
        <v>4.5999999999999999E-3</v>
      </c>
      <c r="IH579" s="11">
        <f t="shared" si="540"/>
        <v>2.73</v>
      </c>
      <c r="II579" s="11" t="str">
        <f t="shared" si="540"/>
        <v>as conventional (Flysjo, 2011)</v>
      </c>
    </row>
    <row r="580" spans="4:243" x14ac:dyDescent="0.25">
      <c r="D580" s="20" t="s">
        <v>1178</v>
      </c>
      <c r="E580" s="14">
        <v>42517</v>
      </c>
      <c r="F580" s="18">
        <v>1.39625568346883</v>
      </c>
      <c r="G580" s="18">
        <v>1.4051341516467599</v>
      </c>
      <c r="H580" s="21">
        <v>93.6</v>
      </c>
      <c r="I580" s="21">
        <v>76.099999999999994</v>
      </c>
      <c r="J580" s="21">
        <v>91</v>
      </c>
      <c r="K580" s="18">
        <v>1</v>
      </c>
      <c r="L580" s="18">
        <v>90.4</v>
      </c>
      <c r="M580" s="18">
        <v>37.154400000000003</v>
      </c>
      <c r="N580" s="18">
        <v>19.797599999999999</v>
      </c>
      <c r="O580" s="18">
        <v>5.0624000000000002</v>
      </c>
      <c r="P580" s="18">
        <v>5.1954019039999997</v>
      </c>
      <c r="Q580" s="19"/>
      <c r="R580" s="18">
        <v>75</v>
      </c>
      <c r="S580" s="18">
        <v>39</v>
      </c>
      <c r="T580" s="18">
        <v>51</v>
      </c>
      <c r="U580" s="18">
        <v>56</v>
      </c>
      <c r="V580" s="18">
        <v>60</v>
      </c>
      <c r="W580" s="18">
        <v>63</v>
      </c>
      <c r="X580" s="18"/>
      <c r="Y580" s="18">
        <v>2.8</v>
      </c>
      <c r="Z580" s="18">
        <v>5.5</v>
      </c>
      <c r="AA580" s="18">
        <v>9.9999999999999978E-2</v>
      </c>
      <c r="AB580" s="18">
        <v>0</v>
      </c>
      <c r="AC580" s="18">
        <v>19.599999999999998</v>
      </c>
      <c r="AD580" s="18">
        <v>2.5999999999999996</v>
      </c>
      <c r="AE580" s="18">
        <v>3.2999999999999989</v>
      </c>
      <c r="AF580" s="18">
        <v>110</v>
      </c>
      <c r="AG580" s="18">
        <v>14.999999999999998</v>
      </c>
      <c r="AH580" s="18">
        <v>29.999999999999996</v>
      </c>
      <c r="AI580" s="18">
        <v>44</v>
      </c>
      <c r="AJ580" s="18">
        <v>0</v>
      </c>
      <c r="AK580" s="18">
        <v>0.15999999999999998</v>
      </c>
      <c r="AL580" s="18"/>
      <c r="AM580" s="18">
        <v>6.09</v>
      </c>
      <c r="AN580" s="18">
        <v>1.31</v>
      </c>
      <c r="AO580" s="18">
        <v>1.39</v>
      </c>
      <c r="AP580" s="18">
        <v>3.85</v>
      </c>
      <c r="AQ580" s="18">
        <v>1.34</v>
      </c>
      <c r="AR580" s="18">
        <v>4.3899999999999997</v>
      </c>
      <c r="AS580" s="18">
        <v>7.68</v>
      </c>
      <c r="AT580" s="18">
        <v>2.62</v>
      </c>
      <c r="AU580" s="18">
        <v>4.96</v>
      </c>
      <c r="AV580" s="18">
        <v>3.68</v>
      </c>
      <c r="AW580" s="18">
        <v>4.6900000000000004</v>
      </c>
      <c r="AX580" s="18"/>
      <c r="AY580" s="18">
        <v>1</v>
      </c>
      <c r="AZ580" s="18">
        <v>1.03</v>
      </c>
      <c r="BA580" s="18">
        <v>1.07</v>
      </c>
      <c r="BB580" s="18">
        <v>0.99</v>
      </c>
      <c r="BC580" s="18">
        <v>1.02</v>
      </c>
      <c r="BD580" s="18">
        <v>0.96</v>
      </c>
      <c r="BE580" s="18">
        <v>0.93</v>
      </c>
      <c r="BF580" s="18">
        <v>1.03</v>
      </c>
      <c r="BG580" s="18">
        <v>0.95</v>
      </c>
      <c r="BH580" s="18">
        <v>0.93</v>
      </c>
      <c r="BI580" s="18">
        <v>0.93</v>
      </c>
      <c r="BJ580" s="19"/>
      <c r="BK580" s="18">
        <v>41.1</v>
      </c>
      <c r="BL580" s="18">
        <v>21.9</v>
      </c>
      <c r="BM580" s="18">
        <v>5.6</v>
      </c>
      <c r="BN580" s="18">
        <v>5.7471259999999988</v>
      </c>
      <c r="BO580" s="18"/>
      <c r="BP580" s="18">
        <v>130</v>
      </c>
      <c r="BQ580" s="18">
        <v>284.7</v>
      </c>
      <c r="BR580" s="18">
        <v>1.5445306233062277</v>
      </c>
      <c r="BS580" s="18">
        <v>1.5543519376623449</v>
      </c>
      <c r="BT580" s="19"/>
      <c r="BU580" s="18">
        <v>943.99999999999989</v>
      </c>
      <c r="BV580" s="18">
        <v>61.143999999999991</v>
      </c>
      <c r="BW580" s="18">
        <v>235.99999999999997</v>
      </c>
      <c r="BX580" s="18" t="s">
        <v>217</v>
      </c>
      <c r="BY580" s="18" t="s">
        <v>217</v>
      </c>
      <c r="BZ580" s="18">
        <v>70.045019999999994</v>
      </c>
      <c r="CA580" s="18">
        <v>189.38097999999999</v>
      </c>
      <c r="CB580" s="19"/>
      <c r="CC580" s="19">
        <v>2.5312000000000001</v>
      </c>
      <c r="CD580" s="19">
        <v>4.9720000000000004</v>
      </c>
      <c r="CE580" s="19">
        <v>9.039999999999998E-2</v>
      </c>
      <c r="CF580" s="19">
        <v>0</v>
      </c>
      <c r="CG580" s="19">
        <v>17.718399999999999</v>
      </c>
      <c r="CH580" s="19">
        <v>2.3503999999999996</v>
      </c>
      <c r="CI580" s="19">
        <v>2.9831999999999992</v>
      </c>
      <c r="CJ580" s="19"/>
      <c r="CK580" s="19">
        <v>99.44</v>
      </c>
      <c r="CL580" s="19">
        <v>13.559999999999999</v>
      </c>
      <c r="CM580" s="19">
        <v>27.119999999999997</v>
      </c>
      <c r="CN580" s="19">
        <v>39.776000000000003</v>
      </c>
      <c r="CO580" s="19">
        <v>0</v>
      </c>
      <c r="CP580" s="19">
        <v>0.14463999999999999</v>
      </c>
      <c r="CQ580" s="19">
        <v>278.65800000000002</v>
      </c>
      <c r="CR580" s="19">
        <v>199.57519478646461</v>
      </c>
      <c r="HM580" s="620">
        <f t="shared" ref="HM580:HU580" si="541">HM210</f>
        <v>0.54299999999999993</v>
      </c>
      <c r="HN580" s="620">
        <f t="shared" si="541"/>
        <v>0.14399999999999999</v>
      </c>
      <c r="HO580" s="620">
        <f t="shared" si="541"/>
        <v>0.311</v>
      </c>
      <c r="HP580" s="620">
        <f t="shared" si="541"/>
        <v>8.0000000000000002E-3</v>
      </c>
      <c r="HQ580" s="620">
        <f t="shared" si="541"/>
        <v>1.1200000000000001</v>
      </c>
      <c r="HR580" s="620">
        <f t="shared" si="541"/>
        <v>3.0000000000000001E-3</v>
      </c>
      <c r="HS580" s="620">
        <f t="shared" si="541"/>
        <v>2.17</v>
      </c>
      <c r="HT580" s="620">
        <f t="shared" si="541"/>
        <v>0</v>
      </c>
      <c r="HU580" s="620" t="str">
        <f t="shared" si="541"/>
        <v>offfarm</v>
      </c>
      <c r="HV580" s="22" t="s">
        <v>2064</v>
      </c>
      <c r="IB580" s="11">
        <f t="shared" ref="IB580:II580" si="542">IB210</f>
        <v>0.54299999999999993</v>
      </c>
      <c r="IC580" s="11">
        <f t="shared" si="542"/>
        <v>0.14399999999999999</v>
      </c>
      <c r="ID580" s="11">
        <f t="shared" si="542"/>
        <v>0.311</v>
      </c>
      <c r="IE580" s="11">
        <f t="shared" si="542"/>
        <v>8.0000000000000002E-3</v>
      </c>
      <c r="IF580" s="11">
        <f t="shared" si="542"/>
        <v>1.1200000000000001</v>
      </c>
      <c r="IG580" s="11">
        <f t="shared" si="542"/>
        <v>3.0000000000000001E-3</v>
      </c>
      <c r="IH580" s="11">
        <f t="shared" si="542"/>
        <v>2.17</v>
      </c>
      <c r="II580" s="11">
        <f t="shared" si="542"/>
        <v>0</v>
      </c>
    </row>
    <row r="581" spans="4:243" x14ac:dyDescent="0.25">
      <c r="D581" s="20" t="s">
        <v>1179</v>
      </c>
      <c r="E581" s="14">
        <v>42520</v>
      </c>
      <c r="F581" s="18">
        <v>1.0911707123499801</v>
      </c>
      <c r="G581" s="18">
        <v>1.1183663257884999</v>
      </c>
      <c r="H581" s="21">
        <v>91.8</v>
      </c>
      <c r="I581" s="21">
        <v>73.900000000000006</v>
      </c>
      <c r="J581" s="21">
        <v>94</v>
      </c>
      <c r="K581" s="18">
        <v>1</v>
      </c>
      <c r="L581" s="18">
        <v>93</v>
      </c>
      <c r="M581" s="18">
        <v>44</v>
      </c>
      <c r="N581" s="18">
        <v>8.1</v>
      </c>
      <c r="O581" s="18">
        <v>6.3</v>
      </c>
      <c r="P581" s="18">
        <v>5.5</v>
      </c>
      <c r="Q581" s="19"/>
      <c r="R581" s="18">
        <v>83.849977888239493</v>
      </c>
      <c r="S581" s="18">
        <v>39</v>
      </c>
      <c r="T581" s="18">
        <v>51</v>
      </c>
      <c r="U581" s="18">
        <v>56</v>
      </c>
      <c r="V581" s="18">
        <v>60</v>
      </c>
      <c r="W581" s="18">
        <v>63</v>
      </c>
      <c r="X581" s="18"/>
      <c r="Y581" s="18">
        <v>3.6999999999999997</v>
      </c>
      <c r="Z581" s="18">
        <v>7.2</v>
      </c>
      <c r="AA581" s="18">
        <v>0.1</v>
      </c>
      <c r="AB581" s="18">
        <v>0.2</v>
      </c>
      <c r="AC581" s="18">
        <v>26</v>
      </c>
      <c r="AD581" s="18">
        <v>3.5</v>
      </c>
      <c r="AE581" s="18">
        <v>3.8</v>
      </c>
      <c r="AF581" s="18">
        <v>275</v>
      </c>
      <c r="AG581" s="18">
        <v>16</v>
      </c>
      <c r="AH581" s="18">
        <v>52</v>
      </c>
      <c r="AI581" s="18">
        <v>52</v>
      </c>
      <c r="AJ581" s="18">
        <v>0</v>
      </c>
      <c r="AK581" s="18">
        <v>0.17918024190345055</v>
      </c>
      <c r="AL581" s="18"/>
      <c r="AM581" s="18">
        <v>6.09</v>
      </c>
      <c r="AN581" s="18">
        <v>1.31</v>
      </c>
      <c r="AO581" s="18">
        <v>1.39</v>
      </c>
      <c r="AP581" s="18">
        <v>3.85</v>
      </c>
      <c r="AQ581" s="18">
        <v>1.34</v>
      </c>
      <c r="AR581" s="18">
        <v>4.3899999999999997</v>
      </c>
      <c r="AS581" s="18">
        <v>7.68</v>
      </c>
      <c r="AT581" s="18">
        <v>2.62</v>
      </c>
      <c r="AU581" s="18">
        <v>4.96</v>
      </c>
      <c r="AV581" s="18">
        <v>3.68</v>
      </c>
      <c r="AW581" s="18">
        <v>4.6900000000000004</v>
      </c>
      <c r="AX581" s="18"/>
      <c r="AY581" s="18">
        <v>1</v>
      </c>
      <c r="AZ581" s="18">
        <v>1.02285538957352</v>
      </c>
      <c r="BA581" s="18">
        <v>0.99855389573515296</v>
      </c>
      <c r="BB581" s="18">
        <v>0.97571077914702997</v>
      </c>
      <c r="BC581" s="18">
        <v>1.02</v>
      </c>
      <c r="BD581" s="18">
        <v>0.98143383127945405</v>
      </c>
      <c r="BE581" s="18">
        <v>0.96572305213242404</v>
      </c>
      <c r="BF581" s="18">
        <v>1.0157107791470299</v>
      </c>
      <c r="BG581" s="18">
        <v>0.98572305213242395</v>
      </c>
      <c r="BH581" s="18">
        <v>0.972867662558908</v>
      </c>
      <c r="BI581" s="18">
        <v>0.95857844170593798</v>
      </c>
      <c r="BJ581" s="19"/>
      <c r="BK581" s="18">
        <v>47.311827956989248</v>
      </c>
      <c r="BL581" s="18">
        <v>8.7096774193548381</v>
      </c>
      <c r="BM581" s="18">
        <v>6.774193548387097</v>
      </c>
      <c r="BN581" s="18">
        <v>5.913978494623656</v>
      </c>
      <c r="BO581" s="18"/>
      <c r="BP581" s="18">
        <v>0</v>
      </c>
      <c r="BQ581" s="18">
        <v>0</v>
      </c>
      <c r="BR581" s="18">
        <v>1.1733018412365377</v>
      </c>
      <c r="BS581" s="18">
        <v>1.2025444363317204</v>
      </c>
      <c r="BT581" s="19"/>
      <c r="BU581" s="18">
        <v>932.25806451612902</v>
      </c>
      <c r="BV581" s="18">
        <v>102.39969278033796</v>
      </c>
      <c r="BW581" s="18">
        <v>238.39170506912365</v>
      </c>
      <c r="BX581" s="18" t="s">
        <v>217</v>
      </c>
      <c r="BY581" s="18" t="s">
        <v>217</v>
      </c>
      <c r="BZ581" s="18">
        <v>76.871115207373435</v>
      </c>
      <c r="CA581" s="18">
        <v>207.83671889400858</v>
      </c>
      <c r="CB581" s="19"/>
      <c r="CC581" s="19">
        <v>3.4409999999999998</v>
      </c>
      <c r="CD581" s="19">
        <v>6.6960000000000006</v>
      </c>
      <c r="CE581" s="19">
        <v>9.3000000000000013E-2</v>
      </c>
      <c r="CF581" s="19">
        <v>0.18600000000000003</v>
      </c>
      <c r="CG581" s="19">
        <v>24.18</v>
      </c>
      <c r="CH581" s="19">
        <v>3.2550000000000003</v>
      </c>
      <c r="CI581" s="19">
        <v>3.5339999999999998</v>
      </c>
      <c r="CJ581" s="19"/>
      <c r="CK581" s="19">
        <v>255.75</v>
      </c>
      <c r="CL581" s="19">
        <v>14.88</v>
      </c>
      <c r="CM581" s="19">
        <v>48.36</v>
      </c>
      <c r="CN581" s="19">
        <v>48.36</v>
      </c>
      <c r="CO581" s="19">
        <v>0</v>
      </c>
      <c r="CP581" s="19">
        <v>0.16663762497020904</v>
      </c>
      <c r="CQ581" s="19">
        <v>368.93990270825401</v>
      </c>
      <c r="CR581" s="19">
        <v>338.113824475451</v>
      </c>
      <c r="HM581" s="620">
        <f t="shared" ref="HM581:HU581" si="543">HM211</f>
        <v>0.54099999999999993</v>
      </c>
      <c r="HN581" s="620">
        <f t="shared" si="543"/>
        <v>0.11600000000000001</v>
      </c>
      <c r="HO581" s="620">
        <f t="shared" si="543"/>
        <v>0.25</v>
      </c>
      <c r="HP581" s="620">
        <f t="shared" si="543"/>
        <v>1.2999999999999999E-2</v>
      </c>
      <c r="HQ581" s="620">
        <f t="shared" si="543"/>
        <v>8.86</v>
      </c>
      <c r="HR581" s="620">
        <f t="shared" si="543"/>
        <v>6.9299999999999995E-3</v>
      </c>
      <c r="HS581" s="620">
        <f t="shared" si="543"/>
        <v>1.75</v>
      </c>
      <c r="HT581" s="620" t="str">
        <f t="shared" si="543"/>
        <v>as soybean meal</v>
      </c>
      <c r="HU581" s="620" t="str">
        <f t="shared" si="543"/>
        <v>offfarm</v>
      </c>
      <c r="HV581" s="22" t="s">
        <v>2065</v>
      </c>
      <c r="IB581" s="11">
        <f t="shared" ref="IB581:II581" si="544">IB211</f>
        <v>0.54099999999999993</v>
      </c>
      <c r="IC581" s="11">
        <f t="shared" si="544"/>
        <v>0.11600000000000001</v>
      </c>
      <c r="ID581" s="11">
        <f t="shared" si="544"/>
        <v>0.25</v>
      </c>
      <c r="IE581" s="11">
        <f t="shared" si="544"/>
        <v>1.2999999999999999E-2</v>
      </c>
      <c r="IF581" s="11">
        <f t="shared" si="544"/>
        <v>8.86</v>
      </c>
      <c r="IG581" s="11">
        <f t="shared" si="544"/>
        <v>6.9299999999999995E-3</v>
      </c>
      <c r="IH581" s="11">
        <f t="shared" si="544"/>
        <v>1.75</v>
      </c>
      <c r="II581" s="11" t="str">
        <f t="shared" si="544"/>
        <v>as soybean meal</v>
      </c>
    </row>
    <row r="582" spans="4:243" x14ac:dyDescent="0.25">
      <c r="D582" s="20" t="s">
        <v>1315</v>
      </c>
      <c r="E582" s="14">
        <v>42698</v>
      </c>
      <c r="F582" s="18">
        <v>0.92046866445993003</v>
      </c>
      <c r="G582" s="18">
        <v>0.95126558074507905</v>
      </c>
      <c r="H582" s="21">
        <v>92.9</v>
      </c>
      <c r="I582" s="21">
        <v>75.2</v>
      </c>
      <c r="J582" s="21">
        <v>96</v>
      </c>
      <c r="K582" s="18">
        <v>1</v>
      </c>
      <c r="L582" s="18">
        <v>92.3</v>
      </c>
      <c r="M582" s="18">
        <v>60.825699999999998</v>
      </c>
      <c r="N582" s="18">
        <v>1.9382999999999999</v>
      </c>
      <c r="O582" s="18">
        <v>6.6456</v>
      </c>
      <c r="P582" s="18">
        <v>3.1381999999999999</v>
      </c>
      <c r="Q582" s="19"/>
      <c r="R582" s="18">
        <v>83.5</v>
      </c>
      <c r="S582" s="18">
        <v>39</v>
      </c>
      <c r="T582" s="18">
        <v>51</v>
      </c>
      <c r="U582" s="18">
        <v>56</v>
      </c>
      <c r="V582" s="18">
        <v>60</v>
      </c>
      <c r="W582" s="18">
        <v>63</v>
      </c>
      <c r="X582" s="18"/>
      <c r="Y582" s="18">
        <v>3.7</v>
      </c>
      <c r="Z582" s="18">
        <v>7.4</v>
      </c>
      <c r="AA582" s="18">
        <v>9.9999999999999992E-2</v>
      </c>
      <c r="AB582" s="18" t="s">
        <v>217</v>
      </c>
      <c r="AC582" s="18">
        <v>22.900000000000002</v>
      </c>
      <c r="AD582" s="18">
        <v>3.9</v>
      </c>
      <c r="AE582" s="18">
        <v>4.8</v>
      </c>
      <c r="AF582" s="18">
        <v>390.09999999999997</v>
      </c>
      <c r="AG582" s="18">
        <v>8.5000000000000018</v>
      </c>
      <c r="AH582" s="18">
        <v>44.6</v>
      </c>
      <c r="AI582" s="18">
        <v>61.600000000000009</v>
      </c>
      <c r="AJ582" s="18">
        <v>0</v>
      </c>
      <c r="AK582" s="18">
        <v>3.0000000000000002E-2</v>
      </c>
      <c r="AL582" s="18"/>
      <c r="AM582" s="18">
        <v>6.2822458270106196</v>
      </c>
      <c r="AN582" s="18">
        <v>1.3657056145675299</v>
      </c>
      <c r="AO582" s="18">
        <v>1.38088012139605</v>
      </c>
      <c r="AP582" s="18">
        <v>4.03641881638847</v>
      </c>
      <c r="AQ582" s="18">
        <v>1.32018209408194</v>
      </c>
      <c r="AR582" s="18">
        <v>4.6433990895295896</v>
      </c>
      <c r="AS582" s="18">
        <v>7.8907435508345998</v>
      </c>
      <c r="AT582" s="18">
        <v>2.6100151745068301</v>
      </c>
      <c r="AU582" s="18">
        <v>5.1896813353565996</v>
      </c>
      <c r="AV582" s="18">
        <v>3.7632776934749601</v>
      </c>
      <c r="AW582" s="18">
        <v>4.7647951441578096</v>
      </c>
      <c r="AX582" s="18"/>
      <c r="AY582" s="18">
        <v>1.06</v>
      </c>
      <c r="AZ582" s="18">
        <v>1.08</v>
      </c>
      <c r="BA582" s="18">
        <v>0.96</v>
      </c>
      <c r="BB582" s="18">
        <v>1.05</v>
      </c>
      <c r="BC582" s="18">
        <v>1.1000000000000001</v>
      </c>
      <c r="BD582" s="18">
        <v>1.07</v>
      </c>
      <c r="BE582" s="18">
        <v>1.07</v>
      </c>
      <c r="BF582" s="18">
        <v>1.08</v>
      </c>
      <c r="BG582" s="18">
        <v>1.08</v>
      </c>
      <c r="BH582" s="18">
        <v>1.1000000000000001</v>
      </c>
      <c r="BI582" s="18">
        <v>1.05</v>
      </c>
      <c r="BJ582" s="19"/>
      <c r="BK582" s="18">
        <v>65.900000000000006</v>
      </c>
      <c r="BL582" s="18">
        <v>2.1</v>
      </c>
      <c r="BM582" s="18">
        <v>7.1999999999999993</v>
      </c>
      <c r="BN582" s="18">
        <v>3.4</v>
      </c>
      <c r="BO582" s="18"/>
      <c r="BP582" s="18">
        <v>130</v>
      </c>
      <c r="BQ582" s="18">
        <v>27.3</v>
      </c>
      <c r="BR582" s="18">
        <v>0.99725749128919838</v>
      </c>
      <c r="BS582" s="18">
        <v>1.0306235977736502</v>
      </c>
      <c r="BT582" s="19"/>
      <c r="BU582" s="18">
        <v>928</v>
      </c>
      <c r="BV582" s="18">
        <v>7.4005714285714301</v>
      </c>
      <c r="BW582" s="18">
        <v>234.65142857142905</v>
      </c>
      <c r="BX582" s="18" t="s">
        <v>217</v>
      </c>
      <c r="BY582" s="18" t="s">
        <v>217</v>
      </c>
      <c r="BZ582" s="18">
        <v>73.858345714285818</v>
      </c>
      <c r="CA582" s="18">
        <v>199.69108285714302</v>
      </c>
      <c r="CB582" s="19"/>
      <c r="CC582" s="19">
        <v>3.4150999999999998</v>
      </c>
      <c r="CD582" s="19">
        <v>6.8301999999999996</v>
      </c>
      <c r="CE582" s="19">
        <v>9.2299999999999979E-2</v>
      </c>
      <c r="CF582" s="19" t="s">
        <v>217</v>
      </c>
      <c r="CG582" s="19">
        <v>21.136700000000001</v>
      </c>
      <c r="CH582" s="19">
        <v>3.5996999999999995</v>
      </c>
      <c r="CI582" s="19">
        <v>4.4303999999999997</v>
      </c>
      <c r="CJ582" s="19"/>
      <c r="CK582" s="19">
        <v>360.06229999999994</v>
      </c>
      <c r="CL582" s="19">
        <v>7.8455000000000013</v>
      </c>
      <c r="CM582" s="19">
        <v>41.165799999999997</v>
      </c>
      <c r="CN582" s="19">
        <v>56.856800000000007</v>
      </c>
      <c r="CO582" s="19">
        <v>0</v>
      </c>
      <c r="CP582" s="19">
        <v>2.7689999999999999E-2</v>
      </c>
      <c r="CQ582" s="19">
        <v>507.89459499999998</v>
      </c>
      <c r="CR582" s="19">
        <v>551.7782566753632</v>
      </c>
      <c r="HM582" s="620">
        <f t="shared" ref="HM582:HU582" si="545">HM212</f>
        <v>0.54099999999999993</v>
      </c>
      <c r="HN582" s="620">
        <f t="shared" si="545"/>
        <v>0.11600000000000001</v>
      </c>
      <c r="HO582" s="620">
        <f t="shared" si="545"/>
        <v>0.25</v>
      </c>
      <c r="HP582" s="620">
        <f t="shared" si="545"/>
        <v>1.2999999999999999E-2</v>
      </c>
      <c r="HQ582" s="620">
        <f t="shared" si="545"/>
        <v>8.86</v>
      </c>
      <c r="HR582" s="620">
        <f t="shared" si="545"/>
        <v>6.9299999999999995E-3</v>
      </c>
      <c r="HS582" s="620">
        <f t="shared" si="545"/>
        <v>1.75</v>
      </c>
      <c r="HT582" s="620" t="str">
        <f t="shared" si="545"/>
        <v>as soybean meal</v>
      </c>
      <c r="HU582" s="620" t="str">
        <f t="shared" si="545"/>
        <v>offfarm</v>
      </c>
      <c r="HV582" s="22" t="s">
        <v>2066</v>
      </c>
      <c r="IB582" s="11">
        <f t="shared" ref="IB582:II582" si="546">IB212</f>
        <v>0.54099999999999993</v>
      </c>
      <c r="IC582" s="11">
        <f t="shared" si="546"/>
        <v>0.11600000000000001</v>
      </c>
      <c r="ID582" s="11">
        <f t="shared" si="546"/>
        <v>0.25</v>
      </c>
      <c r="IE582" s="11">
        <f t="shared" si="546"/>
        <v>1.2999999999999999E-2</v>
      </c>
      <c r="IF582" s="11">
        <f t="shared" si="546"/>
        <v>8.86</v>
      </c>
      <c r="IG582" s="11">
        <f t="shared" si="546"/>
        <v>6.9299999999999995E-3</v>
      </c>
      <c r="IH582" s="11">
        <f t="shared" si="546"/>
        <v>1.75</v>
      </c>
      <c r="II582" s="11" t="str">
        <f t="shared" si="546"/>
        <v>as soybean meal</v>
      </c>
    </row>
    <row r="583" spans="4:243" x14ac:dyDescent="0.25">
      <c r="D583" s="20" t="s">
        <v>1180</v>
      </c>
      <c r="E583" s="14">
        <v>42698</v>
      </c>
      <c r="F583" s="18">
        <v>0.93309995212988595</v>
      </c>
      <c r="G583" s="18">
        <v>0.96022808954029604</v>
      </c>
      <c r="H583" s="21">
        <v>91.9</v>
      </c>
      <c r="I583" s="21">
        <v>75.800038999999998</v>
      </c>
      <c r="J583" s="21">
        <v>96</v>
      </c>
      <c r="K583" s="18">
        <v>1</v>
      </c>
      <c r="L583" s="18">
        <v>92</v>
      </c>
      <c r="M583" s="18">
        <v>60.536000000000001</v>
      </c>
      <c r="N583" s="18">
        <v>2.2080000000000002</v>
      </c>
      <c r="O583" s="18">
        <v>6.1639999999999997</v>
      </c>
      <c r="P583" s="18" t="s">
        <v>217</v>
      </c>
      <c r="Q583" s="19"/>
      <c r="R583" s="18">
        <v>83.5</v>
      </c>
      <c r="S583" s="18">
        <v>39</v>
      </c>
      <c r="T583" s="18">
        <v>51</v>
      </c>
      <c r="U583" s="18">
        <v>56</v>
      </c>
      <c r="V583" s="18">
        <v>60</v>
      </c>
      <c r="W583" s="18">
        <v>63</v>
      </c>
      <c r="X583" s="18"/>
      <c r="Y583" s="18">
        <v>3.5</v>
      </c>
      <c r="Z583" s="18">
        <v>7.1000000000000005</v>
      </c>
      <c r="AA583" s="18">
        <v>9.9999999999999985E-3</v>
      </c>
      <c r="AB583" s="18" t="s">
        <v>217</v>
      </c>
      <c r="AC583" s="18">
        <v>20.8</v>
      </c>
      <c r="AD583" s="18">
        <v>3.5</v>
      </c>
      <c r="AE583" s="18">
        <v>4.7</v>
      </c>
      <c r="AF583" s="18">
        <v>209</v>
      </c>
      <c r="AG583" s="18">
        <v>7.8999999999999995</v>
      </c>
      <c r="AH583" s="18">
        <v>42.199999999999996</v>
      </c>
      <c r="AI583" s="18">
        <v>55.4</v>
      </c>
      <c r="AJ583" s="18">
        <v>0</v>
      </c>
      <c r="AK583" s="18">
        <v>4.9999999999999996E-2</v>
      </c>
      <c r="AL583" s="18"/>
      <c r="AM583" s="18">
        <v>6.0486322188449897</v>
      </c>
      <c r="AN583" s="18">
        <v>1.35258358662614</v>
      </c>
      <c r="AO583" s="18">
        <v>1.3221884498480201</v>
      </c>
      <c r="AP583" s="18">
        <v>4.0273556231003003</v>
      </c>
      <c r="AQ583" s="18">
        <v>1.3221884498480201</v>
      </c>
      <c r="AR583" s="18">
        <v>4.4680851063829801</v>
      </c>
      <c r="AS583" s="18">
        <v>7.4620060790273604</v>
      </c>
      <c r="AT583" s="18">
        <v>2.6139817629179301</v>
      </c>
      <c r="AU583" s="18">
        <v>5.19756838905775</v>
      </c>
      <c r="AV583" s="18">
        <v>3.9209726443769002</v>
      </c>
      <c r="AW583" s="18">
        <v>4.4528875379939201</v>
      </c>
      <c r="AX583" s="18"/>
      <c r="AY583" s="18">
        <v>1.06</v>
      </c>
      <c r="AZ583" s="18">
        <v>1.08</v>
      </c>
      <c r="BA583" s="18">
        <v>0.96</v>
      </c>
      <c r="BB583" s="18">
        <v>1.05</v>
      </c>
      <c r="BC583" s="18">
        <v>1.1000000000000001</v>
      </c>
      <c r="BD583" s="18">
        <v>1.07</v>
      </c>
      <c r="BE583" s="18">
        <v>1.07</v>
      </c>
      <c r="BF583" s="18">
        <v>1.08</v>
      </c>
      <c r="BG583" s="18">
        <v>1.08</v>
      </c>
      <c r="BH583" s="18">
        <v>1.1000000000000001</v>
      </c>
      <c r="BI583" s="18">
        <v>1.05</v>
      </c>
      <c r="BJ583" s="19"/>
      <c r="BK583" s="18">
        <v>65.8</v>
      </c>
      <c r="BL583" s="18">
        <v>2.4</v>
      </c>
      <c r="BM583" s="18">
        <v>6.7</v>
      </c>
      <c r="BN583" s="18" t="s">
        <v>217</v>
      </c>
      <c r="BO583" s="18"/>
      <c r="BP583" s="18">
        <v>130</v>
      </c>
      <c r="BQ583" s="18">
        <v>31.2</v>
      </c>
      <c r="BR583" s="18">
        <v>1.0142390784020499</v>
      </c>
      <c r="BS583" s="18">
        <v>1.0437261842829304</v>
      </c>
      <c r="BT583" s="19"/>
      <c r="BU583" s="18">
        <v>933</v>
      </c>
      <c r="BV583" s="18">
        <v>20.77751981428576</v>
      </c>
      <c r="BW583" s="18">
        <v>214.58948018571411</v>
      </c>
      <c r="BX583" s="18" t="s">
        <v>217</v>
      </c>
      <c r="BY583" s="18" t="s">
        <v>217</v>
      </c>
      <c r="BZ583" s="18">
        <v>71.043069650142826</v>
      </c>
      <c r="CA583" s="18">
        <v>192.07941053557062</v>
      </c>
      <c r="CB583" s="19"/>
      <c r="CC583" s="19">
        <v>3.22</v>
      </c>
      <c r="CD583" s="19">
        <v>6.5320000000000009</v>
      </c>
      <c r="CE583" s="19">
        <v>9.1999999999999998E-3</v>
      </c>
      <c r="CF583" s="19" t="s">
        <v>217</v>
      </c>
      <c r="CG583" s="19">
        <v>19.136000000000003</v>
      </c>
      <c r="CH583" s="19">
        <v>3.22</v>
      </c>
      <c r="CI583" s="19">
        <v>4.3240000000000007</v>
      </c>
      <c r="CJ583" s="19"/>
      <c r="CK583" s="19">
        <v>192.28</v>
      </c>
      <c r="CL583" s="19">
        <v>7.2679999999999998</v>
      </c>
      <c r="CM583" s="19">
        <v>38.823999999999998</v>
      </c>
      <c r="CN583" s="19">
        <v>50.968000000000004</v>
      </c>
      <c r="CO583" s="19">
        <v>0</v>
      </c>
      <c r="CP583" s="19">
        <v>4.5999999999999999E-2</v>
      </c>
      <c r="CQ583" s="19">
        <v>505.47559999999999</v>
      </c>
      <c r="CR583" s="19">
        <v>541.71645689854097</v>
      </c>
      <c r="HM583" s="620">
        <f t="shared" ref="HM583:HU583" si="547">HM213</f>
        <v>0.54099999999999993</v>
      </c>
      <c r="HN583" s="620">
        <f t="shared" si="547"/>
        <v>0.11600000000000001</v>
      </c>
      <c r="HO583" s="620">
        <f t="shared" si="547"/>
        <v>0.25</v>
      </c>
      <c r="HP583" s="620">
        <f t="shared" si="547"/>
        <v>1.2999999999999999E-2</v>
      </c>
      <c r="HQ583" s="620">
        <f t="shared" si="547"/>
        <v>8.86</v>
      </c>
      <c r="HR583" s="620">
        <f t="shared" si="547"/>
        <v>6.9299999999999995E-3</v>
      </c>
      <c r="HS583" s="620">
        <f t="shared" si="547"/>
        <v>1.75</v>
      </c>
      <c r="HT583" s="620" t="str">
        <f t="shared" si="547"/>
        <v>as soybean meal</v>
      </c>
      <c r="HU583" s="620" t="str">
        <f t="shared" si="547"/>
        <v>offfarm</v>
      </c>
      <c r="HV583" s="22" t="s">
        <v>2066</v>
      </c>
      <c r="IB583" s="11">
        <f t="shared" ref="IB583:II583" si="548">IB213</f>
        <v>0.54099999999999993</v>
      </c>
      <c r="IC583" s="11">
        <f t="shared" si="548"/>
        <v>0.11600000000000001</v>
      </c>
      <c r="ID583" s="11">
        <f t="shared" si="548"/>
        <v>0.25</v>
      </c>
      <c r="IE583" s="11">
        <f t="shared" si="548"/>
        <v>1.2999999999999999E-2</v>
      </c>
      <c r="IF583" s="11">
        <f t="shared" si="548"/>
        <v>8.86</v>
      </c>
      <c r="IG583" s="11">
        <f t="shared" si="548"/>
        <v>6.9299999999999995E-3</v>
      </c>
      <c r="IH583" s="11">
        <f t="shared" si="548"/>
        <v>1.75</v>
      </c>
      <c r="II583" s="11" t="str">
        <f t="shared" si="548"/>
        <v>as soybean meal</v>
      </c>
    </row>
    <row r="584" spans="4:243" x14ac:dyDescent="0.25">
      <c r="D584" s="20" t="s">
        <v>1316</v>
      </c>
      <c r="E584" s="14">
        <v>42698</v>
      </c>
      <c r="F584" s="18">
        <v>0.96341341537940195</v>
      </c>
      <c r="G584" s="18">
        <v>0.98798371580259403</v>
      </c>
      <c r="H584" s="21">
        <v>92.7</v>
      </c>
      <c r="I584" s="21">
        <v>76.400000000000006</v>
      </c>
      <c r="J584" s="21">
        <v>96</v>
      </c>
      <c r="K584" s="18">
        <v>1</v>
      </c>
      <c r="L584" s="18">
        <v>91.7</v>
      </c>
      <c r="M584" s="18">
        <v>52.819200000000002</v>
      </c>
      <c r="N584" s="18">
        <v>2.6593</v>
      </c>
      <c r="O584" s="18">
        <v>6.5106999999999999</v>
      </c>
      <c r="P584" s="18">
        <v>3.1177999999999999</v>
      </c>
      <c r="Q584" s="19"/>
      <c r="R584" s="18">
        <v>86.5</v>
      </c>
      <c r="S584" s="18">
        <v>39</v>
      </c>
      <c r="T584" s="18">
        <v>51</v>
      </c>
      <c r="U584" s="18">
        <v>56</v>
      </c>
      <c r="V584" s="18">
        <v>60</v>
      </c>
      <c r="W584" s="18">
        <v>63</v>
      </c>
      <c r="X584" s="18"/>
      <c r="Y584" s="18">
        <v>3.8</v>
      </c>
      <c r="Z584" s="18">
        <v>7.7</v>
      </c>
      <c r="AA584" s="18">
        <v>9.9999999999999992E-2</v>
      </c>
      <c r="AB584" s="18" t="s">
        <v>217</v>
      </c>
      <c r="AC584" s="18">
        <v>25.599999999999998</v>
      </c>
      <c r="AD584" s="18">
        <v>3.9</v>
      </c>
      <c r="AE584" s="18">
        <v>4.1999999999999993</v>
      </c>
      <c r="AF584" s="18">
        <v>275</v>
      </c>
      <c r="AG584" s="18">
        <v>15.4</v>
      </c>
      <c r="AH584" s="18">
        <v>41.300000000000004</v>
      </c>
      <c r="AI584" s="18">
        <v>71.8</v>
      </c>
      <c r="AJ584" s="18">
        <v>0</v>
      </c>
      <c r="AK584" s="18">
        <v>0.03</v>
      </c>
      <c r="AL584" s="18"/>
      <c r="AM584" s="18">
        <v>6.0416666666666696</v>
      </c>
      <c r="AN584" s="18">
        <v>1.3020833333333299</v>
      </c>
      <c r="AO584" s="18">
        <v>1.3715277777777799</v>
      </c>
      <c r="AP584" s="18">
        <v>3.90625</v>
      </c>
      <c r="AQ584" s="18">
        <v>1.31944444444444</v>
      </c>
      <c r="AR584" s="18">
        <v>4.5138888888888902</v>
      </c>
      <c r="AS584" s="18">
        <v>7.5868055555555598</v>
      </c>
      <c r="AT584" s="18">
        <v>2.5347222222222201</v>
      </c>
      <c r="AU584" s="18">
        <v>5.0347222222222197</v>
      </c>
      <c r="AV584" s="18">
        <v>3.7673611111111098</v>
      </c>
      <c r="AW584" s="18">
        <v>4.6701388888888902</v>
      </c>
      <c r="AX584" s="18"/>
      <c r="AY584" s="18">
        <v>0.97</v>
      </c>
      <c r="AZ584" s="18">
        <v>1.06</v>
      </c>
      <c r="BA584" s="18">
        <v>0.91</v>
      </c>
      <c r="BB584" s="18">
        <v>0.99</v>
      </c>
      <c r="BC584" s="18">
        <v>1.06</v>
      </c>
      <c r="BD584" s="18">
        <v>1.05</v>
      </c>
      <c r="BE584" s="18">
        <v>1.05</v>
      </c>
      <c r="BF584" s="18">
        <v>1.07</v>
      </c>
      <c r="BG584" s="18">
        <v>1.06</v>
      </c>
      <c r="BH584" s="18">
        <v>1.05</v>
      </c>
      <c r="BI584" s="18">
        <v>1.01</v>
      </c>
      <c r="BJ584" s="19"/>
      <c r="BK584" s="18">
        <v>57.6</v>
      </c>
      <c r="BL584" s="18">
        <v>2.9</v>
      </c>
      <c r="BM584" s="18">
        <v>7.0999999999999988</v>
      </c>
      <c r="BN584" s="18">
        <v>3.3999999999999995</v>
      </c>
      <c r="BO584" s="18"/>
      <c r="BP584" s="18">
        <v>130</v>
      </c>
      <c r="BQ584" s="18">
        <v>37.700000000000003</v>
      </c>
      <c r="BR584" s="18">
        <v>1.0506144115369704</v>
      </c>
      <c r="BS584" s="18">
        <v>1.077408632282</v>
      </c>
      <c r="BT584" s="19"/>
      <c r="BU584" s="18">
        <v>929</v>
      </c>
      <c r="BV584" s="18">
        <v>92.568714285714393</v>
      </c>
      <c r="BW584" s="18">
        <v>216.32428571428574</v>
      </c>
      <c r="BX584" s="18" t="s">
        <v>217</v>
      </c>
      <c r="BY584" s="18" t="s">
        <v>217</v>
      </c>
      <c r="BZ584" s="18">
        <v>70.262447142857155</v>
      </c>
      <c r="CA584" s="18">
        <v>189.96883857142856</v>
      </c>
      <c r="CB584" s="19"/>
      <c r="CC584" s="19">
        <v>3.4845999999999999</v>
      </c>
      <c r="CD584" s="19">
        <v>7.0609000000000002</v>
      </c>
      <c r="CE584" s="19">
        <v>9.169999999999999E-2</v>
      </c>
      <c r="CF584" s="19" t="s">
        <v>217</v>
      </c>
      <c r="CG584" s="19">
        <v>23.475199999999997</v>
      </c>
      <c r="CH584" s="19">
        <v>3.5763000000000003</v>
      </c>
      <c r="CI584" s="19">
        <v>3.8513999999999995</v>
      </c>
      <c r="CJ584" s="19"/>
      <c r="CK584" s="19">
        <v>252.17500000000001</v>
      </c>
      <c r="CL584" s="19">
        <v>14.1218</v>
      </c>
      <c r="CM584" s="19">
        <v>37.872100000000003</v>
      </c>
      <c r="CN584" s="19">
        <v>65.840599999999995</v>
      </c>
      <c r="CO584" s="19">
        <v>0</v>
      </c>
      <c r="CP584" s="19">
        <v>2.751E-2</v>
      </c>
      <c r="CQ584" s="19">
        <v>456.88607999999999</v>
      </c>
      <c r="CR584" s="19">
        <v>474.23678423667542</v>
      </c>
      <c r="HM584" s="620">
        <f t="shared" ref="HM584:HU584" si="549">HM214</f>
        <v>0.54099999999999993</v>
      </c>
      <c r="HN584" s="620">
        <f t="shared" si="549"/>
        <v>0.11600000000000001</v>
      </c>
      <c r="HO584" s="620">
        <f t="shared" si="549"/>
        <v>0.25</v>
      </c>
      <c r="HP584" s="620">
        <f t="shared" si="549"/>
        <v>1.2999999999999999E-2</v>
      </c>
      <c r="HQ584" s="620">
        <f t="shared" si="549"/>
        <v>8.86</v>
      </c>
      <c r="HR584" s="620">
        <f t="shared" si="549"/>
        <v>6.9299999999999995E-3</v>
      </c>
      <c r="HS584" s="620">
        <f t="shared" si="549"/>
        <v>1.75</v>
      </c>
      <c r="HT584" s="620" t="str">
        <f t="shared" si="549"/>
        <v>as soybean meal</v>
      </c>
      <c r="HU584" s="620" t="str">
        <f t="shared" si="549"/>
        <v>offfarm</v>
      </c>
      <c r="HV584" s="22" t="s">
        <v>2066</v>
      </c>
      <c r="IB584" s="11">
        <f t="shared" ref="IB584:II584" si="550">IB214</f>
        <v>0.54099999999999993</v>
      </c>
      <c r="IC584" s="11">
        <f t="shared" si="550"/>
        <v>0.11600000000000001</v>
      </c>
      <c r="ID584" s="11">
        <f t="shared" si="550"/>
        <v>0.25</v>
      </c>
      <c r="IE584" s="11">
        <f t="shared" si="550"/>
        <v>1.2999999999999999E-2</v>
      </c>
      <c r="IF584" s="11">
        <f t="shared" si="550"/>
        <v>8.86</v>
      </c>
      <c r="IG584" s="11">
        <f t="shared" si="550"/>
        <v>6.9299999999999995E-3</v>
      </c>
      <c r="IH584" s="11">
        <f t="shared" si="550"/>
        <v>1.75</v>
      </c>
      <c r="II584" s="11" t="str">
        <f t="shared" si="550"/>
        <v>as soybean meal</v>
      </c>
    </row>
    <row r="585" spans="4:243" x14ac:dyDescent="0.25">
      <c r="D585" s="20" t="s">
        <v>1317</v>
      </c>
      <c r="E585" s="14">
        <v>42698</v>
      </c>
      <c r="F585" s="18">
        <v>0.98376038096663698</v>
      </c>
      <c r="G585" s="18">
        <v>1.0014211869156899</v>
      </c>
      <c r="H585" s="21">
        <v>92.7</v>
      </c>
      <c r="I585" s="21">
        <v>78.400000000000006</v>
      </c>
      <c r="J585" s="21">
        <v>96</v>
      </c>
      <c r="K585" s="18">
        <v>1</v>
      </c>
      <c r="L585" s="18">
        <v>92.4</v>
      </c>
      <c r="M585" s="18">
        <v>55.855899999999998</v>
      </c>
      <c r="N585" s="18">
        <v>2.5749196141479098</v>
      </c>
      <c r="O585" s="18">
        <v>6.8334405144694603</v>
      </c>
      <c r="P585" s="18">
        <v>3.1415999999999999</v>
      </c>
      <c r="Q585" s="19"/>
      <c r="R585" s="18">
        <v>91.5</v>
      </c>
      <c r="S585" s="18">
        <v>39</v>
      </c>
      <c r="T585" s="18">
        <v>51</v>
      </c>
      <c r="U585" s="18">
        <v>56</v>
      </c>
      <c r="V585" s="18">
        <v>60</v>
      </c>
      <c r="W585" s="18">
        <v>63</v>
      </c>
      <c r="X585" s="18"/>
      <c r="Y585" s="18">
        <v>4.0728831725616335</v>
      </c>
      <c r="Z585" s="18">
        <v>8.2999999999999989</v>
      </c>
      <c r="AA585" s="18">
        <v>0.19999999999999998</v>
      </c>
      <c r="AB585" s="18" t="s">
        <v>217</v>
      </c>
      <c r="AC585" s="18">
        <v>26.2</v>
      </c>
      <c r="AD585" s="18">
        <v>4</v>
      </c>
      <c r="AE585" s="18">
        <v>4.5</v>
      </c>
      <c r="AF585" s="18">
        <v>251</v>
      </c>
      <c r="AG585" s="18">
        <v>17.2</v>
      </c>
      <c r="AH585" s="18">
        <v>44.9</v>
      </c>
      <c r="AI585" s="18">
        <v>81.38</v>
      </c>
      <c r="AJ585" s="18">
        <v>0</v>
      </c>
      <c r="AK585" s="18">
        <v>4.9999999999999996E-2</v>
      </c>
      <c r="AL585" s="18"/>
      <c r="AM585" s="18">
        <v>6.0678137851149101</v>
      </c>
      <c r="AN585" s="18">
        <v>1.3366394597526901</v>
      </c>
      <c r="AO585" s="18">
        <v>1.38295864895204</v>
      </c>
      <c r="AP585" s="18">
        <v>3.97848750087278</v>
      </c>
      <c r="AQ585" s="18">
        <v>1.3366394597526901</v>
      </c>
      <c r="AR585" s="18">
        <v>4.5839454739785799</v>
      </c>
      <c r="AS585" s="18">
        <v>7.71876202872033</v>
      </c>
      <c r="AT585" s="18">
        <v>2.5591352032641099</v>
      </c>
      <c r="AU585" s="18">
        <v>5.1199246632853503</v>
      </c>
      <c r="AV585" s="18">
        <v>3.76177986569011</v>
      </c>
      <c r="AW585" s="18">
        <v>4.7195945280623901</v>
      </c>
      <c r="AX585" s="18"/>
      <c r="AY585" s="18">
        <v>0.97</v>
      </c>
      <c r="AZ585" s="18">
        <v>1.03</v>
      </c>
      <c r="BA585" s="18">
        <v>0.91</v>
      </c>
      <c r="BB585" s="18">
        <v>0.97</v>
      </c>
      <c r="BC585" s="18">
        <v>1.04</v>
      </c>
      <c r="BD585" s="18">
        <v>1.02</v>
      </c>
      <c r="BE585" s="18">
        <v>1.02</v>
      </c>
      <c r="BF585" s="18">
        <v>1.04</v>
      </c>
      <c r="BG585" s="18">
        <v>1.03</v>
      </c>
      <c r="BH585" s="18">
        <v>1.03</v>
      </c>
      <c r="BI585" s="18">
        <v>1</v>
      </c>
      <c r="BJ585" s="19"/>
      <c r="BK585" s="18">
        <v>60.450108225108224</v>
      </c>
      <c r="BL585" s="18">
        <v>2.7867095391211145</v>
      </c>
      <c r="BM585" s="18">
        <v>7.395498392282966</v>
      </c>
      <c r="BN585" s="18">
        <v>3.3999999999999995</v>
      </c>
      <c r="BO585" s="18"/>
      <c r="BP585" s="18">
        <v>130</v>
      </c>
      <c r="BQ585" s="18">
        <v>36.22722400857446</v>
      </c>
      <c r="BR585" s="18">
        <v>1.0646757369768798</v>
      </c>
      <c r="BS585" s="18">
        <v>1.0837891633286687</v>
      </c>
      <c r="BT585" s="19"/>
      <c r="BU585" s="18">
        <v>926.04501607716986</v>
      </c>
      <c r="BV585" s="18">
        <v>92.138894955526851</v>
      </c>
      <c r="BW585" s="18">
        <v>189.17776757004975</v>
      </c>
      <c r="BX585" s="18" t="s">
        <v>217</v>
      </c>
      <c r="BY585" s="18" t="s">
        <v>217</v>
      </c>
      <c r="BZ585" s="18">
        <v>62.576009349814278</v>
      </c>
      <c r="CA585" s="18">
        <v>169.18698824208983</v>
      </c>
      <c r="CB585" s="19"/>
      <c r="CC585" s="19">
        <v>3.7633440514469494</v>
      </c>
      <c r="CD585" s="19">
        <v>7.6691999999999991</v>
      </c>
      <c r="CE585" s="19">
        <v>0.18479999999999999</v>
      </c>
      <c r="CF585" s="19" t="s">
        <v>217</v>
      </c>
      <c r="CG585" s="19">
        <v>24.2088</v>
      </c>
      <c r="CH585" s="19">
        <v>3.6960000000000002</v>
      </c>
      <c r="CI585" s="19">
        <v>4.1580000000000004</v>
      </c>
      <c r="CJ585" s="19"/>
      <c r="CK585" s="19">
        <v>231.92400000000001</v>
      </c>
      <c r="CL585" s="19">
        <v>15.892799999999999</v>
      </c>
      <c r="CM585" s="19">
        <v>41.4876</v>
      </c>
      <c r="CN585" s="19">
        <v>75.195120000000003</v>
      </c>
      <c r="CO585" s="19">
        <v>0</v>
      </c>
      <c r="CP585" s="19">
        <v>4.6199999999999998E-2</v>
      </c>
      <c r="CQ585" s="19">
        <v>511.08148499999999</v>
      </c>
      <c r="CR585" s="19">
        <v>519.51826368308753</v>
      </c>
      <c r="HM585" s="620">
        <f t="shared" ref="HM585:HU585" si="551">HM215</f>
        <v>0.54099999999999993</v>
      </c>
      <c r="HN585" s="620">
        <f t="shared" si="551"/>
        <v>0.11600000000000001</v>
      </c>
      <c r="HO585" s="620">
        <f t="shared" si="551"/>
        <v>0.25</v>
      </c>
      <c r="HP585" s="620">
        <f t="shared" si="551"/>
        <v>1.2999999999999999E-2</v>
      </c>
      <c r="HQ585" s="620">
        <f t="shared" si="551"/>
        <v>8.86</v>
      </c>
      <c r="HR585" s="620">
        <f t="shared" si="551"/>
        <v>6.9299999999999995E-3</v>
      </c>
      <c r="HS585" s="620">
        <f t="shared" si="551"/>
        <v>1.75</v>
      </c>
      <c r="HT585" s="620" t="str">
        <f t="shared" si="551"/>
        <v>as soybean meal</v>
      </c>
      <c r="HU585" s="620" t="str">
        <f t="shared" si="551"/>
        <v>offfarm</v>
      </c>
      <c r="HV585" s="22" t="s">
        <v>2066</v>
      </c>
      <c r="IB585" s="11">
        <f t="shared" ref="IB585:II585" si="552">IB215</f>
        <v>0.54099999999999993</v>
      </c>
      <c r="IC585" s="11">
        <f t="shared" si="552"/>
        <v>0.11600000000000001</v>
      </c>
      <c r="ID585" s="11">
        <f t="shared" si="552"/>
        <v>0.25</v>
      </c>
      <c r="IE585" s="11">
        <f t="shared" si="552"/>
        <v>1.2999999999999999E-2</v>
      </c>
      <c r="IF585" s="11">
        <f t="shared" si="552"/>
        <v>8.86</v>
      </c>
      <c r="IG585" s="11">
        <f t="shared" si="552"/>
        <v>6.9299999999999995E-3</v>
      </c>
      <c r="IH585" s="11">
        <f t="shared" si="552"/>
        <v>1.75</v>
      </c>
      <c r="II585" s="11" t="str">
        <f t="shared" si="552"/>
        <v>as soybean meal</v>
      </c>
    </row>
    <row r="586" spans="4:243" x14ac:dyDescent="0.25">
      <c r="D586" s="20" t="s">
        <v>1181</v>
      </c>
      <c r="E586" s="14">
        <v>42698</v>
      </c>
      <c r="F586" s="18">
        <v>0.98234040650406096</v>
      </c>
      <c r="G586" s="18">
        <v>1.00183147636363</v>
      </c>
      <c r="H586" s="21">
        <v>93.64</v>
      </c>
      <c r="I586" s="21">
        <v>78.099973800000001</v>
      </c>
      <c r="J586" s="21">
        <v>96</v>
      </c>
      <c r="K586" s="18">
        <v>1</v>
      </c>
      <c r="L586" s="18">
        <v>92.1</v>
      </c>
      <c r="M586" s="18">
        <v>52</v>
      </c>
      <c r="N586" s="18">
        <v>2.5</v>
      </c>
      <c r="O586" s="18">
        <v>7.2</v>
      </c>
      <c r="P586" s="18">
        <v>3.1314000000000002</v>
      </c>
      <c r="Q586" s="19"/>
      <c r="R586" s="18">
        <v>86.5</v>
      </c>
      <c r="S586" s="18">
        <v>39</v>
      </c>
      <c r="T586" s="18">
        <v>51</v>
      </c>
      <c r="U586" s="18">
        <v>56</v>
      </c>
      <c r="V586" s="18">
        <v>60</v>
      </c>
      <c r="W586" s="18">
        <v>63</v>
      </c>
      <c r="X586" s="18"/>
      <c r="Y586" s="18">
        <v>4.3000000000000007</v>
      </c>
      <c r="Z586" s="18">
        <v>7.7000000000000011</v>
      </c>
      <c r="AA586" s="18">
        <v>0.20000000000000004</v>
      </c>
      <c r="AB586" s="18" t="s">
        <v>217</v>
      </c>
      <c r="AC586" s="18">
        <v>26.000000000000007</v>
      </c>
      <c r="AD586" s="18">
        <v>4.9000000000000004</v>
      </c>
      <c r="AE586" s="18">
        <v>4.4000000000000012</v>
      </c>
      <c r="AF586" s="18">
        <v>618.00000000000011</v>
      </c>
      <c r="AG586" s="18">
        <v>18</v>
      </c>
      <c r="AH586" s="18">
        <v>59.20000000000001</v>
      </c>
      <c r="AI586" s="18">
        <v>67.600000000000009</v>
      </c>
      <c r="AJ586" s="18">
        <v>0</v>
      </c>
      <c r="AK586" s="18">
        <v>0.13</v>
      </c>
      <c r="AL586" s="18"/>
      <c r="AM586" s="18">
        <v>5.9965034965035002</v>
      </c>
      <c r="AN586" s="18">
        <v>1.36363636363636</v>
      </c>
      <c r="AO586" s="18">
        <v>1.4510489510489499</v>
      </c>
      <c r="AP586" s="18">
        <v>3.9685314685314701</v>
      </c>
      <c r="AQ586" s="18">
        <v>1.34615384615385</v>
      </c>
      <c r="AR586" s="18">
        <v>4.4930069930069898</v>
      </c>
      <c r="AS586" s="18">
        <v>7.63986013986014</v>
      </c>
      <c r="AT586" s="18">
        <v>2.6048951048951001</v>
      </c>
      <c r="AU586" s="18">
        <v>5.0524475524475498</v>
      </c>
      <c r="AV586" s="18">
        <v>3.8111888111888099</v>
      </c>
      <c r="AW586" s="18">
        <v>4.7027972027971998</v>
      </c>
      <c r="AX586" s="18"/>
      <c r="AY586" s="18">
        <v>0.97</v>
      </c>
      <c r="AZ586" s="18">
        <v>1.06</v>
      </c>
      <c r="BA586" s="18">
        <v>0.91</v>
      </c>
      <c r="BB586" s="18">
        <v>0.99</v>
      </c>
      <c r="BC586" s="18">
        <v>1.06</v>
      </c>
      <c r="BD586" s="18">
        <v>1.05</v>
      </c>
      <c r="BE586" s="18">
        <v>1.05</v>
      </c>
      <c r="BF586" s="18">
        <v>1.07</v>
      </c>
      <c r="BG586" s="18">
        <v>1.06</v>
      </c>
      <c r="BH586" s="18">
        <v>1.05</v>
      </c>
      <c r="BI586" s="18">
        <v>1.01</v>
      </c>
      <c r="BJ586" s="19"/>
      <c r="BK586" s="18">
        <v>56.46036916395223</v>
      </c>
      <c r="BL586" s="18">
        <v>2.7144408251900112</v>
      </c>
      <c r="BM586" s="18">
        <v>7.8175895765472321</v>
      </c>
      <c r="BN586" s="18">
        <v>3.4000000000000008</v>
      </c>
      <c r="BO586" s="18"/>
      <c r="BP586" s="18">
        <v>130</v>
      </c>
      <c r="BQ586" s="18">
        <v>35.287730727470141</v>
      </c>
      <c r="BR586" s="18">
        <v>1.0666019614593496</v>
      </c>
      <c r="BS586" s="18">
        <v>1.0877649037607275</v>
      </c>
      <c r="BT586" s="19"/>
      <c r="BU586" s="18">
        <v>921.82410423452779</v>
      </c>
      <c r="BV586" s="18">
        <v>118.43170466883822</v>
      </c>
      <c r="BW586" s="18">
        <v>204.64529616565798</v>
      </c>
      <c r="BX586" s="18" t="s">
        <v>217</v>
      </c>
      <c r="BY586" s="18" t="s">
        <v>217</v>
      </c>
      <c r="BZ586" s="18">
        <v>64.766110749185671</v>
      </c>
      <c r="CA586" s="18">
        <v>175.10837350705756</v>
      </c>
      <c r="CB586" s="19"/>
      <c r="CC586" s="19">
        <v>3.9603000000000002</v>
      </c>
      <c r="CD586" s="19">
        <v>7.0917000000000003</v>
      </c>
      <c r="CE586" s="19">
        <v>0.18420000000000003</v>
      </c>
      <c r="CF586" s="19" t="s">
        <v>217</v>
      </c>
      <c r="CG586" s="19">
        <v>23.946000000000005</v>
      </c>
      <c r="CH586" s="19">
        <v>4.5129000000000001</v>
      </c>
      <c r="CI586" s="19">
        <v>4.0524000000000004</v>
      </c>
      <c r="CJ586" s="19"/>
      <c r="CK586" s="19">
        <v>569.17800000000011</v>
      </c>
      <c r="CL586" s="19">
        <v>16.577999999999999</v>
      </c>
      <c r="CM586" s="19">
        <v>54.523200000000003</v>
      </c>
      <c r="CN586" s="19">
        <v>62.259600000000006</v>
      </c>
      <c r="CO586" s="19">
        <v>0</v>
      </c>
      <c r="CP586" s="19">
        <v>0.11972999999999999</v>
      </c>
      <c r="CQ586" s="19">
        <v>449.8</v>
      </c>
      <c r="CR586" s="19">
        <v>457.8860820769267</v>
      </c>
      <c r="HM586" s="620">
        <f t="shared" ref="HM586:HU586" si="553">HM216</f>
        <v>0.54099999999999993</v>
      </c>
      <c r="HN586" s="620">
        <f t="shared" si="553"/>
        <v>0.11600000000000001</v>
      </c>
      <c r="HO586" s="620">
        <f t="shared" si="553"/>
        <v>0.25</v>
      </c>
      <c r="HP586" s="620">
        <f t="shared" si="553"/>
        <v>1.2999999999999999E-2</v>
      </c>
      <c r="HQ586" s="620">
        <f t="shared" si="553"/>
        <v>8.86</v>
      </c>
      <c r="HR586" s="620">
        <f t="shared" si="553"/>
        <v>6.9299999999999995E-3</v>
      </c>
      <c r="HS586" s="620">
        <f t="shared" si="553"/>
        <v>1.75</v>
      </c>
      <c r="HT586" s="620" t="str">
        <f t="shared" si="553"/>
        <v>as soybean meal</v>
      </c>
      <c r="HU586" s="620" t="str">
        <f t="shared" si="553"/>
        <v>offfarm</v>
      </c>
      <c r="HV586" s="22" t="s">
        <v>2066</v>
      </c>
      <c r="IB586" s="11">
        <f t="shared" ref="IB586:II586" si="554">IB216</f>
        <v>0.54099999999999993</v>
      </c>
      <c r="IC586" s="11">
        <f t="shared" si="554"/>
        <v>0.11600000000000001</v>
      </c>
      <c r="ID586" s="11">
        <f t="shared" si="554"/>
        <v>0.25</v>
      </c>
      <c r="IE586" s="11">
        <f t="shared" si="554"/>
        <v>1.2999999999999999E-2</v>
      </c>
      <c r="IF586" s="11">
        <f t="shared" si="554"/>
        <v>8.86</v>
      </c>
      <c r="IG586" s="11">
        <f t="shared" si="554"/>
        <v>6.9299999999999995E-3</v>
      </c>
      <c r="IH586" s="11">
        <f t="shared" si="554"/>
        <v>1.75</v>
      </c>
      <c r="II586" s="11" t="str">
        <f t="shared" si="554"/>
        <v>as soybean meal</v>
      </c>
    </row>
    <row r="587" spans="4:243" x14ac:dyDescent="0.25">
      <c r="D587" s="20" t="s">
        <v>1182</v>
      </c>
      <c r="E587" s="14">
        <v>42695</v>
      </c>
      <c r="F587" s="18">
        <v>9.5487001393728094E-2</v>
      </c>
      <c r="G587" s="18">
        <v>0.29622418533283901</v>
      </c>
      <c r="H587" s="21">
        <v>53.4</v>
      </c>
      <c r="I587" s="21">
        <v>13.600018800000001</v>
      </c>
      <c r="J587" s="21">
        <v>67</v>
      </c>
      <c r="K587" s="18">
        <v>1</v>
      </c>
      <c r="L587" s="18">
        <v>87.6</v>
      </c>
      <c r="M587" s="18">
        <v>9.2856000000000005</v>
      </c>
      <c r="N587" s="18">
        <v>1.9272</v>
      </c>
      <c r="O587" s="18">
        <v>4.2923999999999998</v>
      </c>
      <c r="P587" s="18">
        <v>35.478000000000002</v>
      </c>
      <c r="Q587" s="19"/>
      <c r="R587" s="18">
        <v>33.4</v>
      </c>
      <c r="S587" s="18">
        <v>38</v>
      </c>
      <c r="T587" s="18">
        <v>38</v>
      </c>
      <c r="U587" s="18">
        <v>38</v>
      </c>
      <c r="V587" s="18">
        <v>38</v>
      </c>
      <c r="W587" s="18">
        <v>38</v>
      </c>
      <c r="X587" s="18"/>
      <c r="Y587" s="18">
        <v>6.1000000000000005</v>
      </c>
      <c r="Z587" s="18">
        <v>1.3000000000000003</v>
      </c>
      <c r="AA587" s="18">
        <v>0.1</v>
      </c>
      <c r="AB587" s="18">
        <v>0</v>
      </c>
      <c r="AC587" s="18">
        <v>14.500000000000002</v>
      </c>
      <c r="AD587" s="18">
        <v>2.7</v>
      </c>
      <c r="AE587" s="18">
        <v>1.1000000000000001</v>
      </c>
      <c r="AF587" s="18">
        <v>640</v>
      </c>
      <c r="AG587" s="18">
        <v>7</v>
      </c>
      <c r="AH587" s="18">
        <v>21.000000000000004</v>
      </c>
      <c r="AI587" s="18">
        <v>49</v>
      </c>
      <c r="AJ587" s="18">
        <v>0</v>
      </c>
      <c r="AK587" s="18">
        <v>0.19000000000000003</v>
      </c>
      <c r="AL587" s="18"/>
      <c r="AM587" s="18">
        <v>6.28</v>
      </c>
      <c r="AN587" s="18">
        <v>1.43</v>
      </c>
      <c r="AO587" s="18">
        <v>1.58</v>
      </c>
      <c r="AP587" s="18">
        <v>3.85</v>
      </c>
      <c r="AQ587" s="18">
        <v>1.1599999999999999</v>
      </c>
      <c r="AR587" s="18">
        <v>4.1399999999999997</v>
      </c>
      <c r="AS587" s="18">
        <v>6.47</v>
      </c>
      <c r="AT587" s="18">
        <v>2.56</v>
      </c>
      <c r="AU587" s="18">
        <v>4.13</v>
      </c>
      <c r="AV587" s="18">
        <v>3.91</v>
      </c>
      <c r="AW587" s="18">
        <v>4.66</v>
      </c>
      <c r="AX587" s="18"/>
      <c r="AY587" s="18">
        <v>1</v>
      </c>
      <c r="AZ587" s="18">
        <v>1</v>
      </c>
      <c r="BA587" s="18">
        <v>1</v>
      </c>
      <c r="BB587" s="18">
        <v>1</v>
      </c>
      <c r="BC587" s="18">
        <v>1</v>
      </c>
      <c r="BD587" s="18">
        <v>1</v>
      </c>
      <c r="BE587" s="18">
        <v>1</v>
      </c>
      <c r="BF587" s="18">
        <v>1</v>
      </c>
      <c r="BG587" s="18">
        <v>1</v>
      </c>
      <c r="BH587" s="18">
        <v>1</v>
      </c>
      <c r="BI587" s="18">
        <v>1</v>
      </c>
      <c r="BJ587" s="19"/>
      <c r="BK587" s="18">
        <v>10.600000000000001</v>
      </c>
      <c r="BL587" s="18">
        <v>2.2000000000000002</v>
      </c>
      <c r="BM587" s="18">
        <v>4.8999999999999995</v>
      </c>
      <c r="BN587" s="18">
        <v>40.500000000000007</v>
      </c>
      <c r="BO587" s="18"/>
      <c r="BP587" s="18">
        <v>130</v>
      </c>
      <c r="BQ587" s="18">
        <v>28.600000000000005</v>
      </c>
      <c r="BR587" s="18">
        <v>0.10900342624854804</v>
      </c>
      <c r="BS587" s="18">
        <v>0.33815546270872038</v>
      </c>
      <c r="BT587" s="19"/>
      <c r="BU587" s="18">
        <v>951.00000000000011</v>
      </c>
      <c r="BV587" s="18">
        <v>-150.67742857142809</v>
      </c>
      <c r="BW587" s="18">
        <v>540.71117316000004</v>
      </c>
      <c r="BX587" s="18">
        <v>7</v>
      </c>
      <c r="BY587" s="18">
        <v>19</v>
      </c>
      <c r="BZ587" s="18">
        <v>256.02410571428658</v>
      </c>
      <c r="CA587" s="18">
        <v>692.21332285714277</v>
      </c>
      <c r="CB587" s="19"/>
      <c r="CC587" s="19">
        <v>5.3435999999999995</v>
      </c>
      <c r="CD587" s="19">
        <v>1.1388</v>
      </c>
      <c r="CE587" s="19">
        <v>8.7599999999999997E-2</v>
      </c>
      <c r="CF587" s="19">
        <v>0</v>
      </c>
      <c r="CG587" s="19">
        <v>12.702</v>
      </c>
      <c r="CH587" s="19">
        <v>2.3651999999999997</v>
      </c>
      <c r="CI587" s="19">
        <v>0.96360000000000001</v>
      </c>
      <c r="CJ587" s="19"/>
      <c r="CK587" s="19">
        <v>560.63999999999987</v>
      </c>
      <c r="CL587" s="19">
        <v>6.1319999999999997</v>
      </c>
      <c r="CM587" s="19">
        <v>18.396000000000001</v>
      </c>
      <c r="CN587" s="19">
        <v>42.923999999999992</v>
      </c>
      <c r="CO587" s="19">
        <v>0</v>
      </c>
      <c r="CP587" s="19">
        <v>0.16644</v>
      </c>
      <c r="CQ587" s="19">
        <v>31.013904</v>
      </c>
      <c r="CR587" s="19">
        <v>324.79712994775326</v>
      </c>
      <c r="HM587" s="620">
        <f t="shared" ref="HM587:HU587" si="555">HM217</f>
        <v>0.54099999999999993</v>
      </c>
      <c r="HN587" s="620">
        <f t="shared" si="555"/>
        <v>0.11600000000000001</v>
      </c>
      <c r="HO587" s="620">
        <f t="shared" si="555"/>
        <v>0.25</v>
      </c>
      <c r="HP587" s="620">
        <f t="shared" si="555"/>
        <v>1.2999999999999999E-2</v>
      </c>
      <c r="HQ587" s="620">
        <f t="shared" si="555"/>
        <v>8.86</v>
      </c>
      <c r="HR587" s="620">
        <f t="shared" si="555"/>
        <v>6.9299999999999995E-3</v>
      </c>
      <c r="HS587" s="620">
        <f t="shared" si="555"/>
        <v>1.75</v>
      </c>
      <c r="HT587" s="620" t="str">
        <f t="shared" si="555"/>
        <v>as soybean meal</v>
      </c>
      <c r="HU587" s="620" t="str">
        <f t="shared" si="555"/>
        <v>offfarm</v>
      </c>
      <c r="HV587" s="22" t="s">
        <v>2067</v>
      </c>
      <c r="IB587" s="11">
        <f t="shared" ref="IB587:II587" si="556">IB217</f>
        <v>0.54099999999999993</v>
      </c>
      <c r="IC587" s="11">
        <f t="shared" si="556"/>
        <v>0.11600000000000001</v>
      </c>
      <c r="ID587" s="11">
        <f t="shared" si="556"/>
        <v>0.25</v>
      </c>
      <c r="IE587" s="11">
        <f t="shared" si="556"/>
        <v>1.2999999999999999E-2</v>
      </c>
      <c r="IF587" s="11">
        <f t="shared" si="556"/>
        <v>8.86</v>
      </c>
      <c r="IG587" s="11">
        <f t="shared" si="556"/>
        <v>6.9299999999999995E-3</v>
      </c>
      <c r="IH587" s="11">
        <f t="shared" si="556"/>
        <v>1.75</v>
      </c>
      <c r="II587" s="11" t="str">
        <f t="shared" si="556"/>
        <v>as soybean meal</v>
      </c>
    </row>
    <row r="588" spans="4:243" x14ac:dyDescent="0.25">
      <c r="D588" s="20" t="s">
        <v>1183</v>
      </c>
      <c r="E588" s="14">
        <v>42685</v>
      </c>
      <c r="F588" s="18">
        <v>0.94752421466651204</v>
      </c>
      <c r="G588" s="18">
        <v>0.96603625264222304</v>
      </c>
      <c r="H588" s="21">
        <v>94.5</v>
      </c>
      <c r="I588" s="21">
        <v>78.1999785</v>
      </c>
      <c r="J588" s="21">
        <v>96</v>
      </c>
      <c r="K588" s="18">
        <v>1</v>
      </c>
      <c r="L588" s="18">
        <v>87.3</v>
      </c>
      <c r="M588" s="18">
        <v>45.806310000000003</v>
      </c>
      <c r="N588" s="18">
        <v>2.6190000000000002</v>
      </c>
      <c r="O588" s="18">
        <v>6.9578100000000003</v>
      </c>
      <c r="P588" s="18">
        <v>3.6753300000000002</v>
      </c>
      <c r="Q588" s="19"/>
      <c r="R588" s="18">
        <v>89.5</v>
      </c>
      <c r="S588" s="18">
        <v>39</v>
      </c>
      <c r="T588" s="18">
        <v>51</v>
      </c>
      <c r="U588" s="18">
        <v>56</v>
      </c>
      <c r="V588" s="18">
        <v>60</v>
      </c>
      <c r="W588" s="18">
        <v>63</v>
      </c>
      <c r="X588" s="18"/>
      <c r="Y588" s="18">
        <v>3.734249713631157</v>
      </c>
      <c r="Z588" s="18">
        <v>7.1706758304696452</v>
      </c>
      <c r="AA588" s="18">
        <v>0.1</v>
      </c>
      <c r="AB588" s="18">
        <v>0</v>
      </c>
      <c r="AC588" s="18">
        <v>24.000000000000004</v>
      </c>
      <c r="AD588" s="18">
        <v>3.3</v>
      </c>
      <c r="AE588" s="18">
        <v>3.8000000000000003</v>
      </c>
      <c r="AF588" s="18">
        <v>212</v>
      </c>
      <c r="AG588" s="18">
        <v>14.000000000000002</v>
      </c>
      <c r="AH588" s="18">
        <v>49</v>
      </c>
      <c r="AI588" s="18">
        <v>51.000000000000007</v>
      </c>
      <c r="AJ588" s="18">
        <v>0</v>
      </c>
      <c r="AK588" s="18">
        <v>0.2</v>
      </c>
      <c r="AL588" s="18"/>
      <c r="AM588" s="18">
        <v>6.29</v>
      </c>
      <c r="AN588" s="18">
        <v>1.36</v>
      </c>
      <c r="AO588" s="18">
        <v>1.43</v>
      </c>
      <c r="AP588" s="18">
        <v>4.0599999999999996</v>
      </c>
      <c r="AQ588" s="18">
        <v>1.38</v>
      </c>
      <c r="AR588" s="18">
        <v>4.3499999999999996</v>
      </c>
      <c r="AS588" s="18">
        <v>7.81</v>
      </c>
      <c r="AT588" s="18">
        <v>2.68</v>
      </c>
      <c r="AU588" s="18">
        <v>5.1100000000000003</v>
      </c>
      <c r="AV588" s="18">
        <v>3.65</v>
      </c>
      <c r="AW588" s="18">
        <v>4.79</v>
      </c>
      <c r="AX588" s="18"/>
      <c r="AY588" s="18">
        <v>1.01</v>
      </c>
      <c r="AZ588" s="18">
        <v>1.04</v>
      </c>
      <c r="BA588" s="18">
        <v>0.94</v>
      </c>
      <c r="BB588" s="18">
        <v>0.98</v>
      </c>
      <c r="BC588" s="18">
        <v>1.03</v>
      </c>
      <c r="BD588" s="18">
        <v>1.01</v>
      </c>
      <c r="BE588" s="18">
        <v>1.01</v>
      </c>
      <c r="BF588" s="18">
        <v>1.02</v>
      </c>
      <c r="BG588" s="18">
        <v>1.01</v>
      </c>
      <c r="BH588" s="18">
        <v>1.01</v>
      </c>
      <c r="BI588" s="18">
        <v>0.99</v>
      </c>
      <c r="BJ588" s="19"/>
      <c r="BK588" s="18">
        <v>52.470000000000006</v>
      </c>
      <c r="BL588" s="18">
        <v>3.0000000000000004</v>
      </c>
      <c r="BM588" s="18">
        <v>7.9700000000000006</v>
      </c>
      <c r="BN588" s="18">
        <v>4.21</v>
      </c>
      <c r="BO588" s="18"/>
      <c r="BP588" s="18">
        <v>130</v>
      </c>
      <c r="BQ588" s="18">
        <v>39</v>
      </c>
      <c r="BR588" s="18">
        <v>1.0853656525389599</v>
      </c>
      <c r="BS588" s="18">
        <v>1.1065707361308397</v>
      </c>
      <c r="BT588" s="19"/>
      <c r="BU588" s="18">
        <v>920.30000000000007</v>
      </c>
      <c r="BV588" s="18">
        <v>148.80778876500003</v>
      </c>
      <c r="BW588" s="18">
        <v>214.29871123499998</v>
      </c>
      <c r="BX588" s="18">
        <v>64.772727272727266</v>
      </c>
      <c r="BY588" s="18">
        <v>109.09090909090895</v>
      </c>
      <c r="BZ588" s="18">
        <v>65.617347033450059</v>
      </c>
      <c r="CA588" s="18">
        <v>177.40986420154985</v>
      </c>
      <c r="CB588" s="19"/>
      <c r="CC588" s="19">
        <v>3.2600000000000002</v>
      </c>
      <c r="CD588" s="19">
        <v>6.2600000000000007</v>
      </c>
      <c r="CE588" s="19">
        <v>8.7300000000000003E-2</v>
      </c>
      <c r="CF588" s="19">
        <v>0</v>
      </c>
      <c r="CG588" s="19">
        <v>20.952000000000002</v>
      </c>
      <c r="CH588" s="19">
        <v>2.8809</v>
      </c>
      <c r="CI588" s="19">
        <v>3.3174000000000001</v>
      </c>
      <c r="CJ588" s="19"/>
      <c r="CK588" s="19">
        <v>185.07599999999999</v>
      </c>
      <c r="CL588" s="19">
        <v>12.222000000000001</v>
      </c>
      <c r="CM588" s="19">
        <v>42.777000000000001</v>
      </c>
      <c r="CN588" s="19">
        <v>44.523000000000003</v>
      </c>
      <c r="CO588" s="19">
        <v>0</v>
      </c>
      <c r="CP588" s="19">
        <v>0.17460000000000001</v>
      </c>
      <c r="CQ588" s="19">
        <v>409.9664745</v>
      </c>
      <c r="CR588" s="19">
        <v>432.67123747786292</v>
      </c>
      <c r="HM588" s="620">
        <f t="shared" ref="HM588:HU588" si="557">HM218</f>
        <v>0.54099999999999993</v>
      </c>
      <c r="HN588" s="620">
        <f t="shared" si="557"/>
        <v>0.11600000000000001</v>
      </c>
      <c r="HO588" s="620">
        <f t="shared" si="557"/>
        <v>0.25</v>
      </c>
      <c r="HP588" s="620">
        <f t="shared" si="557"/>
        <v>1.2999999999999999E-2</v>
      </c>
      <c r="HQ588" s="620">
        <f t="shared" si="557"/>
        <v>8.86</v>
      </c>
      <c r="HR588" s="620">
        <f t="shared" si="557"/>
        <v>6.9299999999999995E-3</v>
      </c>
      <c r="HS588" s="620">
        <f t="shared" si="557"/>
        <v>1.75</v>
      </c>
      <c r="HT588" s="620" t="str">
        <f t="shared" si="557"/>
        <v>as soybean meal</v>
      </c>
      <c r="HU588" s="620" t="str">
        <f t="shared" si="557"/>
        <v>offfarm</v>
      </c>
      <c r="HV588" s="22" t="s">
        <v>2068</v>
      </c>
      <c r="IB588" s="11">
        <f t="shared" ref="IB588:II588" si="558">IB218</f>
        <v>0.54099999999999993</v>
      </c>
      <c r="IC588" s="11">
        <f t="shared" si="558"/>
        <v>0.11600000000000001</v>
      </c>
      <c r="ID588" s="11">
        <f t="shared" si="558"/>
        <v>0.25</v>
      </c>
      <c r="IE588" s="11">
        <f t="shared" si="558"/>
        <v>1.2999999999999999E-2</v>
      </c>
      <c r="IF588" s="11">
        <f t="shared" si="558"/>
        <v>8.86</v>
      </c>
      <c r="IG588" s="11">
        <f t="shared" si="558"/>
        <v>6.9299999999999995E-3</v>
      </c>
      <c r="IH588" s="11">
        <f t="shared" si="558"/>
        <v>1.75</v>
      </c>
      <c r="II588" s="11" t="str">
        <f t="shared" si="558"/>
        <v>as soybean meal</v>
      </c>
    </row>
    <row r="589" spans="4:243" x14ac:dyDescent="0.25">
      <c r="D589" s="20" t="s">
        <v>1184</v>
      </c>
      <c r="E589" s="14">
        <v>42698</v>
      </c>
      <c r="F589" s="18">
        <v>1.0647422014518</v>
      </c>
      <c r="G589" s="18">
        <v>1.0793465981788499</v>
      </c>
      <c r="H589" s="21">
        <v>94.1</v>
      </c>
      <c r="I589" s="21">
        <v>79.7</v>
      </c>
      <c r="J589" s="21">
        <v>96</v>
      </c>
      <c r="K589" s="18">
        <v>1</v>
      </c>
      <c r="L589" s="18">
        <v>95.8</v>
      </c>
      <c r="M589" s="18">
        <v>52.4026</v>
      </c>
      <c r="N589" s="18">
        <v>2.6823999999999999</v>
      </c>
      <c r="O589" s="18">
        <v>6.4185999999999996</v>
      </c>
      <c r="P589" s="18">
        <v>3.2572000000000001</v>
      </c>
      <c r="Q589" s="19"/>
      <c r="R589" s="18">
        <v>87.5</v>
      </c>
      <c r="S589" s="18">
        <v>39</v>
      </c>
      <c r="T589" s="18">
        <v>51</v>
      </c>
      <c r="U589" s="18">
        <v>56</v>
      </c>
      <c r="V589" s="18">
        <v>60</v>
      </c>
      <c r="W589" s="18">
        <v>63</v>
      </c>
      <c r="X589" s="18"/>
      <c r="Y589" s="18">
        <v>3.1</v>
      </c>
      <c r="Z589" s="18">
        <v>7.0000000000000009</v>
      </c>
      <c r="AA589" s="18">
        <v>0.1</v>
      </c>
      <c r="AB589" s="18" t="s">
        <v>217</v>
      </c>
      <c r="AC589" s="18">
        <v>24.5</v>
      </c>
      <c r="AD589" s="18">
        <v>3.6</v>
      </c>
      <c r="AE589" s="18">
        <v>3.8999999999999995</v>
      </c>
      <c r="AF589" s="18">
        <v>169.5</v>
      </c>
      <c r="AG589" s="18">
        <v>12.4</v>
      </c>
      <c r="AH589" s="18">
        <v>31.900000000000002</v>
      </c>
      <c r="AI589" s="18">
        <v>64.2</v>
      </c>
      <c r="AJ589" s="18">
        <v>0</v>
      </c>
      <c r="AK589" s="18">
        <v>0</v>
      </c>
      <c r="AL589" s="18"/>
      <c r="AM589" s="18">
        <v>6.0329067641681897</v>
      </c>
      <c r="AN589" s="18">
        <v>1.31627056672761</v>
      </c>
      <c r="AO589" s="18">
        <v>1.3711151736745899</v>
      </c>
      <c r="AP589" s="18">
        <v>3.93053016453382</v>
      </c>
      <c r="AQ589" s="18">
        <v>1.3345521023766</v>
      </c>
      <c r="AR589" s="18">
        <v>4.5703839122486301</v>
      </c>
      <c r="AS589" s="18">
        <v>7.7513711151736704</v>
      </c>
      <c r="AT589" s="18">
        <v>2.5594149908592301</v>
      </c>
      <c r="AU589" s="18">
        <v>5.15539305301645</v>
      </c>
      <c r="AV589" s="18">
        <v>3.7842778793418601</v>
      </c>
      <c r="AW589" s="18">
        <v>4.6983546617915897</v>
      </c>
      <c r="AX589" s="18"/>
      <c r="AY589" s="18">
        <v>1</v>
      </c>
      <c r="AZ589" s="18">
        <v>1.05</v>
      </c>
      <c r="BA589" s="18">
        <v>0.92</v>
      </c>
      <c r="BB589" s="18">
        <v>0.99</v>
      </c>
      <c r="BC589" s="18">
        <v>1.06</v>
      </c>
      <c r="BD589" s="18">
        <v>1.05</v>
      </c>
      <c r="BE589" s="18">
        <v>1.04</v>
      </c>
      <c r="BF589" s="18">
        <v>1.05</v>
      </c>
      <c r="BG589" s="18">
        <v>1.06</v>
      </c>
      <c r="BH589" s="18">
        <v>1.06</v>
      </c>
      <c r="BI589" s="18">
        <v>1</v>
      </c>
      <c r="BJ589" s="19"/>
      <c r="BK589" s="18">
        <v>54.7</v>
      </c>
      <c r="BL589" s="18">
        <v>2.8000000000000003</v>
      </c>
      <c r="BM589" s="18">
        <v>6.7</v>
      </c>
      <c r="BN589" s="18">
        <v>3.4000000000000004</v>
      </c>
      <c r="BO589" s="18"/>
      <c r="BP589" s="18">
        <v>130</v>
      </c>
      <c r="BQ589" s="18">
        <v>36.400000000000006</v>
      </c>
      <c r="BR589" s="18">
        <v>1.1114219221835073</v>
      </c>
      <c r="BS589" s="18">
        <v>1.1266665951762525</v>
      </c>
      <c r="BT589" s="19"/>
      <c r="BU589" s="18">
        <v>933</v>
      </c>
      <c r="BV589" s="18">
        <v>161.09157142857097</v>
      </c>
      <c r="BW589" s="18">
        <v>191.93142857142797</v>
      </c>
      <c r="BX589" s="18" t="s">
        <v>217</v>
      </c>
      <c r="BY589" s="18" t="s">
        <v>217</v>
      </c>
      <c r="BZ589" s="18">
        <v>60.549775714285808</v>
      </c>
      <c r="CA589" s="18">
        <v>163.70865285714302</v>
      </c>
      <c r="CB589" s="19"/>
      <c r="CC589" s="19">
        <v>2.9697999999999998</v>
      </c>
      <c r="CD589" s="19">
        <v>6.7060000000000004</v>
      </c>
      <c r="CE589" s="19">
        <v>9.5799999999999996E-2</v>
      </c>
      <c r="CF589" s="19" t="s">
        <v>217</v>
      </c>
      <c r="CG589" s="19">
        <v>23.471</v>
      </c>
      <c r="CH589" s="19">
        <v>3.4487999999999999</v>
      </c>
      <c r="CI589" s="19">
        <v>3.7361999999999993</v>
      </c>
      <c r="CJ589" s="19"/>
      <c r="CK589" s="19">
        <v>162.381</v>
      </c>
      <c r="CL589" s="19">
        <v>11.879199999999999</v>
      </c>
      <c r="CM589" s="19">
        <v>30.560200000000002</v>
      </c>
      <c r="CN589" s="19">
        <v>61.503599999999999</v>
      </c>
      <c r="CO589" s="19">
        <v>0</v>
      </c>
      <c r="CP589" s="19">
        <v>0</v>
      </c>
      <c r="CQ589" s="19">
        <v>458.52274999999997</v>
      </c>
      <c r="CR589" s="19">
        <v>430.64203651812983</v>
      </c>
      <c r="HM589" s="620">
        <f t="shared" ref="HM589:HU589" si="559">HM219</f>
        <v>0.54099999999999993</v>
      </c>
      <c r="HN589" s="620">
        <f t="shared" si="559"/>
        <v>0.11600000000000001</v>
      </c>
      <c r="HO589" s="620">
        <f t="shared" si="559"/>
        <v>0.25</v>
      </c>
      <c r="HP589" s="620">
        <f t="shared" si="559"/>
        <v>1.2999999999999999E-2</v>
      </c>
      <c r="HQ589" s="620">
        <f t="shared" si="559"/>
        <v>8.86</v>
      </c>
      <c r="HR589" s="620">
        <f t="shared" si="559"/>
        <v>6.9299999999999995E-3</v>
      </c>
      <c r="HS589" s="620">
        <f t="shared" si="559"/>
        <v>1.75</v>
      </c>
      <c r="HT589" s="620" t="str">
        <f t="shared" si="559"/>
        <v>as soybean meal</v>
      </c>
      <c r="HU589" s="620" t="str">
        <f t="shared" si="559"/>
        <v>offfarm</v>
      </c>
      <c r="HV589" s="22" t="s">
        <v>2068</v>
      </c>
      <c r="IB589" s="11">
        <f t="shared" ref="IB589:II589" si="560">IB219</f>
        <v>0.54099999999999993</v>
      </c>
      <c r="IC589" s="11">
        <f t="shared" si="560"/>
        <v>0.11600000000000001</v>
      </c>
      <c r="ID589" s="11">
        <f t="shared" si="560"/>
        <v>0.25</v>
      </c>
      <c r="IE589" s="11">
        <f t="shared" si="560"/>
        <v>1.2999999999999999E-2</v>
      </c>
      <c r="IF589" s="11">
        <f t="shared" si="560"/>
        <v>8.86</v>
      </c>
      <c r="IG589" s="11">
        <f t="shared" si="560"/>
        <v>6.9299999999999995E-3</v>
      </c>
      <c r="IH589" s="11">
        <f t="shared" si="560"/>
        <v>1.75</v>
      </c>
      <c r="II589" s="11" t="str">
        <f t="shared" si="560"/>
        <v>as soybean meal</v>
      </c>
    </row>
    <row r="590" spans="4:243" x14ac:dyDescent="0.25">
      <c r="D590" s="20" t="s">
        <v>1318</v>
      </c>
      <c r="E590" s="14">
        <v>42698</v>
      </c>
      <c r="F590" s="18">
        <v>1.0427215381160899</v>
      </c>
      <c r="G590" s="18">
        <v>1.05297946885423</v>
      </c>
      <c r="H590" s="21">
        <v>94.1</v>
      </c>
      <c r="I590" s="21">
        <v>80.800000100000005</v>
      </c>
      <c r="J590" s="21">
        <v>96</v>
      </c>
      <c r="K590" s="18">
        <v>1</v>
      </c>
      <c r="L590" s="18">
        <v>93.2</v>
      </c>
      <c r="M590" s="18">
        <v>52.005600000000001</v>
      </c>
      <c r="N590" s="18">
        <v>2.5164</v>
      </c>
      <c r="O590" s="18">
        <v>6.4307999999999996</v>
      </c>
      <c r="P590" s="18">
        <v>3.1688000000000001</v>
      </c>
      <c r="Q590" s="19"/>
      <c r="R590" s="18">
        <v>87.5</v>
      </c>
      <c r="S590" s="18">
        <v>39</v>
      </c>
      <c r="T590" s="18">
        <v>51</v>
      </c>
      <c r="U590" s="18">
        <v>56</v>
      </c>
      <c r="V590" s="18">
        <v>60</v>
      </c>
      <c r="W590" s="18">
        <v>63</v>
      </c>
      <c r="X590" s="18"/>
      <c r="Y590" s="18">
        <v>3.19</v>
      </c>
      <c r="Z590" s="18">
        <v>7.19</v>
      </c>
      <c r="AA590" s="18">
        <v>5.9999999999999991E-2</v>
      </c>
      <c r="AB590" s="18" t="s">
        <v>217</v>
      </c>
      <c r="AC590" s="18">
        <v>25</v>
      </c>
      <c r="AD590" s="18">
        <v>3.6999999999999997</v>
      </c>
      <c r="AE590" s="18">
        <v>4.0999999999999996</v>
      </c>
      <c r="AF590" s="18">
        <v>177</v>
      </c>
      <c r="AG590" s="18">
        <v>13.299999999999999</v>
      </c>
      <c r="AH590" s="18">
        <v>32.9</v>
      </c>
      <c r="AI590" s="18">
        <v>65.400000000000006</v>
      </c>
      <c r="AJ590" s="18">
        <v>0</v>
      </c>
      <c r="AK590" s="18">
        <v>0</v>
      </c>
      <c r="AL590" s="18"/>
      <c r="AM590" s="18">
        <v>6.0035842293906798</v>
      </c>
      <c r="AN590" s="18">
        <v>1.3261648745519701</v>
      </c>
      <c r="AO590" s="18">
        <v>1.3261648745519701</v>
      </c>
      <c r="AP590" s="18">
        <v>3.9426523297490998</v>
      </c>
      <c r="AQ590" s="18">
        <v>1.3261648745519701</v>
      </c>
      <c r="AR590" s="18">
        <v>4.5878136200716897</v>
      </c>
      <c r="AS590" s="18">
        <v>7.8136200716845901</v>
      </c>
      <c r="AT590" s="18">
        <v>2.5627240143369199</v>
      </c>
      <c r="AU590" s="18">
        <v>5.1971326164874601</v>
      </c>
      <c r="AV590" s="18">
        <v>3.7992831541218601</v>
      </c>
      <c r="AW590" s="18">
        <v>4.6953405017921197</v>
      </c>
      <c r="AX590" s="18"/>
      <c r="AY590" s="18">
        <v>1</v>
      </c>
      <c r="AZ590" s="18">
        <v>1.05</v>
      </c>
      <c r="BA590" s="18">
        <v>0.92</v>
      </c>
      <c r="BB590" s="18">
        <v>0.99</v>
      </c>
      <c r="BC590" s="18">
        <v>1.06</v>
      </c>
      <c r="BD590" s="18">
        <v>1.05</v>
      </c>
      <c r="BE590" s="18">
        <v>1.04</v>
      </c>
      <c r="BF590" s="18">
        <v>1.05</v>
      </c>
      <c r="BG590" s="18">
        <v>1.06</v>
      </c>
      <c r="BH590" s="18">
        <v>1.06</v>
      </c>
      <c r="BI590" s="18">
        <v>1</v>
      </c>
      <c r="BJ590" s="19"/>
      <c r="BK590" s="18">
        <v>55.800000000000004</v>
      </c>
      <c r="BL590" s="18">
        <v>2.6999999999999997</v>
      </c>
      <c r="BM590" s="18">
        <v>6.8999999999999986</v>
      </c>
      <c r="BN590" s="18">
        <v>3.4</v>
      </c>
      <c r="BO590" s="18"/>
      <c r="BP590" s="18">
        <v>130</v>
      </c>
      <c r="BQ590" s="18">
        <v>35.1</v>
      </c>
      <c r="BR590" s="18">
        <v>1.1187999336009549</v>
      </c>
      <c r="BS590" s="18">
        <v>1.1298062970538949</v>
      </c>
      <c r="BT590" s="19"/>
      <c r="BU590" s="18">
        <v>930.99999999999989</v>
      </c>
      <c r="BV590" s="18">
        <v>165.21100132999999</v>
      </c>
      <c r="BW590" s="18">
        <v>176.88999867000001</v>
      </c>
      <c r="BX590" s="18" t="s">
        <v>217</v>
      </c>
      <c r="BY590" s="18" t="s">
        <v>217</v>
      </c>
      <c r="BZ590" s="18">
        <v>56.346029640899992</v>
      </c>
      <c r="CA590" s="18">
        <v>152.34296902909978</v>
      </c>
      <c r="CB590" s="19"/>
      <c r="CC590" s="19">
        <v>2.9730799999999999</v>
      </c>
      <c r="CD590" s="19">
        <v>6.701080000000001</v>
      </c>
      <c r="CE590" s="19">
        <v>5.5919999999999997E-2</v>
      </c>
      <c r="CF590" s="19" t="s">
        <v>217</v>
      </c>
      <c r="CG590" s="19">
        <v>23.3</v>
      </c>
      <c r="CH590" s="19">
        <v>3.4483999999999999</v>
      </c>
      <c r="CI590" s="19">
        <v>3.8211999999999997</v>
      </c>
      <c r="CJ590" s="19"/>
      <c r="CK590" s="19">
        <v>164.964</v>
      </c>
      <c r="CL590" s="19">
        <v>12.3956</v>
      </c>
      <c r="CM590" s="19">
        <v>30.662800000000001</v>
      </c>
      <c r="CN590" s="19">
        <v>60.952800000000011</v>
      </c>
      <c r="CO590" s="19">
        <v>0</v>
      </c>
      <c r="CP590" s="19">
        <v>0</v>
      </c>
      <c r="CQ590" s="19">
        <v>455.04899999999998</v>
      </c>
      <c r="CR590" s="19">
        <v>436.40510276803906</v>
      </c>
      <c r="HM590" s="620">
        <f t="shared" ref="HM590:HU590" si="561">HM220</f>
        <v>0.54099999999999993</v>
      </c>
      <c r="HN590" s="620">
        <f t="shared" si="561"/>
        <v>0.11600000000000001</v>
      </c>
      <c r="HO590" s="620">
        <f t="shared" si="561"/>
        <v>0.25</v>
      </c>
      <c r="HP590" s="620">
        <f t="shared" si="561"/>
        <v>1.2999999999999999E-2</v>
      </c>
      <c r="HQ590" s="620">
        <f t="shared" si="561"/>
        <v>8.86</v>
      </c>
      <c r="HR590" s="620">
        <f t="shared" si="561"/>
        <v>6.9299999999999995E-3</v>
      </c>
      <c r="HS590" s="620">
        <f t="shared" si="561"/>
        <v>1.75</v>
      </c>
      <c r="HT590" s="620" t="str">
        <f t="shared" si="561"/>
        <v>as soybean meal</v>
      </c>
      <c r="HU590" s="620" t="str">
        <f t="shared" si="561"/>
        <v>offfarm</v>
      </c>
      <c r="HV590" s="22" t="s">
        <v>2068</v>
      </c>
      <c r="IB590" s="11">
        <f t="shared" ref="IB590:II590" si="562">IB220</f>
        <v>0.54099999999999993</v>
      </c>
      <c r="IC590" s="11">
        <f t="shared" si="562"/>
        <v>0.11600000000000001</v>
      </c>
      <c r="ID590" s="11">
        <f t="shared" si="562"/>
        <v>0.25</v>
      </c>
      <c r="IE590" s="11">
        <f t="shared" si="562"/>
        <v>1.2999999999999999E-2</v>
      </c>
      <c r="IF590" s="11">
        <f t="shared" si="562"/>
        <v>8.86</v>
      </c>
      <c r="IG590" s="11">
        <f t="shared" si="562"/>
        <v>6.9299999999999995E-3</v>
      </c>
      <c r="IH590" s="11">
        <f t="shared" si="562"/>
        <v>1.75</v>
      </c>
      <c r="II590" s="11" t="str">
        <f t="shared" si="562"/>
        <v>as soybean meal</v>
      </c>
    </row>
    <row r="591" spans="4:243" x14ac:dyDescent="0.25">
      <c r="D591" s="20" t="s">
        <v>1185</v>
      </c>
      <c r="E591" s="14">
        <v>42698</v>
      </c>
      <c r="F591" s="18">
        <v>1.05036452782617</v>
      </c>
      <c r="G591" s="18">
        <v>1.0602054290426699</v>
      </c>
      <c r="H591" s="21">
        <v>95.9</v>
      </c>
      <c r="I591" s="21">
        <v>81.299992200000005</v>
      </c>
      <c r="J591" s="21">
        <v>96</v>
      </c>
      <c r="K591" s="18">
        <v>1</v>
      </c>
      <c r="L591" s="18">
        <v>91.1</v>
      </c>
      <c r="M591" s="18">
        <v>49.194000000000003</v>
      </c>
      <c r="N591" s="18">
        <v>2.8241000000000001</v>
      </c>
      <c r="O591" s="18">
        <v>5.9215</v>
      </c>
      <c r="P591" s="18" t="s">
        <v>217</v>
      </c>
      <c r="Q591" s="19"/>
      <c r="R591" s="18">
        <v>87.5</v>
      </c>
      <c r="S591" s="18">
        <v>39</v>
      </c>
      <c r="T591" s="18">
        <v>51</v>
      </c>
      <c r="U591" s="18">
        <v>56</v>
      </c>
      <c r="V591" s="18">
        <v>60</v>
      </c>
      <c r="W591" s="18">
        <v>63</v>
      </c>
      <c r="X591" s="18"/>
      <c r="Y591" s="18">
        <v>3.250019243728222</v>
      </c>
      <c r="Z591" s="18">
        <v>6.86</v>
      </c>
      <c r="AA591" s="18">
        <v>0.13</v>
      </c>
      <c r="AB591" s="18" t="s">
        <v>217</v>
      </c>
      <c r="AC591" s="18">
        <v>23.03</v>
      </c>
      <c r="AD591" s="18">
        <v>3.55</v>
      </c>
      <c r="AE591" s="18">
        <v>4.0000000000000009</v>
      </c>
      <c r="AF591" s="18">
        <v>155.1</v>
      </c>
      <c r="AG591" s="18">
        <v>16.46</v>
      </c>
      <c r="AH591" s="18">
        <v>37.74</v>
      </c>
      <c r="AI591" s="18">
        <v>56.610000000000007</v>
      </c>
      <c r="AJ591" s="18">
        <v>0</v>
      </c>
      <c r="AK591" s="18">
        <v>0</v>
      </c>
      <c r="AL591" s="18"/>
      <c r="AM591" s="18">
        <v>6.0425925925925901</v>
      </c>
      <c r="AN591" s="18">
        <v>1.31851851851852</v>
      </c>
      <c r="AO591" s="18">
        <v>1.44814814814815</v>
      </c>
      <c r="AP591" s="18">
        <v>4.0277777777777803</v>
      </c>
      <c r="AQ591" s="18">
        <v>1.3296296296296299</v>
      </c>
      <c r="AR591" s="18">
        <v>4.3481481481481499</v>
      </c>
      <c r="AS591" s="18">
        <v>7.6074074074074103</v>
      </c>
      <c r="AT591" s="18">
        <v>2.5722222222222202</v>
      </c>
      <c r="AU591" s="18">
        <v>5.1537037037036999</v>
      </c>
      <c r="AV591" s="18">
        <v>3.9129629629629599</v>
      </c>
      <c r="AW591" s="18">
        <v>4.5518518518518496</v>
      </c>
      <c r="AX591" s="18"/>
      <c r="AY591" s="18">
        <v>1</v>
      </c>
      <c r="AZ591" s="18">
        <v>1.05</v>
      </c>
      <c r="BA591" s="18">
        <v>0.92</v>
      </c>
      <c r="BB591" s="18">
        <v>0.99</v>
      </c>
      <c r="BC591" s="18">
        <v>1.06</v>
      </c>
      <c r="BD591" s="18">
        <v>1.05</v>
      </c>
      <c r="BE591" s="18">
        <v>1.04</v>
      </c>
      <c r="BF591" s="18">
        <v>1.05</v>
      </c>
      <c r="BG591" s="18">
        <v>1.06</v>
      </c>
      <c r="BH591" s="18">
        <v>1.06</v>
      </c>
      <c r="BI591" s="18">
        <v>1</v>
      </c>
      <c r="BJ591" s="19"/>
      <c r="BK591" s="18">
        <v>54.000000000000007</v>
      </c>
      <c r="BL591" s="18">
        <v>3.1000000000000005</v>
      </c>
      <c r="BM591" s="18">
        <v>6.5</v>
      </c>
      <c r="BN591" s="18" t="s">
        <v>217</v>
      </c>
      <c r="BO591" s="18"/>
      <c r="BP591" s="18">
        <v>130</v>
      </c>
      <c r="BQ591" s="18">
        <v>40.299999999999997</v>
      </c>
      <c r="BR591" s="18">
        <v>1.1529797231900878</v>
      </c>
      <c r="BS591" s="18">
        <v>1.1637820296845993</v>
      </c>
      <c r="BT591" s="19"/>
      <c r="BU591" s="18">
        <v>935.00000000000011</v>
      </c>
      <c r="BV591" s="18">
        <v>180.18071428571352</v>
      </c>
      <c r="BW591" s="18">
        <v>195.01438990000003</v>
      </c>
      <c r="BX591" s="18" t="s">
        <v>217</v>
      </c>
      <c r="BY591" s="18" t="s">
        <v>217</v>
      </c>
      <c r="BZ591" s="18">
        <v>56.921207142857192</v>
      </c>
      <c r="CA591" s="18">
        <v>153.89807857142921</v>
      </c>
      <c r="CB591" s="19"/>
      <c r="CC591" s="19">
        <v>2.9607675310364101</v>
      </c>
      <c r="CD591" s="19">
        <v>6.24946</v>
      </c>
      <c r="CE591" s="19">
        <v>0.11842999999999999</v>
      </c>
      <c r="CF591" s="19" t="s">
        <v>217</v>
      </c>
      <c r="CG591" s="19">
        <v>20.980329999999999</v>
      </c>
      <c r="CH591" s="19">
        <v>3.2340499999999994</v>
      </c>
      <c r="CI591" s="19">
        <v>3.6440000000000006</v>
      </c>
      <c r="CJ591" s="19"/>
      <c r="CK591" s="19">
        <v>141.2961</v>
      </c>
      <c r="CL591" s="19">
        <v>14.995059999999999</v>
      </c>
      <c r="CM591" s="19">
        <v>34.381140000000002</v>
      </c>
      <c r="CN591" s="19">
        <v>51.571710000000003</v>
      </c>
      <c r="CO591" s="19">
        <v>0</v>
      </c>
      <c r="CP591" s="19">
        <v>0</v>
      </c>
      <c r="CQ591" s="19">
        <v>430.44749999999999</v>
      </c>
      <c r="CR591" s="19">
        <v>409.80772731429948</v>
      </c>
      <c r="HM591" s="620">
        <f t="shared" ref="HM591:HU591" si="563">HM221</f>
        <v>0.54099999999999993</v>
      </c>
      <c r="HN591" s="620">
        <f t="shared" si="563"/>
        <v>0.11600000000000001</v>
      </c>
      <c r="HO591" s="620">
        <f t="shared" si="563"/>
        <v>0.25</v>
      </c>
      <c r="HP591" s="620">
        <f t="shared" si="563"/>
        <v>1.2999999999999999E-2</v>
      </c>
      <c r="HQ591" s="620">
        <f t="shared" si="563"/>
        <v>8.86</v>
      </c>
      <c r="HR591" s="620">
        <f t="shared" si="563"/>
        <v>6.9299999999999995E-3</v>
      </c>
      <c r="HS591" s="620">
        <f t="shared" si="563"/>
        <v>1.75</v>
      </c>
      <c r="HT591" s="620" t="str">
        <f t="shared" si="563"/>
        <v>as soybean meal</v>
      </c>
      <c r="HU591" s="620" t="str">
        <f t="shared" si="563"/>
        <v>offfarm</v>
      </c>
      <c r="HV591" s="22" t="s">
        <v>2068</v>
      </c>
      <c r="IB591" s="11">
        <f t="shared" ref="IB591:II591" si="564">IB221</f>
        <v>0.54099999999999993</v>
      </c>
      <c r="IC591" s="11">
        <f t="shared" si="564"/>
        <v>0.11600000000000001</v>
      </c>
      <c r="ID591" s="11">
        <f t="shared" si="564"/>
        <v>0.25</v>
      </c>
      <c r="IE591" s="11">
        <f t="shared" si="564"/>
        <v>1.2999999999999999E-2</v>
      </c>
      <c r="IF591" s="11">
        <f t="shared" si="564"/>
        <v>8.86</v>
      </c>
      <c r="IG591" s="11">
        <f t="shared" si="564"/>
        <v>6.9299999999999995E-3</v>
      </c>
      <c r="IH591" s="11">
        <f t="shared" si="564"/>
        <v>1.75</v>
      </c>
      <c r="II591" s="11" t="str">
        <f t="shared" si="564"/>
        <v>as soybean meal</v>
      </c>
    </row>
    <row r="592" spans="4:243" x14ac:dyDescent="0.25">
      <c r="D592" s="20" t="s">
        <v>1186</v>
      </c>
      <c r="E592" s="14">
        <v>42517</v>
      </c>
      <c r="F592" s="18">
        <v>0.87887776004646201</v>
      </c>
      <c r="G592" s="18">
        <v>0.91469030467680601</v>
      </c>
      <c r="H592" s="21">
        <v>91.3</v>
      </c>
      <c r="I592" s="21">
        <v>72.2</v>
      </c>
      <c r="J592" s="21">
        <v>95</v>
      </c>
      <c r="K592" s="18">
        <v>1</v>
      </c>
      <c r="L592" s="18">
        <v>87.6</v>
      </c>
      <c r="M592" s="18">
        <v>42.661200000000001</v>
      </c>
      <c r="N592" s="18">
        <v>2.5404</v>
      </c>
      <c r="O592" s="18">
        <v>6.4824000000000002</v>
      </c>
      <c r="P592" s="18">
        <v>6.4824000000000002</v>
      </c>
      <c r="Q592" s="19"/>
      <c r="R592" s="18">
        <v>88</v>
      </c>
      <c r="S592" s="18">
        <v>39</v>
      </c>
      <c r="T592" s="18">
        <v>51</v>
      </c>
      <c r="U592" s="18">
        <v>56</v>
      </c>
      <c r="V592" s="18">
        <v>60</v>
      </c>
      <c r="W592" s="18">
        <v>63</v>
      </c>
      <c r="X592" s="18"/>
      <c r="Y592" s="18">
        <v>3.9</v>
      </c>
      <c r="Z592" s="18">
        <v>7.6000000000000005</v>
      </c>
      <c r="AA592" s="18">
        <v>0.1</v>
      </c>
      <c r="AB592" s="18">
        <v>0.2</v>
      </c>
      <c r="AC592" s="18">
        <v>27.000000000000004</v>
      </c>
      <c r="AD592" s="18">
        <v>3.7</v>
      </c>
      <c r="AE592" s="18">
        <v>4</v>
      </c>
      <c r="AF592" s="18">
        <v>290</v>
      </c>
      <c r="AG592" s="18">
        <v>17</v>
      </c>
      <c r="AH592" s="18">
        <v>55.000000000000007</v>
      </c>
      <c r="AI592" s="18">
        <v>55.000000000000007</v>
      </c>
      <c r="AJ592" s="18">
        <v>0</v>
      </c>
      <c r="AK592" s="18">
        <v>0.19000000000000003</v>
      </c>
      <c r="AL592" s="18"/>
      <c r="AM592" s="18">
        <v>6.09</v>
      </c>
      <c r="AN592" s="18">
        <v>1.31</v>
      </c>
      <c r="AO592" s="18">
        <v>1.39</v>
      </c>
      <c r="AP592" s="18">
        <v>3.85</v>
      </c>
      <c r="AQ592" s="18">
        <v>1.34</v>
      </c>
      <c r="AR592" s="18">
        <v>4.3899999999999997</v>
      </c>
      <c r="AS592" s="18">
        <v>7.68</v>
      </c>
      <c r="AT592" s="18">
        <v>2.62</v>
      </c>
      <c r="AU592" s="18">
        <v>4.96</v>
      </c>
      <c r="AV592" s="18">
        <v>3.68</v>
      </c>
      <c r="AW592" s="18">
        <v>4.6900000000000004</v>
      </c>
      <c r="AX592" s="18"/>
      <c r="AY592" s="18">
        <v>1</v>
      </c>
      <c r="AZ592" s="18">
        <v>1.02</v>
      </c>
      <c r="BA592" s="18">
        <v>0.97</v>
      </c>
      <c r="BB592" s="18">
        <v>0.97</v>
      </c>
      <c r="BC592" s="18">
        <v>1.02</v>
      </c>
      <c r="BD592" s="18">
        <v>0.99</v>
      </c>
      <c r="BE592" s="18">
        <v>0.98</v>
      </c>
      <c r="BF592" s="18">
        <v>1.01</v>
      </c>
      <c r="BG592" s="18">
        <v>1</v>
      </c>
      <c r="BH592" s="18">
        <v>0.99</v>
      </c>
      <c r="BI592" s="18">
        <v>0.97</v>
      </c>
      <c r="BJ592" s="19"/>
      <c r="BK592" s="18">
        <v>48.7</v>
      </c>
      <c r="BL592" s="18">
        <v>2.9</v>
      </c>
      <c r="BM592" s="18">
        <v>7.4</v>
      </c>
      <c r="BN592" s="18">
        <v>7.4</v>
      </c>
      <c r="BO592" s="18"/>
      <c r="BP592" s="18">
        <v>130</v>
      </c>
      <c r="BQ592" s="18">
        <v>37.700000000000003</v>
      </c>
      <c r="BR592" s="18">
        <v>1.0032851142082899</v>
      </c>
      <c r="BS592" s="18">
        <v>1.0441670144712398</v>
      </c>
      <c r="BT592" s="19"/>
      <c r="BU592" s="18">
        <v>926.00000000000011</v>
      </c>
      <c r="BV592" s="18">
        <v>121.47228571428653</v>
      </c>
      <c r="BW592" s="18">
        <v>252.66571428571348</v>
      </c>
      <c r="BX592" s="18" t="s">
        <v>217</v>
      </c>
      <c r="BY592" s="18" t="s">
        <v>217</v>
      </c>
      <c r="BZ592" s="18">
        <v>83.162082857142821</v>
      </c>
      <c r="CA592" s="18">
        <v>224.84563142857075</v>
      </c>
      <c r="CB592" s="19"/>
      <c r="CC592" s="19">
        <v>3.4163999999999994</v>
      </c>
      <c r="CD592" s="19">
        <v>6.6575999999999995</v>
      </c>
      <c r="CE592" s="19">
        <v>8.7599999999999997E-2</v>
      </c>
      <c r="CF592" s="19">
        <v>0.17519999999999999</v>
      </c>
      <c r="CG592" s="19">
        <v>23.652000000000001</v>
      </c>
      <c r="CH592" s="19">
        <v>3.2411999999999996</v>
      </c>
      <c r="CI592" s="19">
        <v>3.5039999999999996</v>
      </c>
      <c r="CJ592" s="19"/>
      <c r="CK592" s="19">
        <v>254.03999999999996</v>
      </c>
      <c r="CL592" s="19">
        <v>14.891999999999998</v>
      </c>
      <c r="CM592" s="19">
        <v>48.18</v>
      </c>
      <c r="CN592" s="19">
        <v>48.18</v>
      </c>
      <c r="CO592" s="19">
        <v>0</v>
      </c>
      <c r="CP592" s="19">
        <v>0.16644</v>
      </c>
      <c r="CQ592" s="19">
        <v>375.41856000000001</v>
      </c>
      <c r="CR592" s="19">
        <v>427.15674131992307</v>
      </c>
      <c r="HM592" s="620">
        <f t="shared" ref="HM592:HU592" si="565">HM222</f>
        <v>0.54099999999999993</v>
      </c>
      <c r="HN592" s="620">
        <f t="shared" si="565"/>
        <v>0.11600000000000001</v>
      </c>
      <c r="HO592" s="620">
        <f t="shared" si="565"/>
        <v>0.25</v>
      </c>
      <c r="HP592" s="620">
        <f t="shared" si="565"/>
        <v>1.2999999999999999E-2</v>
      </c>
      <c r="HQ592" s="620">
        <f t="shared" si="565"/>
        <v>8.86</v>
      </c>
      <c r="HR592" s="620">
        <f t="shared" si="565"/>
        <v>6.9299999999999995E-3</v>
      </c>
      <c r="HS592" s="620">
        <f t="shared" si="565"/>
        <v>1.75</v>
      </c>
      <c r="HT592" s="620" t="str">
        <f t="shared" si="565"/>
        <v>as soybean meal</v>
      </c>
      <c r="HU592" s="620" t="str">
        <f t="shared" si="565"/>
        <v>offfarm</v>
      </c>
      <c r="HV592" s="22" t="s">
        <v>2068</v>
      </c>
      <c r="IB592" s="11">
        <f t="shared" ref="IB592:II592" si="566">IB222</f>
        <v>0.54099999999999993</v>
      </c>
      <c r="IC592" s="11">
        <f t="shared" si="566"/>
        <v>0.11600000000000001</v>
      </c>
      <c r="ID592" s="11">
        <f t="shared" si="566"/>
        <v>0.25</v>
      </c>
      <c r="IE592" s="11">
        <f t="shared" si="566"/>
        <v>1.2999999999999999E-2</v>
      </c>
      <c r="IF592" s="11">
        <f t="shared" si="566"/>
        <v>8.86</v>
      </c>
      <c r="IG592" s="11">
        <f t="shared" si="566"/>
        <v>6.9299999999999995E-3</v>
      </c>
      <c r="IH592" s="11">
        <f t="shared" si="566"/>
        <v>1.75</v>
      </c>
      <c r="II592" s="11" t="str">
        <f t="shared" si="566"/>
        <v>as soybean meal</v>
      </c>
    </row>
    <row r="593" spans="4:243" x14ac:dyDescent="0.25">
      <c r="D593" s="20" t="s">
        <v>1187</v>
      </c>
      <c r="E593" s="14">
        <v>42695</v>
      </c>
      <c r="F593" s="18">
        <v>0.97693510089044</v>
      </c>
      <c r="G593" s="18">
        <v>1.02287204382932</v>
      </c>
      <c r="H593" s="21">
        <v>75.5</v>
      </c>
      <c r="I593" s="21">
        <v>62.599994500000001</v>
      </c>
      <c r="J593" s="21">
        <v>91</v>
      </c>
      <c r="K593" s="18">
        <v>1</v>
      </c>
      <c r="L593" s="18">
        <v>93.2</v>
      </c>
      <c r="M593" s="18">
        <v>33.179200000000002</v>
      </c>
      <c r="N593" s="18">
        <v>11.277200000000001</v>
      </c>
      <c r="O593" s="18">
        <v>6.1512000000000002</v>
      </c>
      <c r="P593" s="18">
        <v>17.801200000000001</v>
      </c>
      <c r="Q593" s="19"/>
      <c r="R593" s="18">
        <v>84</v>
      </c>
      <c r="S593" s="18">
        <v>15</v>
      </c>
      <c r="T593" s="18">
        <v>25</v>
      </c>
      <c r="U593" s="18">
        <v>29</v>
      </c>
      <c r="V593" s="18">
        <v>33</v>
      </c>
      <c r="W593" s="18">
        <v>35</v>
      </c>
      <c r="X593" s="18"/>
      <c r="Y593" s="18">
        <v>3.8626609442060085</v>
      </c>
      <c r="Z593" s="18">
        <v>9.2274678111587978</v>
      </c>
      <c r="AA593" s="18">
        <v>0.2</v>
      </c>
      <c r="AB593" s="18">
        <v>0</v>
      </c>
      <c r="AC593" s="18">
        <v>15</v>
      </c>
      <c r="AD593" s="18">
        <v>5.5</v>
      </c>
      <c r="AE593" s="18">
        <v>3.9</v>
      </c>
      <c r="AF593" s="18">
        <v>170</v>
      </c>
      <c r="AG593" s="18">
        <v>30</v>
      </c>
      <c r="AH593" s="18">
        <v>36</v>
      </c>
      <c r="AI593" s="18">
        <v>82</v>
      </c>
      <c r="AJ593" s="18">
        <v>0</v>
      </c>
      <c r="AK593" s="18">
        <v>0.15</v>
      </c>
      <c r="AL593" s="18"/>
      <c r="AM593" s="18">
        <v>3.5</v>
      </c>
      <c r="AN593" s="18">
        <v>2.2000000000000002</v>
      </c>
      <c r="AO593" s="18">
        <v>1.8</v>
      </c>
      <c r="AP593" s="18">
        <v>3.7</v>
      </c>
      <c r="AQ593" s="18">
        <v>1.1599999999999999</v>
      </c>
      <c r="AR593" s="18">
        <v>4.0999999999999996</v>
      </c>
      <c r="AS593" s="18">
        <v>6.3</v>
      </c>
      <c r="AT593" s="18">
        <v>2.4</v>
      </c>
      <c r="AU593" s="18">
        <v>4.5</v>
      </c>
      <c r="AV593" s="18">
        <v>2.5</v>
      </c>
      <c r="AW593" s="18">
        <v>5</v>
      </c>
      <c r="AX593" s="18"/>
      <c r="AY593" s="18">
        <v>0.96</v>
      </c>
      <c r="AZ593" s="18">
        <v>1.06</v>
      </c>
      <c r="BA593" s="18">
        <v>1.01</v>
      </c>
      <c r="BB593" s="18">
        <v>0.98</v>
      </c>
      <c r="BC593" s="18">
        <v>1.01</v>
      </c>
      <c r="BD593" s="18">
        <v>0.99</v>
      </c>
      <c r="BE593" s="18">
        <v>0.99</v>
      </c>
      <c r="BF593" s="18">
        <v>1.01</v>
      </c>
      <c r="BG593" s="18">
        <v>1.01</v>
      </c>
      <c r="BH593" s="18">
        <v>0.99</v>
      </c>
      <c r="BI593" s="18">
        <v>0.98</v>
      </c>
      <c r="BJ593" s="19"/>
      <c r="BK593" s="18">
        <v>35.6</v>
      </c>
      <c r="BL593" s="18">
        <v>12.1</v>
      </c>
      <c r="BM593" s="18">
        <v>6.6</v>
      </c>
      <c r="BN593" s="18">
        <v>19.100000000000001</v>
      </c>
      <c r="BO593" s="18"/>
      <c r="BP593" s="18">
        <v>130</v>
      </c>
      <c r="BQ593" s="18">
        <v>157.30000000000001</v>
      </c>
      <c r="BR593" s="18">
        <v>1.0482136275648497</v>
      </c>
      <c r="BS593" s="18">
        <v>1.097502192949914</v>
      </c>
      <c r="BT593" s="19"/>
      <c r="BU593" s="18">
        <v>934</v>
      </c>
      <c r="BV593" s="18">
        <v>91.71714285714279</v>
      </c>
      <c r="BW593" s="18">
        <v>172.12293052857081</v>
      </c>
      <c r="BX593" s="18">
        <v>16.759776536312767</v>
      </c>
      <c r="BY593" s="18">
        <v>55.865921787709553</v>
      </c>
      <c r="BZ593" s="18">
        <v>51.478400000000008</v>
      </c>
      <c r="CA593" s="18">
        <v>316.22445714285726</v>
      </c>
      <c r="CB593" s="19"/>
      <c r="CC593" s="19">
        <v>3.6</v>
      </c>
      <c r="CD593" s="19">
        <v>8.6</v>
      </c>
      <c r="CE593" s="19">
        <v>0.18640000000000001</v>
      </c>
      <c r="CF593" s="19">
        <v>0</v>
      </c>
      <c r="CG593" s="19">
        <v>13.98</v>
      </c>
      <c r="CH593" s="19">
        <v>5.1260000000000003</v>
      </c>
      <c r="CI593" s="19">
        <v>3.6348000000000003</v>
      </c>
      <c r="CJ593" s="19"/>
      <c r="CK593" s="19">
        <v>158.44</v>
      </c>
      <c r="CL593" s="19">
        <v>27.96</v>
      </c>
      <c r="CM593" s="19">
        <v>33.552</v>
      </c>
      <c r="CN593" s="19">
        <v>76.424000000000007</v>
      </c>
      <c r="CO593" s="19">
        <v>0</v>
      </c>
      <c r="CP593" s="19">
        <v>0.13980000000000001</v>
      </c>
      <c r="CQ593" s="19">
        <v>278.70528000000002</v>
      </c>
      <c r="CR593" s="19">
        <v>285.28535799969774</v>
      </c>
      <c r="HM593" s="620">
        <f t="shared" ref="HM593:HU593" si="567">HM223</f>
        <v>0.54099999999999993</v>
      </c>
      <c r="HN593" s="620">
        <f t="shared" si="567"/>
        <v>0.11600000000000001</v>
      </c>
      <c r="HO593" s="620">
        <f t="shared" si="567"/>
        <v>0.25</v>
      </c>
      <c r="HP593" s="620">
        <f t="shared" si="567"/>
        <v>1.2999999999999999E-2</v>
      </c>
      <c r="HQ593" s="620">
        <f t="shared" si="567"/>
        <v>8.86</v>
      </c>
      <c r="HR593" s="620">
        <f t="shared" si="567"/>
        <v>6.9299999999999995E-3</v>
      </c>
      <c r="HS593" s="620">
        <f t="shared" si="567"/>
        <v>1.75</v>
      </c>
      <c r="HT593" s="620" t="str">
        <f t="shared" si="567"/>
        <v>as soybean meal</v>
      </c>
      <c r="HU593" s="620" t="str">
        <f t="shared" si="567"/>
        <v>offfarm</v>
      </c>
      <c r="HV593" s="22" t="s">
        <v>2069</v>
      </c>
      <c r="IB593" s="11">
        <f t="shared" ref="IB593:II593" si="568">IB223</f>
        <v>0.54099999999999993</v>
      </c>
      <c r="IC593" s="11">
        <f t="shared" si="568"/>
        <v>0.11600000000000001</v>
      </c>
      <c r="ID593" s="11">
        <f t="shared" si="568"/>
        <v>0.25</v>
      </c>
      <c r="IE593" s="11">
        <f t="shared" si="568"/>
        <v>1.2999999999999999E-2</v>
      </c>
      <c r="IF593" s="11">
        <f t="shared" si="568"/>
        <v>8.86</v>
      </c>
      <c r="IG593" s="11">
        <f t="shared" si="568"/>
        <v>6.9299999999999995E-3</v>
      </c>
      <c r="IH593" s="11">
        <f t="shared" si="568"/>
        <v>1.75</v>
      </c>
      <c r="II593" s="11" t="str">
        <f t="shared" si="568"/>
        <v>as soybean meal</v>
      </c>
    </row>
    <row r="594" spans="4:243" x14ac:dyDescent="0.25">
      <c r="D594" s="20" t="s">
        <v>1188</v>
      </c>
      <c r="E594" s="14">
        <v>42695</v>
      </c>
      <c r="F594" s="18">
        <v>0.94825127371273499</v>
      </c>
      <c r="G594" s="18">
        <v>1.0129993718026</v>
      </c>
      <c r="H594" s="21">
        <v>78.400000000000006</v>
      </c>
      <c r="I594" s="21">
        <v>58.4</v>
      </c>
      <c r="J594" s="21">
        <v>92</v>
      </c>
      <c r="K594" s="18">
        <v>1</v>
      </c>
      <c r="L594" s="18">
        <v>92.8</v>
      </c>
      <c r="M594" s="18">
        <v>36.377600000000001</v>
      </c>
      <c r="N594" s="18">
        <v>12.064</v>
      </c>
      <c r="O594" s="18">
        <v>5.7535999999999996</v>
      </c>
      <c r="P594" s="18">
        <v>14.848000000000001</v>
      </c>
      <c r="Q594" s="19"/>
      <c r="R594" s="18">
        <v>84</v>
      </c>
      <c r="S594" s="18">
        <v>15</v>
      </c>
      <c r="T594" s="18">
        <v>25</v>
      </c>
      <c r="U594" s="18">
        <v>29</v>
      </c>
      <c r="V594" s="18">
        <v>33</v>
      </c>
      <c r="W594" s="18">
        <v>35</v>
      </c>
      <c r="X594" s="18"/>
      <c r="Y594" s="18">
        <v>3.9000000000000004</v>
      </c>
      <c r="Z594" s="18">
        <v>9.6</v>
      </c>
      <c r="AA594" s="18">
        <v>0.19999999999999998</v>
      </c>
      <c r="AB594" s="18">
        <v>0</v>
      </c>
      <c r="AC594" s="18">
        <v>15</v>
      </c>
      <c r="AD594" s="18">
        <v>5.5000000000000009</v>
      </c>
      <c r="AE594" s="18">
        <v>3.8999999999999995</v>
      </c>
      <c r="AF594" s="18">
        <v>170</v>
      </c>
      <c r="AG594" s="18">
        <v>30</v>
      </c>
      <c r="AH594" s="18">
        <v>36</v>
      </c>
      <c r="AI594" s="18">
        <v>82</v>
      </c>
      <c r="AJ594" s="18">
        <v>0</v>
      </c>
      <c r="AK594" s="18">
        <v>0.15</v>
      </c>
      <c r="AL594" s="18"/>
      <c r="AM594" s="18">
        <v>3.5</v>
      </c>
      <c r="AN594" s="18">
        <v>2.2000000000000002</v>
      </c>
      <c r="AO594" s="18">
        <v>1.8</v>
      </c>
      <c r="AP594" s="18">
        <v>3.7</v>
      </c>
      <c r="AQ594" s="18">
        <v>1.1599999999999999</v>
      </c>
      <c r="AR594" s="18">
        <v>4.0999999999999996</v>
      </c>
      <c r="AS594" s="18">
        <v>6.3</v>
      </c>
      <c r="AT594" s="18">
        <v>2.4</v>
      </c>
      <c r="AU594" s="18">
        <v>4.5</v>
      </c>
      <c r="AV594" s="18">
        <v>2.5</v>
      </c>
      <c r="AW594" s="18">
        <v>5</v>
      </c>
      <c r="AX594" s="18"/>
      <c r="AY594" s="18">
        <v>0.96</v>
      </c>
      <c r="AZ594" s="18">
        <v>1.06</v>
      </c>
      <c r="BA594" s="18">
        <v>1.01</v>
      </c>
      <c r="BB594" s="18">
        <v>0.98</v>
      </c>
      <c r="BC594" s="18">
        <v>1.01</v>
      </c>
      <c r="BD594" s="18">
        <v>0.99</v>
      </c>
      <c r="BE594" s="18">
        <v>0.99</v>
      </c>
      <c r="BF594" s="18">
        <v>1.01</v>
      </c>
      <c r="BG594" s="18">
        <v>1.01</v>
      </c>
      <c r="BH594" s="18">
        <v>0.99</v>
      </c>
      <c r="BI594" s="18">
        <v>0.98</v>
      </c>
      <c r="BJ594" s="19"/>
      <c r="BK594" s="18">
        <v>39.200000000000003</v>
      </c>
      <c r="BL594" s="18">
        <v>13.000000000000002</v>
      </c>
      <c r="BM594" s="18">
        <v>6.2</v>
      </c>
      <c r="BN594" s="18">
        <v>16.000000000000004</v>
      </c>
      <c r="BO594" s="18"/>
      <c r="BP594" s="18">
        <v>130</v>
      </c>
      <c r="BQ594" s="18">
        <v>169</v>
      </c>
      <c r="BR594" s="18">
        <v>1.02182249322493</v>
      </c>
      <c r="BS594" s="18">
        <v>1.0915941506493536</v>
      </c>
      <c r="BT594" s="19"/>
      <c r="BU594" s="18">
        <v>938.00000000000011</v>
      </c>
      <c r="BV594" s="18">
        <v>-15.428000000000001</v>
      </c>
      <c r="BW594" s="18">
        <v>268</v>
      </c>
      <c r="BX594" s="18">
        <v>16.759776536312824</v>
      </c>
      <c r="BY594" s="18">
        <v>55.865921787709482</v>
      </c>
      <c r="BZ594" s="18">
        <v>61.312719999999999</v>
      </c>
      <c r="CA594" s="18">
        <v>376.63527999999997</v>
      </c>
      <c r="CB594" s="19"/>
      <c r="CC594" s="19">
        <v>3.6192000000000002</v>
      </c>
      <c r="CD594" s="19">
        <v>8.9087999999999994</v>
      </c>
      <c r="CE594" s="19">
        <v>0.18559999999999996</v>
      </c>
      <c r="CF594" s="19">
        <v>0</v>
      </c>
      <c r="CG594" s="19">
        <v>13.919999999999998</v>
      </c>
      <c r="CH594" s="19">
        <v>5.1040000000000001</v>
      </c>
      <c r="CI594" s="19">
        <v>3.6191999999999993</v>
      </c>
      <c r="CJ594" s="19"/>
      <c r="CK594" s="19">
        <v>157.76</v>
      </c>
      <c r="CL594" s="19">
        <v>27.839999999999996</v>
      </c>
      <c r="CM594" s="19">
        <v>33.408000000000001</v>
      </c>
      <c r="CN594" s="19">
        <v>76.095999999999989</v>
      </c>
      <c r="CO594" s="19">
        <v>0</v>
      </c>
      <c r="CP594" s="19">
        <v>0.13919999999999999</v>
      </c>
      <c r="CQ594" s="19">
        <v>305.57184000000001</v>
      </c>
      <c r="CR594" s="19">
        <v>322.24775064480485</v>
      </c>
      <c r="HM594" s="620">
        <f t="shared" ref="HM594:HU594" si="569">HM224</f>
        <v>0.54099999999999993</v>
      </c>
      <c r="HN594" s="620">
        <f t="shared" si="569"/>
        <v>0.11600000000000001</v>
      </c>
      <c r="HO594" s="620">
        <f t="shared" si="569"/>
        <v>0.25</v>
      </c>
      <c r="HP594" s="620">
        <f t="shared" si="569"/>
        <v>1.2999999999999999E-2</v>
      </c>
      <c r="HQ594" s="620">
        <f t="shared" si="569"/>
        <v>8.86</v>
      </c>
      <c r="HR594" s="620">
        <f t="shared" si="569"/>
        <v>6.9299999999999995E-3</v>
      </c>
      <c r="HS594" s="620">
        <f t="shared" si="569"/>
        <v>1.75</v>
      </c>
      <c r="HT594" s="620" t="str">
        <f t="shared" si="569"/>
        <v>as soybean meal</v>
      </c>
      <c r="HU594" s="620" t="str">
        <f t="shared" si="569"/>
        <v>offfarm</v>
      </c>
      <c r="HV594" s="22" t="s">
        <v>2069</v>
      </c>
      <c r="IB594" s="11">
        <f t="shared" ref="IB594:II594" si="570">IB224</f>
        <v>0.54099999999999993</v>
      </c>
      <c r="IC594" s="11">
        <f t="shared" si="570"/>
        <v>0.11600000000000001</v>
      </c>
      <c r="ID594" s="11">
        <f t="shared" si="570"/>
        <v>0.25</v>
      </c>
      <c r="IE594" s="11">
        <f t="shared" si="570"/>
        <v>1.2999999999999999E-2</v>
      </c>
      <c r="IF594" s="11">
        <f t="shared" si="570"/>
        <v>8.86</v>
      </c>
      <c r="IG594" s="11">
        <f t="shared" si="570"/>
        <v>6.9299999999999995E-3</v>
      </c>
      <c r="IH594" s="11">
        <f t="shared" si="570"/>
        <v>1.75</v>
      </c>
      <c r="II594" s="11" t="str">
        <f t="shared" si="570"/>
        <v>as soybean meal</v>
      </c>
    </row>
    <row r="595" spans="4:243" x14ac:dyDescent="0.25">
      <c r="D595" s="20" t="s">
        <v>1189</v>
      </c>
      <c r="E595" s="14">
        <v>42695</v>
      </c>
      <c r="F595" s="18">
        <v>0.65260048257839698</v>
      </c>
      <c r="G595" s="18">
        <v>0.72132112152133598</v>
      </c>
      <c r="H595" s="21">
        <v>72</v>
      </c>
      <c r="I595" s="21">
        <v>56.900016000000001</v>
      </c>
      <c r="J595" s="21">
        <v>93</v>
      </c>
      <c r="K595" s="18">
        <v>1</v>
      </c>
      <c r="L595" s="18">
        <v>90</v>
      </c>
      <c r="M595" s="18">
        <v>35.298000000000002</v>
      </c>
      <c r="N595" s="18">
        <v>2.52</v>
      </c>
      <c r="O595" s="18">
        <v>6.6150000000000002</v>
      </c>
      <c r="P595" s="18">
        <v>17.73</v>
      </c>
      <c r="Q595" s="19"/>
      <c r="R595" s="18">
        <v>84</v>
      </c>
      <c r="S595" s="18">
        <v>15</v>
      </c>
      <c r="T595" s="18">
        <v>25</v>
      </c>
      <c r="U595" s="18">
        <v>29</v>
      </c>
      <c r="V595" s="18">
        <v>33</v>
      </c>
      <c r="W595" s="18">
        <v>35</v>
      </c>
      <c r="X595" s="18"/>
      <c r="Y595" s="18">
        <v>4.1111111111111107</v>
      </c>
      <c r="Z595" s="18">
        <v>12.555555555555555</v>
      </c>
      <c r="AA595" s="18">
        <v>0.2</v>
      </c>
      <c r="AB595" s="18">
        <v>0</v>
      </c>
      <c r="AC595" s="18">
        <v>17</v>
      </c>
      <c r="AD595" s="18">
        <v>6.7</v>
      </c>
      <c r="AE595" s="18">
        <v>4.8</v>
      </c>
      <c r="AF595" s="18">
        <v>170</v>
      </c>
      <c r="AG595" s="18">
        <v>36</v>
      </c>
      <c r="AH595" s="18">
        <v>47</v>
      </c>
      <c r="AI595" s="18">
        <v>110</v>
      </c>
      <c r="AJ595" s="18">
        <v>0</v>
      </c>
      <c r="AK595" s="18">
        <v>0.15</v>
      </c>
      <c r="AL595" s="18"/>
      <c r="AM595" s="18">
        <v>3.5</v>
      </c>
      <c r="AN595" s="18">
        <v>2.2000000000000002</v>
      </c>
      <c r="AO595" s="18">
        <v>1.8</v>
      </c>
      <c r="AP595" s="18">
        <v>3.7</v>
      </c>
      <c r="AQ595" s="18">
        <v>1.1599999999999999</v>
      </c>
      <c r="AR595" s="18">
        <v>4.0999999999999996</v>
      </c>
      <c r="AS595" s="18">
        <v>6.3</v>
      </c>
      <c r="AT595" s="18">
        <v>2.4</v>
      </c>
      <c r="AU595" s="18">
        <v>4.5</v>
      </c>
      <c r="AV595" s="18">
        <v>2.5</v>
      </c>
      <c r="AW595" s="18">
        <v>5</v>
      </c>
      <c r="AX595" s="18"/>
      <c r="AY595" s="18">
        <v>0.96</v>
      </c>
      <c r="AZ595" s="18">
        <v>1.06</v>
      </c>
      <c r="BA595" s="18">
        <v>1.01</v>
      </c>
      <c r="BB595" s="18">
        <v>0.98</v>
      </c>
      <c r="BC595" s="18">
        <v>1.01</v>
      </c>
      <c r="BD595" s="18">
        <v>0.99</v>
      </c>
      <c r="BE595" s="18">
        <v>0.99</v>
      </c>
      <c r="BF595" s="18">
        <v>1.01</v>
      </c>
      <c r="BG595" s="18">
        <v>1.01</v>
      </c>
      <c r="BH595" s="18">
        <v>0.99</v>
      </c>
      <c r="BI595" s="18">
        <v>0.98</v>
      </c>
      <c r="BJ595" s="19"/>
      <c r="BK595" s="18">
        <v>39.22</v>
      </c>
      <c r="BL595" s="18">
        <v>2.8</v>
      </c>
      <c r="BM595" s="18">
        <v>7.35</v>
      </c>
      <c r="BN595" s="18">
        <v>19.7</v>
      </c>
      <c r="BO595" s="18"/>
      <c r="BP595" s="18">
        <v>130</v>
      </c>
      <c r="BQ595" s="18">
        <v>36.4</v>
      </c>
      <c r="BR595" s="18">
        <v>0.72511164730932998</v>
      </c>
      <c r="BS595" s="18">
        <v>0.80146791280148444</v>
      </c>
      <c r="BT595" s="19"/>
      <c r="BU595" s="18">
        <v>926.5</v>
      </c>
      <c r="BV595" s="18">
        <v>83.158714285714439</v>
      </c>
      <c r="BW595" s="18">
        <v>199.85907394285667</v>
      </c>
      <c r="BX595" s="18">
        <v>16.759776536312778</v>
      </c>
      <c r="BY595" s="18">
        <v>55.865921787709439</v>
      </c>
      <c r="BZ595" s="18">
        <v>60.33794000000011</v>
      </c>
      <c r="CA595" s="18">
        <v>370.64734571428556</v>
      </c>
      <c r="CB595" s="19"/>
      <c r="CC595" s="19">
        <v>3.6999999999999997</v>
      </c>
      <c r="CD595" s="19">
        <v>11.3</v>
      </c>
      <c r="CE595" s="19">
        <v>0.18000000000000002</v>
      </c>
      <c r="CF595" s="19">
        <v>0</v>
      </c>
      <c r="CG595" s="19">
        <v>15.3</v>
      </c>
      <c r="CH595" s="19">
        <v>6.03</v>
      </c>
      <c r="CI595" s="19">
        <v>4.32</v>
      </c>
      <c r="CJ595" s="19"/>
      <c r="CK595" s="19">
        <v>153</v>
      </c>
      <c r="CL595" s="19">
        <v>32.4</v>
      </c>
      <c r="CM595" s="19">
        <v>42.300000000000004</v>
      </c>
      <c r="CN595" s="19">
        <v>99</v>
      </c>
      <c r="CO595" s="19">
        <v>0</v>
      </c>
      <c r="CP595" s="19">
        <v>0.13500000000000001</v>
      </c>
      <c r="CQ595" s="19">
        <v>296.50319999999999</v>
      </c>
      <c r="CR595" s="19">
        <v>454.34106764452326</v>
      </c>
      <c r="HM595" s="620">
        <f t="shared" ref="HM595:HU595" si="571">HM225</f>
        <v>0.54099999999999993</v>
      </c>
      <c r="HN595" s="620">
        <f t="shared" si="571"/>
        <v>0.11600000000000001</v>
      </c>
      <c r="HO595" s="620">
        <f t="shared" si="571"/>
        <v>0.25</v>
      </c>
      <c r="HP595" s="620">
        <f t="shared" si="571"/>
        <v>1.2999999999999999E-2</v>
      </c>
      <c r="HQ595" s="620">
        <f t="shared" si="571"/>
        <v>8.86</v>
      </c>
      <c r="HR595" s="620">
        <f t="shared" si="571"/>
        <v>6.9299999999999995E-3</v>
      </c>
      <c r="HS595" s="620">
        <f t="shared" si="571"/>
        <v>1.75</v>
      </c>
      <c r="HT595" s="620" t="str">
        <f t="shared" si="571"/>
        <v>as soybean meal</v>
      </c>
      <c r="HU595" s="620" t="str">
        <f t="shared" si="571"/>
        <v>offfarm</v>
      </c>
      <c r="HV595" s="22" t="s">
        <v>2069</v>
      </c>
      <c r="IB595" s="11">
        <f t="shared" ref="IB595:II595" si="572">IB225</f>
        <v>0.54099999999999993</v>
      </c>
      <c r="IC595" s="11">
        <f t="shared" si="572"/>
        <v>0.11600000000000001</v>
      </c>
      <c r="ID595" s="11">
        <f t="shared" si="572"/>
        <v>0.25</v>
      </c>
      <c r="IE595" s="11">
        <f t="shared" si="572"/>
        <v>1.2999999999999999E-2</v>
      </c>
      <c r="IF595" s="11">
        <f t="shared" si="572"/>
        <v>8.86</v>
      </c>
      <c r="IG595" s="11">
        <f t="shared" si="572"/>
        <v>6.9299999999999995E-3</v>
      </c>
      <c r="IH595" s="11">
        <f t="shared" si="572"/>
        <v>1.75</v>
      </c>
      <c r="II595" s="11" t="str">
        <f t="shared" si="572"/>
        <v>as soybean meal</v>
      </c>
    </row>
    <row r="596" spans="4:243" x14ac:dyDescent="0.25">
      <c r="D596" s="20" t="s">
        <v>1190</v>
      </c>
      <c r="E596" s="14">
        <v>42695</v>
      </c>
      <c r="F596" s="18">
        <v>0.71467782152535797</v>
      </c>
      <c r="G596" s="18">
        <v>0.77143640402968505</v>
      </c>
      <c r="H596" s="21">
        <v>77.7</v>
      </c>
      <c r="I596" s="21">
        <v>61.7</v>
      </c>
      <c r="J596" s="21">
        <v>93</v>
      </c>
      <c r="K596" s="18">
        <v>1</v>
      </c>
      <c r="L596" s="18">
        <v>89</v>
      </c>
      <c r="M596" s="18">
        <v>37.113</v>
      </c>
      <c r="N596" s="18">
        <v>2.67</v>
      </c>
      <c r="O596" s="18">
        <v>7.6539999999999999</v>
      </c>
      <c r="P596" s="18">
        <v>14.24</v>
      </c>
      <c r="Q596" s="19"/>
      <c r="R596" s="18">
        <v>84</v>
      </c>
      <c r="S596" s="18">
        <v>15</v>
      </c>
      <c r="T596" s="18">
        <v>25</v>
      </c>
      <c r="U596" s="18">
        <v>29</v>
      </c>
      <c r="V596" s="18">
        <v>33</v>
      </c>
      <c r="W596" s="18">
        <v>35</v>
      </c>
      <c r="X596" s="18"/>
      <c r="Y596" s="18">
        <v>4.0999999999999996</v>
      </c>
      <c r="Z596" s="18">
        <v>12.600000000000001</v>
      </c>
      <c r="AA596" s="18">
        <v>0.2</v>
      </c>
      <c r="AB596" s="18">
        <v>0</v>
      </c>
      <c r="AC596" s="18">
        <v>17</v>
      </c>
      <c r="AD596" s="18">
        <v>6.6999999999999993</v>
      </c>
      <c r="AE596" s="18">
        <v>4.8000000000000007</v>
      </c>
      <c r="AF596" s="18">
        <v>170.00000000000003</v>
      </c>
      <c r="AG596" s="18">
        <v>36</v>
      </c>
      <c r="AH596" s="18">
        <v>47</v>
      </c>
      <c r="AI596" s="18">
        <v>110</v>
      </c>
      <c r="AJ596" s="18">
        <v>0</v>
      </c>
      <c r="AK596" s="18">
        <v>0.15000000000000002</v>
      </c>
      <c r="AL596" s="18"/>
      <c r="AM596" s="18">
        <v>3.5</v>
      </c>
      <c r="AN596" s="18">
        <v>2.2000000000000002</v>
      </c>
      <c r="AO596" s="18">
        <v>1.8</v>
      </c>
      <c r="AP596" s="18">
        <v>3.7</v>
      </c>
      <c r="AQ596" s="18">
        <v>1.1599999999999999</v>
      </c>
      <c r="AR596" s="18">
        <v>4.0999999999999996</v>
      </c>
      <c r="AS596" s="18">
        <v>6.3</v>
      </c>
      <c r="AT596" s="18">
        <v>2.4</v>
      </c>
      <c r="AU596" s="18">
        <v>4.5</v>
      </c>
      <c r="AV596" s="18">
        <v>2.5</v>
      </c>
      <c r="AW596" s="18">
        <v>5</v>
      </c>
      <c r="AX596" s="18"/>
      <c r="AY596" s="18">
        <v>0.96</v>
      </c>
      <c r="AZ596" s="18">
        <v>1.06</v>
      </c>
      <c r="BA596" s="18">
        <v>1.01</v>
      </c>
      <c r="BB596" s="18">
        <v>0.98</v>
      </c>
      <c r="BC596" s="18">
        <v>1.01</v>
      </c>
      <c r="BD596" s="18">
        <v>0.99</v>
      </c>
      <c r="BE596" s="18">
        <v>0.99</v>
      </c>
      <c r="BF596" s="18">
        <v>1.01</v>
      </c>
      <c r="BG596" s="18">
        <v>1.01</v>
      </c>
      <c r="BH596" s="18">
        <v>0.99</v>
      </c>
      <c r="BI596" s="18">
        <v>0.98</v>
      </c>
      <c r="BJ596" s="19"/>
      <c r="BK596" s="18">
        <v>41.7</v>
      </c>
      <c r="BL596" s="18">
        <v>3</v>
      </c>
      <c r="BM596" s="18">
        <v>8.6</v>
      </c>
      <c r="BN596" s="18">
        <v>16</v>
      </c>
      <c r="BO596" s="18"/>
      <c r="BP596" s="18">
        <v>130</v>
      </c>
      <c r="BQ596" s="18">
        <v>39</v>
      </c>
      <c r="BR596" s="18">
        <v>0.80300878823073918</v>
      </c>
      <c r="BS596" s="18">
        <v>0.86678247643784834</v>
      </c>
      <c r="BT596" s="19"/>
      <c r="BU596" s="18">
        <v>914</v>
      </c>
      <c r="BV596" s="18">
        <v>92.693714285714151</v>
      </c>
      <c r="BW596" s="18">
        <v>208.91428571428651</v>
      </c>
      <c r="BX596" s="18" t="s">
        <v>217</v>
      </c>
      <c r="BY596" s="18" t="s">
        <v>217</v>
      </c>
      <c r="BZ596" s="18">
        <v>53.570479999999996</v>
      </c>
      <c r="CA596" s="18">
        <v>329.0758057142865</v>
      </c>
      <c r="CB596" s="19"/>
      <c r="CC596" s="19">
        <v>3.6489999999999996</v>
      </c>
      <c r="CD596" s="19">
        <v>11.214000000000002</v>
      </c>
      <c r="CE596" s="19">
        <v>0.17800000000000002</v>
      </c>
      <c r="CF596" s="19">
        <v>0</v>
      </c>
      <c r="CG596" s="19">
        <v>15.13</v>
      </c>
      <c r="CH596" s="19">
        <v>5.9629999999999992</v>
      </c>
      <c r="CI596" s="19">
        <v>4.2720000000000011</v>
      </c>
      <c r="CJ596" s="19"/>
      <c r="CK596" s="19">
        <v>151.30000000000004</v>
      </c>
      <c r="CL596" s="19">
        <v>32.04</v>
      </c>
      <c r="CM596" s="19">
        <v>41.83</v>
      </c>
      <c r="CN596" s="19">
        <v>97.9</v>
      </c>
      <c r="CO596" s="19">
        <v>0</v>
      </c>
      <c r="CP596" s="19">
        <v>0.13350000000000004</v>
      </c>
      <c r="CQ596" s="19">
        <v>311.74919999999997</v>
      </c>
      <c r="CR596" s="19">
        <v>436.20942277825895</v>
      </c>
      <c r="HM596" s="620">
        <f t="shared" ref="HM596:HU596" si="573">HM226</f>
        <v>0.54099999999999993</v>
      </c>
      <c r="HN596" s="620">
        <f t="shared" si="573"/>
        <v>0.11600000000000001</v>
      </c>
      <c r="HO596" s="620">
        <f t="shared" si="573"/>
        <v>0.25</v>
      </c>
      <c r="HP596" s="620">
        <f t="shared" si="573"/>
        <v>1.2999999999999999E-2</v>
      </c>
      <c r="HQ596" s="620">
        <f t="shared" si="573"/>
        <v>8.86</v>
      </c>
      <c r="HR596" s="620">
        <f t="shared" si="573"/>
        <v>6.9299999999999995E-3</v>
      </c>
      <c r="HS596" s="620">
        <f t="shared" si="573"/>
        <v>1.75</v>
      </c>
      <c r="HT596" s="620" t="str">
        <f t="shared" si="573"/>
        <v>as soybean meal</v>
      </c>
      <c r="HU596" s="620" t="str">
        <f t="shared" si="573"/>
        <v>offfarm</v>
      </c>
      <c r="HV596" s="22" t="s">
        <v>2069</v>
      </c>
      <c r="IB596" s="11">
        <f t="shared" ref="IB596:II596" si="574">IB226</f>
        <v>0.54099999999999993</v>
      </c>
      <c r="IC596" s="11">
        <f t="shared" si="574"/>
        <v>0.11600000000000001</v>
      </c>
      <c r="ID596" s="11">
        <f t="shared" si="574"/>
        <v>0.25</v>
      </c>
      <c r="IE596" s="11">
        <f t="shared" si="574"/>
        <v>1.2999999999999999E-2</v>
      </c>
      <c r="IF596" s="11">
        <f t="shared" si="574"/>
        <v>8.86</v>
      </c>
      <c r="IG596" s="11">
        <f t="shared" si="574"/>
        <v>6.9299999999999995E-3</v>
      </c>
      <c r="IH596" s="11">
        <f t="shared" si="574"/>
        <v>1.75</v>
      </c>
      <c r="II596" s="11" t="str">
        <f t="shared" si="574"/>
        <v>as soybean meal</v>
      </c>
    </row>
    <row r="597" spans="4:243" x14ac:dyDescent="0.25">
      <c r="D597" s="20" t="s">
        <v>1191</v>
      </c>
      <c r="E597" s="14">
        <v>42695</v>
      </c>
      <c r="F597" s="18">
        <v>0.54299351045296196</v>
      </c>
      <c r="G597" s="18">
        <v>0.63143809046382204</v>
      </c>
      <c r="H597" s="21">
        <v>65.5</v>
      </c>
      <c r="I597" s="21">
        <v>49</v>
      </c>
      <c r="J597" s="21">
        <v>91</v>
      </c>
      <c r="K597" s="18">
        <v>1</v>
      </c>
      <c r="L597" s="18">
        <v>90</v>
      </c>
      <c r="M597" s="18">
        <v>31.68</v>
      </c>
      <c r="N597" s="18">
        <v>2.9159999999999999</v>
      </c>
      <c r="O597" s="18">
        <v>7.0380000000000003</v>
      </c>
      <c r="P597" s="18">
        <v>21.96</v>
      </c>
      <c r="Q597" s="19"/>
      <c r="R597" s="18">
        <v>84</v>
      </c>
      <c r="S597" s="18">
        <v>15</v>
      </c>
      <c r="T597" s="18">
        <v>25</v>
      </c>
      <c r="U597" s="18">
        <v>29</v>
      </c>
      <c r="V597" s="18">
        <v>33</v>
      </c>
      <c r="W597" s="18">
        <v>35</v>
      </c>
      <c r="X597" s="18"/>
      <c r="Y597" s="18">
        <v>4.0999999999999996</v>
      </c>
      <c r="Z597" s="18">
        <v>12.6</v>
      </c>
      <c r="AA597" s="18">
        <v>0.2</v>
      </c>
      <c r="AB597" s="18">
        <v>0</v>
      </c>
      <c r="AC597" s="18">
        <v>17</v>
      </c>
      <c r="AD597" s="18">
        <v>6.7</v>
      </c>
      <c r="AE597" s="18">
        <v>4.8</v>
      </c>
      <c r="AF597" s="18">
        <v>170</v>
      </c>
      <c r="AG597" s="18">
        <v>36</v>
      </c>
      <c r="AH597" s="18">
        <v>47</v>
      </c>
      <c r="AI597" s="18">
        <v>110</v>
      </c>
      <c r="AJ597" s="18">
        <v>0</v>
      </c>
      <c r="AK597" s="18">
        <v>0.15</v>
      </c>
      <c r="AL597" s="18"/>
      <c r="AM597" s="18">
        <v>3.5</v>
      </c>
      <c r="AN597" s="18">
        <v>2.2000000000000002</v>
      </c>
      <c r="AO597" s="18">
        <v>1.8</v>
      </c>
      <c r="AP597" s="18">
        <v>3.7</v>
      </c>
      <c r="AQ597" s="18">
        <v>1.1599999999999999</v>
      </c>
      <c r="AR597" s="18">
        <v>4.0999999999999996</v>
      </c>
      <c r="AS597" s="18">
        <v>6.3</v>
      </c>
      <c r="AT597" s="18">
        <v>2.4</v>
      </c>
      <c r="AU597" s="18">
        <v>4.5</v>
      </c>
      <c r="AV597" s="18">
        <v>2.5</v>
      </c>
      <c r="AW597" s="18">
        <v>5</v>
      </c>
      <c r="AX597" s="18"/>
      <c r="AY597" s="18">
        <v>0.96</v>
      </c>
      <c r="AZ597" s="18">
        <v>1.06</v>
      </c>
      <c r="BA597" s="18">
        <v>1.01</v>
      </c>
      <c r="BB597" s="18">
        <v>0.98</v>
      </c>
      <c r="BC597" s="18">
        <v>1.01</v>
      </c>
      <c r="BD597" s="18">
        <v>0.99</v>
      </c>
      <c r="BE597" s="18">
        <v>0.99</v>
      </c>
      <c r="BF597" s="18">
        <v>1.01</v>
      </c>
      <c r="BG597" s="18">
        <v>1.01</v>
      </c>
      <c r="BH597" s="18">
        <v>0.99</v>
      </c>
      <c r="BI597" s="18">
        <v>0.98</v>
      </c>
      <c r="BJ597" s="19"/>
      <c r="BK597" s="18">
        <v>35.200000000000003</v>
      </c>
      <c r="BL597" s="18">
        <v>3.2399999999999998</v>
      </c>
      <c r="BM597" s="18">
        <v>7.8200000000000012</v>
      </c>
      <c r="BN597" s="18">
        <v>24.4</v>
      </c>
      <c r="BO597" s="18"/>
      <c r="BP597" s="18">
        <v>130</v>
      </c>
      <c r="BQ597" s="18">
        <v>42.120000000000005</v>
      </c>
      <c r="BR597" s="18">
        <v>0.60332612272551334</v>
      </c>
      <c r="BS597" s="18">
        <v>0.70159787829313558</v>
      </c>
      <c r="BT597" s="19"/>
      <c r="BU597" s="18">
        <v>921.8</v>
      </c>
      <c r="BV597" s="18">
        <v>34.749571428571443</v>
      </c>
      <c r="BW597" s="18">
        <v>217.28142857142888</v>
      </c>
      <c r="BX597" s="18" t="s">
        <v>217</v>
      </c>
      <c r="BY597" s="18" t="s">
        <v>217</v>
      </c>
      <c r="BZ597" s="18">
        <v>70.371060000000099</v>
      </c>
      <c r="CA597" s="18">
        <v>432.2793685714289</v>
      </c>
      <c r="CB597" s="19"/>
      <c r="CC597" s="19">
        <v>3.69</v>
      </c>
      <c r="CD597" s="19">
        <v>11.34</v>
      </c>
      <c r="CE597" s="19">
        <v>0.18000000000000002</v>
      </c>
      <c r="CF597" s="19">
        <v>0</v>
      </c>
      <c r="CG597" s="19">
        <v>15.3</v>
      </c>
      <c r="CH597" s="19">
        <v>6.03</v>
      </c>
      <c r="CI597" s="19">
        <v>4.32</v>
      </c>
      <c r="CJ597" s="19"/>
      <c r="CK597" s="19">
        <v>153</v>
      </c>
      <c r="CL597" s="19">
        <v>32.4</v>
      </c>
      <c r="CM597" s="19">
        <v>42.300000000000004</v>
      </c>
      <c r="CN597" s="19">
        <v>99</v>
      </c>
      <c r="CO597" s="19">
        <v>0</v>
      </c>
      <c r="CP597" s="19">
        <v>0.13500000000000001</v>
      </c>
      <c r="CQ597" s="19">
        <v>266.11200000000002</v>
      </c>
      <c r="CR597" s="19">
        <v>490.08320518971021</v>
      </c>
      <c r="HM597" s="620">
        <f t="shared" ref="HM597:HU597" si="575">HM227</f>
        <v>0.54099999999999993</v>
      </c>
      <c r="HN597" s="620">
        <f t="shared" si="575"/>
        <v>0.11600000000000001</v>
      </c>
      <c r="HO597" s="620">
        <f t="shared" si="575"/>
        <v>0.25</v>
      </c>
      <c r="HP597" s="620">
        <f t="shared" si="575"/>
        <v>1.2999999999999999E-2</v>
      </c>
      <c r="HQ597" s="620">
        <f t="shared" si="575"/>
        <v>8.86</v>
      </c>
      <c r="HR597" s="620">
        <f t="shared" si="575"/>
        <v>6.9299999999999995E-3</v>
      </c>
      <c r="HS597" s="620">
        <f t="shared" si="575"/>
        <v>1.75</v>
      </c>
      <c r="HT597" s="620" t="str">
        <f t="shared" si="575"/>
        <v>as soybean meal</v>
      </c>
      <c r="HU597" s="620" t="str">
        <f t="shared" si="575"/>
        <v>offfarm</v>
      </c>
      <c r="HV597" s="22" t="s">
        <v>2069</v>
      </c>
      <c r="IB597" s="11">
        <f t="shared" ref="IB597:II597" si="576">IB227</f>
        <v>0.54099999999999993</v>
      </c>
      <c r="IC597" s="11">
        <f t="shared" si="576"/>
        <v>0.11600000000000001</v>
      </c>
      <c r="ID597" s="11">
        <f t="shared" si="576"/>
        <v>0.25</v>
      </c>
      <c r="IE597" s="11">
        <f t="shared" si="576"/>
        <v>1.2999999999999999E-2</v>
      </c>
      <c r="IF597" s="11">
        <f t="shared" si="576"/>
        <v>8.86</v>
      </c>
      <c r="IG597" s="11">
        <f t="shared" si="576"/>
        <v>6.9299999999999995E-3</v>
      </c>
      <c r="IH597" s="11">
        <f t="shared" si="576"/>
        <v>1.75</v>
      </c>
      <c r="II597" s="11" t="str">
        <f t="shared" si="576"/>
        <v>as soybean meal</v>
      </c>
    </row>
    <row r="598" spans="4:243" x14ac:dyDescent="0.25">
      <c r="D598" s="20" t="s">
        <v>1192</v>
      </c>
      <c r="E598" s="14">
        <v>42695</v>
      </c>
      <c r="F598" s="18">
        <v>0.77578839396051003</v>
      </c>
      <c r="G598" s="18">
        <v>0.74817597734471597</v>
      </c>
      <c r="H598" s="21">
        <v>99.8</v>
      </c>
      <c r="I598" s="21">
        <v>97.5</v>
      </c>
      <c r="J598" s="21">
        <v>90</v>
      </c>
      <c r="K598" s="18">
        <v>0.8</v>
      </c>
      <c r="L598" s="18">
        <v>74</v>
      </c>
      <c r="M598" s="18">
        <v>9.6199999999999992</v>
      </c>
      <c r="N598" s="18">
        <v>7.3999999999999996E-2</v>
      </c>
      <c r="O598" s="18">
        <v>9.3979999999999997</v>
      </c>
      <c r="P598" s="18">
        <v>0</v>
      </c>
      <c r="Q598" s="19"/>
      <c r="R598" s="18">
        <v>50</v>
      </c>
      <c r="S598" s="18">
        <v>50</v>
      </c>
      <c r="T598" s="18">
        <v>50</v>
      </c>
      <c r="U598" s="18">
        <v>50</v>
      </c>
      <c r="V598" s="18">
        <v>50</v>
      </c>
      <c r="W598" s="18">
        <v>50</v>
      </c>
      <c r="X598" s="18"/>
      <c r="Y598" s="18">
        <v>5.4</v>
      </c>
      <c r="Z598" s="18">
        <v>0.39999999999999997</v>
      </c>
      <c r="AA598" s="18">
        <v>4.0999999999999996</v>
      </c>
      <c r="AB598" s="18">
        <v>4.3</v>
      </c>
      <c r="AC598" s="18">
        <v>28</v>
      </c>
      <c r="AD598" s="18">
        <v>0.3</v>
      </c>
      <c r="AE598" s="18">
        <v>0</v>
      </c>
      <c r="AF598" s="18">
        <v>74</v>
      </c>
      <c r="AG598" s="18">
        <v>4.0999999999999996</v>
      </c>
      <c r="AH598" s="18">
        <v>17</v>
      </c>
      <c r="AI598" s="18">
        <v>16</v>
      </c>
      <c r="AJ598" s="18">
        <v>0</v>
      </c>
      <c r="AK598" s="18">
        <v>9.9999999999999992E-2</v>
      </c>
      <c r="AL598" s="18"/>
      <c r="AM598" s="18">
        <v>0.28999999999999998</v>
      </c>
      <c r="AN598" s="18">
        <v>0.16</v>
      </c>
      <c r="AO598" s="18">
        <v>0.12</v>
      </c>
      <c r="AP598" s="18">
        <v>0.65</v>
      </c>
      <c r="AQ598" s="18">
        <v>0.28999999999999998</v>
      </c>
      <c r="AR598" s="18">
        <v>1.66</v>
      </c>
      <c r="AS598" s="18">
        <v>1.58</v>
      </c>
      <c r="AT598" s="18">
        <v>0.25</v>
      </c>
      <c r="AU598" s="18">
        <v>0.39</v>
      </c>
      <c r="AV598" s="18">
        <v>1.7</v>
      </c>
      <c r="AW598" s="18">
        <v>1.06</v>
      </c>
      <c r="AX598" s="18"/>
      <c r="AY598" s="18">
        <v>1</v>
      </c>
      <c r="AZ598" s="18">
        <v>1</v>
      </c>
      <c r="BA598" s="18">
        <v>1</v>
      </c>
      <c r="BB598" s="18">
        <v>1</v>
      </c>
      <c r="BC598" s="18">
        <v>1</v>
      </c>
      <c r="BD598" s="18">
        <v>1</v>
      </c>
      <c r="BE598" s="18">
        <v>1</v>
      </c>
      <c r="BF598" s="18">
        <v>1</v>
      </c>
      <c r="BG598" s="18">
        <v>1</v>
      </c>
      <c r="BH598" s="18">
        <v>1</v>
      </c>
      <c r="BI598" s="18">
        <v>1</v>
      </c>
      <c r="BJ598" s="19"/>
      <c r="BK598" s="18">
        <v>12.999999999999998</v>
      </c>
      <c r="BL598" s="18">
        <v>9.9999999999999992E-2</v>
      </c>
      <c r="BM598" s="18">
        <v>12.7</v>
      </c>
      <c r="BN598" s="18">
        <v>0</v>
      </c>
      <c r="BO598" s="18"/>
      <c r="BP598" s="18">
        <v>0</v>
      </c>
      <c r="BQ598" s="18">
        <v>0</v>
      </c>
      <c r="BR598" s="18">
        <v>1.0483626945412299</v>
      </c>
      <c r="BS598" s="18">
        <v>1.0110486180334</v>
      </c>
      <c r="BT598" s="19"/>
      <c r="BU598" s="18">
        <v>873</v>
      </c>
      <c r="BV598" s="18">
        <v>723.29971428571343</v>
      </c>
      <c r="BW598" s="18">
        <v>28.684285714285679</v>
      </c>
      <c r="BX598" s="18" t="s">
        <v>217</v>
      </c>
      <c r="BY598" s="18">
        <v>601</v>
      </c>
      <c r="BZ598" s="18">
        <v>9.0481485714285537</v>
      </c>
      <c r="CA598" s="18">
        <v>8.3521371428571349</v>
      </c>
      <c r="CB598" s="19"/>
      <c r="CC598" s="19">
        <v>3.996</v>
      </c>
      <c r="CD598" s="19">
        <v>0.29599999999999999</v>
      </c>
      <c r="CE598" s="19">
        <v>3.0339999999999998</v>
      </c>
      <c r="CF598" s="19">
        <v>3.1819999999999999</v>
      </c>
      <c r="CG598" s="19">
        <v>20.72</v>
      </c>
      <c r="CH598" s="19">
        <v>0.222</v>
      </c>
      <c r="CI598" s="19">
        <v>0</v>
      </c>
      <c r="CJ598" s="19"/>
      <c r="CK598" s="19">
        <v>54.76</v>
      </c>
      <c r="CL598" s="19">
        <v>3.0339999999999998</v>
      </c>
      <c r="CM598" s="19">
        <v>12.58</v>
      </c>
      <c r="CN598" s="19">
        <v>11.84</v>
      </c>
      <c r="CO598" s="19">
        <v>0</v>
      </c>
      <c r="CP598" s="19">
        <v>7.3999999999999996E-2</v>
      </c>
      <c r="CQ598" s="19">
        <v>48.1</v>
      </c>
      <c r="CR598" s="19">
        <v>62.001443144106169</v>
      </c>
      <c r="HM598" s="620">
        <f t="shared" ref="HM598:HU598" si="577">HM228</f>
        <v>0.379</v>
      </c>
      <c r="HN598" s="620">
        <f t="shared" si="577"/>
        <v>1.2999999999999999E-2</v>
      </c>
      <c r="HO598" s="620">
        <f t="shared" si="577"/>
        <v>4.8000000000000001E-2</v>
      </c>
      <c r="HP598" s="620">
        <f t="shared" si="577"/>
        <v>7.7000000000000002E-3</v>
      </c>
      <c r="HQ598" s="620">
        <f t="shared" si="577"/>
        <v>5.2</v>
      </c>
      <c r="HR598" s="620">
        <f t="shared" si="577"/>
        <v>0</v>
      </c>
      <c r="HS598" s="620">
        <f t="shared" si="577"/>
        <v>0.34</v>
      </c>
      <c r="HT598" s="620" t="str">
        <f t="shared" si="577"/>
        <v>as conventional (Mogensen et al., 2018)</v>
      </c>
      <c r="HU598" s="620" t="str">
        <f t="shared" si="577"/>
        <v>offfarm</v>
      </c>
      <c r="HV598" s="22" t="s">
        <v>2070</v>
      </c>
      <c r="IB598" s="11">
        <f t="shared" ref="IB598:II598" si="578">IB228</f>
        <v>0.379</v>
      </c>
      <c r="IC598" s="11">
        <f t="shared" si="578"/>
        <v>1.2999999999999999E-2</v>
      </c>
      <c r="ID598" s="11">
        <f t="shared" si="578"/>
        <v>4.8000000000000001E-2</v>
      </c>
      <c r="IE598" s="11">
        <f t="shared" si="578"/>
        <v>7.7000000000000002E-3</v>
      </c>
      <c r="IF598" s="11">
        <f t="shared" si="578"/>
        <v>5.2</v>
      </c>
      <c r="IG598" s="11">
        <f t="shared" si="578"/>
        <v>0</v>
      </c>
      <c r="IH598" s="11">
        <f t="shared" si="578"/>
        <v>0.34</v>
      </c>
      <c r="II598" s="11" t="str">
        <f t="shared" si="578"/>
        <v>as conventional (Mogensen et al., 2018)</v>
      </c>
    </row>
    <row r="599" spans="4:243" x14ac:dyDescent="0.25">
      <c r="D599" s="20" t="s">
        <v>1193</v>
      </c>
      <c r="E599" s="14">
        <v>42695</v>
      </c>
      <c r="F599" s="18">
        <v>0.50833453863631495</v>
      </c>
      <c r="G599" s="18">
        <v>0.67112933560602595</v>
      </c>
      <c r="H599" s="21">
        <v>87</v>
      </c>
      <c r="I599" s="21">
        <v>35.900027999999999</v>
      </c>
      <c r="J599" s="21">
        <v>83</v>
      </c>
      <c r="K599" s="18">
        <v>1</v>
      </c>
      <c r="L599" s="18">
        <v>89.8</v>
      </c>
      <c r="M599" s="18">
        <v>7.9024000000000001</v>
      </c>
      <c r="N599" s="18">
        <v>1.4368000000000001</v>
      </c>
      <c r="O599" s="18">
        <v>5.0288000000000004</v>
      </c>
      <c r="P599" s="18">
        <v>17.421199999999999</v>
      </c>
      <c r="Q599" s="19"/>
      <c r="R599" s="18">
        <v>50</v>
      </c>
      <c r="S599" s="18">
        <v>50</v>
      </c>
      <c r="T599" s="18">
        <v>50</v>
      </c>
      <c r="U599" s="18">
        <v>50</v>
      </c>
      <c r="V599" s="18">
        <v>50</v>
      </c>
      <c r="W599" s="18">
        <v>50</v>
      </c>
      <c r="X599" s="18"/>
      <c r="Y599" s="18">
        <v>7.2000000000000011</v>
      </c>
      <c r="Z599" s="18">
        <v>0.70000000000000007</v>
      </c>
      <c r="AA599" s="18">
        <v>0.6</v>
      </c>
      <c r="AB599" s="18">
        <v>0</v>
      </c>
      <c r="AC599" s="18">
        <v>3.7</v>
      </c>
      <c r="AD599" s="18">
        <v>2.2999999999999998</v>
      </c>
      <c r="AE599" s="18">
        <v>2.6999999999999997</v>
      </c>
      <c r="AF599" s="18">
        <v>659.99999999999989</v>
      </c>
      <c r="AG599" s="18">
        <v>6.9</v>
      </c>
      <c r="AH599" s="18">
        <v>54</v>
      </c>
      <c r="AI599" s="18">
        <v>16</v>
      </c>
      <c r="AJ599" s="18">
        <v>0</v>
      </c>
      <c r="AK599" s="18">
        <v>0.11</v>
      </c>
      <c r="AL599" s="18"/>
      <c r="AM599" s="18">
        <v>4.8600000000000003</v>
      </c>
      <c r="AN599" s="18">
        <v>1.51</v>
      </c>
      <c r="AO599" s="18">
        <v>1.1499999999999999</v>
      </c>
      <c r="AP599" s="18">
        <v>3.74</v>
      </c>
      <c r="AQ599" s="18">
        <v>0.76</v>
      </c>
      <c r="AR599" s="18">
        <v>3.5</v>
      </c>
      <c r="AS599" s="18">
        <v>5.49</v>
      </c>
      <c r="AT599" s="18">
        <v>3.25</v>
      </c>
      <c r="AU599" s="18">
        <v>3.12</v>
      </c>
      <c r="AV599" s="18">
        <v>4.0599999999999996</v>
      </c>
      <c r="AW599" s="18">
        <v>5.3</v>
      </c>
      <c r="AX599" s="18"/>
      <c r="AY599" s="18">
        <v>1.04</v>
      </c>
      <c r="AZ599" s="18">
        <v>1.22</v>
      </c>
      <c r="BA599" s="18">
        <v>0.44</v>
      </c>
      <c r="BB599" s="18">
        <v>0.6</v>
      </c>
      <c r="BC599" s="18">
        <v>0.82</v>
      </c>
      <c r="BD599" s="18">
        <v>1.2</v>
      </c>
      <c r="BE599" s="18">
        <v>1.18</v>
      </c>
      <c r="BF599" s="18">
        <v>1.18</v>
      </c>
      <c r="BG599" s="18">
        <v>1.02</v>
      </c>
      <c r="BH599" s="18">
        <v>1.04</v>
      </c>
      <c r="BI599" s="18">
        <v>0.84</v>
      </c>
      <c r="BJ599" s="19"/>
      <c r="BK599" s="18">
        <v>8.8000000000000007</v>
      </c>
      <c r="BL599" s="18">
        <v>1.6</v>
      </c>
      <c r="BM599" s="18">
        <v>5.6000000000000005</v>
      </c>
      <c r="BN599" s="18">
        <v>19.399999999999999</v>
      </c>
      <c r="BO599" s="18"/>
      <c r="BP599" s="18">
        <v>0</v>
      </c>
      <c r="BQ599" s="18">
        <v>0</v>
      </c>
      <c r="BR599" s="18">
        <v>0.56607409647696549</v>
      </c>
      <c r="BS599" s="18">
        <v>0.74736006192207793</v>
      </c>
      <c r="BT599" s="19"/>
      <c r="BU599" s="18">
        <v>944</v>
      </c>
      <c r="BV599" s="18">
        <v>36.560377599999882</v>
      </c>
      <c r="BW599" s="18">
        <v>689.11962240000003</v>
      </c>
      <c r="BX599" s="18">
        <v>0</v>
      </c>
      <c r="BY599" s="18" t="s">
        <v>217</v>
      </c>
      <c r="BZ599" s="18">
        <v>414.12780364800005</v>
      </c>
      <c r="CA599" s="18">
        <v>382.271818752</v>
      </c>
      <c r="CB599" s="19"/>
      <c r="CC599" s="19">
        <v>6.4656000000000011</v>
      </c>
      <c r="CD599" s="19">
        <v>0.62860000000000005</v>
      </c>
      <c r="CE599" s="19">
        <v>0.53879999999999995</v>
      </c>
      <c r="CF599" s="19">
        <v>0</v>
      </c>
      <c r="CG599" s="19">
        <v>3.3226000000000004</v>
      </c>
      <c r="CH599" s="19">
        <v>2.0653999999999999</v>
      </c>
      <c r="CI599" s="19">
        <v>2.4245999999999999</v>
      </c>
      <c r="CJ599" s="19"/>
      <c r="CK599" s="19">
        <v>592.67999999999995</v>
      </c>
      <c r="CL599" s="19">
        <v>6.1962000000000002</v>
      </c>
      <c r="CM599" s="19">
        <v>48.492000000000004</v>
      </c>
      <c r="CN599" s="19">
        <v>14.368</v>
      </c>
      <c r="CO599" s="19">
        <v>0</v>
      </c>
      <c r="CP599" s="19">
        <v>9.8780000000000007E-2</v>
      </c>
      <c r="CQ599" s="19">
        <v>39.512</v>
      </c>
      <c r="CR599" s="19">
        <v>77.728340289442016</v>
      </c>
      <c r="HM599" s="620">
        <f t="shared" ref="HM599:HU599" si="579">HM229</f>
        <v>0.379</v>
      </c>
      <c r="HN599" s="620">
        <f t="shared" si="579"/>
        <v>1.2999999999999999E-2</v>
      </c>
      <c r="HO599" s="620">
        <f t="shared" si="579"/>
        <v>4.8000000000000001E-2</v>
      </c>
      <c r="HP599" s="620">
        <f t="shared" si="579"/>
        <v>7.7000000000000002E-3</v>
      </c>
      <c r="HQ599" s="620">
        <f t="shared" si="579"/>
        <v>5.2</v>
      </c>
      <c r="HR599" s="620">
        <f t="shared" si="579"/>
        <v>0</v>
      </c>
      <c r="HS599" s="620">
        <f t="shared" si="579"/>
        <v>0.34</v>
      </c>
      <c r="HT599" s="620" t="str">
        <f t="shared" si="579"/>
        <v>as conventional (Mogensen et al., 2018)</v>
      </c>
      <c r="HU599" s="620" t="str">
        <f t="shared" si="579"/>
        <v>offfarm</v>
      </c>
      <c r="HV599" s="22" t="s">
        <v>2071</v>
      </c>
      <c r="IB599" s="11">
        <f t="shared" ref="IB599:II599" si="580">IB229</f>
        <v>0.379</v>
      </c>
      <c r="IC599" s="11">
        <f t="shared" si="580"/>
        <v>1.2999999999999999E-2</v>
      </c>
      <c r="ID599" s="11">
        <f t="shared" si="580"/>
        <v>4.8000000000000001E-2</v>
      </c>
      <c r="IE599" s="11">
        <f t="shared" si="580"/>
        <v>7.7000000000000002E-3</v>
      </c>
      <c r="IF599" s="11">
        <f t="shared" si="580"/>
        <v>5.2</v>
      </c>
      <c r="IG599" s="11">
        <f t="shared" si="580"/>
        <v>0</v>
      </c>
      <c r="IH599" s="11">
        <f t="shared" si="580"/>
        <v>0.34</v>
      </c>
      <c r="II599" s="11" t="str">
        <f t="shared" si="580"/>
        <v>as conventional (Mogensen et al., 2018)</v>
      </c>
    </row>
    <row r="600" spans="4:243" x14ac:dyDescent="0.25">
      <c r="D600" s="20" t="s">
        <v>1195</v>
      </c>
      <c r="E600" s="14">
        <v>42695</v>
      </c>
      <c r="F600" s="18">
        <v>0.527736069396051</v>
      </c>
      <c r="G600" s="18">
        <v>0.66667809903524999</v>
      </c>
      <c r="H600" s="21">
        <v>86.9</v>
      </c>
      <c r="I600" s="21">
        <v>40.5</v>
      </c>
      <c r="J600" s="21">
        <v>83</v>
      </c>
      <c r="K600" s="18">
        <v>1</v>
      </c>
      <c r="L600" s="18">
        <v>89</v>
      </c>
      <c r="M600" s="18">
        <v>8.2769999999999992</v>
      </c>
      <c r="N600" s="18">
        <v>1.246</v>
      </c>
      <c r="O600" s="18">
        <v>8.4550000000000001</v>
      </c>
      <c r="P600" s="18">
        <v>14.952</v>
      </c>
      <c r="Q600" s="19"/>
      <c r="R600" s="18">
        <v>50</v>
      </c>
      <c r="S600" s="18">
        <v>50</v>
      </c>
      <c r="T600" s="18">
        <v>50</v>
      </c>
      <c r="U600" s="18">
        <v>50</v>
      </c>
      <c r="V600" s="18">
        <v>50</v>
      </c>
      <c r="W600" s="18">
        <v>50</v>
      </c>
      <c r="X600" s="18"/>
      <c r="Y600" s="18">
        <v>13</v>
      </c>
      <c r="Z600" s="18">
        <v>0.90000000000000013</v>
      </c>
      <c r="AA600" s="18">
        <v>1</v>
      </c>
      <c r="AB600" s="18">
        <v>0</v>
      </c>
      <c r="AC600" s="18">
        <v>5.4</v>
      </c>
      <c r="AD600" s="18">
        <v>2.4000000000000004</v>
      </c>
      <c r="AE600" s="18">
        <v>3.3</v>
      </c>
      <c r="AF600" s="18">
        <v>660</v>
      </c>
      <c r="AG600" s="18">
        <v>7.5</v>
      </c>
      <c r="AH600" s="18">
        <v>78</v>
      </c>
      <c r="AI600" s="18">
        <v>37</v>
      </c>
      <c r="AJ600" s="18">
        <v>0</v>
      </c>
      <c r="AK600" s="18">
        <v>0.10886644219977595</v>
      </c>
      <c r="AL600" s="18"/>
      <c r="AM600" s="18">
        <v>4.8600000000000003</v>
      </c>
      <c r="AN600" s="18">
        <v>1.51</v>
      </c>
      <c r="AO600" s="18">
        <v>1.1499999999999999</v>
      </c>
      <c r="AP600" s="18">
        <v>3.74</v>
      </c>
      <c r="AQ600" s="18">
        <v>0.76</v>
      </c>
      <c r="AR600" s="18">
        <v>3.5</v>
      </c>
      <c r="AS600" s="18">
        <v>5.49</v>
      </c>
      <c r="AT600" s="18">
        <v>3.25</v>
      </c>
      <c r="AU600" s="18">
        <v>3.12</v>
      </c>
      <c r="AV600" s="18">
        <v>4.0599999999999996</v>
      </c>
      <c r="AW600" s="18">
        <v>5.3</v>
      </c>
      <c r="AX600" s="18"/>
      <c r="AY600" s="18">
        <v>1.04</v>
      </c>
      <c r="AZ600" s="18">
        <v>1.22</v>
      </c>
      <c r="BA600" s="18">
        <v>0.44</v>
      </c>
      <c r="BB600" s="18">
        <v>0.6</v>
      </c>
      <c r="BC600" s="18">
        <v>0.82</v>
      </c>
      <c r="BD600" s="18">
        <v>1.2</v>
      </c>
      <c r="BE600" s="18">
        <v>1.18</v>
      </c>
      <c r="BF600" s="18">
        <v>1.18</v>
      </c>
      <c r="BG600" s="18">
        <v>1.02</v>
      </c>
      <c r="BH600" s="18">
        <v>1.04</v>
      </c>
      <c r="BI600" s="18">
        <v>0.84</v>
      </c>
      <c r="BJ600" s="19"/>
      <c r="BK600" s="18">
        <v>9.2999999999999989</v>
      </c>
      <c r="BL600" s="18">
        <v>1.4</v>
      </c>
      <c r="BM600" s="18">
        <v>9.5</v>
      </c>
      <c r="BN600" s="18">
        <v>16.8</v>
      </c>
      <c r="BO600" s="18"/>
      <c r="BP600" s="18">
        <v>0</v>
      </c>
      <c r="BQ600" s="18">
        <v>0</v>
      </c>
      <c r="BR600" s="18">
        <v>0.59296187572589998</v>
      </c>
      <c r="BS600" s="18">
        <v>0.74907651576994383</v>
      </c>
      <c r="BT600" s="19"/>
      <c r="BU600" s="18">
        <v>905</v>
      </c>
      <c r="BV600" s="18">
        <v>88.349285714285728</v>
      </c>
      <c r="BW600" s="18">
        <v>599.88571428571345</v>
      </c>
      <c r="BX600" s="18">
        <v>0</v>
      </c>
      <c r="BY600" s="18" t="s">
        <v>217</v>
      </c>
      <c r="BZ600" s="18">
        <v>365.14957142857185</v>
      </c>
      <c r="CA600" s="18">
        <v>337.06114285714273</v>
      </c>
      <c r="CB600" s="19"/>
      <c r="CC600" s="19">
        <v>11.57</v>
      </c>
      <c r="CD600" s="19">
        <v>0.80100000000000016</v>
      </c>
      <c r="CE600" s="19">
        <v>0.89</v>
      </c>
      <c r="CF600" s="19">
        <v>0</v>
      </c>
      <c r="CG600" s="19">
        <v>4.806</v>
      </c>
      <c r="CH600" s="19">
        <v>2.1360000000000006</v>
      </c>
      <c r="CI600" s="19">
        <v>2.9369999999999998</v>
      </c>
      <c r="CJ600" s="19"/>
      <c r="CK600" s="19">
        <v>587.4</v>
      </c>
      <c r="CL600" s="19">
        <v>6.6749999999999998</v>
      </c>
      <c r="CM600" s="19">
        <v>69.42</v>
      </c>
      <c r="CN600" s="19">
        <v>32.93</v>
      </c>
      <c r="CO600" s="19">
        <v>0</v>
      </c>
      <c r="CP600" s="19">
        <v>9.6891133557800602E-2</v>
      </c>
      <c r="CQ600" s="19">
        <v>41.384999999999998</v>
      </c>
      <c r="CR600" s="19">
        <v>78.419881452032655</v>
      </c>
      <c r="HM600" s="620">
        <f t="shared" ref="HM600:HU600" si="581">HM230</f>
        <v>0.379</v>
      </c>
      <c r="HN600" s="620">
        <f t="shared" si="581"/>
        <v>1.2999999999999999E-2</v>
      </c>
      <c r="HO600" s="620">
        <f t="shared" si="581"/>
        <v>4.8000000000000001E-2</v>
      </c>
      <c r="HP600" s="620">
        <f t="shared" si="581"/>
        <v>7.7000000000000002E-3</v>
      </c>
      <c r="HQ600" s="620">
        <f t="shared" si="581"/>
        <v>5.2</v>
      </c>
      <c r="HR600" s="620">
        <f t="shared" si="581"/>
        <v>0</v>
      </c>
      <c r="HS600" s="620">
        <f t="shared" si="581"/>
        <v>0.34</v>
      </c>
      <c r="HT600" s="620" t="str">
        <f t="shared" si="581"/>
        <v>as conventional (Mogensen et al., 2018)</v>
      </c>
      <c r="HU600" s="620" t="str">
        <f t="shared" si="581"/>
        <v>offfarm</v>
      </c>
      <c r="HV600" s="22" t="s">
        <v>2071</v>
      </c>
      <c r="IB600" s="11">
        <f t="shared" ref="IB600:II600" si="582">IB230</f>
        <v>0.379</v>
      </c>
      <c r="IC600" s="11">
        <f t="shared" si="582"/>
        <v>1.2999999999999999E-2</v>
      </c>
      <c r="ID600" s="11">
        <f t="shared" si="582"/>
        <v>4.8000000000000001E-2</v>
      </c>
      <c r="IE600" s="11">
        <f t="shared" si="582"/>
        <v>7.7000000000000002E-3</v>
      </c>
      <c r="IF600" s="11">
        <f t="shared" si="582"/>
        <v>5.2</v>
      </c>
      <c r="IG600" s="11">
        <f t="shared" si="582"/>
        <v>0</v>
      </c>
      <c r="IH600" s="11">
        <f t="shared" si="582"/>
        <v>0.34</v>
      </c>
      <c r="II600" s="11" t="str">
        <f t="shared" si="582"/>
        <v>as conventional (Mogensen et al., 2018)</v>
      </c>
    </row>
    <row r="601" spans="4:243" x14ac:dyDescent="0.25">
      <c r="D601" s="20" t="s">
        <v>1194</v>
      </c>
      <c r="E601" s="14">
        <v>42695</v>
      </c>
      <c r="F601" s="18">
        <v>0.64830138776616397</v>
      </c>
      <c r="G601" s="18">
        <v>0.75974956356586298</v>
      </c>
      <c r="H601" s="21">
        <v>90.3</v>
      </c>
      <c r="I601" s="21">
        <v>49.8</v>
      </c>
      <c r="J601" s="21">
        <v>83</v>
      </c>
      <c r="K601" s="18">
        <v>1</v>
      </c>
      <c r="L601" s="18">
        <v>91.1</v>
      </c>
      <c r="M601" s="18">
        <v>8.8367000000000004</v>
      </c>
      <c r="N601" s="18">
        <v>1.0931999999999999</v>
      </c>
      <c r="O601" s="18">
        <v>10.021000000000001</v>
      </c>
      <c r="P601" s="18">
        <v>13.482799999999999</v>
      </c>
      <c r="Q601" s="19"/>
      <c r="R601" s="18">
        <v>50</v>
      </c>
      <c r="S601" s="18">
        <v>50</v>
      </c>
      <c r="T601" s="18">
        <v>50</v>
      </c>
      <c r="U601" s="18">
        <v>50</v>
      </c>
      <c r="V601" s="18">
        <v>50</v>
      </c>
      <c r="W601" s="18">
        <v>50</v>
      </c>
      <c r="X601" s="18"/>
      <c r="Y601" s="18">
        <v>11.7</v>
      </c>
      <c r="Z601" s="18">
        <v>0.8</v>
      </c>
      <c r="AA601" s="18">
        <v>2.0000000000000004</v>
      </c>
      <c r="AB601" s="18">
        <v>0</v>
      </c>
      <c r="AC601" s="18">
        <v>18.500000000000004</v>
      </c>
      <c r="AD601" s="18">
        <v>1.8</v>
      </c>
      <c r="AE601" s="18">
        <v>4.9000000000000004</v>
      </c>
      <c r="AF601" s="18">
        <v>510.00000000000006</v>
      </c>
      <c r="AG601" s="18">
        <v>5.8000000000000007</v>
      </c>
      <c r="AH601" s="18">
        <v>59.000000000000007</v>
      </c>
      <c r="AI601" s="18">
        <v>41</v>
      </c>
      <c r="AJ601" s="18">
        <v>0</v>
      </c>
      <c r="AK601" s="18">
        <v>6.0000000000000005E-2</v>
      </c>
      <c r="AL601" s="18"/>
      <c r="AM601" s="18">
        <v>4.24</v>
      </c>
      <c r="AN601" s="18">
        <v>1.17</v>
      </c>
      <c r="AO601" s="18">
        <v>0.97</v>
      </c>
      <c r="AP601" s="18">
        <v>3.09</v>
      </c>
      <c r="AQ601" s="18">
        <v>0.84</v>
      </c>
      <c r="AR601" s="18">
        <v>3.31</v>
      </c>
      <c r="AS601" s="18">
        <v>5</v>
      </c>
      <c r="AT601" s="18">
        <v>2.25</v>
      </c>
      <c r="AU601" s="18">
        <v>2.57</v>
      </c>
      <c r="AV601" s="18">
        <v>3.57</v>
      </c>
      <c r="AW601" s="18">
        <v>4.59</v>
      </c>
      <c r="AX601" s="18"/>
      <c r="AY601" s="18">
        <v>1.04</v>
      </c>
      <c r="AZ601" s="18">
        <v>1.22</v>
      </c>
      <c r="BA601" s="18">
        <v>0.44</v>
      </c>
      <c r="BB601" s="18">
        <v>0.6</v>
      </c>
      <c r="BC601" s="18">
        <v>0.82</v>
      </c>
      <c r="BD601" s="18">
        <v>1.2</v>
      </c>
      <c r="BE601" s="18">
        <v>1.18</v>
      </c>
      <c r="BF601" s="18">
        <v>1.18</v>
      </c>
      <c r="BG601" s="18">
        <v>1.02</v>
      </c>
      <c r="BH601" s="18">
        <v>1.04</v>
      </c>
      <c r="BI601" s="18">
        <v>0.84</v>
      </c>
      <c r="BJ601" s="19"/>
      <c r="BK601" s="18">
        <v>9.7000000000000011</v>
      </c>
      <c r="BL601" s="18">
        <v>1.2</v>
      </c>
      <c r="BM601" s="18">
        <v>11.000000000000002</v>
      </c>
      <c r="BN601" s="18">
        <v>14.8</v>
      </c>
      <c r="BO601" s="18"/>
      <c r="BP601" s="18">
        <v>0</v>
      </c>
      <c r="BQ601" s="18">
        <v>0</v>
      </c>
      <c r="BR601" s="18">
        <v>0.71163708865660147</v>
      </c>
      <c r="BS601" s="18">
        <v>0.83397317625231948</v>
      </c>
      <c r="BT601" s="19"/>
      <c r="BU601" s="18">
        <v>890</v>
      </c>
      <c r="BV601" s="18">
        <v>188.83142857142923</v>
      </c>
      <c r="BW601" s="18">
        <v>514.92857142857088</v>
      </c>
      <c r="BX601" s="18">
        <v>0</v>
      </c>
      <c r="BY601" s="18">
        <v>185</v>
      </c>
      <c r="BZ601" s="18">
        <v>303.89245714285732</v>
      </c>
      <c r="CA601" s="18">
        <v>280.51611428571465</v>
      </c>
      <c r="CB601" s="19"/>
      <c r="CC601" s="19">
        <v>10.658699999999998</v>
      </c>
      <c r="CD601" s="19">
        <v>0.7288</v>
      </c>
      <c r="CE601" s="19">
        <v>1.8220000000000003</v>
      </c>
      <c r="CF601" s="19">
        <v>0</v>
      </c>
      <c r="CG601" s="19">
        <v>16.8535</v>
      </c>
      <c r="CH601" s="19">
        <v>1.6397999999999999</v>
      </c>
      <c r="CI601" s="19">
        <v>4.4638999999999998</v>
      </c>
      <c r="CJ601" s="19"/>
      <c r="CK601" s="19">
        <v>464.61</v>
      </c>
      <c r="CL601" s="19">
        <v>5.2838000000000003</v>
      </c>
      <c r="CM601" s="19">
        <v>53.749000000000002</v>
      </c>
      <c r="CN601" s="19">
        <v>37.350999999999999</v>
      </c>
      <c r="CO601" s="19">
        <v>0</v>
      </c>
      <c r="CP601" s="19">
        <v>5.466E-2</v>
      </c>
      <c r="CQ601" s="19">
        <v>44.183500000000002</v>
      </c>
      <c r="CR601" s="19">
        <v>68.152715440332457</v>
      </c>
      <c r="HM601" s="620">
        <f t="shared" ref="HM601:HU601" si="583">HM231</f>
        <v>0.379</v>
      </c>
      <c r="HN601" s="620">
        <f t="shared" si="583"/>
        <v>1.2999999999999999E-2</v>
      </c>
      <c r="HO601" s="620">
        <f t="shared" si="583"/>
        <v>4.8000000000000001E-2</v>
      </c>
      <c r="HP601" s="620">
        <f t="shared" si="583"/>
        <v>7.7000000000000002E-3</v>
      </c>
      <c r="HQ601" s="620">
        <f t="shared" si="583"/>
        <v>5.2</v>
      </c>
      <c r="HR601" s="620">
        <f t="shared" si="583"/>
        <v>0</v>
      </c>
      <c r="HS601" s="620">
        <f t="shared" si="583"/>
        <v>0.34</v>
      </c>
      <c r="HT601" s="620" t="str">
        <f t="shared" si="583"/>
        <v>as conventional (Mogensen et al., 2018)</v>
      </c>
      <c r="HU601" s="620" t="str">
        <f t="shared" si="583"/>
        <v>offfarm</v>
      </c>
      <c r="HV601" s="22" t="s">
        <v>2071</v>
      </c>
      <c r="IB601" s="11">
        <f t="shared" ref="IB601:II601" si="584">IB231</f>
        <v>0.379</v>
      </c>
      <c r="IC601" s="11">
        <f t="shared" si="584"/>
        <v>1.2999999999999999E-2</v>
      </c>
      <c r="ID601" s="11">
        <f t="shared" si="584"/>
        <v>4.8000000000000001E-2</v>
      </c>
      <c r="IE601" s="11">
        <f t="shared" si="584"/>
        <v>7.7000000000000002E-3</v>
      </c>
      <c r="IF601" s="11">
        <f t="shared" si="584"/>
        <v>5.2</v>
      </c>
      <c r="IG601" s="11">
        <f t="shared" si="584"/>
        <v>0</v>
      </c>
      <c r="IH601" s="11">
        <f t="shared" si="584"/>
        <v>0.34</v>
      </c>
      <c r="II601" s="11" t="str">
        <f t="shared" si="584"/>
        <v>as conventional (Mogensen et al., 2018)</v>
      </c>
    </row>
    <row r="602" spans="4:243" x14ac:dyDescent="0.25">
      <c r="D602" s="20" t="s">
        <v>1196</v>
      </c>
      <c r="E602" s="14">
        <v>41494</v>
      </c>
      <c r="F602" s="18" t="s">
        <v>217</v>
      </c>
      <c r="G602" s="18" t="s">
        <v>217</v>
      </c>
      <c r="H602" s="21" t="s">
        <v>217</v>
      </c>
      <c r="I602" s="21" t="s">
        <v>217</v>
      </c>
      <c r="J602" s="21">
        <v>86</v>
      </c>
      <c r="K602" s="18">
        <v>1</v>
      </c>
      <c r="L602" s="18">
        <v>93</v>
      </c>
      <c r="M602" s="18">
        <v>5.4000003599999999</v>
      </c>
      <c r="N602" s="18">
        <v>0</v>
      </c>
      <c r="O602" s="18">
        <v>6.0000000900000003</v>
      </c>
      <c r="P602" s="18">
        <v>6.0000000900000003</v>
      </c>
      <c r="Q602" s="19"/>
      <c r="R602" s="18">
        <v>50</v>
      </c>
      <c r="S602" s="18">
        <v>50</v>
      </c>
      <c r="T602" s="18">
        <v>50</v>
      </c>
      <c r="U602" s="18">
        <v>50</v>
      </c>
      <c r="V602" s="18">
        <v>50</v>
      </c>
      <c r="W602" s="18">
        <v>50</v>
      </c>
      <c r="X602" s="18"/>
      <c r="Y602" s="18">
        <v>3.1182799999999999</v>
      </c>
      <c r="Z602" s="18">
        <v>1.82796</v>
      </c>
      <c r="AA602" s="18">
        <v>0.96773999999999993</v>
      </c>
      <c r="AB602" s="18">
        <v>0</v>
      </c>
      <c r="AC602" s="18">
        <v>10.967739999999999</v>
      </c>
      <c r="AD602" s="18">
        <v>1.5</v>
      </c>
      <c r="AE602" s="18">
        <v>0</v>
      </c>
      <c r="AF602" s="18">
        <v>1100</v>
      </c>
      <c r="AG602" s="18">
        <v>6</v>
      </c>
      <c r="AH602" s="18">
        <v>102</v>
      </c>
      <c r="AI602" s="18">
        <v>28</v>
      </c>
      <c r="AJ602" s="18">
        <v>0</v>
      </c>
      <c r="AK602" s="18">
        <v>6.0000000000000005E-2</v>
      </c>
      <c r="AL602" s="18"/>
      <c r="AM602" s="18">
        <v>2.71</v>
      </c>
      <c r="AN602" s="18">
        <v>1.1299999999999999</v>
      </c>
      <c r="AO602" s="18">
        <v>0.82</v>
      </c>
      <c r="AP602" s="18">
        <v>2.4700000000000002</v>
      </c>
      <c r="AQ602" s="18">
        <v>0.52</v>
      </c>
      <c r="AR602" s="18">
        <v>2.4700000000000002</v>
      </c>
      <c r="AS602" s="18">
        <v>3.82</v>
      </c>
      <c r="AT602" s="18">
        <v>1.5</v>
      </c>
      <c r="AU602" s="18">
        <v>1.95</v>
      </c>
      <c r="AV602" s="18">
        <v>2.3199999999999998</v>
      </c>
      <c r="AW602" s="18">
        <v>3.29</v>
      </c>
      <c r="AX602" s="18"/>
      <c r="AY602" s="18">
        <v>1</v>
      </c>
      <c r="AZ602" s="18">
        <v>1</v>
      </c>
      <c r="BA602" s="18">
        <v>1</v>
      </c>
      <c r="BB602" s="18">
        <v>1</v>
      </c>
      <c r="BC602" s="18">
        <v>1</v>
      </c>
      <c r="BD602" s="18">
        <v>1</v>
      </c>
      <c r="BE602" s="18">
        <v>1</v>
      </c>
      <c r="BF602" s="18">
        <v>1</v>
      </c>
      <c r="BG602" s="18">
        <v>1</v>
      </c>
      <c r="BH602" s="18">
        <v>1</v>
      </c>
      <c r="BI602" s="18">
        <v>1</v>
      </c>
      <c r="BJ602" s="19"/>
      <c r="BK602" s="18">
        <v>5.8064520000000002</v>
      </c>
      <c r="BL602" s="18">
        <v>0</v>
      </c>
      <c r="BM602" s="18">
        <v>6.451613</v>
      </c>
      <c r="BN602" s="18">
        <v>6.451613</v>
      </c>
      <c r="BO602" s="18"/>
      <c r="BP602" s="18">
        <v>0</v>
      </c>
      <c r="BQ602" s="18">
        <v>0</v>
      </c>
      <c r="BR602" s="18" t="s">
        <v>217</v>
      </c>
      <c r="BS602" s="18" t="s">
        <v>217</v>
      </c>
      <c r="BT602" s="19"/>
      <c r="BU602" s="18">
        <v>935.48386999999991</v>
      </c>
      <c r="BV602" s="18" t="s">
        <v>217</v>
      </c>
      <c r="BW602" s="18" t="s">
        <v>217</v>
      </c>
      <c r="BX602" s="18" t="s">
        <v>217</v>
      </c>
      <c r="BY602" s="18" t="s">
        <v>217</v>
      </c>
      <c r="BZ602" s="18" t="s">
        <v>217</v>
      </c>
      <c r="CA602" s="18" t="s">
        <v>217</v>
      </c>
      <c r="CB602" s="19"/>
      <c r="CC602" s="19">
        <v>2.9000004000000001</v>
      </c>
      <c r="CD602" s="19">
        <v>1.7000028</v>
      </c>
      <c r="CE602" s="19">
        <v>0.89999819999999997</v>
      </c>
      <c r="CF602" s="19">
        <v>0</v>
      </c>
      <c r="CG602" s="19">
        <v>10.1999982</v>
      </c>
      <c r="CH602" s="19">
        <v>1.395</v>
      </c>
      <c r="CI602" s="19">
        <v>0</v>
      </c>
      <c r="CJ602" s="19"/>
      <c r="CK602" s="19">
        <v>1023</v>
      </c>
      <c r="CL602" s="19">
        <v>5.58</v>
      </c>
      <c r="CM602" s="19">
        <v>94.86</v>
      </c>
      <c r="CN602" s="19">
        <v>26.040000000000003</v>
      </c>
      <c r="CO602" s="19">
        <v>0</v>
      </c>
      <c r="CP602" s="19">
        <v>5.5800000000000009E-2</v>
      </c>
      <c r="CQ602" s="19">
        <v>27.0000018</v>
      </c>
      <c r="CR602" s="19" t="s">
        <v>217</v>
      </c>
      <c r="HM602" s="620">
        <f t="shared" ref="HM602:HU602" si="585">HM232</f>
        <v>0.379</v>
      </c>
      <c r="HN602" s="620">
        <f t="shared" si="585"/>
        <v>1.2999999999999999E-2</v>
      </c>
      <c r="HO602" s="620">
        <f t="shared" si="585"/>
        <v>4.8000000000000001E-2</v>
      </c>
      <c r="HP602" s="620">
        <f t="shared" si="585"/>
        <v>7.7000000000000002E-3</v>
      </c>
      <c r="HQ602" s="620">
        <f t="shared" si="585"/>
        <v>5.2</v>
      </c>
      <c r="HR602" s="620">
        <f t="shared" si="585"/>
        <v>0</v>
      </c>
      <c r="HS602" s="620">
        <f t="shared" si="585"/>
        <v>0.34</v>
      </c>
      <c r="HT602" s="620" t="str">
        <f t="shared" si="585"/>
        <v>as conventional (Mogensen et al., 2018)</v>
      </c>
      <c r="HU602" s="620" t="str">
        <f t="shared" si="585"/>
        <v>offfarm</v>
      </c>
      <c r="HV602" s="22" t="s">
        <v>2071</v>
      </c>
      <c r="IB602" s="11">
        <f t="shared" ref="IB602:II602" si="586">IB232</f>
        <v>0.379</v>
      </c>
      <c r="IC602" s="11">
        <f t="shared" si="586"/>
        <v>1.2999999999999999E-2</v>
      </c>
      <c r="ID602" s="11">
        <f t="shared" si="586"/>
        <v>4.8000000000000001E-2</v>
      </c>
      <c r="IE602" s="11">
        <f t="shared" si="586"/>
        <v>7.7000000000000002E-3</v>
      </c>
      <c r="IF602" s="11">
        <f t="shared" si="586"/>
        <v>5.2</v>
      </c>
      <c r="IG602" s="11">
        <f t="shared" si="586"/>
        <v>0</v>
      </c>
      <c r="IH602" s="11">
        <f t="shared" si="586"/>
        <v>0.34</v>
      </c>
      <c r="II602" s="11" t="str">
        <f t="shared" si="586"/>
        <v>as conventional (Mogensen et al., 2018)</v>
      </c>
    </row>
    <row r="603" spans="4:243" x14ac:dyDescent="0.25">
      <c r="D603" s="20" t="s">
        <v>1192</v>
      </c>
      <c r="E603" s="14">
        <v>40310</v>
      </c>
      <c r="F603" s="18">
        <v>0.68235393681765399</v>
      </c>
      <c r="G603" s="18">
        <v>0.65834463810612298</v>
      </c>
      <c r="H603" s="21">
        <v>99</v>
      </c>
      <c r="I603" s="21">
        <v>97</v>
      </c>
      <c r="J603" s="21">
        <v>90</v>
      </c>
      <c r="K603" s="18">
        <v>0.8</v>
      </c>
      <c r="L603" s="18">
        <v>72.599999999999994</v>
      </c>
      <c r="M603" s="18">
        <v>5.0819999999999999</v>
      </c>
      <c r="N603" s="18">
        <v>0.21779999999999999</v>
      </c>
      <c r="O603" s="18">
        <v>15.5364</v>
      </c>
      <c r="P603" s="18">
        <v>0</v>
      </c>
      <c r="Q603" s="19"/>
      <c r="R603" s="18">
        <v>50</v>
      </c>
      <c r="S603" s="18">
        <v>50</v>
      </c>
      <c r="T603" s="18">
        <v>50</v>
      </c>
      <c r="U603" s="18">
        <v>50</v>
      </c>
      <c r="V603" s="18">
        <v>50</v>
      </c>
      <c r="W603" s="18">
        <v>50</v>
      </c>
      <c r="X603" s="18"/>
      <c r="Y603" s="18">
        <v>5.4</v>
      </c>
      <c r="Z603" s="18">
        <v>0.70000000000000007</v>
      </c>
      <c r="AA603" s="18">
        <v>2.3000000000000003</v>
      </c>
      <c r="AB603" s="18">
        <v>0</v>
      </c>
      <c r="AC603" s="18">
        <v>49</v>
      </c>
      <c r="AD603" s="18">
        <v>4</v>
      </c>
      <c r="AE603" s="18">
        <v>6.6999999999999993</v>
      </c>
      <c r="AF603" s="18">
        <v>150.00000000000003</v>
      </c>
      <c r="AG603" s="18">
        <v>4.6000000000000005</v>
      </c>
      <c r="AH603" s="18">
        <v>13.000000000000002</v>
      </c>
      <c r="AI603" s="18">
        <v>7.8000000000000007</v>
      </c>
      <c r="AJ603" s="18">
        <v>0</v>
      </c>
      <c r="AK603" s="18">
        <v>0.44000000000000006</v>
      </c>
      <c r="AL603" s="18"/>
      <c r="AM603" s="18">
        <v>0.67</v>
      </c>
      <c r="AN603" s="18">
        <v>0.46</v>
      </c>
      <c r="AO603" s="18">
        <v>0.59</v>
      </c>
      <c r="AP603" s="18">
        <v>1.19</v>
      </c>
      <c r="AQ603" s="18">
        <v>0</v>
      </c>
      <c r="AR603" s="18">
        <v>0.81</v>
      </c>
      <c r="AS603" s="18">
        <v>0.53</v>
      </c>
      <c r="AT603" s="18">
        <v>0.19</v>
      </c>
      <c r="AU603" s="18">
        <v>0.43</v>
      </c>
      <c r="AV603" s="18">
        <v>0.4</v>
      </c>
      <c r="AW603" s="18">
        <v>1.56</v>
      </c>
      <c r="AX603" s="18"/>
      <c r="AY603" s="18">
        <v>1</v>
      </c>
      <c r="AZ603" s="18">
        <v>1</v>
      </c>
      <c r="BA603" s="18">
        <v>1</v>
      </c>
      <c r="BB603" s="18">
        <v>1</v>
      </c>
      <c r="BC603" s="18">
        <v>1</v>
      </c>
      <c r="BD603" s="18">
        <v>1</v>
      </c>
      <c r="BE603" s="18">
        <v>1</v>
      </c>
      <c r="BF603" s="18">
        <v>1</v>
      </c>
      <c r="BG603" s="18">
        <v>1</v>
      </c>
      <c r="BH603" s="18">
        <v>1</v>
      </c>
      <c r="BI603" s="18">
        <v>1</v>
      </c>
      <c r="BJ603" s="19"/>
      <c r="BK603" s="18">
        <v>7</v>
      </c>
      <c r="BL603" s="18">
        <v>0.3</v>
      </c>
      <c r="BM603" s="18">
        <v>21.400000000000002</v>
      </c>
      <c r="BN603" s="18">
        <v>0</v>
      </c>
      <c r="BO603" s="18"/>
      <c r="BP603" s="18">
        <v>0</v>
      </c>
      <c r="BQ603" s="18">
        <v>0</v>
      </c>
      <c r="BR603" s="18">
        <v>0.93988145567169978</v>
      </c>
      <c r="BS603" s="18">
        <v>0.90681079628942562</v>
      </c>
      <c r="BT603" s="19"/>
      <c r="BU603" s="18">
        <v>786</v>
      </c>
      <c r="BV603" s="18">
        <v>689.07285714285683</v>
      </c>
      <c r="BW603" s="18">
        <v>22.457142857142838</v>
      </c>
      <c r="BX603" s="18" t="s">
        <v>217</v>
      </c>
      <c r="BY603" s="18">
        <v>566</v>
      </c>
      <c r="BZ603" s="18">
        <v>0</v>
      </c>
      <c r="CA603" s="18">
        <v>0</v>
      </c>
      <c r="CB603" s="19"/>
      <c r="CC603" s="19">
        <v>3.9204000000000003</v>
      </c>
      <c r="CD603" s="19">
        <v>0.50819999999999999</v>
      </c>
      <c r="CE603" s="19">
        <v>1.6698000000000002</v>
      </c>
      <c r="CF603" s="19">
        <v>0</v>
      </c>
      <c r="CG603" s="19">
        <v>35.573999999999998</v>
      </c>
      <c r="CH603" s="19">
        <v>2.9039999999999999</v>
      </c>
      <c r="CI603" s="19">
        <v>4.8641999999999994</v>
      </c>
      <c r="CJ603" s="19"/>
      <c r="CK603" s="19">
        <v>108.90000000000002</v>
      </c>
      <c r="CL603" s="19">
        <v>3.3396000000000003</v>
      </c>
      <c r="CM603" s="19">
        <v>9.4380000000000006</v>
      </c>
      <c r="CN603" s="19">
        <v>5.6628000000000007</v>
      </c>
      <c r="CO603" s="19">
        <v>0</v>
      </c>
      <c r="CP603" s="19">
        <v>0.31944000000000006</v>
      </c>
      <c r="CQ603" s="19">
        <v>25.41</v>
      </c>
      <c r="CR603" s="19">
        <v>37.238738767312682</v>
      </c>
      <c r="HM603" s="620">
        <f t="shared" ref="HM603:HU603" si="587">HM233</f>
        <v>0.379</v>
      </c>
      <c r="HN603" s="620">
        <f t="shared" si="587"/>
        <v>1.2999999999999999E-2</v>
      </c>
      <c r="HO603" s="620">
        <f t="shared" si="587"/>
        <v>4.8000000000000001E-2</v>
      </c>
      <c r="HP603" s="620">
        <f t="shared" si="587"/>
        <v>7.7000000000000002E-3</v>
      </c>
      <c r="HQ603" s="620">
        <f t="shared" si="587"/>
        <v>5.2</v>
      </c>
      <c r="HR603" s="620">
        <f t="shared" si="587"/>
        <v>0</v>
      </c>
      <c r="HS603" s="620">
        <f t="shared" si="587"/>
        <v>0.34</v>
      </c>
      <c r="HT603" s="620" t="str">
        <f t="shared" si="587"/>
        <v>as conventional (Mogensen et al., 2018)</v>
      </c>
      <c r="HU603" s="620" t="str">
        <f t="shared" si="587"/>
        <v>offfarm</v>
      </c>
      <c r="HV603" s="22" t="s">
        <v>2070</v>
      </c>
      <c r="IB603" s="11">
        <f t="shared" ref="IB603:II603" si="588">IB233</f>
        <v>0.379</v>
      </c>
      <c r="IC603" s="11">
        <f t="shared" si="588"/>
        <v>1.2999999999999999E-2</v>
      </c>
      <c r="ID603" s="11">
        <f t="shared" si="588"/>
        <v>4.8000000000000001E-2</v>
      </c>
      <c r="IE603" s="11">
        <f t="shared" si="588"/>
        <v>7.7000000000000002E-3</v>
      </c>
      <c r="IF603" s="11">
        <f t="shared" si="588"/>
        <v>5.2</v>
      </c>
      <c r="IG603" s="11">
        <f t="shared" si="588"/>
        <v>0</v>
      </c>
      <c r="IH603" s="11">
        <f t="shared" si="588"/>
        <v>0.34</v>
      </c>
      <c r="II603" s="11" t="str">
        <f t="shared" si="588"/>
        <v>as conventional (Mogensen et al., 2018)</v>
      </c>
    </row>
    <row r="604" spans="4:243" x14ac:dyDescent="0.25">
      <c r="D604" s="185" t="s">
        <v>1197</v>
      </c>
      <c r="E604" s="14">
        <v>40310</v>
      </c>
      <c r="F604" s="18">
        <v>3.8146383271994999</v>
      </c>
      <c r="G604" s="18">
        <v>3.6617600200951101</v>
      </c>
      <c r="H604" s="21">
        <v>97.3</v>
      </c>
      <c r="I604" s="21">
        <v>97.3</v>
      </c>
      <c r="J604" s="21">
        <v>90</v>
      </c>
      <c r="K604" s="18">
        <v>1</v>
      </c>
      <c r="L604" s="18">
        <v>99.5</v>
      </c>
      <c r="M604" s="18">
        <v>1.0050505050505E-4</v>
      </c>
      <c r="N604" s="18">
        <v>99.5</v>
      </c>
      <c r="O604" s="18">
        <v>0</v>
      </c>
      <c r="P604" s="18">
        <v>0</v>
      </c>
      <c r="Q604" s="19"/>
      <c r="R604" s="18">
        <v>0</v>
      </c>
      <c r="S604" s="18">
        <v>0</v>
      </c>
      <c r="T604" s="18">
        <v>0</v>
      </c>
      <c r="U604" s="18">
        <v>0</v>
      </c>
      <c r="V604" s="18">
        <v>0</v>
      </c>
      <c r="W604" s="18">
        <v>0</v>
      </c>
      <c r="X604" s="18"/>
      <c r="Y604" s="18">
        <v>0</v>
      </c>
      <c r="Z604" s="18">
        <v>0</v>
      </c>
      <c r="AA604" s="18">
        <v>0</v>
      </c>
      <c r="AB604" s="18">
        <v>0</v>
      </c>
      <c r="AC604" s="18">
        <v>0</v>
      </c>
      <c r="AD604" s="18">
        <v>0</v>
      </c>
      <c r="AE604" s="18">
        <v>0</v>
      </c>
      <c r="AF604" s="18">
        <v>0</v>
      </c>
      <c r="AG604" s="18">
        <v>0.43216080402009949</v>
      </c>
      <c r="AH604" s="18">
        <v>0</v>
      </c>
      <c r="AI604" s="18">
        <v>0</v>
      </c>
      <c r="AJ604" s="18">
        <v>0</v>
      </c>
      <c r="AK604" s="18">
        <v>0</v>
      </c>
      <c r="AL604" s="18"/>
      <c r="AM604" s="18">
        <v>0</v>
      </c>
      <c r="AN604" s="18">
        <v>0</v>
      </c>
      <c r="AO604" s="18">
        <v>0</v>
      </c>
      <c r="AP604" s="18">
        <v>0</v>
      </c>
      <c r="AQ604" s="18">
        <v>0</v>
      </c>
      <c r="AR604" s="18">
        <v>0</v>
      </c>
      <c r="AS604" s="18">
        <v>0</v>
      </c>
      <c r="AT604" s="18">
        <v>0</v>
      </c>
      <c r="AU604" s="18">
        <v>0</v>
      </c>
      <c r="AV604" s="18">
        <v>0</v>
      </c>
      <c r="AW604" s="18">
        <v>0</v>
      </c>
      <c r="AX604" s="18"/>
      <c r="AY604" s="18">
        <v>1</v>
      </c>
      <c r="AZ604" s="18">
        <v>1</v>
      </c>
      <c r="BA604" s="18">
        <v>1</v>
      </c>
      <c r="BB604" s="18">
        <v>1</v>
      </c>
      <c r="BC604" s="18">
        <v>1</v>
      </c>
      <c r="BD604" s="18">
        <v>1</v>
      </c>
      <c r="BE604" s="18">
        <v>1</v>
      </c>
      <c r="BF604" s="18">
        <v>1</v>
      </c>
      <c r="BG604" s="18">
        <v>1</v>
      </c>
      <c r="BH604" s="18">
        <v>1</v>
      </c>
      <c r="BI604" s="18">
        <v>1</v>
      </c>
      <c r="BJ604" s="19"/>
      <c r="BK604" s="18">
        <v>1.010101010101005E-4</v>
      </c>
      <c r="BL604" s="18">
        <v>100</v>
      </c>
      <c r="BM604" s="18">
        <v>0</v>
      </c>
      <c r="BN604" s="18">
        <v>0</v>
      </c>
      <c r="BO604" s="18"/>
      <c r="BP604" s="18">
        <v>60</v>
      </c>
      <c r="BQ604" s="18">
        <v>600</v>
      </c>
      <c r="BR604" s="18">
        <v>3.8338073640195978</v>
      </c>
      <c r="BS604" s="18">
        <v>3.6801608242161912</v>
      </c>
      <c r="BT604" s="19"/>
      <c r="BU604" s="18">
        <v>1000</v>
      </c>
      <c r="BV604" s="18">
        <v>2.9990808080809246</v>
      </c>
      <c r="BW604" s="18">
        <v>0</v>
      </c>
      <c r="BX604" s="18">
        <v>0</v>
      </c>
      <c r="BY604" s="18">
        <v>0</v>
      </c>
      <c r="BZ604" s="18" t="s">
        <v>217</v>
      </c>
      <c r="CA604" s="18" t="s">
        <v>217</v>
      </c>
      <c r="CB604" s="19"/>
      <c r="CC604" s="19">
        <v>0</v>
      </c>
      <c r="CD604" s="19">
        <v>0</v>
      </c>
      <c r="CE604" s="19">
        <v>0</v>
      </c>
      <c r="CF604" s="19">
        <v>0</v>
      </c>
      <c r="CG604" s="19">
        <v>0</v>
      </c>
      <c r="CH604" s="19">
        <v>0</v>
      </c>
      <c r="CI604" s="19">
        <v>0</v>
      </c>
      <c r="CJ604" s="19"/>
      <c r="CK604" s="19">
        <v>0</v>
      </c>
      <c r="CL604" s="19">
        <v>0.42999999999999899</v>
      </c>
      <c r="CM604" s="19">
        <v>0</v>
      </c>
      <c r="CN604" s="19">
        <v>0</v>
      </c>
      <c r="CO604" s="19">
        <v>0</v>
      </c>
      <c r="CP604" s="19">
        <v>0</v>
      </c>
      <c r="CQ604" s="19">
        <v>0</v>
      </c>
      <c r="CR604" s="19">
        <v>0</v>
      </c>
      <c r="HM604" s="620">
        <f t="shared" ref="HM604:HU604" si="589">HM234</f>
        <v>0</v>
      </c>
      <c r="HN604" s="620">
        <f t="shared" si="589"/>
        <v>0</v>
      </c>
      <c r="HO604" s="620">
        <f t="shared" si="589"/>
        <v>0</v>
      </c>
      <c r="HP604" s="620">
        <f t="shared" si="589"/>
        <v>0</v>
      </c>
      <c r="HQ604" s="620">
        <f t="shared" si="589"/>
        <v>0</v>
      </c>
      <c r="HR604" s="620">
        <f t="shared" si="589"/>
        <v>0</v>
      </c>
      <c r="HS604" s="620">
        <f t="shared" si="589"/>
        <v>0</v>
      </c>
      <c r="HT604" s="620">
        <f t="shared" si="589"/>
        <v>0</v>
      </c>
      <c r="HU604" s="620" t="str">
        <f t="shared" si="589"/>
        <v>offfarm</v>
      </c>
      <c r="HV604" s="22" t="s">
        <v>2072</v>
      </c>
      <c r="IB604" s="11">
        <f t="shared" ref="IB604:II604" si="590">IB234</f>
        <v>0.47300000000000003</v>
      </c>
      <c r="IC604" s="11">
        <f t="shared" si="590"/>
        <v>0.13</v>
      </c>
      <c r="ID604" s="11">
        <f t="shared" si="590"/>
        <v>0.39100000000000001</v>
      </c>
      <c r="IE604" s="11">
        <f t="shared" si="590"/>
        <v>5.5E-2</v>
      </c>
      <c r="IF604" s="11">
        <f t="shared" si="590"/>
        <v>3.97</v>
      </c>
      <c r="IG604" s="11">
        <f t="shared" si="590"/>
        <v>4.5999999999999999E-3</v>
      </c>
      <c r="IH604" s="11">
        <f t="shared" si="590"/>
        <v>2.73</v>
      </c>
      <c r="II604" s="11">
        <f t="shared" si="590"/>
        <v>0</v>
      </c>
    </row>
    <row r="605" spans="4:243" x14ac:dyDescent="0.25">
      <c r="D605" s="20" t="s">
        <v>1198</v>
      </c>
      <c r="E605" s="14">
        <v>41698</v>
      </c>
      <c r="F605" s="18">
        <v>1.14990424440197</v>
      </c>
      <c r="G605" s="18">
        <v>1.1318391022837</v>
      </c>
      <c r="H605" s="21">
        <v>92.028694969529894</v>
      </c>
      <c r="I605" s="21">
        <v>86.670999243570506</v>
      </c>
      <c r="J605" s="21">
        <v>94.193115217026303</v>
      </c>
      <c r="K605" s="18">
        <v>1</v>
      </c>
      <c r="L605" s="18">
        <v>86.461725775112498</v>
      </c>
      <c r="M605" s="18">
        <v>20.147297595758499</v>
      </c>
      <c r="N605" s="18">
        <v>4.5664733290493</v>
      </c>
      <c r="O605" s="18">
        <v>5.3639580229213104</v>
      </c>
      <c r="P605" s="18">
        <v>2.3684218615241899</v>
      </c>
      <c r="Q605" s="19"/>
      <c r="R605" s="18">
        <v>87.584391806861504</v>
      </c>
      <c r="S605" s="18">
        <v>57.709320383821201</v>
      </c>
      <c r="T605" s="18">
        <v>60.7481941816377</v>
      </c>
      <c r="U605" s="18">
        <v>62.037177806340502</v>
      </c>
      <c r="V605" s="18">
        <v>62.960627863027902</v>
      </c>
      <c r="W605" s="18">
        <v>63.720346312482</v>
      </c>
      <c r="X605" s="18"/>
      <c r="Y605" s="18">
        <v>8.6454439036326125</v>
      </c>
      <c r="Z605" s="18">
        <v>7.5144692887233049</v>
      </c>
      <c r="AA605" s="18">
        <v>1.9951024392998309</v>
      </c>
      <c r="AB605" s="18">
        <v>4.225923626223925</v>
      </c>
      <c r="AC605" s="18">
        <v>7.7576912791770525</v>
      </c>
      <c r="AD605" s="18">
        <v>1.4523838013979846</v>
      </c>
      <c r="AE605" s="18">
        <v>2.4423143283134201</v>
      </c>
      <c r="AF605" s="18">
        <v>283.94561039526343</v>
      </c>
      <c r="AG605" s="18">
        <v>48.6287722109182</v>
      </c>
      <c r="AH605" s="18">
        <v>117.17807599968897</v>
      </c>
      <c r="AI605" s="18">
        <v>261.39747390265751</v>
      </c>
      <c r="AJ605" s="18">
        <v>0.43980924884120637</v>
      </c>
      <c r="AK605" s="18">
        <v>1.0044955800629702</v>
      </c>
      <c r="AL605" s="18"/>
      <c r="AM605" s="18">
        <v>6.9369185923927796</v>
      </c>
      <c r="AN605" s="18">
        <v>2.1663697867068801</v>
      </c>
      <c r="AO605" s="18">
        <v>1.69268226739765</v>
      </c>
      <c r="AP605" s="18">
        <v>4.3702458789892296</v>
      </c>
      <c r="AQ605" s="18">
        <v>1.4360495013313499</v>
      </c>
      <c r="AR605" s="18">
        <v>4.0382640819580597</v>
      </c>
      <c r="AS605" s="18">
        <v>7.4790128302092196</v>
      </c>
      <c r="AT605" s="18">
        <v>2.3780986161949702</v>
      </c>
      <c r="AU605" s="18">
        <v>4.5828468913573399</v>
      </c>
      <c r="AV605" s="18">
        <v>3.4525309135136899</v>
      </c>
      <c r="AW605" s="18">
        <v>4.8424528368419502</v>
      </c>
      <c r="AX605" s="18"/>
      <c r="AY605" s="18">
        <v>1.03342843628907</v>
      </c>
      <c r="AZ605" s="18">
        <v>1.0529064219265101</v>
      </c>
      <c r="BA605" s="18">
        <v>0.943067494201277</v>
      </c>
      <c r="BB605" s="18">
        <v>0.99913287979027299</v>
      </c>
      <c r="BC605" s="18">
        <v>0.99840693889101995</v>
      </c>
      <c r="BD605" s="18">
        <v>1.0033438308781</v>
      </c>
      <c r="BE605" s="18">
        <v>1.0138224509093401</v>
      </c>
      <c r="BF605" s="18">
        <v>1.0114312088467601</v>
      </c>
      <c r="BG605" s="18">
        <v>1.0221570199210499</v>
      </c>
      <c r="BH605" s="18">
        <v>0.99009655405681296</v>
      </c>
      <c r="BI605" s="18">
        <v>0.99591125512116796</v>
      </c>
      <c r="BJ605" s="19"/>
      <c r="BK605" s="18">
        <v>23.301984103534721</v>
      </c>
      <c r="BL605" s="18">
        <v>5.2814968566863056</v>
      </c>
      <c r="BM605" s="18">
        <v>6.2038526004824375</v>
      </c>
      <c r="BN605" s="18">
        <v>2.739272019256787</v>
      </c>
      <c r="BO605" s="18"/>
      <c r="BP605" s="18">
        <v>0</v>
      </c>
      <c r="BQ605" s="18">
        <v>0</v>
      </c>
      <c r="BR605" s="18">
        <v>1.3299575437493329</v>
      </c>
      <c r="BS605" s="18">
        <v>1.3090637413687771</v>
      </c>
      <c r="BT605" s="19"/>
      <c r="BU605" s="18">
        <v>937.96147399517577</v>
      </c>
      <c r="BV605" s="18">
        <v>528.12495497786847</v>
      </c>
      <c r="BW605" s="18">
        <v>71.790174004836004</v>
      </c>
      <c r="BX605" s="18">
        <v>478.49023604341619</v>
      </c>
      <c r="BY605" s="18">
        <v>24.917021840636249</v>
      </c>
      <c r="BZ605" s="18">
        <v>19.813307960799271</v>
      </c>
      <c r="CA605" s="18">
        <v>97.145637320021805</v>
      </c>
      <c r="CB605" s="19"/>
      <c r="CC605" s="19">
        <v>7.4750000000000103</v>
      </c>
      <c r="CD605" s="19">
        <v>6.4971398298709904</v>
      </c>
      <c r="CE605" s="19">
        <v>1.7250000000000001</v>
      </c>
      <c r="CF605" s="19">
        <v>3.6538064971714199</v>
      </c>
      <c r="CG605" s="19">
        <v>6.7074337602818801</v>
      </c>
      <c r="CH605" s="19">
        <v>1.2557560995668799</v>
      </c>
      <c r="CI605" s="19">
        <v>2.11166711711263</v>
      </c>
      <c r="CJ605" s="19"/>
      <c r="CK605" s="19">
        <v>245.50427501042199</v>
      </c>
      <c r="CL605" s="19">
        <v>42.045275676808203</v>
      </c>
      <c r="CM605" s="19">
        <v>101.31418673940399</v>
      </c>
      <c r="CN605" s="19">
        <v>226.00876706878699</v>
      </c>
      <c r="CO605" s="19">
        <v>0.38026666666666598</v>
      </c>
      <c r="CP605" s="19">
        <v>0.86850421385717091</v>
      </c>
      <c r="CQ605" s="19">
        <v>176.458880647635</v>
      </c>
      <c r="CR605" s="19">
        <v>153.45528247824311</v>
      </c>
      <c r="HM605" s="620">
        <f t="shared" ref="HM605:HU605" si="591">HM235</f>
        <v>0.47300000000000003</v>
      </c>
      <c r="HN605" s="620">
        <f t="shared" si="591"/>
        <v>0.13</v>
      </c>
      <c r="HO605" s="620">
        <f t="shared" si="591"/>
        <v>0.39100000000000001</v>
      </c>
      <c r="HP605" s="620">
        <f t="shared" si="591"/>
        <v>5.5E-2</v>
      </c>
      <c r="HQ605" s="620">
        <f t="shared" si="591"/>
        <v>3.97</v>
      </c>
      <c r="HR605" s="620">
        <f t="shared" si="591"/>
        <v>4.5999999999999999E-3</v>
      </c>
      <c r="HS605" s="620">
        <f t="shared" si="591"/>
        <v>2.73</v>
      </c>
      <c r="HT605" s="620" t="str">
        <f t="shared" si="591"/>
        <v>as barley</v>
      </c>
      <c r="HU605" s="620" t="str">
        <f t="shared" si="591"/>
        <v>offfarm</v>
      </c>
      <c r="HV605" s="22" t="s">
        <v>2013</v>
      </c>
      <c r="IB605" s="11">
        <f t="shared" ref="IB605:II605" si="592">IB235</f>
        <v>0.47300000000000003</v>
      </c>
      <c r="IC605" s="11">
        <f t="shared" si="592"/>
        <v>0.13</v>
      </c>
      <c r="ID605" s="11">
        <f t="shared" si="592"/>
        <v>0.39100000000000001</v>
      </c>
      <c r="IE605" s="11">
        <f t="shared" si="592"/>
        <v>5.5E-2</v>
      </c>
      <c r="IF605" s="11">
        <f t="shared" si="592"/>
        <v>3.97</v>
      </c>
      <c r="IG605" s="11">
        <f t="shared" si="592"/>
        <v>4.5999999999999999E-3</v>
      </c>
      <c r="IH605" s="11">
        <f t="shared" si="592"/>
        <v>2.73</v>
      </c>
      <c r="II605" s="11" t="str">
        <f t="shared" si="592"/>
        <v>as barley</v>
      </c>
    </row>
    <row r="606" spans="4:243" x14ac:dyDescent="0.25">
      <c r="D606" s="20" t="s">
        <v>1199</v>
      </c>
      <c r="E606" s="14">
        <v>41698</v>
      </c>
      <c r="F606" s="18">
        <v>1.12999985795375</v>
      </c>
      <c r="G606" s="18">
        <v>1.1178459505462499</v>
      </c>
      <c r="H606" s="21">
        <v>91.355276741705794</v>
      </c>
      <c r="I606" s="21">
        <v>84.640573433569799</v>
      </c>
      <c r="J606" s="21">
        <v>94.072506058515799</v>
      </c>
      <c r="K606" s="18">
        <v>1</v>
      </c>
      <c r="L606" s="18">
        <v>86.748468144433801</v>
      </c>
      <c r="M606" s="18">
        <v>19.129506260032901</v>
      </c>
      <c r="N606" s="18">
        <v>4.9924212662354597</v>
      </c>
      <c r="O606" s="18">
        <v>5.9951169300407496</v>
      </c>
      <c r="P606" s="18">
        <v>2.8245467045572799</v>
      </c>
      <c r="Q606" s="19"/>
      <c r="R606" s="18">
        <v>86.447664616932002</v>
      </c>
      <c r="S606" s="18">
        <v>54.948445423995501</v>
      </c>
      <c r="T606" s="18">
        <v>58.989531032442898</v>
      </c>
      <c r="U606" s="18">
        <v>60.741743595420502</v>
      </c>
      <c r="V606" s="18">
        <v>61.995960673923499</v>
      </c>
      <c r="W606" s="18">
        <v>62.981847511180398</v>
      </c>
      <c r="X606" s="18"/>
      <c r="Y606" s="18">
        <v>10.420933295269998</v>
      </c>
      <c r="Z606" s="18">
        <v>6.6183725673783229</v>
      </c>
      <c r="AA606" s="18">
        <v>1.9539249928631268</v>
      </c>
      <c r="AB606" s="18">
        <v>4.642670932103151</v>
      </c>
      <c r="AC606" s="18">
        <v>9.0685491899441484</v>
      </c>
      <c r="AD606" s="18">
        <v>1.5011404580505856</v>
      </c>
      <c r="AE606" s="18">
        <v>1.9725515348809262</v>
      </c>
      <c r="AF606" s="18">
        <v>205.62039322042975</v>
      </c>
      <c r="AG606" s="18">
        <v>32.32199797685535</v>
      </c>
      <c r="AH606" s="18">
        <v>82.126673874726094</v>
      </c>
      <c r="AI606" s="18">
        <v>171.69099263996938</v>
      </c>
      <c r="AJ606" s="18">
        <v>0.26920744346114156</v>
      </c>
      <c r="AK606" s="18">
        <v>0.55032538066867887</v>
      </c>
      <c r="AL606" s="18"/>
      <c r="AM606" s="18">
        <v>6.9074655058235104</v>
      </c>
      <c r="AN606" s="18">
        <v>2.1844273384333501</v>
      </c>
      <c r="AO606" s="18">
        <v>1.7186286515273901</v>
      </c>
      <c r="AP606" s="18">
        <v>4.3854015218314304</v>
      </c>
      <c r="AQ606" s="18">
        <v>1.44077424899274</v>
      </c>
      <c r="AR606" s="18">
        <v>4.1611393218804897</v>
      </c>
      <c r="AS606" s="18">
        <v>7.5385003545601297</v>
      </c>
      <c r="AT606" s="18">
        <v>2.3739772931480299</v>
      </c>
      <c r="AU606" s="18">
        <v>4.85693838988173</v>
      </c>
      <c r="AV606" s="18">
        <v>3.6252330672834399</v>
      </c>
      <c r="AW606" s="18">
        <v>4.8465854562947097</v>
      </c>
      <c r="AX606" s="18"/>
      <c r="AY606" s="18">
        <v>1.03870444839229</v>
      </c>
      <c r="AZ606" s="18">
        <v>1.0635618020448201</v>
      </c>
      <c r="BA606" s="18">
        <v>0.94786109240499705</v>
      </c>
      <c r="BB606" s="18">
        <v>0.99722240708781995</v>
      </c>
      <c r="BC606" s="18">
        <v>0.99596659962949297</v>
      </c>
      <c r="BD606" s="18">
        <v>0.99735171371450904</v>
      </c>
      <c r="BE606" s="18">
        <v>1.00231018771362</v>
      </c>
      <c r="BF606" s="18">
        <v>1.00744494478814</v>
      </c>
      <c r="BG606" s="18">
        <v>1.01499666689599</v>
      </c>
      <c r="BH606" s="18">
        <v>1.00103176391797</v>
      </c>
      <c r="BI606" s="18">
        <v>0.98692370985935496</v>
      </c>
      <c r="BJ606" s="19"/>
      <c r="BK606" s="18">
        <v>22.051693441067805</v>
      </c>
      <c r="BL606" s="18">
        <v>5.755054092624686</v>
      </c>
      <c r="BM606" s="18">
        <v>6.9109196488162139</v>
      </c>
      <c r="BN606" s="18">
        <v>3.2560191147750155</v>
      </c>
      <c r="BO606" s="18"/>
      <c r="BP606" s="18">
        <v>0</v>
      </c>
      <c r="BQ606" s="18">
        <v>0</v>
      </c>
      <c r="BR606" s="18">
        <v>1.3026164981637849</v>
      </c>
      <c r="BS606" s="18">
        <v>1.2886059828573195</v>
      </c>
      <c r="BT606" s="19"/>
      <c r="BU606" s="18">
        <v>930.8908035118385</v>
      </c>
      <c r="BV606" s="18">
        <v>504.62835530123266</v>
      </c>
      <c r="BW606" s="18">
        <v>89.295079397918727</v>
      </c>
      <c r="BX606" s="18">
        <v>460.984764079299</v>
      </c>
      <c r="BY606" s="18">
        <v>35.162895615693976</v>
      </c>
      <c r="BZ606" s="18">
        <v>19.990508716858546</v>
      </c>
      <c r="CA606" s="18">
        <v>81.72271062052863</v>
      </c>
      <c r="CB606" s="19"/>
      <c r="CC606" s="19">
        <v>9.0399999999999903</v>
      </c>
      <c r="CD606" s="19">
        <v>5.7413368182921296</v>
      </c>
      <c r="CE606" s="19">
        <v>1.6949999999999998</v>
      </c>
      <c r="CF606" s="19">
        <v>4.0274459145863899</v>
      </c>
      <c r="CG606" s="19">
        <v>7.8668275052010088</v>
      </c>
      <c r="CH606" s="19">
        <v>1.3022163520552199</v>
      </c>
      <c r="CI606" s="19">
        <v>1.7111582398687202</v>
      </c>
      <c r="CJ606" s="19"/>
      <c r="CK606" s="19">
        <v>178.37254131128401</v>
      </c>
      <c r="CL606" s="19">
        <v>28.0388381185969</v>
      </c>
      <c r="CM606" s="19">
        <v>71.243631524299801</v>
      </c>
      <c r="CN606" s="19">
        <v>148.93930605714601</v>
      </c>
      <c r="CO606" s="19">
        <v>0.23353333333333301</v>
      </c>
      <c r="CP606" s="19">
        <v>0.47739883754010293</v>
      </c>
      <c r="CQ606" s="19">
        <v>165.370114145483</v>
      </c>
      <c r="CR606" s="19">
        <v>146.34525215334273</v>
      </c>
      <c r="HM606" s="620">
        <f t="shared" ref="HM606:HU606" si="593">HM236</f>
        <v>0.47300000000000003</v>
      </c>
      <c r="HN606" s="620">
        <f t="shared" si="593"/>
        <v>0.13</v>
      </c>
      <c r="HO606" s="620">
        <f t="shared" si="593"/>
        <v>0.39100000000000001</v>
      </c>
      <c r="HP606" s="620">
        <f t="shared" si="593"/>
        <v>5.5E-2</v>
      </c>
      <c r="HQ606" s="620">
        <f t="shared" si="593"/>
        <v>3.97</v>
      </c>
      <c r="HR606" s="620">
        <f t="shared" si="593"/>
        <v>4.5999999999999999E-3</v>
      </c>
      <c r="HS606" s="620">
        <f t="shared" si="593"/>
        <v>2.73</v>
      </c>
      <c r="HT606" s="620" t="str">
        <f t="shared" si="593"/>
        <v>as barley</v>
      </c>
      <c r="HU606" s="620" t="str">
        <f t="shared" si="593"/>
        <v>offfarm</v>
      </c>
      <c r="HV606" s="22" t="s">
        <v>2013</v>
      </c>
      <c r="IB606" s="11">
        <f t="shared" ref="IB606:II606" si="594">IB236</f>
        <v>0.47300000000000003</v>
      </c>
      <c r="IC606" s="11">
        <f t="shared" si="594"/>
        <v>0.13</v>
      </c>
      <c r="ID606" s="11">
        <f t="shared" si="594"/>
        <v>0.39100000000000001</v>
      </c>
      <c r="IE606" s="11">
        <f t="shared" si="594"/>
        <v>5.5E-2</v>
      </c>
      <c r="IF606" s="11">
        <f t="shared" si="594"/>
        <v>3.97</v>
      </c>
      <c r="IG606" s="11">
        <f t="shared" si="594"/>
        <v>4.5999999999999999E-3</v>
      </c>
      <c r="IH606" s="11">
        <f t="shared" si="594"/>
        <v>2.73</v>
      </c>
      <c r="II606" s="11" t="str">
        <f t="shared" si="594"/>
        <v>as barley</v>
      </c>
    </row>
    <row r="607" spans="4:243" x14ac:dyDescent="0.25">
      <c r="D607" s="20" t="s">
        <v>1200</v>
      </c>
      <c r="E607" s="14">
        <v>41698</v>
      </c>
      <c r="F607" s="18">
        <v>1.12999992086164</v>
      </c>
      <c r="G607" s="18">
        <v>1.1217383622346</v>
      </c>
      <c r="H607" s="21">
        <v>90.440299547533797</v>
      </c>
      <c r="I607" s="21">
        <v>82.989559884459098</v>
      </c>
      <c r="J607" s="21">
        <v>92.476040388172606</v>
      </c>
      <c r="K607" s="18">
        <v>1</v>
      </c>
      <c r="L607" s="18">
        <v>87.202746049105798</v>
      </c>
      <c r="M607" s="18">
        <v>20.392606768790099</v>
      </c>
      <c r="N607" s="18">
        <v>5.9733593750862601</v>
      </c>
      <c r="O607" s="18">
        <v>6.1722411748313304</v>
      </c>
      <c r="P607" s="18">
        <v>3.6284660276531899</v>
      </c>
      <c r="Q607" s="19"/>
      <c r="R607" s="18">
        <v>85.334848052054198</v>
      </c>
      <c r="S607" s="18">
        <v>51.730001734478698</v>
      </c>
      <c r="T607" s="18">
        <v>56.259406424396303</v>
      </c>
      <c r="U607" s="18">
        <v>58.2351231997296</v>
      </c>
      <c r="V607" s="18">
        <v>59.6321846450235</v>
      </c>
      <c r="W607" s="18">
        <v>60.740260520691898</v>
      </c>
      <c r="X607" s="18"/>
      <c r="Y607" s="18">
        <v>10.3666460169836</v>
      </c>
      <c r="Z607" s="18">
        <v>6.6135299670186685</v>
      </c>
      <c r="AA607" s="18">
        <v>1.9437461281844244</v>
      </c>
      <c r="AB607" s="18">
        <v>4.2513031731349651</v>
      </c>
      <c r="AC607" s="18">
        <v>10.255363056936995</v>
      </c>
      <c r="AD607" s="18">
        <v>1.5744124800280741</v>
      </c>
      <c r="AE607" s="18">
        <v>1.9411522012650744</v>
      </c>
      <c r="AF607" s="18">
        <v>210.99205739380463</v>
      </c>
      <c r="AG607" s="18">
        <v>33.589014007963407</v>
      </c>
      <c r="AH607" s="18">
        <v>81.161169725401606</v>
      </c>
      <c r="AI607" s="18">
        <v>172.8878252732145</v>
      </c>
      <c r="AJ607" s="18">
        <v>0.26780502210540963</v>
      </c>
      <c r="AK607" s="18">
        <v>0.54617887709678492</v>
      </c>
      <c r="AL607" s="18"/>
      <c r="AM607" s="18">
        <v>6.5610016982465096</v>
      </c>
      <c r="AN607" s="18">
        <v>2.0472367022920599</v>
      </c>
      <c r="AO607" s="18">
        <v>1.59041266083939</v>
      </c>
      <c r="AP607" s="18">
        <v>4.1525970033085899</v>
      </c>
      <c r="AQ607" s="18">
        <v>1.34376222526518</v>
      </c>
      <c r="AR607" s="18">
        <v>4.03637186979355</v>
      </c>
      <c r="AS607" s="18">
        <v>7.2990351258880501</v>
      </c>
      <c r="AT607" s="18">
        <v>2.4541521717052999</v>
      </c>
      <c r="AU607" s="18">
        <v>4.6616723755351703</v>
      </c>
      <c r="AV607" s="18">
        <v>3.49273933045041</v>
      </c>
      <c r="AW607" s="18">
        <v>4.5940783653377801</v>
      </c>
      <c r="AX607" s="18"/>
      <c r="AY607" s="18">
        <v>1.03919830107711</v>
      </c>
      <c r="AZ607" s="18">
        <v>1.0784254724040401</v>
      </c>
      <c r="BA607" s="18">
        <v>0.96484860761879998</v>
      </c>
      <c r="BB607" s="18">
        <v>1.0007819570579499</v>
      </c>
      <c r="BC607" s="18">
        <v>1.0147899219054599</v>
      </c>
      <c r="BD607" s="18">
        <v>1.00071727591531</v>
      </c>
      <c r="BE607" s="18">
        <v>1.00860011048802</v>
      </c>
      <c r="BF607" s="18">
        <v>1.0193049342228999</v>
      </c>
      <c r="BG607" s="18">
        <v>1.01572731776595</v>
      </c>
      <c r="BH607" s="18">
        <v>0.99971190344787397</v>
      </c>
      <c r="BI607" s="18">
        <v>0.98941597943776904</v>
      </c>
      <c r="BJ607" s="19"/>
      <c r="BK607" s="18">
        <v>23.385280501724761</v>
      </c>
      <c r="BL607" s="18">
        <v>6.8499670546183591</v>
      </c>
      <c r="BM607" s="18">
        <v>7.0780353308548385</v>
      </c>
      <c r="BN607" s="18">
        <v>4.1609538598817979</v>
      </c>
      <c r="BO607" s="18"/>
      <c r="BP607" s="18">
        <v>0</v>
      </c>
      <c r="BQ607" s="18">
        <v>0</v>
      </c>
      <c r="BR607" s="18">
        <v>1.295830661370815</v>
      </c>
      <c r="BS607" s="18">
        <v>1.2863566952386158</v>
      </c>
      <c r="BT607" s="19"/>
      <c r="BU607" s="18">
        <v>929.219646691452</v>
      </c>
      <c r="BV607" s="18">
        <v>462.23296067947194</v>
      </c>
      <c r="BW607" s="18">
        <v>98.905338247317971</v>
      </c>
      <c r="BX607" s="18">
        <v>427.34709900823736</v>
      </c>
      <c r="BY607" s="18">
        <v>38.114769500664046</v>
      </c>
      <c r="BZ607" s="18">
        <v>16.565435186389212</v>
      </c>
      <c r="CA607" s="18">
        <v>66.286358635796574</v>
      </c>
      <c r="CB607" s="19"/>
      <c r="CC607" s="19">
        <v>9.0399999999999494</v>
      </c>
      <c r="CD607" s="19">
        <v>5.7671797420208</v>
      </c>
      <c r="CE607" s="19">
        <v>1.6949999999999901</v>
      </c>
      <c r="CF607" s="19">
        <v>3.7072531098464601</v>
      </c>
      <c r="CG607" s="19">
        <v>8.9429582029545802</v>
      </c>
      <c r="CH607" s="19">
        <v>1.37293091672431</v>
      </c>
      <c r="CI607" s="19">
        <v>1.6927380244958099</v>
      </c>
      <c r="CJ607" s="19"/>
      <c r="CK607" s="19">
        <v>183.99086799290299</v>
      </c>
      <c r="CL607" s="19">
        <v>29.2905425857629</v>
      </c>
      <c r="CM607" s="19">
        <v>70.7747687261257</v>
      </c>
      <c r="CN607" s="19">
        <v>150.762931222823</v>
      </c>
      <c r="CO607" s="19">
        <v>0.23353333333333198</v>
      </c>
      <c r="CP607" s="19">
        <v>0.47628297916856699</v>
      </c>
      <c r="CQ607" s="19">
        <v>174.02</v>
      </c>
      <c r="CR607" s="19">
        <v>154.0000107852286</v>
      </c>
      <c r="HM607" s="620">
        <f t="shared" ref="HM607:HU607" si="595">HM237</f>
        <v>0.47300000000000003</v>
      </c>
      <c r="HN607" s="620">
        <f t="shared" si="595"/>
        <v>0.13</v>
      </c>
      <c r="HO607" s="620">
        <f t="shared" si="595"/>
        <v>0.39100000000000001</v>
      </c>
      <c r="HP607" s="620">
        <f t="shared" si="595"/>
        <v>5.5E-2</v>
      </c>
      <c r="HQ607" s="620">
        <f t="shared" si="595"/>
        <v>3.97</v>
      </c>
      <c r="HR607" s="620">
        <f t="shared" si="595"/>
        <v>4.5999999999999999E-3</v>
      </c>
      <c r="HS607" s="620">
        <f t="shared" si="595"/>
        <v>2.73</v>
      </c>
      <c r="HT607" s="620" t="str">
        <f t="shared" si="595"/>
        <v>as barley</v>
      </c>
      <c r="HU607" s="620" t="str">
        <f t="shared" si="595"/>
        <v>offfarm</v>
      </c>
      <c r="HV607" s="22" t="s">
        <v>2013</v>
      </c>
      <c r="IB607" s="11">
        <f t="shared" ref="IB607:II607" si="596">IB237</f>
        <v>0.47300000000000003</v>
      </c>
      <c r="IC607" s="11">
        <f t="shared" si="596"/>
        <v>0.13</v>
      </c>
      <c r="ID607" s="11">
        <f t="shared" si="596"/>
        <v>0.39100000000000001</v>
      </c>
      <c r="IE607" s="11">
        <f t="shared" si="596"/>
        <v>5.5E-2</v>
      </c>
      <c r="IF607" s="11">
        <f t="shared" si="596"/>
        <v>3.97</v>
      </c>
      <c r="IG607" s="11">
        <f t="shared" si="596"/>
        <v>4.5999999999999999E-3</v>
      </c>
      <c r="IH607" s="11">
        <f t="shared" si="596"/>
        <v>2.73</v>
      </c>
      <c r="II607" s="11" t="str">
        <f t="shared" si="596"/>
        <v>as barley</v>
      </c>
    </row>
    <row r="608" spans="4:243" x14ac:dyDescent="0.25">
      <c r="D608" s="20" t="s">
        <v>1201</v>
      </c>
      <c r="E608" s="14">
        <v>41698</v>
      </c>
      <c r="F608" s="18">
        <v>1.07</v>
      </c>
      <c r="G608" s="18">
        <v>1.0617431262345101</v>
      </c>
      <c r="H608" s="21">
        <v>90.713658615586994</v>
      </c>
      <c r="I608" s="21">
        <v>83.9405385936968</v>
      </c>
      <c r="J608" s="21">
        <v>93.400059161724798</v>
      </c>
      <c r="K608" s="18">
        <v>1</v>
      </c>
      <c r="L608" s="18">
        <v>86.001544950149906</v>
      </c>
      <c r="M608" s="18">
        <v>15.6605533172826</v>
      </c>
      <c r="N608" s="18">
        <v>2.2952222434262999</v>
      </c>
      <c r="O608" s="18">
        <v>4.9382782715524103</v>
      </c>
      <c r="P608" s="18">
        <v>3.1971270045281401</v>
      </c>
      <c r="Q608" s="19"/>
      <c r="R608" s="18">
        <v>84.934960214588102</v>
      </c>
      <c r="S608" s="18">
        <v>50.954987420561402</v>
      </c>
      <c r="T608" s="18">
        <v>55.6865780493073</v>
      </c>
      <c r="U608" s="18">
        <v>57.795284175406898</v>
      </c>
      <c r="V608" s="18">
        <v>59.210888412967797</v>
      </c>
      <c r="W608" s="18">
        <v>60.369403462255299</v>
      </c>
      <c r="X608" s="18"/>
      <c r="Y608" s="18">
        <v>8.0870640219677554</v>
      </c>
      <c r="Z608" s="18">
        <v>5.1522941437761425</v>
      </c>
      <c r="AA608" s="18">
        <v>1.8662455435310203</v>
      </c>
      <c r="AB608" s="18">
        <v>4.2603614174810049</v>
      </c>
      <c r="AC608" s="18">
        <v>8.659539971665648</v>
      </c>
      <c r="AD608" s="18">
        <v>1.480316664693744</v>
      </c>
      <c r="AE608" s="18">
        <v>1.6570241109835502</v>
      </c>
      <c r="AF608" s="18">
        <v>97.573489022778574</v>
      </c>
      <c r="AG608" s="18">
        <v>30.105546814242629</v>
      </c>
      <c r="AH608" s="18">
        <v>79.004350750653188</v>
      </c>
      <c r="AI608" s="18">
        <v>164.28599906861061</v>
      </c>
      <c r="AJ608" s="18">
        <v>0.24883273913746939</v>
      </c>
      <c r="AK608" s="18">
        <v>0.32399817567618977</v>
      </c>
      <c r="AL608" s="18"/>
      <c r="AM608" s="18">
        <v>5.9683294479742601</v>
      </c>
      <c r="AN608" s="18">
        <v>1.82369955352084</v>
      </c>
      <c r="AO608" s="18">
        <v>1.79133364797212</v>
      </c>
      <c r="AP608" s="18">
        <v>4.0892569522798397</v>
      </c>
      <c r="AQ608" s="18">
        <v>1.27997389583361</v>
      </c>
      <c r="AR608" s="18">
        <v>3.79316706455465</v>
      </c>
      <c r="AS608" s="18">
        <v>7.01084456942408</v>
      </c>
      <c r="AT608" s="18">
        <v>2.4079446990557898</v>
      </c>
      <c r="AU608" s="18">
        <v>4.5389849345261402</v>
      </c>
      <c r="AV608" s="18">
        <v>3.1981927468687501</v>
      </c>
      <c r="AW608" s="18">
        <v>4.4228247622862504</v>
      </c>
      <c r="AX608" s="18"/>
      <c r="AY608" s="18">
        <v>1.0378345508364231</v>
      </c>
      <c r="AZ608" s="18">
        <v>1.0586396050845164</v>
      </c>
      <c r="BA608" s="18">
        <v>0.97355354203005062</v>
      </c>
      <c r="BB608" s="18">
        <v>1.0032656959520323</v>
      </c>
      <c r="BC608" s="18">
        <v>1.0067741582751266</v>
      </c>
      <c r="BD608" s="18">
        <v>1.0006349297519934</v>
      </c>
      <c r="BE608" s="18">
        <v>1.0054975676651752</v>
      </c>
      <c r="BF608" s="18">
        <v>1.0127320826627284</v>
      </c>
      <c r="BG608" s="18">
        <v>1.017150934931309</v>
      </c>
      <c r="BH608" s="18">
        <v>1.004891166237988</v>
      </c>
      <c r="BI608" s="18">
        <v>0.98216445993708235</v>
      </c>
      <c r="BJ608" s="19"/>
      <c r="BK608" s="18">
        <v>18.209618590410336</v>
      </c>
      <c r="BL608" s="18">
        <v>2.6688151297243632</v>
      </c>
      <c r="BM608" s="18">
        <v>5.7420808828665146</v>
      </c>
      <c r="BN608" s="18">
        <v>3.7175227565752786</v>
      </c>
      <c r="BO608" s="18"/>
      <c r="BP608" s="18" t="s">
        <v>217</v>
      </c>
      <c r="BQ608" s="18">
        <v>28.439647381846211</v>
      </c>
      <c r="BR608" s="18">
        <v>1.244163695687347</v>
      </c>
      <c r="BS608" s="18">
        <v>1.2345628521556686</v>
      </c>
      <c r="BT608" s="19"/>
      <c r="BU608" s="18">
        <v>942.57919117133486</v>
      </c>
      <c r="BV608" s="18">
        <v>572.25029844022947</v>
      </c>
      <c r="BW608" s="18">
        <v>91.202885599137232</v>
      </c>
      <c r="BX608" s="18">
        <v>537.66250067529279</v>
      </c>
      <c r="BY608" s="18">
        <v>32.303866213242458</v>
      </c>
      <c r="BZ608" s="18">
        <v>21.432755692875226</v>
      </c>
      <c r="CA608" s="18">
        <v>90.154865583553288</v>
      </c>
      <c r="CB608" s="19"/>
      <c r="CC608" s="19">
        <v>6.9550000000000001</v>
      </c>
      <c r="CD608" s="19">
        <v>4.4310525640235809</v>
      </c>
      <c r="CE608" s="19">
        <v>1.605</v>
      </c>
      <c r="CF608" s="19">
        <v>3.6639766394937703</v>
      </c>
      <c r="CG608" s="19">
        <v>7.447338161208231</v>
      </c>
      <c r="CH608" s="19">
        <v>1.2730952017911501</v>
      </c>
      <c r="CI608" s="19">
        <v>1.4250663356423399</v>
      </c>
      <c r="CJ608" s="19"/>
      <c r="CK608" s="19">
        <v>83.9147080213545</v>
      </c>
      <c r="CL608" s="19">
        <v>25.891235375939299</v>
      </c>
      <c r="CM608" s="19">
        <v>67.944962223397098</v>
      </c>
      <c r="CN608" s="19">
        <v>141.28849733579401</v>
      </c>
      <c r="CO608" s="19">
        <v>0.21400000000000002</v>
      </c>
      <c r="CP608" s="19">
        <v>0.27864343669182401</v>
      </c>
      <c r="CQ608" s="19">
        <v>133.01284729418299</v>
      </c>
      <c r="CR608" s="19">
        <v>124.31107223755419</v>
      </c>
      <c r="HM608" s="620">
        <f t="shared" ref="HM608:HU608" si="597">HM238</f>
        <v>0.47300000000000003</v>
      </c>
      <c r="HN608" s="620">
        <f t="shared" si="597"/>
        <v>0.13</v>
      </c>
      <c r="HO608" s="620">
        <f t="shared" si="597"/>
        <v>0.39100000000000001</v>
      </c>
      <c r="HP608" s="620">
        <f t="shared" si="597"/>
        <v>5.5E-2</v>
      </c>
      <c r="HQ608" s="620">
        <f t="shared" si="597"/>
        <v>3.97</v>
      </c>
      <c r="HR608" s="620">
        <f t="shared" si="597"/>
        <v>4.5999999999999999E-3</v>
      </c>
      <c r="HS608" s="620">
        <f t="shared" si="597"/>
        <v>2.73</v>
      </c>
      <c r="HT608" s="620" t="str">
        <f t="shared" si="597"/>
        <v>as barley</v>
      </c>
      <c r="HU608" s="620" t="str">
        <f t="shared" si="597"/>
        <v>offfarm</v>
      </c>
      <c r="HV608" s="22" t="s">
        <v>2013</v>
      </c>
      <c r="IB608" s="11">
        <f t="shared" ref="IB608:II608" si="598">IB238</f>
        <v>0.47300000000000003</v>
      </c>
      <c r="IC608" s="11">
        <f t="shared" si="598"/>
        <v>0.13</v>
      </c>
      <c r="ID608" s="11">
        <f t="shared" si="598"/>
        <v>0.39100000000000001</v>
      </c>
      <c r="IE608" s="11">
        <f t="shared" si="598"/>
        <v>5.5E-2</v>
      </c>
      <c r="IF608" s="11">
        <f t="shared" si="598"/>
        <v>3.97</v>
      </c>
      <c r="IG608" s="11">
        <f t="shared" si="598"/>
        <v>4.5999999999999999E-3</v>
      </c>
      <c r="IH608" s="11">
        <f t="shared" si="598"/>
        <v>2.73</v>
      </c>
      <c r="II608" s="11" t="str">
        <f t="shared" si="598"/>
        <v>as barley</v>
      </c>
    </row>
    <row r="609" spans="4:243" x14ac:dyDescent="0.25">
      <c r="D609" s="20" t="s">
        <v>1202</v>
      </c>
      <c r="E609" s="14">
        <v>41697</v>
      </c>
      <c r="F609" s="18">
        <v>1.08999982927987</v>
      </c>
      <c r="G609" s="18">
        <v>1.08092893568316</v>
      </c>
      <c r="H609" s="21">
        <v>90.955421095269799</v>
      </c>
      <c r="I609" s="21">
        <v>84.009436413753406</v>
      </c>
      <c r="J609" s="21">
        <v>94.560527566907197</v>
      </c>
      <c r="K609" s="18">
        <v>1</v>
      </c>
      <c r="L609" s="18">
        <v>86.149937370976602</v>
      </c>
      <c r="M609" s="18">
        <v>16.190688925869999</v>
      </c>
      <c r="N609" s="18">
        <v>3.2684726156766599</v>
      </c>
      <c r="O609" s="18">
        <v>5.2887374357576897</v>
      </c>
      <c r="P609" s="18">
        <v>3.0643202550879902</v>
      </c>
      <c r="Q609" s="19"/>
      <c r="R609" s="18">
        <v>85.499758925521505</v>
      </c>
      <c r="S609" s="18">
        <v>51.510952787349197</v>
      </c>
      <c r="T609" s="18">
        <v>56.565359919570199</v>
      </c>
      <c r="U609" s="18">
        <v>58.746795055641201</v>
      </c>
      <c r="V609" s="18">
        <v>60.310572459628503</v>
      </c>
      <c r="W609" s="18">
        <v>61.528581433576299</v>
      </c>
      <c r="X609" s="18"/>
      <c r="Y609" s="18">
        <v>8.8566518245322623</v>
      </c>
      <c r="Z609" s="18">
        <v>5.3464803806302594</v>
      </c>
      <c r="AA609" s="18">
        <v>1.8978539623997703</v>
      </c>
      <c r="AB609" s="18">
        <v>4.4753210285184846</v>
      </c>
      <c r="AC609" s="18">
        <v>8.9385803261253436</v>
      </c>
      <c r="AD609" s="18">
        <v>1.5366306478694347</v>
      </c>
      <c r="AE609" s="18">
        <v>1.6777450973184207</v>
      </c>
      <c r="AF609" s="18">
        <v>102.74109268010004</v>
      </c>
      <c r="AG609" s="18">
        <v>30.343955463352952</v>
      </c>
      <c r="AH609" s="18">
        <v>79.694314331503492</v>
      </c>
      <c r="AI609" s="18">
        <v>164.78186473348188</v>
      </c>
      <c r="AJ609" s="18">
        <v>0.25304719498663603</v>
      </c>
      <c r="AK609" s="18">
        <v>0.33355499763007374</v>
      </c>
      <c r="AL609" s="18"/>
      <c r="AM609" s="18">
        <v>6.2696686875797401</v>
      </c>
      <c r="AN609" s="18">
        <v>1.92604176471432</v>
      </c>
      <c r="AO609" s="18">
        <v>1.7911155910857399</v>
      </c>
      <c r="AP609" s="18">
        <v>4.2251388418681497</v>
      </c>
      <c r="AQ609" s="18">
        <v>1.31793550946733</v>
      </c>
      <c r="AR609" s="18">
        <v>3.8544529788241899</v>
      </c>
      <c r="AS609" s="18">
        <v>7.0522898683398401</v>
      </c>
      <c r="AT609" s="18">
        <v>2.4055187497498198</v>
      </c>
      <c r="AU609" s="18">
        <v>4.6108737458735698</v>
      </c>
      <c r="AV609" s="18">
        <v>3.22845335968222</v>
      </c>
      <c r="AW609" s="18">
        <v>4.6147910650506399</v>
      </c>
      <c r="AX609" s="18"/>
      <c r="AY609" s="18">
        <v>1.0423889038687</v>
      </c>
      <c r="AZ609" s="18">
        <v>1.0629281939749899</v>
      </c>
      <c r="BA609" s="18">
        <v>0.97454216694848605</v>
      </c>
      <c r="BB609" s="18">
        <v>1.0063500072004701</v>
      </c>
      <c r="BC609" s="18">
        <v>1.0106733875259499</v>
      </c>
      <c r="BD609" s="18">
        <v>1.0027730842504601</v>
      </c>
      <c r="BE609" s="18">
        <v>1.0039575749193399</v>
      </c>
      <c r="BF609" s="18">
        <v>1.0121596164583899</v>
      </c>
      <c r="BG609" s="18">
        <v>1.01810467617098</v>
      </c>
      <c r="BH609" s="18">
        <v>1.0097692437567001</v>
      </c>
      <c r="BI609" s="18">
        <v>0.989628581117172</v>
      </c>
      <c r="BJ609" s="19"/>
      <c r="BK609" s="18">
        <v>18.793616594461444</v>
      </c>
      <c r="BL609" s="18">
        <v>3.7939349875578539</v>
      </c>
      <c r="BM609" s="18">
        <v>6.1389916199050347</v>
      </c>
      <c r="BN609" s="18">
        <v>3.5569616747282065</v>
      </c>
      <c r="BO609" s="18"/>
      <c r="BP609" s="18">
        <v>0</v>
      </c>
      <c r="BQ609" s="18">
        <v>0</v>
      </c>
      <c r="BR609" s="18">
        <v>1.2652357767668958</v>
      </c>
      <c r="BS609" s="18">
        <v>1.2547065832775852</v>
      </c>
      <c r="BT609" s="19"/>
      <c r="BU609" s="18">
        <v>938.6100838009495</v>
      </c>
      <c r="BV609" s="18">
        <v>552.75694143207568</v>
      </c>
      <c r="BW609" s="18">
        <v>93.136732342831564</v>
      </c>
      <c r="BX609" s="18">
        <v>511.40961788046343</v>
      </c>
      <c r="BY609" s="18">
        <v>35.421754704633592</v>
      </c>
      <c r="BZ609" s="18">
        <v>23.565625993216269</v>
      </c>
      <c r="CA609" s="18">
        <v>93.475064581845004</v>
      </c>
      <c r="CB609" s="19"/>
      <c r="CC609" s="19">
        <v>7.6300000000000008</v>
      </c>
      <c r="CD609" s="19">
        <v>4.6059894994645196</v>
      </c>
      <c r="CE609" s="19">
        <v>1.635</v>
      </c>
      <c r="CF609" s="19">
        <v>3.8554862632188205</v>
      </c>
      <c r="CG609" s="19">
        <v>7.7005813528114198</v>
      </c>
      <c r="CH609" s="19">
        <v>1.3238063407627501</v>
      </c>
      <c r="CI609" s="19">
        <v>1.4453763505844499</v>
      </c>
      <c r="CJ609" s="19"/>
      <c r="CK609" s="19">
        <v>88.511386998163218</v>
      </c>
      <c r="CL609" s="19">
        <v>26.141298627555603</v>
      </c>
      <c r="CM609" s="19">
        <v>68.656601884819494</v>
      </c>
      <c r="CN609" s="19">
        <v>141.95947326662201</v>
      </c>
      <c r="CO609" s="19">
        <v>0.21799999999999997</v>
      </c>
      <c r="CP609" s="19">
        <v>0.28735742155607102</v>
      </c>
      <c r="CQ609" s="19">
        <v>138.43</v>
      </c>
      <c r="CR609" s="19">
        <v>127.00001989124762</v>
      </c>
      <c r="HM609" s="620">
        <f t="shared" ref="HM609:HU609" si="599">HM239</f>
        <v>0.47300000000000003</v>
      </c>
      <c r="HN609" s="620">
        <f t="shared" si="599"/>
        <v>0.13</v>
      </c>
      <c r="HO609" s="620">
        <f t="shared" si="599"/>
        <v>0.39100000000000001</v>
      </c>
      <c r="HP609" s="620">
        <f t="shared" si="599"/>
        <v>5.5E-2</v>
      </c>
      <c r="HQ609" s="620">
        <f t="shared" si="599"/>
        <v>3.97</v>
      </c>
      <c r="HR609" s="620">
        <f t="shared" si="599"/>
        <v>4.5999999999999999E-3</v>
      </c>
      <c r="HS609" s="620">
        <f t="shared" si="599"/>
        <v>2.73</v>
      </c>
      <c r="HT609" s="620" t="str">
        <f t="shared" si="599"/>
        <v>as barley</v>
      </c>
      <c r="HU609" s="620" t="str">
        <f t="shared" si="599"/>
        <v>offfarm</v>
      </c>
      <c r="HV609" s="22" t="s">
        <v>2013</v>
      </c>
      <c r="IB609" s="11">
        <f t="shared" ref="IB609:II609" si="600">IB239</f>
        <v>0.47300000000000003</v>
      </c>
      <c r="IC609" s="11">
        <f t="shared" si="600"/>
        <v>0.13</v>
      </c>
      <c r="ID609" s="11">
        <f t="shared" si="600"/>
        <v>0.39100000000000001</v>
      </c>
      <c r="IE609" s="11">
        <f t="shared" si="600"/>
        <v>5.5E-2</v>
      </c>
      <c r="IF609" s="11">
        <f t="shared" si="600"/>
        <v>3.97</v>
      </c>
      <c r="IG609" s="11">
        <f t="shared" si="600"/>
        <v>4.5999999999999999E-3</v>
      </c>
      <c r="IH609" s="11">
        <f t="shared" si="600"/>
        <v>2.73</v>
      </c>
      <c r="II609" s="11" t="str">
        <f t="shared" si="600"/>
        <v>as barley</v>
      </c>
    </row>
    <row r="610" spans="4:243" x14ac:dyDescent="0.25">
      <c r="D610" s="20" t="s">
        <v>1208</v>
      </c>
      <c r="E610" s="14">
        <v>41698</v>
      </c>
      <c r="F610" s="18">
        <v>1.06727685083183</v>
      </c>
      <c r="G610" s="18">
        <v>1.05999983250081</v>
      </c>
      <c r="H610" s="21">
        <v>89.834753942126696</v>
      </c>
      <c r="I610" s="21">
        <v>83.211472898286104</v>
      </c>
      <c r="J610" s="21">
        <v>93.856616973345197</v>
      </c>
      <c r="K610" s="18">
        <v>1</v>
      </c>
      <c r="L610" s="18">
        <v>85.913178103667093</v>
      </c>
      <c r="M610" s="18">
        <v>14.0540617840095</v>
      </c>
      <c r="N610" s="18">
        <v>2.7902306218777602</v>
      </c>
      <c r="O610" s="18">
        <v>5.2450259644203197</v>
      </c>
      <c r="P610" s="18">
        <v>3.40701309490326</v>
      </c>
      <c r="Q610" s="19"/>
      <c r="R610" s="18">
        <v>83.984485890047196</v>
      </c>
      <c r="S610" s="18">
        <v>52.326770528364897</v>
      </c>
      <c r="T610" s="18">
        <v>56.828871638818498</v>
      </c>
      <c r="U610" s="18">
        <v>58.702998583155797</v>
      </c>
      <c r="V610" s="18">
        <v>60.107574383224602</v>
      </c>
      <c r="W610" s="18">
        <v>61.135226572403901</v>
      </c>
      <c r="X610" s="18"/>
      <c r="Y610" s="18">
        <v>9.2535280098789237</v>
      </c>
      <c r="Z610" s="18">
        <v>5.4490189540904312</v>
      </c>
      <c r="AA610" s="18">
        <v>1.8507056019757846</v>
      </c>
      <c r="AB610" s="18">
        <v>4.2635321987947767</v>
      </c>
      <c r="AC610" s="18">
        <v>8.0153931530534166</v>
      </c>
      <c r="AD610" s="18">
        <v>1.4360078582583367</v>
      </c>
      <c r="AE610" s="18">
        <v>1.5218587268381265</v>
      </c>
      <c r="AF610" s="18">
        <v>93.008224158001667</v>
      </c>
      <c r="AG610" s="18">
        <v>11.850162455708926</v>
      </c>
      <c r="AH610" s="18">
        <v>74.969858268979905</v>
      </c>
      <c r="AI610" s="18">
        <v>159.24782506818499</v>
      </c>
      <c r="AJ610" s="18">
        <v>0.24676074693010344</v>
      </c>
      <c r="AK610" s="18">
        <v>0.31689854451936056</v>
      </c>
      <c r="AL610" s="18"/>
      <c r="AM610" s="18">
        <v>5.7247360540933796</v>
      </c>
      <c r="AN610" s="18">
        <v>1.7831073755629301</v>
      </c>
      <c r="AO610" s="18">
        <v>1.9070395519307599</v>
      </c>
      <c r="AP610" s="18">
        <v>3.8930915455878599</v>
      </c>
      <c r="AQ610" s="18">
        <v>1.3312317604738599</v>
      </c>
      <c r="AR610" s="18">
        <v>3.8249195980321899</v>
      </c>
      <c r="AS610" s="18">
        <v>7.05242422997582</v>
      </c>
      <c r="AT610" s="18">
        <v>2.3996759082002201</v>
      </c>
      <c r="AU610" s="18">
        <v>4.6408990437335502</v>
      </c>
      <c r="AV610" s="18">
        <v>3.2228162758406902</v>
      </c>
      <c r="AW610" s="18">
        <v>4.5873497950517796</v>
      </c>
      <c r="AX610" s="18"/>
      <c r="AY610" s="18">
        <v>1.0353648253841701</v>
      </c>
      <c r="AZ610" s="18">
        <v>1.05766160049211</v>
      </c>
      <c r="BA610" s="18">
        <v>0.979691992285043</v>
      </c>
      <c r="BB610" s="18">
        <v>0.991924867543717</v>
      </c>
      <c r="BC610" s="18">
        <v>1.0040581675503499</v>
      </c>
      <c r="BD610" s="18">
        <v>1.00382666231561</v>
      </c>
      <c r="BE610" s="18">
        <v>1.00577966375253</v>
      </c>
      <c r="BF610" s="18">
        <v>1.0114859790158901</v>
      </c>
      <c r="BG610" s="18">
        <v>1.02149306013478</v>
      </c>
      <c r="BH610" s="18">
        <v>1.00573566093148</v>
      </c>
      <c r="BI610" s="18">
        <v>0.97884310474108405</v>
      </c>
      <c r="BJ610" s="19"/>
      <c r="BK610" s="18">
        <v>16.358447090679352</v>
      </c>
      <c r="BL610" s="18">
        <v>3.2477329828387091</v>
      </c>
      <c r="BM610" s="18">
        <v>6.1050307766422183</v>
      </c>
      <c r="BN610" s="18">
        <v>3.9656466797121501</v>
      </c>
      <c r="BO610" s="18"/>
      <c r="BP610" s="18">
        <v>0</v>
      </c>
      <c r="BQ610" s="18">
        <v>0</v>
      </c>
      <c r="BR610" s="18">
        <v>1.2422737400588311</v>
      </c>
      <c r="BS610" s="18">
        <v>1.2338035396871965</v>
      </c>
      <c r="BT610" s="19"/>
      <c r="BU610" s="18">
        <v>938.94969223357805</v>
      </c>
      <c r="BV610" s="18">
        <v>574.29644294694879</v>
      </c>
      <c r="BW610" s="18">
        <v>88.841824252722972</v>
      </c>
      <c r="BX610" s="18">
        <v>535.92030663768958</v>
      </c>
      <c r="BY610" s="18">
        <v>31.20137366093202</v>
      </c>
      <c r="BZ610" s="18">
        <v>30.499755166262027</v>
      </c>
      <c r="CA610" s="18">
        <v>109.325922679231</v>
      </c>
      <c r="CB610" s="19"/>
      <c r="CC610" s="19">
        <v>7.9500000000000011</v>
      </c>
      <c r="CD610" s="19">
        <v>4.6814253589302899</v>
      </c>
      <c r="CE610" s="19">
        <v>1.59</v>
      </c>
      <c r="CF610" s="19">
        <v>3.6629360114577505</v>
      </c>
      <c r="CG610" s="19">
        <v>6.8862789952919199</v>
      </c>
      <c r="CH610" s="19">
        <v>1.23371998884814</v>
      </c>
      <c r="CI610" s="19">
        <v>1.3074771984746403</v>
      </c>
      <c r="CJ610" s="19"/>
      <c r="CK610" s="19">
        <v>79.906321271921897</v>
      </c>
      <c r="CL610" s="19">
        <v>10.180851176147101</v>
      </c>
      <c r="CM610" s="19">
        <v>64.408987858695497</v>
      </c>
      <c r="CN610" s="19">
        <v>136.81486757704599</v>
      </c>
      <c r="CO610" s="19">
        <v>0.21199999999999902</v>
      </c>
      <c r="CP610" s="19">
        <v>0.272257610960847</v>
      </c>
      <c r="CQ610" s="19">
        <v>118.03231535969999</v>
      </c>
      <c r="CR610" s="19">
        <v>110.59203173731935</v>
      </c>
      <c r="HM610" s="620">
        <f t="shared" ref="HM610:HU610" si="601">HM240</f>
        <v>0.47300000000000003</v>
      </c>
      <c r="HN610" s="620">
        <f t="shared" si="601"/>
        <v>0.13</v>
      </c>
      <c r="HO610" s="620">
        <f t="shared" si="601"/>
        <v>0.39100000000000001</v>
      </c>
      <c r="HP610" s="620">
        <f t="shared" si="601"/>
        <v>5.5E-2</v>
      </c>
      <c r="HQ610" s="620">
        <f t="shared" si="601"/>
        <v>3.97</v>
      </c>
      <c r="HR610" s="620">
        <f t="shared" si="601"/>
        <v>4.5999999999999999E-3</v>
      </c>
      <c r="HS610" s="620">
        <f t="shared" si="601"/>
        <v>2.73</v>
      </c>
      <c r="HT610" s="620" t="str">
        <f t="shared" si="601"/>
        <v>as barley</v>
      </c>
      <c r="HU610" s="620" t="str">
        <f t="shared" si="601"/>
        <v>offfarm</v>
      </c>
      <c r="HV610" s="22" t="s">
        <v>2013</v>
      </c>
      <c r="IB610" s="11">
        <f t="shared" ref="IB610:II610" si="602">IB240</f>
        <v>0.47300000000000003</v>
      </c>
      <c r="IC610" s="11">
        <f t="shared" si="602"/>
        <v>0.13</v>
      </c>
      <c r="ID610" s="11">
        <f t="shared" si="602"/>
        <v>0.39100000000000001</v>
      </c>
      <c r="IE610" s="11">
        <f t="shared" si="602"/>
        <v>5.5E-2</v>
      </c>
      <c r="IF610" s="11">
        <f t="shared" si="602"/>
        <v>3.97</v>
      </c>
      <c r="IG610" s="11">
        <f t="shared" si="602"/>
        <v>4.5999999999999999E-3</v>
      </c>
      <c r="IH610" s="11">
        <f t="shared" si="602"/>
        <v>2.73</v>
      </c>
      <c r="II610" s="11" t="str">
        <f t="shared" si="602"/>
        <v>as barley</v>
      </c>
    </row>
    <row r="611" spans="4:243" x14ac:dyDescent="0.25">
      <c r="D611" s="20" t="s">
        <v>1207</v>
      </c>
      <c r="E611" s="14">
        <v>41698</v>
      </c>
      <c r="F611" s="18">
        <v>1.0172427988141901</v>
      </c>
      <c r="G611" s="18">
        <v>1.01743296884789</v>
      </c>
      <c r="H611" s="21">
        <v>86.556433133689197</v>
      </c>
      <c r="I611" s="21">
        <v>80.099455224393594</v>
      </c>
      <c r="J611" s="21">
        <v>91.727647712123897</v>
      </c>
      <c r="K611" s="18">
        <v>1</v>
      </c>
      <c r="L611" s="18">
        <v>85.778590411991999</v>
      </c>
      <c r="M611" s="18">
        <v>11.4265156341223</v>
      </c>
      <c r="N611" s="18">
        <v>2.17043205583099</v>
      </c>
      <c r="O611" s="18">
        <v>4.4945521615266397</v>
      </c>
      <c r="P611" s="18">
        <v>4.9275098221209399</v>
      </c>
      <c r="Q611" s="19"/>
      <c r="R611" s="18">
        <v>80.139710647111698</v>
      </c>
      <c r="S611" s="18">
        <v>41.834409703531101</v>
      </c>
      <c r="T611" s="18">
        <v>47.482283201793003</v>
      </c>
      <c r="U611" s="18">
        <v>49.410981102374301</v>
      </c>
      <c r="V611" s="18">
        <v>51.339679002955499</v>
      </c>
      <c r="W611" s="18">
        <v>52.467500334583001</v>
      </c>
      <c r="X611" s="18"/>
      <c r="Y611" s="18">
        <v>7.7099849475040783</v>
      </c>
      <c r="Z611" s="18">
        <v>4.5214714740409114</v>
      </c>
      <c r="AA611" s="18">
        <v>1.7792272955778545</v>
      </c>
      <c r="AB611" s="18">
        <v>3.4337891750320835</v>
      </c>
      <c r="AC611" s="18">
        <v>5.5363705086833983</v>
      </c>
      <c r="AD611" s="18">
        <v>1.4235393166329289</v>
      </c>
      <c r="AE611" s="18">
        <v>1.2300721408836066</v>
      </c>
      <c r="AF611" s="18">
        <v>73.089951832980177</v>
      </c>
      <c r="AG611" s="18">
        <v>12.394905788188149</v>
      </c>
      <c r="AH611" s="18">
        <v>64.31065725189076</v>
      </c>
      <c r="AI611" s="18">
        <v>149.33363471250271</v>
      </c>
      <c r="AJ611" s="18">
        <v>0.2372303060770492</v>
      </c>
      <c r="AK611" s="18">
        <v>0.26992983584967961</v>
      </c>
      <c r="AL611" s="18"/>
      <c r="AM611" s="18">
        <v>3.77850563720573</v>
      </c>
      <c r="AN611" s="18">
        <v>1.8440611066285</v>
      </c>
      <c r="AO611" s="18">
        <v>2.1922782689351901</v>
      </c>
      <c r="AP611" s="18">
        <v>3.4690077767752299</v>
      </c>
      <c r="AQ611" s="18">
        <v>1.25410285186934</v>
      </c>
      <c r="AR611" s="18">
        <v>3.6617880570761101</v>
      </c>
      <c r="AS611" s="18">
        <v>6.5699628466788402</v>
      </c>
      <c r="AT611" s="18">
        <v>2.3086091250310701</v>
      </c>
      <c r="AU611" s="18">
        <v>4.5176551714576503</v>
      </c>
      <c r="AV611" s="18">
        <v>2.8693152039805501</v>
      </c>
      <c r="AW611" s="18">
        <v>4.8946859705465497</v>
      </c>
      <c r="AX611" s="18"/>
      <c r="AY611" s="18">
        <v>0.97040126937013904</v>
      </c>
      <c r="AZ611" s="18">
        <v>1.0677794347359699</v>
      </c>
      <c r="BA611" s="18">
        <v>1.0210815860551801</v>
      </c>
      <c r="BB611" s="18">
        <v>0.96088955339038795</v>
      </c>
      <c r="BC611" s="18">
        <v>0.95654219210887903</v>
      </c>
      <c r="BD611" s="18">
        <v>1.00104908764748</v>
      </c>
      <c r="BE611" s="18">
        <v>1.0036460898862301</v>
      </c>
      <c r="BF611" s="18">
        <v>1.0144880748017799</v>
      </c>
      <c r="BG611" s="18">
        <v>1.0371593197614</v>
      </c>
      <c r="BH611" s="18">
        <v>0.98172772958896903</v>
      </c>
      <c r="BI611" s="18">
        <v>0.97096132096390597</v>
      </c>
      <c r="BJ611" s="19"/>
      <c r="BK611" s="18">
        <v>13.320941250306268</v>
      </c>
      <c r="BL611" s="18">
        <v>2.5302724670648815</v>
      </c>
      <c r="BM611" s="18">
        <v>5.2397132430591835</v>
      </c>
      <c r="BN611" s="18">
        <v>5.7444518480127247</v>
      </c>
      <c r="BO611" s="18"/>
      <c r="BP611" s="18">
        <v>0</v>
      </c>
      <c r="BQ611" s="18">
        <v>0</v>
      </c>
      <c r="BR611" s="18">
        <v>1.1858935824526884</v>
      </c>
      <c r="BS611" s="18">
        <v>1.1861152811688673</v>
      </c>
      <c r="BT611" s="19"/>
      <c r="BU611" s="18">
        <v>947.60286756940752</v>
      </c>
      <c r="BV611" s="18">
        <v>587.03773723687868</v>
      </c>
      <c r="BW611" s="18">
        <v>87.409296895440562</v>
      </c>
      <c r="BX611" s="18">
        <v>548.49011544993641</v>
      </c>
      <c r="BY611" s="18">
        <v>28.58121070047747</v>
      </c>
      <c r="BZ611" s="18">
        <v>32.333234100683356</v>
      </c>
      <c r="CA611" s="18">
        <v>111.97085356969804</v>
      </c>
      <c r="CB611" s="19"/>
      <c r="CC611" s="19">
        <v>6.6135164089457597</v>
      </c>
      <c r="CD611" s="19">
        <v>3.8784544963126102</v>
      </c>
      <c r="CE611" s="19">
        <v>1.52619609437209</v>
      </c>
      <c r="CF611" s="19">
        <v>2.94545595206209</v>
      </c>
      <c r="CG611" s="19">
        <v>4.7490205823338503</v>
      </c>
      <c r="CH611" s="19">
        <v>1.2210919597682299</v>
      </c>
      <c r="CI611" s="19">
        <v>1.05513854350057</v>
      </c>
      <c r="CJ611" s="19"/>
      <c r="CK611" s="19">
        <v>62.6955304151343</v>
      </c>
      <c r="CL611" s="19">
        <v>10.632175468002201</v>
      </c>
      <c r="CM611" s="19">
        <v>55.164775275359403</v>
      </c>
      <c r="CN611" s="19">
        <v>128.09628686737801</v>
      </c>
      <c r="CO611" s="19">
        <v>0.20349281258294699</v>
      </c>
      <c r="CP611" s="19">
        <v>0.23154200829325899</v>
      </c>
      <c r="CQ611" s="19">
        <v>91.571765662326001</v>
      </c>
      <c r="CR611" s="19">
        <v>90.019576220222064</v>
      </c>
      <c r="HM611" s="620">
        <f t="shared" ref="HM611:HU611" si="603">HM241</f>
        <v>0.47300000000000003</v>
      </c>
      <c r="HN611" s="620">
        <f t="shared" si="603"/>
        <v>0.13</v>
      </c>
      <c r="HO611" s="620">
        <f t="shared" si="603"/>
        <v>0.39100000000000001</v>
      </c>
      <c r="HP611" s="620">
        <f t="shared" si="603"/>
        <v>5.5E-2</v>
      </c>
      <c r="HQ611" s="620">
        <f t="shared" si="603"/>
        <v>3.97</v>
      </c>
      <c r="HR611" s="620">
        <f t="shared" si="603"/>
        <v>4.5999999999999999E-3</v>
      </c>
      <c r="HS611" s="620">
        <f t="shared" si="603"/>
        <v>2.73</v>
      </c>
      <c r="HT611" s="620" t="str">
        <f t="shared" si="603"/>
        <v>as barley</v>
      </c>
      <c r="HU611" s="620" t="str">
        <f t="shared" si="603"/>
        <v>offfarm</v>
      </c>
      <c r="HV611" s="22" t="s">
        <v>2013</v>
      </c>
      <c r="IB611" s="11">
        <f t="shared" ref="IB611:II611" si="604">IB241</f>
        <v>0.47300000000000003</v>
      </c>
      <c r="IC611" s="11">
        <f t="shared" si="604"/>
        <v>0.13</v>
      </c>
      <c r="ID611" s="11">
        <f t="shared" si="604"/>
        <v>0.39100000000000001</v>
      </c>
      <c r="IE611" s="11">
        <f t="shared" si="604"/>
        <v>5.5E-2</v>
      </c>
      <c r="IF611" s="11">
        <f t="shared" si="604"/>
        <v>3.97</v>
      </c>
      <c r="IG611" s="11">
        <f t="shared" si="604"/>
        <v>4.5999999999999999E-3</v>
      </c>
      <c r="IH611" s="11">
        <f t="shared" si="604"/>
        <v>2.73</v>
      </c>
      <c r="II611" s="11" t="str">
        <f t="shared" si="604"/>
        <v>as barley</v>
      </c>
    </row>
    <row r="612" spans="4:243" x14ac:dyDescent="0.25">
      <c r="D612" s="20" t="s">
        <v>1203</v>
      </c>
      <c r="E612" s="14">
        <v>41697</v>
      </c>
      <c r="F612" s="18">
        <v>1.0466266021950299</v>
      </c>
      <c r="G612" s="18">
        <v>1.0213688724661201</v>
      </c>
      <c r="H612" s="21">
        <v>94.266033080368999</v>
      </c>
      <c r="I612" s="21">
        <v>90.725196398008293</v>
      </c>
      <c r="J612" s="21">
        <v>93.124109500831196</v>
      </c>
      <c r="K612" s="18">
        <v>1</v>
      </c>
      <c r="L612" s="18">
        <v>88.649292836714693</v>
      </c>
      <c r="M612" s="18">
        <v>27.986644446233999</v>
      </c>
      <c r="N612" s="18">
        <v>4.2869456254632903</v>
      </c>
      <c r="O612" s="18">
        <v>16.280878068136101</v>
      </c>
      <c r="P612" s="18">
        <v>1.55264933910387</v>
      </c>
      <c r="Q612" s="19"/>
      <c r="R612" s="18">
        <v>90.982021751423602</v>
      </c>
      <c r="S612" s="18">
        <v>60.563993104748398</v>
      </c>
      <c r="T612" s="18">
        <v>62.494795173323901</v>
      </c>
      <c r="U612" s="18">
        <v>63.138395862849102</v>
      </c>
      <c r="V612" s="18">
        <v>63.781996552374203</v>
      </c>
      <c r="W612" s="18">
        <v>64.264697069518107</v>
      </c>
      <c r="X612" s="18"/>
      <c r="Y612" s="18">
        <v>32.910516660288351</v>
      </c>
      <c r="Z612" s="18">
        <v>17.96801015432094</v>
      </c>
      <c r="AA612" s="18">
        <v>6.8768869721814543</v>
      </c>
      <c r="AB612" s="18">
        <v>15.661729482624642</v>
      </c>
      <c r="AC612" s="18">
        <v>4.3915404037826002</v>
      </c>
      <c r="AD612" s="18">
        <v>1.0803903075147498</v>
      </c>
      <c r="AE612" s="18">
        <v>3.187755373334626</v>
      </c>
      <c r="AF612" s="18">
        <v>1337.1092144897455</v>
      </c>
      <c r="AG612" s="18">
        <v>258.5521170348664</v>
      </c>
      <c r="AH612" s="18">
        <v>538.27878572606232</v>
      </c>
      <c r="AI612" s="18">
        <v>1295.5952458979752</v>
      </c>
      <c r="AJ612" s="18">
        <v>2.5360373750780352</v>
      </c>
      <c r="AK612" s="18">
        <v>4.4550716177464578</v>
      </c>
      <c r="AL612" s="18"/>
      <c r="AM612" s="18">
        <v>12.115773978281901</v>
      </c>
      <c r="AN612" s="18">
        <v>3.11752067117567</v>
      </c>
      <c r="AO612" s="18">
        <v>1.88651373937301</v>
      </c>
      <c r="AP612" s="18">
        <v>6.8126469145472202</v>
      </c>
      <c r="AQ612" s="18">
        <v>2.07387074746336</v>
      </c>
      <c r="AR612" s="18">
        <v>4.4936062769177196</v>
      </c>
      <c r="AS612" s="18">
        <v>8.4158857201169308</v>
      </c>
      <c r="AT612" s="18">
        <v>2.0814369075300099</v>
      </c>
      <c r="AU612" s="18">
        <v>5.1991468699437702</v>
      </c>
      <c r="AV612" s="18">
        <v>4.4175803687891797</v>
      </c>
      <c r="AW612" s="18">
        <v>5.5420612237187399</v>
      </c>
      <c r="AX612" s="18"/>
      <c r="AY612" s="18">
        <v>1.0411164428020001</v>
      </c>
      <c r="AZ612" s="18">
        <v>1.05783588474615</v>
      </c>
      <c r="BA612" s="18">
        <v>0.86608957505436701</v>
      </c>
      <c r="BB612" s="18">
        <v>0.99349630841401104</v>
      </c>
      <c r="BC612" s="18">
        <v>0.97048919340511297</v>
      </c>
      <c r="BD612" s="18">
        <v>0.97895135202904504</v>
      </c>
      <c r="BE612" s="18">
        <v>1.00576089290546</v>
      </c>
      <c r="BF612" s="18">
        <v>1.0302979625786901</v>
      </c>
      <c r="BG612" s="18">
        <v>1.02393022156322</v>
      </c>
      <c r="BH612" s="18">
        <v>0.97012590834525203</v>
      </c>
      <c r="BI612" s="18">
        <v>0.98409999999999997</v>
      </c>
      <c r="BJ612" s="19"/>
      <c r="BK612" s="18">
        <v>31.570070725531096</v>
      </c>
      <c r="BL612" s="18">
        <v>4.8358486438910688</v>
      </c>
      <c r="BM612" s="18">
        <v>18.365491192495185</v>
      </c>
      <c r="BN612" s="18">
        <v>1.7514514661315268</v>
      </c>
      <c r="BO612" s="18"/>
      <c r="BP612" s="18">
        <v>0</v>
      </c>
      <c r="BQ612" s="18">
        <v>0</v>
      </c>
      <c r="BR612" s="18">
        <v>1.1806372828295846</v>
      </c>
      <c r="BS612" s="18">
        <v>1.1521455386535395</v>
      </c>
      <c r="BT612" s="19"/>
      <c r="BU612" s="18">
        <v>816.34508807504824</v>
      </c>
      <c r="BV612" s="18">
        <v>394.0472605649864</v>
      </c>
      <c r="BW612" s="18">
        <v>41.293494761730145</v>
      </c>
      <c r="BX612" s="18">
        <v>266.99751835006026</v>
      </c>
      <c r="BY612" s="18">
        <v>10.203726815925895</v>
      </c>
      <c r="BZ612" s="18">
        <v>22.674948479835319</v>
      </c>
      <c r="CA612" s="18">
        <v>146.25341769493789</v>
      </c>
      <c r="CB612" s="19"/>
      <c r="CC612" s="19">
        <v>29.174940288254795</v>
      </c>
      <c r="CD612" s="19">
        <v>15.9285139386346</v>
      </c>
      <c r="CE612" s="19">
        <v>6.0963116700190199</v>
      </c>
      <c r="CF612" s="19">
        <v>13.884012432345999</v>
      </c>
      <c r="CG612" s="19">
        <v>3.8930695125918797</v>
      </c>
      <c r="CH612" s="19">
        <v>0.95775836748823295</v>
      </c>
      <c r="CI612" s="19">
        <v>2.8259225958255203</v>
      </c>
      <c r="CJ612" s="19"/>
      <c r="CK612" s="19">
        <v>1185.3378630997099</v>
      </c>
      <c r="CL612" s="19">
        <v>229.20462336576401</v>
      </c>
      <c r="CM612" s="19">
        <v>477.18033703620898</v>
      </c>
      <c r="CN612" s="19">
        <v>1148.5360235146497</v>
      </c>
      <c r="CO612" s="19">
        <v>2.2481791990814597</v>
      </c>
      <c r="CP612" s="19">
        <v>3.9493894845014199</v>
      </c>
      <c r="CQ612" s="19">
        <v>254.62814937566199</v>
      </c>
      <c r="CR612" s="19">
        <v>243.28461443808612</v>
      </c>
      <c r="HM612" s="620">
        <f t="shared" ref="HM612:HU612" si="605">HM242</f>
        <v>0.47300000000000003</v>
      </c>
      <c r="HN612" s="620">
        <f t="shared" si="605"/>
        <v>0.13</v>
      </c>
      <c r="HO612" s="620">
        <f t="shared" si="605"/>
        <v>0.39100000000000001</v>
      </c>
      <c r="HP612" s="620">
        <f t="shared" si="605"/>
        <v>5.5E-2</v>
      </c>
      <c r="HQ612" s="620">
        <f t="shared" si="605"/>
        <v>3.97</v>
      </c>
      <c r="HR612" s="620">
        <f t="shared" si="605"/>
        <v>4.5999999999999999E-3</v>
      </c>
      <c r="HS612" s="620">
        <f t="shared" si="605"/>
        <v>2.73</v>
      </c>
      <c r="HT612" s="620" t="str">
        <f t="shared" si="605"/>
        <v>as barley</v>
      </c>
      <c r="HU612" s="620" t="str">
        <f t="shared" si="605"/>
        <v>offfarm</v>
      </c>
      <c r="HV612" s="22" t="s">
        <v>2013</v>
      </c>
      <c r="IB612" s="11">
        <f t="shared" ref="IB612:II612" si="606">IB242</f>
        <v>0.47300000000000003</v>
      </c>
      <c r="IC612" s="11">
        <f t="shared" si="606"/>
        <v>0.13</v>
      </c>
      <c r="ID612" s="11">
        <f t="shared" si="606"/>
        <v>0.39100000000000001</v>
      </c>
      <c r="IE612" s="11">
        <f t="shared" si="606"/>
        <v>5.5E-2</v>
      </c>
      <c r="IF612" s="11">
        <f t="shared" si="606"/>
        <v>3.97</v>
      </c>
      <c r="IG612" s="11">
        <f t="shared" si="606"/>
        <v>4.5999999999999999E-3</v>
      </c>
      <c r="IH612" s="11">
        <f t="shared" si="606"/>
        <v>2.73</v>
      </c>
      <c r="II612" s="11" t="str">
        <f t="shared" si="606"/>
        <v>as barley</v>
      </c>
    </row>
    <row r="613" spans="4:243" x14ac:dyDescent="0.25">
      <c r="D613" s="20" t="s">
        <v>1204</v>
      </c>
      <c r="E613" s="14">
        <v>41697</v>
      </c>
      <c r="F613" s="18">
        <v>0.102554809340846</v>
      </c>
      <c r="G613" s="18">
        <v>9.8396821507561794E-2</v>
      </c>
      <c r="H613" s="21">
        <v>99.784110588310597</v>
      </c>
      <c r="I613" s="21">
        <v>99.712147451080796</v>
      </c>
      <c r="J613" s="21">
        <v>99.996685916600498</v>
      </c>
      <c r="K613" s="18">
        <v>1</v>
      </c>
      <c r="L613" s="18">
        <v>98.989247205540494</v>
      </c>
      <c r="M613" s="18">
        <v>13.617657953023</v>
      </c>
      <c r="N613" s="18">
        <v>4.7994217925846398E-2</v>
      </c>
      <c r="O613" s="18">
        <v>84.565317320095502</v>
      </c>
      <c r="P613" s="18">
        <v>1.80520216650287E-3</v>
      </c>
      <c r="Q613" s="19"/>
      <c r="R613" s="18">
        <v>99.929649599089799</v>
      </c>
      <c r="S613" s="18">
        <v>67</v>
      </c>
      <c r="T613" s="18">
        <v>67</v>
      </c>
      <c r="U613" s="18">
        <v>67</v>
      </c>
      <c r="V613" s="18">
        <v>67</v>
      </c>
      <c r="W613" s="18">
        <v>67</v>
      </c>
      <c r="X613" s="18"/>
      <c r="Y613" s="18">
        <v>196.58498462392006</v>
      </c>
      <c r="Z613" s="18">
        <v>59.489327572833687</v>
      </c>
      <c r="AA613" s="18">
        <v>38.895436797528355</v>
      </c>
      <c r="AB613" s="18">
        <v>82.225445376861913</v>
      </c>
      <c r="AC613" s="18">
        <v>0</v>
      </c>
      <c r="AD613" s="18">
        <v>0</v>
      </c>
      <c r="AE613" s="18">
        <v>0</v>
      </c>
      <c r="AF613" s="18">
        <v>2826.6336365500015</v>
      </c>
      <c r="AG613" s="18">
        <v>565.32672730999934</v>
      </c>
      <c r="AH613" s="18">
        <v>1130.6534546200046</v>
      </c>
      <c r="AI613" s="18">
        <v>2826.6336365500015</v>
      </c>
      <c r="AJ613" s="18">
        <v>5.6532672730999929</v>
      </c>
      <c r="AK613" s="18">
        <v>9.8932177279249949</v>
      </c>
      <c r="AL613" s="18"/>
      <c r="AM613" s="18">
        <v>56.834314589838897</v>
      </c>
      <c r="AN613" s="18">
        <v>22.244169448099399</v>
      </c>
      <c r="AO613" s="18">
        <v>0</v>
      </c>
      <c r="AP613" s="18">
        <v>20.146352356889299</v>
      </c>
      <c r="AQ613" s="18">
        <v>4.4506126285002798</v>
      </c>
      <c r="AR613" s="18">
        <v>0</v>
      </c>
      <c r="AS613" s="18">
        <v>0</v>
      </c>
      <c r="AT613" s="18">
        <v>0</v>
      </c>
      <c r="AU613" s="18">
        <v>0</v>
      </c>
      <c r="AV613" s="18">
        <v>0</v>
      </c>
      <c r="AW613" s="18">
        <v>0</v>
      </c>
      <c r="AX613" s="18"/>
      <c r="AY613" s="18">
        <v>1.0007039992754101</v>
      </c>
      <c r="AZ613" s="18">
        <v>1.0007039992754101</v>
      </c>
      <c r="BA613" s="18">
        <v>0</v>
      </c>
      <c r="BB613" s="18">
        <v>1.0007039992754101</v>
      </c>
      <c r="BC613" s="18">
        <v>1.0007039992754101</v>
      </c>
      <c r="BD613" s="18">
        <v>0</v>
      </c>
      <c r="BE613" s="18">
        <v>0</v>
      </c>
      <c r="BF613" s="18">
        <v>0</v>
      </c>
      <c r="BG613" s="18">
        <v>0</v>
      </c>
      <c r="BH613" s="18">
        <v>0</v>
      </c>
      <c r="BI613" s="18">
        <v>0</v>
      </c>
      <c r="BJ613" s="19"/>
      <c r="BK613" s="18">
        <v>13.756704225406828</v>
      </c>
      <c r="BL613" s="18">
        <v>4.8484274080993449E-2</v>
      </c>
      <c r="BM613" s="18">
        <v>85.428791214569742</v>
      </c>
      <c r="BN613" s="18">
        <v>1.823634604225813E-3</v>
      </c>
      <c r="BO613" s="18"/>
      <c r="BP613" s="18">
        <v>0</v>
      </c>
      <c r="BQ613" s="18">
        <v>0</v>
      </c>
      <c r="BR613" s="18">
        <v>0.10360196913903386</v>
      </c>
      <c r="BS613" s="18">
        <v>9.9401525201268992E-2</v>
      </c>
      <c r="BT613" s="19"/>
      <c r="BU613" s="18">
        <v>145.71208785430267</v>
      </c>
      <c r="BV613" s="18">
        <v>19.591406418510818</v>
      </c>
      <c r="BW613" s="18">
        <v>0.14979855677571455</v>
      </c>
      <c r="BX613" s="18">
        <v>0</v>
      </c>
      <c r="BY613" s="18">
        <v>0</v>
      </c>
      <c r="BZ613" s="18">
        <v>0</v>
      </c>
      <c r="CA613" s="18">
        <v>0</v>
      </c>
      <c r="CB613" s="19"/>
      <c r="CC613" s="19">
        <v>194.597996398346</v>
      </c>
      <c r="CD613" s="19">
        <v>58.888037531986107</v>
      </c>
      <c r="CE613" s="19">
        <v>38.50230008318011</v>
      </c>
      <c r="CF613" s="19">
        <v>81.394349389958506</v>
      </c>
      <c r="CG613" s="19">
        <v>0</v>
      </c>
      <c r="CH613" s="19">
        <v>0</v>
      </c>
      <c r="CI613" s="19">
        <v>0</v>
      </c>
      <c r="CJ613" s="19"/>
      <c r="CK613" s="19">
        <v>2798.0633580794401</v>
      </c>
      <c r="CL613" s="19">
        <v>559.61267161588705</v>
      </c>
      <c r="CM613" s="19">
        <v>1119.22534323178</v>
      </c>
      <c r="CN613" s="19">
        <v>2798.0633580794401</v>
      </c>
      <c r="CO613" s="19">
        <v>5.5961267161588699</v>
      </c>
      <c r="CP613" s="19">
        <v>9.793221753278031</v>
      </c>
      <c r="CQ613" s="19">
        <v>136.080778760584</v>
      </c>
      <c r="CR613" s="19">
        <v>1326.9078226093989</v>
      </c>
      <c r="HM613" s="620">
        <f t="shared" ref="HM613:HU613" si="607">HM243</f>
        <v>0.47300000000000003</v>
      </c>
      <c r="HN613" s="620">
        <f t="shared" si="607"/>
        <v>0.13</v>
      </c>
      <c r="HO613" s="620">
        <f t="shared" si="607"/>
        <v>0.39100000000000001</v>
      </c>
      <c r="HP613" s="620">
        <f t="shared" si="607"/>
        <v>5.5E-2</v>
      </c>
      <c r="HQ613" s="620">
        <f t="shared" si="607"/>
        <v>3.97</v>
      </c>
      <c r="HR613" s="620">
        <f t="shared" si="607"/>
        <v>4.5999999999999999E-3</v>
      </c>
      <c r="HS613" s="620">
        <f t="shared" si="607"/>
        <v>2.73</v>
      </c>
      <c r="HT613" s="620" t="str">
        <f t="shared" si="607"/>
        <v>as barley</v>
      </c>
      <c r="HU613" s="620" t="str">
        <f t="shared" si="607"/>
        <v>offfarm</v>
      </c>
      <c r="HV613" s="22" t="s">
        <v>2013</v>
      </c>
      <c r="IB613" s="11">
        <f t="shared" ref="IB613:II613" si="608">IB243</f>
        <v>0.47300000000000003</v>
      </c>
      <c r="IC613" s="11">
        <f t="shared" si="608"/>
        <v>0.13</v>
      </c>
      <c r="ID613" s="11">
        <f t="shared" si="608"/>
        <v>0.39100000000000001</v>
      </c>
      <c r="IE613" s="11">
        <f t="shared" si="608"/>
        <v>5.5E-2</v>
      </c>
      <c r="IF613" s="11">
        <f t="shared" si="608"/>
        <v>3.97</v>
      </c>
      <c r="IG613" s="11">
        <f t="shared" si="608"/>
        <v>4.5999999999999999E-3</v>
      </c>
      <c r="IH613" s="11">
        <f t="shared" si="608"/>
        <v>2.73</v>
      </c>
      <c r="II613" s="11" t="str">
        <f t="shared" si="608"/>
        <v>as barley</v>
      </c>
    </row>
    <row r="614" spans="4:243" x14ac:dyDescent="0.25">
      <c r="D614" s="20" t="s">
        <v>1205</v>
      </c>
      <c r="E614" s="14">
        <v>41697</v>
      </c>
      <c r="F614" s="18">
        <v>9.3293801629177497E-2</v>
      </c>
      <c r="G614" s="18">
        <v>8.9526719988599499E-2</v>
      </c>
      <c r="H614" s="21">
        <v>99.759541809760094</v>
      </c>
      <c r="I614" s="21">
        <v>99.679389079680206</v>
      </c>
      <c r="J614" s="21">
        <v>99.996105430009806</v>
      </c>
      <c r="K614" s="18">
        <v>1</v>
      </c>
      <c r="L614" s="18">
        <v>99.004559854100506</v>
      </c>
      <c r="M614" s="18">
        <v>12.2599757649935</v>
      </c>
      <c r="N614" s="18">
        <v>5.1018506616905601E-2</v>
      </c>
      <c r="O614" s="18">
        <v>85.303358736228503</v>
      </c>
      <c r="P614" s="18">
        <v>1.9098933477772601E-3</v>
      </c>
      <c r="Q614" s="19"/>
      <c r="R614" s="18">
        <v>99.916955447777895</v>
      </c>
      <c r="S614" s="18">
        <v>67</v>
      </c>
      <c r="T614" s="18">
        <v>67</v>
      </c>
      <c r="U614" s="18">
        <v>67</v>
      </c>
      <c r="V614" s="18">
        <v>67</v>
      </c>
      <c r="W614" s="18">
        <v>67</v>
      </c>
      <c r="X614" s="18"/>
      <c r="Y614" s="18">
        <v>202.82662817743147</v>
      </c>
      <c r="Z614" s="18">
        <v>53.727483865421881</v>
      </c>
      <c r="AA614" s="18">
        <v>40.857030003678922</v>
      </c>
      <c r="AB614" s="18">
        <v>81.747571221939467</v>
      </c>
      <c r="AC614" s="18">
        <v>0</v>
      </c>
      <c r="AD614" s="18">
        <v>0</v>
      </c>
      <c r="AE614" s="18">
        <v>0</v>
      </c>
      <c r="AF614" s="18">
        <v>2990.0993382701663</v>
      </c>
      <c r="AG614" s="18">
        <v>598.01986765403319</v>
      </c>
      <c r="AH614" s="18">
        <v>1196.0397353080664</v>
      </c>
      <c r="AI614" s="18">
        <v>2990.0993382701663</v>
      </c>
      <c r="AJ614" s="18">
        <v>5.9801986765403328</v>
      </c>
      <c r="AK614" s="18">
        <v>10.465347683945557</v>
      </c>
      <c r="AL614" s="18"/>
      <c r="AM614" s="18">
        <v>50.761135735658797</v>
      </c>
      <c r="AN614" s="18">
        <v>31.028996869761901</v>
      </c>
      <c r="AO614" s="18">
        <v>0</v>
      </c>
      <c r="AP614" s="18">
        <v>22.418870626816702</v>
      </c>
      <c r="AQ614" s="18">
        <v>4.8909231882226596</v>
      </c>
      <c r="AR614" s="18">
        <v>0</v>
      </c>
      <c r="AS614" s="18">
        <v>0</v>
      </c>
      <c r="AT614" s="18">
        <v>0</v>
      </c>
      <c r="AU614" s="18">
        <v>0</v>
      </c>
      <c r="AV614" s="18">
        <v>0</v>
      </c>
      <c r="AW614" s="18">
        <v>0</v>
      </c>
      <c r="AX614" s="18"/>
      <c r="AY614" s="18">
        <v>1.00083113573517</v>
      </c>
      <c r="AZ614" s="18">
        <v>1.00083113573517</v>
      </c>
      <c r="BA614" s="18">
        <v>0</v>
      </c>
      <c r="BB614" s="18">
        <v>1.00083113573517</v>
      </c>
      <c r="BC614" s="18">
        <v>1.00083113573517</v>
      </c>
      <c r="BD614" s="18">
        <v>0</v>
      </c>
      <c r="BE614" s="18">
        <v>0</v>
      </c>
      <c r="BF614" s="18">
        <v>0</v>
      </c>
      <c r="BG614" s="18">
        <v>0</v>
      </c>
      <c r="BH614" s="18">
        <v>0</v>
      </c>
      <c r="BI614" s="18">
        <v>0</v>
      </c>
      <c r="BJ614" s="19"/>
      <c r="BK614" s="18">
        <v>12.383243542580857</v>
      </c>
      <c r="BL614" s="18">
        <v>5.1531471572713171E-2</v>
      </c>
      <c r="BM614" s="18">
        <v>86.161040321715504</v>
      </c>
      <c r="BN614" s="18">
        <v>1.9290963472710771E-3</v>
      </c>
      <c r="BO614" s="18"/>
      <c r="BP614" s="18">
        <v>0</v>
      </c>
      <c r="BQ614" s="18">
        <v>0</v>
      </c>
      <c r="BR614" s="18">
        <v>9.4231823025789169E-2</v>
      </c>
      <c r="BS614" s="18">
        <v>9.0426865308559354E-2</v>
      </c>
      <c r="BT614" s="19"/>
      <c r="BU614" s="18">
        <v>138.38959678284488</v>
      </c>
      <c r="BV614" s="18">
        <v>24.710994665530574</v>
      </c>
      <c r="BW614" s="18">
        <v>0.15846148566856971</v>
      </c>
      <c r="BX614" s="18">
        <v>0</v>
      </c>
      <c r="BY614" s="18">
        <v>0</v>
      </c>
      <c r="BZ614" s="18">
        <v>0</v>
      </c>
      <c r="CA614" s="18">
        <v>0</v>
      </c>
      <c r="CB614" s="19"/>
      <c r="CC614" s="19">
        <v>200.80761049397901</v>
      </c>
      <c r="CD614" s="19">
        <v>53.192658921643797</v>
      </c>
      <c r="CE614" s="19">
        <v>40.450322724600099</v>
      </c>
      <c r="CF614" s="19">
        <v>80.933823079698499</v>
      </c>
      <c r="CG614" s="19">
        <v>0</v>
      </c>
      <c r="CH614" s="19">
        <v>0</v>
      </c>
      <c r="CI614" s="19">
        <v>0</v>
      </c>
      <c r="CJ614" s="19"/>
      <c r="CK614" s="19">
        <v>2960.33468905475</v>
      </c>
      <c r="CL614" s="19">
        <v>592.06693781094987</v>
      </c>
      <c r="CM614" s="19">
        <v>1184.1338756218997</v>
      </c>
      <c r="CN614" s="19">
        <v>2960.33468905475</v>
      </c>
      <c r="CO614" s="19">
        <v>5.9206693781095003</v>
      </c>
      <c r="CP614" s="19">
        <v>10.3611714116916</v>
      </c>
      <c r="CQ614" s="19">
        <v>122.49794523017</v>
      </c>
      <c r="CR614" s="19">
        <v>1313.0341254296036</v>
      </c>
      <c r="HM614" s="620">
        <f t="shared" ref="HM614:HU614" si="609">HM244</f>
        <v>0.47300000000000003</v>
      </c>
      <c r="HN614" s="620">
        <f t="shared" si="609"/>
        <v>0.13</v>
      </c>
      <c r="HO614" s="620">
        <f t="shared" si="609"/>
        <v>0.39100000000000001</v>
      </c>
      <c r="HP614" s="620">
        <f t="shared" si="609"/>
        <v>5.5E-2</v>
      </c>
      <c r="HQ614" s="620">
        <f t="shared" si="609"/>
        <v>3.97</v>
      </c>
      <c r="HR614" s="620">
        <f t="shared" si="609"/>
        <v>4.5999999999999999E-3</v>
      </c>
      <c r="HS614" s="620">
        <f t="shared" si="609"/>
        <v>2.73</v>
      </c>
      <c r="HT614" s="620" t="str">
        <f t="shared" si="609"/>
        <v>as barley</v>
      </c>
      <c r="HU614" s="620" t="str">
        <f t="shared" si="609"/>
        <v>offfarm</v>
      </c>
      <c r="HV614" s="22" t="s">
        <v>2013</v>
      </c>
      <c r="IB614" s="11">
        <f t="shared" ref="IB614:II614" si="610">IB244</f>
        <v>0.47300000000000003</v>
      </c>
      <c r="IC614" s="11">
        <f t="shared" si="610"/>
        <v>0.13</v>
      </c>
      <c r="ID614" s="11">
        <f t="shared" si="610"/>
        <v>0.39100000000000001</v>
      </c>
      <c r="IE614" s="11">
        <f t="shared" si="610"/>
        <v>5.5E-2</v>
      </c>
      <c r="IF614" s="11">
        <f t="shared" si="610"/>
        <v>3.97</v>
      </c>
      <c r="IG614" s="11">
        <f t="shared" si="610"/>
        <v>4.5999999999999999E-3</v>
      </c>
      <c r="IH614" s="11">
        <f t="shared" si="610"/>
        <v>2.73</v>
      </c>
      <c r="II614" s="11" t="str">
        <f t="shared" si="610"/>
        <v>as barley</v>
      </c>
    </row>
    <row r="615" spans="4:243" x14ac:dyDescent="0.25">
      <c r="D615" s="20" t="s">
        <v>1206</v>
      </c>
      <c r="E615" s="14">
        <v>41814</v>
      </c>
      <c r="F615" s="18">
        <v>0.104114541407441</v>
      </c>
      <c r="G615" s="18">
        <v>9.9932711791407697E-2</v>
      </c>
      <c r="H615" s="21">
        <v>99.697210260795799</v>
      </c>
      <c r="I615" s="21">
        <v>99.596280347727799</v>
      </c>
      <c r="J615" s="21">
        <v>99.994900395385599</v>
      </c>
      <c r="K615" s="18">
        <v>1</v>
      </c>
      <c r="L615" s="18">
        <v>98.863576383454102</v>
      </c>
      <c r="M615" s="18">
        <v>12.3356832570951</v>
      </c>
      <c r="N615" s="18">
        <v>6.4458967651539495E-2</v>
      </c>
      <c r="O615" s="18">
        <v>84.528247807619294</v>
      </c>
      <c r="P615" s="18">
        <v>2.5162842903668401E-3</v>
      </c>
      <c r="Q615" s="19"/>
      <c r="R615" s="18">
        <v>99.8954813792773</v>
      </c>
      <c r="S615" s="18">
        <v>67</v>
      </c>
      <c r="T615" s="18">
        <v>67</v>
      </c>
      <c r="U615" s="18">
        <v>67</v>
      </c>
      <c r="V615" s="18">
        <v>67</v>
      </c>
      <c r="W615" s="18">
        <v>67</v>
      </c>
      <c r="X615" s="18"/>
      <c r="Y615" s="18">
        <v>200.20552983280788</v>
      </c>
      <c r="Z615" s="18">
        <v>37.41041835741013</v>
      </c>
      <c r="AA615" s="18">
        <v>49.426524452890071</v>
      </c>
      <c r="AB615" s="18">
        <v>97.310803695042878</v>
      </c>
      <c r="AC615" s="18">
        <v>0</v>
      </c>
      <c r="AD615" s="18">
        <v>0</v>
      </c>
      <c r="AE615" s="18">
        <v>0</v>
      </c>
      <c r="AF615" s="18">
        <v>1049.8985650189823</v>
      </c>
      <c r="AG615" s="18">
        <v>699.93237667931476</v>
      </c>
      <c r="AH615" s="18">
        <v>1399.8647533586295</v>
      </c>
      <c r="AI615" s="18">
        <v>3499.661883396584</v>
      </c>
      <c r="AJ615" s="18">
        <v>6.9993237667931476</v>
      </c>
      <c r="AK615" s="18">
        <v>6.9993237667931476</v>
      </c>
      <c r="AL615" s="18"/>
      <c r="AM615" s="18">
        <v>55.658692304155402</v>
      </c>
      <c r="AN615" s="18">
        <v>18.920860706612601</v>
      </c>
      <c r="AO615" s="18">
        <v>0</v>
      </c>
      <c r="AP615" s="18">
        <v>29.865638955892599</v>
      </c>
      <c r="AQ615" s="18">
        <v>0</v>
      </c>
      <c r="AR615" s="18">
        <v>0</v>
      </c>
      <c r="AS615" s="18">
        <v>0</v>
      </c>
      <c r="AT615" s="18">
        <v>0</v>
      </c>
      <c r="AU615" s="18">
        <v>0</v>
      </c>
      <c r="AV615" s="18">
        <v>0</v>
      </c>
      <c r="AW615" s="18">
        <v>0</v>
      </c>
      <c r="AX615" s="18"/>
      <c r="AY615" s="18">
        <v>0</v>
      </c>
      <c r="AZ615" s="18">
        <v>0</v>
      </c>
      <c r="BA615" s="18">
        <v>0</v>
      </c>
      <c r="BB615" s="18">
        <v>0</v>
      </c>
      <c r="BC615" s="18">
        <v>0</v>
      </c>
      <c r="BD615" s="18">
        <v>0</v>
      </c>
      <c r="BE615" s="18">
        <v>0</v>
      </c>
      <c r="BF615" s="18">
        <v>0</v>
      </c>
      <c r="BG615" s="18">
        <v>0</v>
      </c>
      <c r="BH615" s="18">
        <v>0</v>
      </c>
      <c r="BI615" s="18">
        <v>0</v>
      </c>
      <c r="BJ615" s="19"/>
      <c r="BK615" s="18">
        <v>12.477480289858917</v>
      </c>
      <c r="BL615" s="18">
        <v>6.5199914882228968E-2</v>
      </c>
      <c r="BM615" s="18">
        <v>85.499888735328028</v>
      </c>
      <c r="BN615" s="18">
        <v>2.5452086424702391E-3</v>
      </c>
      <c r="BO615" s="18"/>
      <c r="BP615" s="18" t="s">
        <v>217</v>
      </c>
      <c r="BQ615" s="18">
        <v>0</v>
      </c>
      <c r="BR615" s="18">
        <v>0.10531132416616248</v>
      </c>
      <c r="BS615" s="18">
        <v>0.101081424976785</v>
      </c>
      <c r="BT615" s="19"/>
      <c r="BU615" s="18">
        <v>145.00111264671963</v>
      </c>
      <c r="BV615" s="18">
        <v>30.175483633903422</v>
      </c>
      <c r="BW615" s="18">
        <v>0.20907070991719617</v>
      </c>
      <c r="BX615" s="18">
        <v>8.1301072871868101</v>
      </c>
      <c r="BY615" s="18">
        <v>0.50813158733558705</v>
      </c>
      <c r="BZ615" s="18">
        <v>0</v>
      </c>
      <c r="CA615" s="18">
        <v>0</v>
      </c>
      <c r="CB615" s="19"/>
      <c r="CC615" s="19">
        <v>197.930346910157</v>
      </c>
      <c r="CD615" s="19">
        <v>36.985277528147897</v>
      </c>
      <c r="CE615" s="19">
        <v>48.864829756169591</v>
      </c>
      <c r="CF615" s="19">
        <v>96.204940740401796</v>
      </c>
      <c r="CG615" s="19">
        <v>0</v>
      </c>
      <c r="CH615" s="19">
        <v>0</v>
      </c>
      <c r="CI615" s="19">
        <v>0</v>
      </c>
      <c r="CJ615" s="19"/>
      <c r="CK615" s="19">
        <v>1037.9672697763301</v>
      </c>
      <c r="CL615" s="19">
        <v>691.97817985088</v>
      </c>
      <c r="CM615" s="19">
        <v>1383.95635970176</v>
      </c>
      <c r="CN615" s="19">
        <v>3459.8908992544102</v>
      </c>
      <c r="CO615" s="19">
        <v>6.9197817985087999</v>
      </c>
      <c r="CP615" s="19">
        <v>6.9197817985087999</v>
      </c>
      <c r="CQ615" s="19">
        <v>123.227901710981</v>
      </c>
      <c r="CR615" s="19">
        <v>1183.5801228643165</v>
      </c>
      <c r="HM615" s="620">
        <f t="shared" ref="HM615:HU615" si="611">HM245</f>
        <v>0.47300000000000003</v>
      </c>
      <c r="HN615" s="620">
        <f t="shared" si="611"/>
        <v>0.13</v>
      </c>
      <c r="HO615" s="620">
        <f t="shared" si="611"/>
        <v>0.39100000000000001</v>
      </c>
      <c r="HP615" s="620">
        <f t="shared" si="611"/>
        <v>5.5E-2</v>
      </c>
      <c r="HQ615" s="620">
        <f t="shared" si="611"/>
        <v>3.97</v>
      </c>
      <c r="HR615" s="620">
        <f t="shared" si="611"/>
        <v>4.5999999999999999E-3</v>
      </c>
      <c r="HS615" s="620">
        <f t="shared" si="611"/>
        <v>2.73</v>
      </c>
      <c r="HT615" s="620" t="str">
        <f t="shared" si="611"/>
        <v>as barley</v>
      </c>
      <c r="HU615" s="620" t="str">
        <f t="shared" si="611"/>
        <v>offfarm</v>
      </c>
      <c r="HV615" s="22" t="s">
        <v>2013</v>
      </c>
      <c r="IB615" s="11">
        <f t="shared" ref="IB615:II615" si="612">IB245</f>
        <v>0.47300000000000003</v>
      </c>
      <c r="IC615" s="11">
        <f t="shared" si="612"/>
        <v>0.13</v>
      </c>
      <c r="ID615" s="11">
        <f t="shared" si="612"/>
        <v>0.39100000000000001</v>
      </c>
      <c r="IE615" s="11">
        <f t="shared" si="612"/>
        <v>5.5E-2</v>
      </c>
      <c r="IF615" s="11">
        <f t="shared" si="612"/>
        <v>3.97</v>
      </c>
      <c r="IG615" s="11">
        <f t="shared" si="612"/>
        <v>4.5999999999999999E-3</v>
      </c>
      <c r="IH615" s="11">
        <f t="shared" si="612"/>
        <v>2.73</v>
      </c>
      <c r="II615" s="11" t="str">
        <f t="shared" si="612"/>
        <v>as barley</v>
      </c>
    </row>
    <row r="616" spans="4:243" x14ac:dyDescent="0.25">
      <c r="D616" s="20" t="s">
        <v>1912</v>
      </c>
      <c r="E616" s="14">
        <v>41697</v>
      </c>
      <c r="F616" s="18">
        <v>1.7511307952357901E-2</v>
      </c>
      <c r="G616" s="18">
        <v>1.6900139629673201E-2</v>
      </c>
      <c r="H616" s="21">
        <v>99.599946428370998</v>
      </c>
      <c r="I616" s="21">
        <v>99.466595237828002</v>
      </c>
      <c r="J616" s="21">
        <v>99.993047569026203</v>
      </c>
      <c r="K616" s="18">
        <v>1</v>
      </c>
      <c r="L616" s="18">
        <v>98.9907497348904</v>
      </c>
      <c r="M616" s="18">
        <v>8.3650875293631604</v>
      </c>
      <c r="N616" s="18">
        <v>6.0043940063944597E-2</v>
      </c>
      <c r="O616" s="18">
        <v>90.268263883726306</v>
      </c>
      <c r="P616" s="18">
        <v>2.3263077454944601E-3</v>
      </c>
      <c r="Q616" s="19"/>
      <c r="R616" s="18">
        <v>99.861364145217394</v>
      </c>
      <c r="S616" s="18">
        <v>67</v>
      </c>
      <c r="T616" s="18">
        <v>67</v>
      </c>
      <c r="U616" s="18">
        <v>67</v>
      </c>
      <c r="V616" s="18">
        <v>67</v>
      </c>
      <c r="W616" s="18">
        <v>67</v>
      </c>
      <c r="X616" s="18"/>
      <c r="Y616" s="18">
        <v>219.28400944452483</v>
      </c>
      <c r="Z616" s="18">
        <v>47.76465857748142</v>
      </c>
      <c r="AA616" s="18">
        <v>45.117518348864188</v>
      </c>
      <c r="AB616" s="18">
        <v>85.984487513899168</v>
      </c>
      <c r="AC616" s="18">
        <v>0</v>
      </c>
      <c r="AD616" s="18">
        <v>0</v>
      </c>
      <c r="AE616" s="18">
        <v>0</v>
      </c>
      <c r="AF616" s="18">
        <v>969.3854704468871</v>
      </c>
      <c r="AG616" s="18">
        <v>193.87709408937681</v>
      </c>
      <c r="AH616" s="18">
        <v>1292.5139605958423</v>
      </c>
      <c r="AI616" s="18">
        <v>3231.2849014896206</v>
      </c>
      <c r="AJ616" s="18">
        <v>6.4625698029792309</v>
      </c>
      <c r="AK616" s="18">
        <v>6.4625698029792309</v>
      </c>
      <c r="AL616" s="18"/>
      <c r="AM616" s="18">
        <v>61.005991874013503</v>
      </c>
      <c r="AN616" s="18">
        <v>15.9765800648587</v>
      </c>
      <c r="AO616" s="18">
        <v>1.3209618850144799E-3</v>
      </c>
      <c r="AP616" s="18">
        <v>23.465476909264499</v>
      </c>
      <c r="AQ616" s="18">
        <v>8.3429171685125102E-4</v>
      </c>
      <c r="AR616" s="18">
        <v>2.4333508408161501E-3</v>
      </c>
      <c r="AS616" s="18">
        <v>4.5886044426818803E-3</v>
      </c>
      <c r="AT616" s="18">
        <v>1.6685834337025001E-3</v>
      </c>
      <c r="AU616" s="18">
        <v>2.98954531871698E-3</v>
      </c>
      <c r="AV616" s="18">
        <v>2.08572929212813E-3</v>
      </c>
      <c r="AW616" s="18">
        <v>3.5457397966178199E-3</v>
      </c>
      <c r="AX616" s="18"/>
      <c r="AY616" s="18">
        <v>1.0013783090047601</v>
      </c>
      <c r="AZ616" s="18">
        <v>1.00137024240943</v>
      </c>
      <c r="BA616" s="18">
        <v>0.771068978068709</v>
      </c>
      <c r="BB616" s="18">
        <v>1.0013664464753</v>
      </c>
      <c r="BC616" s="18">
        <v>0.771068978068709</v>
      </c>
      <c r="BD616" s="18">
        <v>0.771068978068709</v>
      </c>
      <c r="BE616" s="18">
        <v>0.771068978068709</v>
      </c>
      <c r="BF616" s="18">
        <v>0.771068978068709</v>
      </c>
      <c r="BG616" s="18">
        <v>0.771068978068709</v>
      </c>
      <c r="BH616" s="18">
        <v>0.771068978068709</v>
      </c>
      <c r="BI616" s="18">
        <v>0.77110000000000001</v>
      </c>
      <c r="BJ616" s="19"/>
      <c r="BK616" s="18">
        <v>8.4503729406696184</v>
      </c>
      <c r="BL616" s="18">
        <v>6.0656112035467731E-2</v>
      </c>
      <c r="BM616" s="18">
        <v>91.188584918768669</v>
      </c>
      <c r="BN616" s="18">
        <v>2.3500253829015368E-3</v>
      </c>
      <c r="BO616" s="18"/>
      <c r="BP616" s="18">
        <v>0</v>
      </c>
      <c r="BQ616" s="18">
        <v>0</v>
      </c>
      <c r="BR616" s="18">
        <v>1.7689842737079346E-2</v>
      </c>
      <c r="BS616" s="18">
        <v>1.7072443309030273E-2</v>
      </c>
      <c r="BT616" s="19"/>
      <c r="BU616" s="18">
        <v>88.114150812312943</v>
      </c>
      <c r="BV616" s="18">
        <v>10.107030002118689</v>
      </c>
      <c r="BW616" s="18">
        <v>0.16785895592152925</v>
      </c>
      <c r="BX616" s="18">
        <v>0</v>
      </c>
      <c r="BY616" s="18">
        <v>0</v>
      </c>
      <c r="BZ616" s="18">
        <v>0</v>
      </c>
      <c r="CA616" s="18">
        <v>0</v>
      </c>
      <c r="CB616" s="19"/>
      <c r="CC616" s="19">
        <v>217.070884997863</v>
      </c>
      <c r="CD616" s="19">
        <v>47.282593634159497</v>
      </c>
      <c r="CE616" s="19">
        <v>44.662169675317408</v>
      </c>
      <c r="CF616" s="19">
        <v>85.116688845712019</v>
      </c>
      <c r="CG616" s="19">
        <v>0</v>
      </c>
      <c r="CH616" s="19">
        <v>0</v>
      </c>
      <c r="CI616" s="19">
        <v>0</v>
      </c>
      <c r="CJ616" s="19"/>
      <c r="CK616" s="19">
        <v>959.60194501646799</v>
      </c>
      <c r="CL616" s="19">
        <v>191.920389003293</v>
      </c>
      <c r="CM616" s="19">
        <v>1279.4692600219503</v>
      </c>
      <c r="CN616" s="19">
        <v>3198.6731500548904</v>
      </c>
      <c r="CO616" s="19">
        <v>6.3973463001097706</v>
      </c>
      <c r="CP616" s="19">
        <v>6.3973463001097706</v>
      </c>
      <c r="CQ616" s="19">
        <v>83.534905187635104</v>
      </c>
      <c r="CR616" s="19">
        <v>4770.3407086954412</v>
      </c>
      <c r="HM616" s="620">
        <f t="shared" ref="HM616:HU616" si="613">HM246</f>
        <v>0.47300000000000003</v>
      </c>
      <c r="HN616" s="620">
        <f t="shared" si="613"/>
        <v>0.13</v>
      </c>
      <c r="HO616" s="620">
        <f t="shared" si="613"/>
        <v>0.39100000000000001</v>
      </c>
      <c r="HP616" s="620">
        <f t="shared" si="613"/>
        <v>5.5E-2</v>
      </c>
      <c r="HQ616" s="620">
        <f t="shared" si="613"/>
        <v>3.97</v>
      </c>
      <c r="HR616" s="620">
        <f t="shared" si="613"/>
        <v>4.5999999999999999E-3</v>
      </c>
      <c r="HS616" s="620">
        <f t="shared" si="613"/>
        <v>2.73</v>
      </c>
      <c r="HT616" s="620" t="str">
        <f t="shared" si="613"/>
        <v>as barley</v>
      </c>
      <c r="HU616" s="620" t="str">
        <f t="shared" si="613"/>
        <v>offfarm</v>
      </c>
      <c r="HV616" s="22" t="s">
        <v>2013</v>
      </c>
      <c r="IB616" s="11">
        <f t="shared" ref="IB616:II616" si="614">IB246</f>
        <v>0.47300000000000003</v>
      </c>
      <c r="IC616" s="11">
        <f t="shared" si="614"/>
        <v>0.13</v>
      </c>
      <c r="ID616" s="11">
        <f t="shared" si="614"/>
        <v>0.39100000000000001</v>
      </c>
      <c r="IE616" s="11">
        <f t="shared" si="614"/>
        <v>5.5E-2</v>
      </c>
      <c r="IF616" s="11">
        <f t="shared" si="614"/>
        <v>3.97</v>
      </c>
      <c r="IG616" s="11">
        <f t="shared" si="614"/>
        <v>4.5999999999999999E-3</v>
      </c>
      <c r="IH616" s="11">
        <f t="shared" si="614"/>
        <v>2.73</v>
      </c>
      <c r="II616" s="11" t="str">
        <f t="shared" si="614"/>
        <v>as barley</v>
      </c>
    </row>
    <row r="617" spans="4:243" x14ac:dyDescent="0.25">
      <c r="D617" s="20" t="s">
        <v>1911</v>
      </c>
      <c r="E617" s="14">
        <v>41697</v>
      </c>
      <c r="F617" s="18">
        <v>-9.0903703586954002E-2</v>
      </c>
      <c r="G617" s="18">
        <v>-8.6967735257829096E-2</v>
      </c>
      <c r="H617" s="21">
        <v>96.590367141494696</v>
      </c>
      <c r="I617" s="21">
        <v>95.453822855326294</v>
      </c>
      <c r="J617" s="21">
        <v>99.932591508913902</v>
      </c>
      <c r="K617" s="18">
        <v>1</v>
      </c>
      <c r="L617" s="18">
        <v>98.999998653253996</v>
      </c>
      <c r="M617" s="18">
        <v>1.1704813049362699</v>
      </c>
      <c r="N617" s="18">
        <v>8.4414938309343004E-2</v>
      </c>
      <c r="O617" s="18">
        <v>97.611572710323699</v>
      </c>
      <c r="P617" s="18">
        <v>3.1560151444110598E-3</v>
      </c>
      <c r="Q617" s="19"/>
      <c r="R617" s="18">
        <v>98.608060418570801</v>
      </c>
      <c r="S617" s="18">
        <v>67</v>
      </c>
      <c r="T617" s="18">
        <v>67</v>
      </c>
      <c r="U617" s="18">
        <v>67</v>
      </c>
      <c r="V617" s="18">
        <v>67</v>
      </c>
      <c r="W617" s="18">
        <v>67</v>
      </c>
      <c r="X617" s="18"/>
      <c r="Y617" s="18">
        <v>253.14762334449242</v>
      </c>
      <c r="Z617" s="18">
        <v>18.969999285791623</v>
      </c>
      <c r="AA617" s="18">
        <v>59.968772324985807</v>
      </c>
      <c r="AB617" s="18">
        <v>100.01634724418298</v>
      </c>
      <c r="AC617" s="18">
        <v>0</v>
      </c>
      <c r="AD617" s="18">
        <v>0</v>
      </c>
      <c r="AE617" s="18">
        <v>0</v>
      </c>
      <c r="AF617" s="18">
        <v>1315.0063280599647</v>
      </c>
      <c r="AG617" s="18">
        <v>263.0012656119909</v>
      </c>
      <c r="AH617" s="18">
        <v>1753.3417707466062</v>
      </c>
      <c r="AI617" s="18">
        <v>4383.3544268665255</v>
      </c>
      <c r="AJ617" s="18">
        <v>8.7667088537330322</v>
      </c>
      <c r="AK617" s="18">
        <v>8.7667088537330322</v>
      </c>
      <c r="AL617" s="18"/>
      <c r="AM617" s="18">
        <v>76.606636606104999</v>
      </c>
      <c r="AN617" s="18">
        <v>1.2133528395502999E-2</v>
      </c>
      <c r="AO617" s="18">
        <v>1.2807613306364299E-2</v>
      </c>
      <c r="AP617" s="18">
        <v>8.6538767415478297</v>
      </c>
      <c r="AQ617" s="18">
        <v>8.0890189303353607E-3</v>
      </c>
      <c r="AR617" s="18">
        <v>2.3592971880144802E-2</v>
      </c>
      <c r="AS617" s="18">
        <v>4.4489604116844501E-2</v>
      </c>
      <c r="AT617" s="18">
        <v>1.6178037860670701E-2</v>
      </c>
      <c r="AU617" s="18">
        <v>2.8985651167035002E-2</v>
      </c>
      <c r="AV617" s="18">
        <v>2.0222547325838398E-2</v>
      </c>
      <c r="AW617" s="18">
        <v>3.4378330453925403E-2</v>
      </c>
      <c r="AX617" s="18"/>
      <c r="AY617" s="18">
        <v>1.0140378888483501</v>
      </c>
      <c r="AZ617" s="18">
        <v>0.78086922786180901</v>
      </c>
      <c r="BA617" s="18">
        <v>0.78086922786180901</v>
      </c>
      <c r="BB617" s="18">
        <v>1.01353448800956</v>
      </c>
      <c r="BC617" s="18">
        <v>0.78086922786180901</v>
      </c>
      <c r="BD617" s="18">
        <v>0.78086922786180901</v>
      </c>
      <c r="BE617" s="18">
        <v>0.78086922786180901</v>
      </c>
      <c r="BF617" s="18">
        <v>0.78086922786180901</v>
      </c>
      <c r="BG617" s="18">
        <v>0.78086922786180901</v>
      </c>
      <c r="BH617" s="18">
        <v>0.78086922786180901</v>
      </c>
      <c r="BI617" s="18">
        <v>0.78090000000000004</v>
      </c>
      <c r="BJ617" s="19"/>
      <c r="BK617" s="18">
        <v>1.1823043645039462</v>
      </c>
      <c r="BL617" s="18">
        <v>8.5267615613819403E-2</v>
      </c>
      <c r="BM617" s="18">
        <v>98.597549533517437</v>
      </c>
      <c r="BN617" s="18">
        <v>3.1878941286301987E-3</v>
      </c>
      <c r="BO617" s="18"/>
      <c r="BP617" s="18">
        <v>0</v>
      </c>
      <c r="BQ617" s="18">
        <v>0</v>
      </c>
      <c r="BR617" s="18">
        <v>-9.1821924064204141E-2</v>
      </c>
      <c r="BS617" s="18">
        <v>-8.7846198425145725E-2</v>
      </c>
      <c r="BT617" s="19"/>
      <c r="BU617" s="18">
        <v>14.024504664826118</v>
      </c>
      <c r="BV617" s="18">
        <v>1.7325482336179738</v>
      </c>
      <c r="BW617" s="18">
        <v>0.22770672347357396</v>
      </c>
      <c r="BX617" s="18">
        <v>0</v>
      </c>
      <c r="BY617" s="18">
        <v>0</v>
      </c>
      <c r="BZ617" s="18">
        <v>0</v>
      </c>
      <c r="CA617" s="18">
        <v>0</v>
      </c>
      <c r="CB617" s="19"/>
      <c r="CC617" s="19">
        <v>250.616143701792</v>
      </c>
      <c r="CD617" s="19">
        <v>18.780299037456</v>
      </c>
      <c r="CE617" s="19">
        <v>59.369083794108903</v>
      </c>
      <c r="CF617" s="19">
        <v>99.016182424774996</v>
      </c>
      <c r="CG617" s="19">
        <v>0</v>
      </c>
      <c r="CH617" s="19">
        <v>0</v>
      </c>
      <c r="CI617" s="19">
        <v>0</v>
      </c>
      <c r="CJ617" s="19"/>
      <c r="CK617" s="19">
        <v>1301.8562470695699</v>
      </c>
      <c r="CL617" s="19">
        <v>260.37124941391198</v>
      </c>
      <c r="CM617" s="19">
        <v>1735.80832942608</v>
      </c>
      <c r="CN617" s="19">
        <v>4339.5208235652099</v>
      </c>
      <c r="CO617" s="19">
        <v>8.6790416471304006</v>
      </c>
      <c r="CP617" s="19">
        <v>8.6790416471304006</v>
      </c>
      <c r="CQ617" s="19">
        <v>11.541889123596301</v>
      </c>
      <c r="CR617" s="19">
        <v>-126.96830457029617</v>
      </c>
      <c r="HM617" s="620">
        <f t="shared" ref="HM617:HU617" si="615">HM247</f>
        <v>0.47300000000000003</v>
      </c>
      <c r="HN617" s="620">
        <f t="shared" si="615"/>
        <v>0.13</v>
      </c>
      <c r="HO617" s="620">
        <f t="shared" si="615"/>
        <v>0.39100000000000001</v>
      </c>
      <c r="HP617" s="620">
        <f t="shared" si="615"/>
        <v>5.5E-2</v>
      </c>
      <c r="HQ617" s="620">
        <f t="shared" si="615"/>
        <v>3.97</v>
      </c>
      <c r="HR617" s="620">
        <f t="shared" si="615"/>
        <v>4.5999999999999999E-3</v>
      </c>
      <c r="HS617" s="620">
        <f t="shared" si="615"/>
        <v>2.73</v>
      </c>
      <c r="HT617" s="620" t="str">
        <f t="shared" si="615"/>
        <v>as barley</v>
      </c>
      <c r="HU617" s="620" t="str">
        <f t="shared" si="615"/>
        <v>offfarm</v>
      </c>
      <c r="HV617" s="22" t="s">
        <v>2013</v>
      </c>
      <c r="IB617" s="11">
        <f t="shared" ref="IB617:II617" si="616">IB247</f>
        <v>0.47300000000000003</v>
      </c>
      <c r="IC617" s="11">
        <f t="shared" si="616"/>
        <v>0.13</v>
      </c>
      <c r="ID617" s="11">
        <f t="shared" si="616"/>
        <v>0.39100000000000001</v>
      </c>
      <c r="IE617" s="11">
        <f t="shared" si="616"/>
        <v>5.5E-2</v>
      </c>
      <c r="IF617" s="11">
        <f t="shared" si="616"/>
        <v>3.97</v>
      </c>
      <c r="IG617" s="11">
        <f t="shared" si="616"/>
        <v>4.5999999999999999E-3</v>
      </c>
      <c r="IH617" s="11">
        <f t="shared" si="616"/>
        <v>2.73</v>
      </c>
      <c r="II617" s="11" t="str">
        <f t="shared" si="616"/>
        <v>as barley</v>
      </c>
    </row>
    <row r="618" spans="4:243" x14ac:dyDescent="0.25">
      <c r="D618" s="20" t="s">
        <v>1209</v>
      </c>
      <c r="E618" s="14">
        <v>41814</v>
      </c>
      <c r="F618" s="18">
        <v>0.34813850528811502</v>
      </c>
      <c r="G618" s="18">
        <v>0.29569750895521302</v>
      </c>
      <c r="H618" s="21">
        <v>65.347547849772795</v>
      </c>
      <c r="I618" s="21">
        <v>59.007426623634899</v>
      </c>
      <c r="J618" s="21">
        <v>91.633595796030605</v>
      </c>
      <c r="K618" s="18">
        <v>1</v>
      </c>
      <c r="L618" s="18">
        <v>93.485542903072698</v>
      </c>
      <c r="M618" s="18">
        <v>14.19190232773</v>
      </c>
      <c r="N618" s="18">
        <v>2.5564724552569098</v>
      </c>
      <c r="O618" s="18">
        <v>47.3679152359976</v>
      </c>
      <c r="P618" s="18">
        <v>4.9087846313332104</v>
      </c>
      <c r="Q618" s="19"/>
      <c r="R618" s="18">
        <v>70.610913156890902</v>
      </c>
      <c r="S618" s="18">
        <v>48.893261685876801</v>
      </c>
      <c r="T618" s="18">
        <v>55.442507459070299</v>
      </c>
      <c r="U618" s="18">
        <v>58.139255718620603</v>
      </c>
      <c r="V618" s="18">
        <v>60.450754226806502</v>
      </c>
      <c r="W618" s="18">
        <v>61.991753232263797</v>
      </c>
      <c r="X618" s="18"/>
      <c r="Y618" s="18">
        <v>142.79454222570212</v>
      </c>
      <c r="Z618" s="18">
        <v>11.494181235600887</v>
      </c>
      <c r="AA618" s="18">
        <v>4.3919003048168211E-2</v>
      </c>
      <c r="AB618" s="18">
        <v>10.400225051040895</v>
      </c>
      <c r="AC618" s="18">
        <v>6.5878504572252163</v>
      </c>
      <c r="AD618" s="18">
        <v>1.9763551371675701</v>
      </c>
      <c r="AE618" s="18">
        <v>0.83446105791519509</v>
      </c>
      <c r="AF618" s="18">
        <v>1115.77545811184</v>
      </c>
      <c r="AG618" s="18">
        <v>694.95381534759656</v>
      </c>
      <c r="AH618" s="18">
        <v>1428.1171633471022</v>
      </c>
      <c r="AI618" s="18">
        <v>3487.5055876219549</v>
      </c>
      <c r="AJ618" s="18">
        <v>6.8968353498181711</v>
      </c>
      <c r="AK618" s="18">
        <v>6.9187948513422457</v>
      </c>
      <c r="AL618" s="18"/>
      <c r="AM618" s="18">
        <v>30.463751690172401</v>
      </c>
      <c r="AN618" s="18">
        <v>11.2777931813776</v>
      </c>
      <c r="AO618" s="18">
        <v>0.98379695290840896</v>
      </c>
      <c r="AP618" s="18">
        <v>15.590432520307299</v>
      </c>
      <c r="AQ618" s="18">
        <v>0.68865786703588705</v>
      </c>
      <c r="AR618" s="18">
        <v>1.61834598753433</v>
      </c>
      <c r="AS618" s="18">
        <v>3.0448515692515299</v>
      </c>
      <c r="AT618" s="18">
        <v>1.27401705401639</v>
      </c>
      <c r="AU618" s="18">
        <v>1.91348507340686</v>
      </c>
      <c r="AV618" s="18">
        <v>1.38223471883632</v>
      </c>
      <c r="AW618" s="18">
        <v>2.3561937022156401</v>
      </c>
      <c r="AX618" s="18"/>
      <c r="AY618" s="18">
        <v>0</v>
      </c>
      <c r="AZ618" s="18">
        <v>0</v>
      </c>
      <c r="BA618" s="18">
        <v>0</v>
      </c>
      <c r="BB618" s="18">
        <v>0</v>
      </c>
      <c r="BC618" s="18">
        <v>0</v>
      </c>
      <c r="BD618" s="18">
        <v>0</v>
      </c>
      <c r="BE618" s="18">
        <v>0</v>
      </c>
      <c r="BF618" s="18">
        <v>0</v>
      </c>
      <c r="BG618" s="18">
        <v>0</v>
      </c>
      <c r="BH618" s="18">
        <v>0</v>
      </c>
      <c r="BI618" s="18">
        <v>0</v>
      </c>
      <c r="BJ618" s="19"/>
      <c r="BK618" s="18">
        <v>15.180852447361183</v>
      </c>
      <c r="BL618" s="18">
        <v>2.7346179696549457</v>
      </c>
      <c r="BM618" s="18">
        <v>50.668706374320799</v>
      </c>
      <c r="BN618" s="18">
        <v>5.2508489322490393</v>
      </c>
      <c r="BO618" s="18"/>
      <c r="BP618" s="18" t="s">
        <v>217</v>
      </c>
      <c r="BQ618" s="18">
        <v>28.002893212999094</v>
      </c>
      <c r="BR618" s="18">
        <v>0.37239822808652945</v>
      </c>
      <c r="BS618" s="18">
        <v>0.31630292746098387</v>
      </c>
      <c r="BT618" s="19"/>
      <c r="BU618" s="18">
        <v>493.31293625679206</v>
      </c>
      <c r="BV618" s="18">
        <v>113.01545455648349</v>
      </c>
      <c r="BW618" s="18">
        <v>44.680911689858291</v>
      </c>
      <c r="BX618" s="18" t="s">
        <v>217</v>
      </c>
      <c r="BY618" s="18" t="s">
        <v>217</v>
      </c>
      <c r="BZ618" s="18">
        <v>12.736510883968824</v>
      </c>
      <c r="CA618" s="18">
        <v>184.45981280230561</v>
      </c>
      <c r="CB618" s="19"/>
      <c r="CC618" s="19">
        <v>133.49225303565501</v>
      </c>
      <c r="CD618" s="19">
        <v>10.7453977303646</v>
      </c>
      <c r="CE618" s="19">
        <v>4.1057918437197097E-2</v>
      </c>
      <c r="CF618" s="19">
        <v>9.7227068521069491</v>
      </c>
      <c r="CG618" s="19">
        <v>6.1586877655795504</v>
      </c>
      <c r="CH618" s="19">
        <v>1.8476063296738698</v>
      </c>
      <c r="CI618" s="19">
        <v>0.78010045030674402</v>
      </c>
      <c r="CJ618" s="19"/>
      <c r="CK618" s="19">
        <v>1043.0887445951</v>
      </c>
      <c r="CL618" s="19">
        <v>649.68134720331796</v>
      </c>
      <c r="CM618" s="19">
        <v>1335.083083447</v>
      </c>
      <c r="CN618" s="19">
        <v>3260.3135323633801</v>
      </c>
      <c r="CO618" s="19">
        <v>6.4475439699085504</v>
      </c>
      <c r="CP618" s="19">
        <v>6.4680729291271399</v>
      </c>
      <c r="CQ618" s="19">
        <v>100.210318279443</v>
      </c>
      <c r="CR618" s="19">
        <v>287.84612088947245</v>
      </c>
      <c r="HM618" s="620">
        <f t="shared" ref="HM618:HU618" si="617">HM248</f>
        <v>0.47300000000000003</v>
      </c>
      <c r="HN618" s="620">
        <f t="shared" si="617"/>
        <v>0.13</v>
      </c>
      <c r="HO618" s="620">
        <f t="shared" si="617"/>
        <v>0.39100000000000001</v>
      </c>
      <c r="HP618" s="620">
        <f t="shared" si="617"/>
        <v>5.5E-2</v>
      </c>
      <c r="HQ618" s="620">
        <f t="shared" si="617"/>
        <v>3.97</v>
      </c>
      <c r="HR618" s="620">
        <f t="shared" si="617"/>
        <v>4.5999999999999999E-3</v>
      </c>
      <c r="HS618" s="620">
        <f t="shared" si="617"/>
        <v>2.73</v>
      </c>
      <c r="HT618" s="620" t="str">
        <f t="shared" si="617"/>
        <v>as barley</v>
      </c>
      <c r="HU618" s="620" t="str">
        <f t="shared" si="617"/>
        <v>offfarm</v>
      </c>
      <c r="HV618" s="22" t="s">
        <v>2013</v>
      </c>
      <c r="IB618" s="11">
        <f t="shared" ref="IB618:II618" si="618">IB248</f>
        <v>0.47300000000000003</v>
      </c>
      <c r="IC618" s="11">
        <f t="shared" si="618"/>
        <v>0.13</v>
      </c>
      <c r="ID618" s="11">
        <f t="shared" si="618"/>
        <v>0.39100000000000001</v>
      </c>
      <c r="IE618" s="11">
        <f t="shared" si="618"/>
        <v>5.5E-2</v>
      </c>
      <c r="IF618" s="11">
        <f t="shared" si="618"/>
        <v>3.97</v>
      </c>
      <c r="IG618" s="11">
        <f t="shared" si="618"/>
        <v>4.5999999999999999E-3</v>
      </c>
      <c r="IH618" s="11">
        <f t="shared" si="618"/>
        <v>2.73</v>
      </c>
      <c r="II618" s="11" t="str">
        <f t="shared" si="618"/>
        <v>as barley</v>
      </c>
    </row>
    <row r="619" spans="4:243" x14ac:dyDescent="0.25">
      <c r="D619" s="20" t="s">
        <v>1909</v>
      </c>
      <c r="E619" s="14">
        <v>41814</v>
      </c>
      <c r="F619" s="18">
        <v>0.19496662112647101</v>
      </c>
      <c r="G619" s="18">
        <v>0.15526472024412999</v>
      </c>
      <c r="H619" s="21">
        <v>59.741442023852301</v>
      </c>
      <c r="I619" s="21">
        <v>52.374357704816603</v>
      </c>
      <c r="J619" s="21">
        <v>84.0685950419618</v>
      </c>
      <c r="K619" s="18">
        <v>1</v>
      </c>
      <c r="L619" s="18">
        <v>94.428933989908799</v>
      </c>
      <c r="M619" s="18">
        <v>6.2003889042468696</v>
      </c>
      <c r="N619" s="18">
        <v>2.2407440968021501</v>
      </c>
      <c r="O619" s="18">
        <v>61.401577779955801</v>
      </c>
      <c r="P619" s="18">
        <v>4.08381284636258</v>
      </c>
      <c r="Q619" s="19"/>
      <c r="R619" s="18">
        <v>64.867632794691005</v>
      </c>
      <c r="S619" s="18">
        <v>59.584475725383101</v>
      </c>
      <c r="T619" s="18">
        <v>62.266686633223301</v>
      </c>
      <c r="U619" s="18">
        <v>63.371126418804501</v>
      </c>
      <c r="V619" s="18">
        <v>64.317789092159899</v>
      </c>
      <c r="W619" s="18">
        <v>64.948897541063403</v>
      </c>
      <c r="X619" s="18"/>
      <c r="Y619" s="18">
        <v>184.43815810028525</v>
      </c>
      <c r="Z619" s="18">
        <v>23.113036703651218</v>
      </c>
      <c r="AA619" s="18">
        <v>0.10010957594590103</v>
      </c>
      <c r="AB619" s="18">
        <v>0.10396141987197298</v>
      </c>
      <c r="AC619" s="18">
        <v>5.4253072238012328</v>
      </c>
      <c r="AD619" s="18">
        <v>1.6275921671403741</v>
      </c>
      <c r="AE619" s="18">
        <v>0.68720558168148904</v>
      </c>
      <c r="AF619" s="18">
        <v>1126.7813559770948</v>
      </c>
      <c r="AG619" s="18">
        <v>216.31409248908147</v>
      </c>
      <c r="AH619" s="18">
        <v>1453.3062515230724</v>
      </c>
      <c r="AI619" s="18">
        <v>3565.087601361909</v>
      </c>
      <c r="AJ619" s="18">
        <v>7.0657948903346863</v>
      </c>
      <c r="AK619" s="18">
        <v>7.0838792477473573</v>
      </c>
      <c r="AL619" s="18"/>
      <c r="AM619" s="18">
        <v>3.65632487082227</v>
      </c>
      <c r="AN619" s="18">
        <v>11.2034734694669</v>
      </c>
      <c r="AO619" s="18">
        <v>1.87499073645083</v>
      </c>
      <c r="AP619" s="18">
        <v>3.08443264186546</v>
      </c>
      <c r="AQ619" s="18">
        <v>1.3123663416565201</v>
      </c>
      <c r="AR619" s="18">
        <v>3.08472612000174</v>
      </c>
      <c r="AS619" s="18">
        <v>5.8038001877121701</v>
      </c>
      <c r="AT619" s="18">
        <v>2.4280538189463399</v>
      </c>
      <c r="AU619" s="18">
        <v>3.6474483408414802</v>
      </c>
      <c r="AV619" s="18">
        <v>2.6346852997935599</v>
      </c>
      <c r="AW619" s="18">
        <v>4.4911403679193702</v>
      </c>
      <c r="AX619" s="18"/>
      <c r="AY619" s="18">
        <v>0</v>
      </c>
      <c r="AZ619" s="18">
        <v>0</v>
      </c>
      <c r="BA619" s="18">
        <v>0</v>
      </c>
      <c r="BB619" s="18">
        <v>0</v>
      </c>
      <c r="BC619" s="18">
        <v>0</v>
      </c>
      <c r="BD619" s="18">
        <v>0</v>
      </c>
      <c r="BE619" s="18">
        <v>0</v>
      </c>
      <c r="BF619" s="18">
        <v>0</v>
      </c>
      <c r="BG619" s="18">
        <v>0</v>
      </c>
      <c r="BH619" s="18">
        <v>0</v>
      </c>
      <c r="BI619" s="18">
        <v>0</v>
      </c>
      <c r="BJ619" s="19"/>
      <c r="BK619" s="18">
        <v>6.566196018806564</v>
      </c>
      <c r="BL619" s="18">
        <v>2.3729422774608557</v>
      </c>
      <c r="BM619" s="18">
        <v>65.024114098881512</v>
      </c>
      <c r="BN619" s="18">
        <v>4.3247473775347274</v>
      </c>
      <c r="BO619" s="18"/>
      <c r="BP619" s="18" t="s">
        <v>217</v>
      </c>
      <c r="BQ619" s="18">
        <v>23.061285289072583</v>
      </c>
      <c r="BR619" s="18">
        <v>0.20646915398547888</v>
      </c>
      <c r="BS619" s="18">
        <v>0.16442494231770363</v>
      </c>
      <c r="BT619" s="19"/>
      <c r="BU619" s="18">
        <v>349.75885901118494</v>
      </c>
      <c r="BV619" s="18">
        <v>89.371028034688607</v>
      </c>
      <c r="BW619" s="18">
        <v>36.810042938073067</v>
      </c>
      <c r="BX619" s="18" t="s">
        <v>217</v>
      </c>
      <c r="BY619" s="18" t="s">
        <v>217</v>
      </c>
      <c r="BZ619" s="18">
        <v>10.488927299348997</v>
      </c>
      <c r="CA619" s="18">
        <v>151.90860226643395</v>
      </c>
      <c r="CB619" s="19"/>
      <c r="CC619" s="19">
        <v>174.16298656472199</v>
      </c>
      <c r="CD619" s="19">
        <v>21.825394171954201</v>
      </c>
      <c r="CE619" s="19">
        <v>9.4532405387532506E-2</v>
      </c>
      <c r="CF619" s="19">
        <v>9.8169660545877294E-2</v>
      </c>
      <c r="CG619" s="19">
        <v>5.1230597771130197</v>
      </c>
      <c r="CH619" s="19">
        <v>1.53691793313391</v>
      </c>
      <c r="CI619" s="19">
        <v>0.6489209051009821</v>
      </c>
      <c r="CJ619" s="19"/>
      <c r="CK619" s="19">
        <v>1064.0076228462101</v>
      </c>
      <c r="CL619" s="19">
        <v>204.26309160738504</v>
      </c>
      <c r="CM619" s="19">
        <v>1372.34160092194</v>
      </c>
      <c r="CN619" s="19">
        <v>3366.4742177724602</v>
      </c>
      <c r="CO619" s="19">
        <v>6.6721547928564897</v>
      </c>
      <c r="CP619" s="19">
        <v>6.6892316587802005</v>
      </c>
      <c r="CQ619" s="19">
        <v>40.220455062496299</v>
      </c>
      <c r="CR619" s="19">
        <v>206.29405602924248</v>
      </c>
      <c r="HM619" s="620">
        <f t="shared" ref="HM619:HU619" si="619">HM249</f>
        <v>0.47300000000000003</v>
      </c>
      <c r="HN619" s="620">
        <f t="shared" si="619"/>
        <v>0.13</v>
      </c>
      <c r="HO619" s="620">
        <f t="shared" si="619"/>
        <v>0.39100000000000001</v>
      </c>
      <c r="HP619" s="620">
        <f t="shared" si="619"/>
        <v>5.5E-2</v>
      </c>
      <c r="HQ619" s="620">
        <f t="shared" si="619"/>
        <v>3.97</v>
      </c>
      <c r="HR619" s="620">
        <f t="shared" si="619"/>
        <v>4.5999999999999999E-3</v>
      </c>
      <c r="HS619" s="620">
        <f t="shared" si="619"/>
        <v>2.73</v>
      </c>
      <c r="HT619" s="620" t="str">
        <f t="shared" si="619"/>
        <v>as barley</v>
      </c>
      <c r="HU619" s="620" t="str">
        <f t="shared" si="619"/>
        <v>offfarm</v>
      </c>
      <c r="HV619" s="22" t="s">
        <v>2013</v>
      </c>
      <c r="IB619" s="11">
        <f t="shared" ref="IB619:II619" si="620">IB249</f>
        <v>0.47300000000000003</v>
      </c>
      <c r="IC619" s="11">
        <f t="shared" si="620"/>
        <v>0.13</v>
      </c>
      <c r="ID619" s="11">
        <f t="shared" si="620"/>
        <v>0.39100000000000001</v>
      </c>
      <c r="IE619" s="11">
        <f t="shared" si="620"/>
        <v>5.5E-2</v>
      </c>
      <c r="IF619" s="11">
        <f t="shared" si="620"/>
        <v>3.97</v>
      </c>
      <c r="IG619" s="11">
        <f t="shared" si="620"/>
        <v>4.5999999999999999E-3</v>
      </c>
      <c r="IH619" s="11">
        <f t="shared" si="620"/>
        <v>2.73</v>
      </c>
      <c r="II619" s="11" t="str">
        <f t="shared" si="620"/>
        <v>as barley</v>
      </c>
    </row>
    <row r="620" spans="4:243" x14ac:dyDescent="0.25">
      <c r="D620" s="20" t="s">
        <v>1910</v>
      </c>
      <c r="E620" s="14">
        <v>41814</v>
      </c>
      <c r="F620" s="18">
        <v>0.39397296313209701</v>
      </c>
      <c r="G620" s="18">
        <v>0.39195946511316399</v>
      </c>
      <c r="H620" s="21">
        <v>82.720799606304993</v>
      </c>
      <c r="I620" s="21">
        <v>79.515282797179594</v>
      </c>
      <c r="J620" s="21">
        <v>92.489309132216903</v>
      </c>
      <c r="K620" s="18">
        <v>1</v>
      </c>
      <c r="L620" s="18">
        <v>97.5936779974746</v>
      </c>
      <c r="M620" s="18">
        <v>5.0182497546999301</v>
      </c>
      <c r="N620" s="18">
        <v>5.4533003827581101</v>
      </c>
      <c r="O620" s="18">
        <v>67.846321962119305</v>
      </c>
      <c r="P620" s="18">
        <v>1.5580137619076599</v>
      </c>
      <c r="Q620" s="19"/>
      <c r="R620" s="18">
        <v>66.140536996049093</v>
      </c>
      <c r="S620" s="18">
        <v>20</v>
      </c>
      <c r="T620" s="18">
        <v>37</v>
      </c>
      <c r="U620" s="18">
        <v>44</v>
      </c>
      <c r="V620" s="18">
        <v>50</v>
      </c>
      <c r="W620" s="18">
        <v>54</v>
      </c>
      <c r="X620" s="18"/>
      <c r="Y620" s="18">
        <v>10.041353743742997</v>
      </c>
      <c r="Z620" s="18">
        <v>1.3411784676903151</v>
      </c>
      <c r="AA620" s="18">
        <v>1.3893500218781454E-2</v>
      </c>
      <c r="AB620" s="18">
        <v>0</v>
      </c>
      <c r="AC620" s="18">
        <v>1.9953077839774516</v>
      </c>
      <c r="AD620" s="18">
        <v>0.5985923351932354</v>
      </c>
      <c r="AE620" s="18">
        <v>0.25273898597047717</v>
      </c>
      <c r="AF620" s="18">
        <v>2841.0293940901247</v>
      </c>
      <c r="AG620" s="18">
        <v>564.88036584472559</v>
      </c>
      <c r="AH620" s="18">
        <v>3769.9927417183903</v>
      </c>
      <c r="AI620" s="18">
        <v>9399.9074864773465</v>
      </c>
      <c r="AJ620" s="18">
        <v>18.776137320584816</v>
      </c>
      <c r="AK620" s="18">
        <v>18.782788346531358</v>
      </c>
      <c r="AL620" s="18"/>
      <c r="AM620" s="18">
        <v>1.72803974125851</v>
      </c>
      <c r="AN620" s="18">
        <v>65.044948911013407</v>
      </c>
      <c r="AO620" s="18">
        <v>0.88601250321712599</v>
      </c>
      <c r="AP620" s="18">
        <v>1.4577378764120701</v>
      </c>
      <c r="AQ620" s="18">
        <v>0.61977720700920502</v>
      </c>
      <c r="AR620" s="18">
        <v>1.4587337500492701</v>
      </c>
      <c r="AS620" s="18">
        <v>2.7445971343968698</v>
      </c>
      <c r="AT620" s="18">
        <v>1.14718535714934</v>
      </c>
      <c r="AU620" s="18">
        <v>1.72530100413625</v>
      </c>
      <c r="AV620" s="18">
        <v>1.2459446878103699</v>
      </c>
      <c r="AW620" s="18">
        <v>2.1238240537504698</v>
      </c>
      <c r="AX620" s="18"/>
      <c r="AY620" s="18">
        <v>0</v>
      </c>
      <c r="AZ620" s="18">
        <v>0</v>
      </c>
      <c r="BA620" s="18">
        <v>0</v>
      </c>
      <c r="BB620" s="18">
        <v>0</v>
      </c>
      <c r="BC620" s="18">
        <v>0</v>
      </c>
      <c r="BD620" s="18">
        <v>0</v>
      </c>
      <c r="BE620" s="18">
        <v>0</v>
      </c>
      <c r="BF620" s="18">
        <v>0</v>
      </c>
      <c r="BG620" s="18">
        <v>0</v>
      </c>
      <c r="BH620" s="18">
        <v>0</v>
      </c>
      <c r="BI620" s="18">
        <v>0</v>
      </c>
      <c r="BJ620" s="19"/>
      <c r="BK620" s="18">
        <v>5.1419824087681025</v>
      </c>
      <c r="BL620" s="18">
        <v>5.5877598781544267</v>
      </c>
      <c r="BM620" s="18">
        <v>69.519177219527421</v>
      </c>
      <c r="BN620" s="18">
        <v>1.5964289837995205</v>
      </c>
      <c r="BO620" s="18"/>
      <c r="BP620" s="18" t="s">
        <v>217</v>
      </c>
      <c r="BQ620" s="18">
        <v>8.4814297417006568</v>
      </c>
      <c r="BR620" s="18">
        <v>0.40368697154982902</v>
      </c>
      <c r="BS620" s="18">
        <v>0.40162382764517451</v>
      </c>
      <c r="BT620" s="19"/>
      <c r="BU620" s="18">
        <v>304.80822780472585</v>
      </c>
      <c r="BV620" s="18">
        <v>137.18838299942294</v>
      </c>
      <c r="BW620" s="18">
        <v>13.958112825539374</v>
      </c>
      <c r="BX620" s="18">
        <v>29.530555202866179</v>
      </c>
      <c r="BY620" s="18">
        <v>6.6510259465915045</v>
      </c>
      <c r="BZ620" s="18">
        <v>3.8575950490230726</v>
      </c>
      <c r="CA620" s="18">
        <v>55.868617951368634</v>
      </c>
      <c r="CB620" s="19"/>
      <c r="CC620" s="19">
        <v>9.7997264392559025</v>
      </c>
      <c r="CD620" s="19">
        <v>1.3089053951291501</v>
      </c>
      <c r="CE620" s="19">
        <v>1.3559177866096003E-2</v>
      </c>
      <c r="CF620" s="19">
        <v>0</v>
      </c>
      <c r="CG620" s="19">
        <v>1.9472942537535003</v>
      </c>
      <c r="CH620" s="19">
        <v>0.58418827612604995</v>
      </c>
      <c r="CI620" s="19">
        <v>0.24665727214211</v>
      </c>
      <c r="CJ620" s="19"/>
      <c r="CK620" s="19">
        <v>2772.66507868192</v>
      </c>
      <c r="CL620" s="19">
        <v>551.28752531345799</v>
      </c>
      <c r="CM620" s="19">
        <v>3679.2745768808104</v>
      </c>
      <c r="CN620" s="19">
        <v>9173.7154444132102</v>
      </c>
      <c r="CO620" s="19">
        <v>18.324322997015202</v>
      </c>
      <c r="CP620" s="19">
        <v>18.330813977860998</v>
      </c>
      <c r="CQ620" s="19">
        <v>33.190973355614602</v>
      </c>
      <c r="CR620" s="19">
        <v>84.246830269126477</v>
      </c>
      <c r="HM620" s="620">
        <f t="shared" ref="HM620:HU620" si="621">HM250</f>
        <v>0.47300000000000003</v>
      </c>
      <c r="HN620" s="620">
        <f t="shared" si="621"/>
        <v>0.13</v>
      </c>
      <c r="HO620" s="620">
        <f t="shared" si="621"/>
        <v>0.39100000000000001</v>
      </c>
      <c r="HP620" s="620">
        <f t="shared" si="621"/>
        <v>5.5E-2</v>
      </c>
      <c r="HQ620" s="620">
        <f t="shared" si="621"/>
        <v>3.97</v>
      </c>
      <c r="HR620" s="620">
        <f t="shared" si="621"/>
        <v>4.5999999999999999E-3</v>
      </c>
      <c r="HS620" s="620">
        <f t="shared" si="621"/>
        <v>2.73</v>
      </c>
      <c r="HT620" s="620" t="str">
        <f t="shared" si="621"/>
        <v>as barley</v>
      </c>
      <c r="HU620" s="620" t="str">
        <f t="shared" si="621"/>
        <v>offfarm</v>
      </c>
      <c r="HV620" s="22" t="s">
        <v>2013</v>
      </c>
      <c r="IB620" s="11">
        <f t="shared" ref="IB620:II620" si="622">IB250</f>
        <v>0.47300000000000003</v>
      </c>
      <c r="IC620" s="11">
        <f t="shared" si="622"/>
        <v>0.13</v>
      </c>
      <c r="ID620" s="11">
        <f t="shared" si="622"/>
        <v>0.39100000000000001</v>
      </c>
      <c r="IE620" s="11">
        <f t="shared" si="622"/>
        <v>5.5E-2</v>
      </c>
      <c r="IF620" s="11">
        <f t="shared" si="622"/>
        <v>3.97</v>
      </c>
      <c r="IG620" s="11">
        <f t="shared" si="622"/>
        <v>4.5999999999999999E-3</v>
      </c>
      <c r="IH620" s="11">
        <f t="shared" si="622"/>
        <v>2.73</v>
      </c>
      <c r="II620" s="11" t="str">
        <f t="shared" si="622"/>
        <v>as barley</v>
      </c>
    </row>
    <row r="621" spans="4:243" x14ac:dyDescent="0.25">
      <c r="D621" s="20" t="s">
        <v>1210</v>
      </c>
      <c r="E621" s="14">
        <v>41697</v>
      </c>
      <c r="F621" s="18">
        <v>1.1558167137090201</v>
      </c>
      <c r="G621" s="18">
        <v>1.1314410908743699</v>
      </c>
      <c r="H621" s="21">
        <v>94.596968663592506</v>
      </c>
      <c r="I621" s="21">
        <v>89.400077640812299</v>
      </c>
      <c r="J621" s="21">
        <v>95.279086197453694</v>
      </c>
      <c r="K621" s="18">
        <v>0.99402932527316501</v>
      </c>
      <c r="L621" s="18">
        <v>89.428689451566996</v>
      </c>
      <c r="M621" s="18">
        <v>37.442462793664902</v>
      </c>
      <c r="N621" s="18">
        <v>7.3516777706303298</v>
      </c>
      <c r="O621" s="18">
        <v>11.7786189607003</v>
      </c>
      <c r="P621" s="18">
        <v>1.74495142971045</v>
      </c>
      <c r="Q621" s="19"/>
      <c r="R621" s="18">
        <v>89.9843559205367</v>
      </c>
      <c r="S621" s="18">
        <v>59.856728834178597</v>
      </c>
      <c r="T621" s="18">
        <v>62.470229445402097</v>
      </c>
      <c r="U621" s="18">
        <v>63.470436529064699</v>
      </c>
      <c r="V621" s="18">
        <v>64.341603399472604</v>
      </c>
      <c r="W621" s="18">
        <v>64.994978552278397</v>
      </c>
      <c r="X621" s="18"/>
      <c r="Y621" s="18">
        <v>21.128101142161292</v>
      </c>
      <c r="Z621" s="18">
        <v>14.240357524974502</v>
      </c>
      <c r="AA621" s="18">
        <v>4.8764068995295409</v>
      </c>
      <c r="AB621" s="18">
        <v>7.4860950533102253</v>
      </c>
      <c r="AC621" s="18">
        <v>12.539720743131502</v>
      </c>
      <c r="AD621" s="18">
        <v>1.8888265271712221</v>
      </c>
      <c r="AE621" s="18">
        <v>4.1234442255425066</v>
      </c>
      <c r="AF621" s="18">
        <v>663.83389043487068</v>
      </c>
      <c r="AG621" s="18">
        <v>117.68084072696533</v>
      </c>
      <c r="AH621" s="18">
        <v>250.16213483873207</v>
      </c>
      <c r="AI621" s="18">
        <v>600.42912461609308</v>
      </c>
      <c r="AJ621" s="18">
        <v>1.1086533461702299</v>
      </c>
      <c r="AK621" s="18">
        <v>2.4542565529031153</v>
      </c>
      <c r="AL621" s="18"/>
      <c r="AM621" s="18">
        <v>8.4526118010121802</v>
      </c>
      <c r="AN621" s="18">
        <v>2.4181018095956102</v>
      </c>
      <c r="AO621" s="18">
        <v>1.3254923646673999</v>
      </c>
      <c r="AP621" s="18">
        <v>4.8829640952500002</v>
      </c>
      <c r="AQ621" s="18">
        <v>1.43903569771643</v>
      </c>
      <c r="AR621" s="18">
        <v>4.29585007794305</v>
      </c>
      <c r="AS621" s="18">
        <v>7.7976101628903498</v>
      </c>
      <c r="AT621" s="18">
        <v>2.4841178609719599</v>
      </c>
      <c r="AU621" s="18">
        <v>4.4997499571284596</v>
      </c>
      <c r="AV621" s="18">
        <v>3.64823657084637</v>
      </c>
      <c r="AW621" s="18">
        <v>5.0328230407379104</v>
      </c>
      <c r="AX621" s="18"/>
      <c r="AY621" s="18">
        <v>1.0376917188129999</v>
      </c>
      <c r="AZ621" s="18">
        <v>1.0604863706715799</v>
      </c>
      <c r="BA621" s="18">
        <v>0.95599983548673395</v>
      </c>
      <c r="BB621" s="18">
        <v>1.01498171483278</v>
      </c>
      <c r="BC621" s="18">
        <v>1.0143103359693</v>
      </c>
      <c r="BD621" s="18">
        <v>1.0103774669011401</v>
      </c>
      <c r="BE621" s="18">
        <v>1.0240107705466299</v>
      </c>
      <c r="BF621" s="18">
        <v>1.02430263384704</v>
      </c>
      <c r="BG621" s="18">
        <v>1.0289637465774899</v>
      </c>
      <c r="BH621" s="18">
        <v>0.97991997070414205</v>
      </c>
      <c r="BI621" s="18">
        <v>1.0077</v>
      </c>
      <c r="BJ621" s="19"/>
      <c r="BK621" s="18">
        <v>41.868513363312879</v>
      </c>
      <c r="BL621" s="18">
        <v>8.2207150923439052</v>
      </c>
      <c r="BM621" s="18">
        <v>13.170962286190488</v>
      </c>
      <c r="BN621" s="18">
        <v>1.9512210683300744</v>
      </c>
      <c r="BO621" s="18"/>
      <c r="BP621" s="18">
        <v>0</v>
      </c>
      <c r="BQ621" s="18">
        <v>0</v>
      </c>
      <c r="BR621" s="18">
        <v>1.2924450987677618</v>
      </c>
      <c r="BS621" s="18">
        <v>1.2651880485033145</v>
      </c>
      <c r="BT621" s="19"/>
      <c r="BU621" s="18">
        <v>868.29037713809521</v>
      </c>
      <c r="BV621" s="18">
        <v>296.16896130963823</v>
      </c>
      <c r="BW621" s="18">
        <v>64.4630066587915</v>
      </c>
      <c r="BX621" s="18">
        <v>136.10071781575829</v>
      </c>
      <c r="BY621" s="18">
        <v>102.70613704367597</v>
      </c>
      <c r="BZ621" s="18">
        <v>9.912573747314454</v>
      </c>
      <c r="CA621" s="18">
        <v>63.936100670178192</v>
      </c>
      <c r="CB621" s="19"/>
      <c r="CC621" s="19">
        <v>18.894583957436403</v>
      </c>
      <c r="CD621" s="19">
        <v>12.734965107802301</v>
      </c>
      <c r="CE621" s="19">
        <v>4.3609067825750598</v>
      </c>
      <c r="CF621" s="19">
        <v>6.69471669727392</v>
      </c>
      <c r="CG621" s="19">
        <v>11.2141079214688</v>
      </c>
      <c r="CH621" s="19">
        <v>1.6891528092627701</v>
      </c>
      <c r="CI621" s="19">
        <v>3.6875421311689802</v>
      </c>
      <c r="CJ621" s="19"/>
      <c r="CK621" s="19">
        <v>593.65794835125598</v>
      </c>
      <c r="CL621" s="19">
        <v>105.240433597711</v>
      </c>
      <c r="CM621" s="19">
        <v>223.71671869034</v>
      </c>
      <c r="CN621" s="19">
        <v>536.95589722968816</v>
      </c>
      <c r="CO621" s="19">
        <v>0.99145415804098103</v>
      </c>
      <c r="CP621" s="19">
        <v>2.1948094710404602</v>
      </c>
      <c r="CQ621" s="19">
        <v>336.92358985665902</v>
      </c>
      <c r="CR621" s="19">
        <v>291.50261097667465</v>
      </c>
      <c r="HM621" s="620">
        <f t="shared" ref="HM621:HU621" si="623">HM251</f>
        <v>0.47300000000000003</v>
      </c>
      <c r="HN621" s="620">
        <f t="shared" si="623"/>
        <v>0.13</v>
      </c>
      <c r="HO621" s="620">
        <f t="shared" si="623"/>
        <v>0.39100000000000001</v>
      </c>
      <c r="HP621" s="620">
        <f t="shared" si="623"/>
        <v>5.5E-2</v>
      </c>
      <c r="HQ621" s="620">
        <f t="shared" si="623"/>
        <v>3.97</v>
      </c>
      <c r="HR621" s="620">
        <f t="shared" si="623"/>
        <v>4.5999999999999999E-3</v>
      </c>
      <c r="HS621" s="620">
        <f t="shared" si="623"/>
        <v>2.73</v>
      </c>
      <c r="HT621" s="620" t="str">
        <f t="shared" si="623"/>
        <v>as barley</v>
      </c>
      <c r="HU621" s="620" t="str">
        <f t="shared" si="623"/>
        <v>offfarm</v>
      </c>
      <c r="HV621" s="22" t="s">
        <v>2013</v>
      </c>
      <c r="IB621" s="11">
        <f t="shared" ref="IB621:II621" si="624">IB251</f>
        <v>0.47300000000000003</v>
      </c>
      <c r="IC621" s="11">
        <f t="shared" si="624"/>
        <v>0.13</v>
      </c>
      <c r="ID621" s="11">
        <f t="shared" si="624"/>
        <v>0.39100000000000001</v>
      </c>
      <c r="IE621" s="11">
        <f t="shared" si="624"/>
        <v>5.5E-2</v>
      </c>
      <c r="IF621" s="11">
        <f t="shared" si="624"/>
        <v>3.97</v>
      </c>
      <c r="IG621" s="11">
        <f t="shared" si="624"/>
        <v>4.5999999999999999E-3</v>
      </c>
      <c r="IH621" s="11">
        <f t="shared" si="624"/>
        <v>2.73</v>
      </c>
      <c r="II621" s="11" t="str">
        <f t="shared" si="624"/>
        <v>as barley</v>
      </c>
    </row>
    <row r="622" spans="4:243" x14ac:dyDescent="0.25">
      <c r="D622" s="20" t="s">
        <v>1211</v>
      </c>
      <c r="E622" s="14">
        <v>41697</v>
      </c>
      <c r="F622" s="18">
        <v>1.1105937601692599</v>
      </c>
      <c r="G622" s="18">
        <v>1.1009777575688</v>
      </c>
      <c r="H622" s="21">
        <v>94.121100390286699</v>
      </c>
      <c r="I622" s="21">
        <v>84.012474955617904</v>
      </c>
      <c r="J622" s="21">
        <v>94.781573030841599</v>
      </c>
      <c r="K622" s="18">
        <v>0.98185388566096599</v>
      </c>
      <c r="L622" s="18">
        <v>90.365219788977498</v>
      </c>
      <c r="M622" s="18">
        <v>40.696045608994297</v>
      </c>
      <c r="N622" s="18">
        <v>10.955825433288201</v>
      </c>
      <c r="O622" s="18">
        <v>15.754627501753401</v>
      </c>
      <c r="P622" s="18">
        <v>2.3658085023926101</v>
      </c>
      <c r="Q622" s="19"/>
      <c r="R622" s="18">
        <v>88.575689457116496</v>
      </c>
      <c r="S622" s="18">
        <v>57.896628077290799</v>
      </c>
      <c r="T622" s="18">
        <v>61.794570212978101</v>
      </c>
      <c r="U622" s="18">
        <v>63.4187127695144</v>
      </c>
      <c r="V622" s="18">
        <v>64.718026814743496</v>
      </c>
      <c r="W622" s="18">
        <v>65.692512348665304</v>
      </c>
      <c r="X622" s="18"/>
      <c r="Y622" s="18">
        <v>30.805854833576884</v>
      </c>
      <c r="Z622" s="18">
        <v>13.615013845016415</v>
      </c>
      <c r="AA622" s="18">
        <v>5.7126965142109265</v>
      </c>
      <c r="AB622" s="18">
        <v>11.87427899926122</v>
      </c>
      <c r="AC622" s="18">
        <v>16.127612904592819</v>
      </c>
      <c r="AD622" s="18">
        <v>2.0976462127102282</v>
      </c>
      <c r="AE622" s="18">
        <v>3.3920212212526217</v>
      </c>
      <c r="AF622" s="18">
        <v>560.58494305632007</v>
      </c>
      <c r="AG622" s="18">
        <v>91.937579470142254</v>
      </c>
      <c r="AH622" s="18">
        <v>194.85466109435708</v>
      </c>
      <c r="AI622" s="18">
        <v>443.84842569927906</v>
      </c>
      <c r="AJ622" s="18">
        <v>0.81931831065909089</v>
      </c>
      <c r="AK622" s="18">
        <v>1.5586570682711856</v>
      </c>
      <c r="AL622" s="18"/>
      <c r="AM622" s="18">
        <v>8.7515388507767806</v>
      </c>
      <c r="AN622" s="18">
        <v>2.4745849782214999</v>
      </c>
      <c r="AO622" s="18">
        <v>1.3920812613076601</v>
      </c>
      <c r="AP622" s="18">
        <v>5.0479148109656702</v>
      </c>
      <c r="AQ622" s="18">
        <v>1.47442423595966</v>
      </c>
      <c r="AR622" s="18">
        <v>4.5403700152787501</v>
      </c>
      <c r="AS622" s="18">
        <v>7.9229289750807403</v>
      </c>
      <c r="AT622" s="18">
        <v>2.4045267934025398</v>
      </c>
      <c r="AU622" s="18">
        <v>5.0532985116695004</v>
      </c>
      <c r="AV622" s="18">
        <v>4.0270392802398201</v>
      </c>
      <c r="AW622" s="18">
        <v>5.0434189825670197</v>
      </c>
      <c r="AX622" s="18"/>
      <c r="AY622" s="18">
        <v>1.0426239165729201</v>
      </c>
      <c r="AZ622" s="18">
        <v>1.0712822570374501</v>
      </c>
      <c r="BA622" s="18">
        <v>0.93633712576557104</v>
      </c>
      <c r="BB622" s="18">
        <v>1.0065916979604399</v>
      </c>
      <c r="BC622" s="18">
        <v>0.99964347634369399</v>
      </c>
      <c r="BD622" s="18">
        <v>0.99430005177044301</v>
      </c>
      <c r="BE622" s="18">
        <v>1.00044768097281</v>
      </c>
      <c r="BF622" s="18">
        <v>1.01503291677174</v>
      </c>
      <c r="BG622" s="18">
        <v>1.0107701891016501</v>
      </c>
      <c r="BH622" s="18">
        <v>0.99647398504497897</v>
      </c>
      <c r="BI622" s="18">
        <v>0.997</v>
      </c>
      <c r="BJ622" s="19"/>
      <c r="BK622" s="18">
        <v>45.035076220727888</v>
      </c>
      <c r="BL622" s="18">
        <v>12.123940448407522</v>
      </c>
      <c r="BM622" s="18">
        <v>17.434392942930803</v>
      </c>
      <c r="BN622" s="18">
        <v>2.6180520646298313</v>
      </c>
      <c r="BO622" s="18"/>
      <c r="BP622" s="18">
        <v>0</v>
      </c>
      <c r="BQ622" s="18">
        <v>0</v>
      </c>
      <c r="BR622" s="18">
        <v>1.2290057643446657</v>
      </c>
      <c r="BS622" s="18">
        <v>1.2183644992396667</v>
      </c>
      <c r="BT622" s="19"/>
      <c r="BU622" s="18">
        <v>825.65607057069201</v>
      </c>
      <c r="BV622" s="18">
        <v>130.46304945559518</v>
      </c>
      <c r="BW622" s="18">
        <v>119.23211364656623</v>
      </c>
      <c r="BX622" s="18">
        <v>39.904371748155768</v>
      </c>
      <c r="BY622" s="18">
        <v>77.042883522904177</v>
      </c>
      <c r="BZ622" s="18">
        <v>0</v>
      </c>
      <c r="CA622" s="18">
        <v>0</v>
      </c>
      <c r="CB622" s="19"/>
      <c r="CC622" s="19">
        <v>27.837778428235101</v>
      </c>
      <c r="CD622" s="19">
        <v>12.303237185348801</v>
      </c>
      <c r="CE622" s="19">
        <v>5.1622907609439599</v>
      </c>
      <c r="CF622" s="19">
        <v>10.730218316038799</v>
      </c>
      <c r="CG622" s="19">
        <v>14.5737528479508</v>
      </c>
      <c r="CH622" s="19">
        <v>1.8955426105107602</v>
      </c>
      <c r="CI622" s="19">
        <v>3.0652074318736906</v>
      </c>
      <c r="CJ622" s="19"/>
      <c r="CK622" s="19">
        <v>506.57381589675799</v>
      </c>
      <c r="CL622" s="19">
        <v>83.079595756859902</v>
      </c>
      <c r="CM622" s="19">
        <v>176.08084276698301</v>
      </c>
      <c r="CN622" s="19">
        <v>401.08460541307005</v>
      </c>
      <c r="CO622" s="19">
        <v>0.74037879219842495</v>
      </c>
      <c r="CP622" s="19">
        <v>1.4084838854996899</v>
      </c>
      <c r="CQ622" s="19">
        <v>360.46802979949302</v>
      </c>
      <c r="CR622" s="19">
        <v>324.57235285074529</v>
      </c>
      <c r="HM622" s="620">
        <f t="shared" ref="HM622:HU622" si="625">HM252</f>
        <v>0.47300000000000003</v>
      </c>
      <c r="HN622" s="620">
        <f t="shared" si="625"/>
        <v>0.13</v>
      </c>
      <c r="HO622" s="620">
        <f t="shared" si="625"/>
        <v>0.39100000000000001</v>
      </c>
      <c r="HP622" s="620">
        <f t="shared" si="625"/>
        <v>5.5E-2</v>
      </c>
      <c r="HQ622" s="620">
        <f t="shared" si="625"/>
        <v>3.97</v>
      </c>
      <c r="HR622" s="620">
        <f t="shared" si="625"/>
        <v>4.5999999999999999E-3</v>
      </c>
      <c r="HS622" s="620">
        <f t="shared" si="625"/>
        <v>2.73</v>
      </c>
      <c r="HT622" s="620" t="str">
        <f t="shared" si="625"/>
        <v>as barley</v>
      </c>
      <c r="HU622" s="620" t="str">
        <f t="shared" si="625"/>
        <v>offfarm</v>
      </c>
      <c r="HV622" s="22" t="s">
        <v>2013</v>
      </c>
      <c r="IB622" s="11">
        <f t="shared" ref="IB622:II622" si="626">IB252</f>
        <v>0.47300000000000003</v>
      </c>
      <c r="IC622" s="11">
        <f t="shared" si="626"/>
        <v>0.13</v>
      </c>
      <c r="ID622" s="11">
        <f t="shared" si="626"/>
        <v>0.39100000000000001</v>
      </c>
      <c r="IE622" s="11">
        <f t="shared" si="626"/>
        <v>5.5E-2</v>
      </c>
      <c r="IF622" s="11">
        <f t="shared" si="626"/>
        <v>3.97</v>
      </c>
      <c r="IG622" s="11">
        <f t="shared" si="626"/>
        <v>4.5999999999999999E-3</v>
      </c>
      <c r="IH622" s="11">
        <f t="shared" si="626"/>
        <v>2.73</v>
      </c>
      <c r="II622" s="11" t="str">
        <f t="shared" si="626"/>
        <v>as barley</v>
      </c>
    </row>
    <row r="623" spans="4:243" x14ac:dyDescent="0.25">
      <c r="D623" s="20" t="s">
        <v>1212</v>
      </c>
      <c r="E623" s="14">
        <v>41697</v>
      </c>
      <c r="F623" s="18">
        <v>1.1105973312907</v>
      </c>
      <c r="G623" s="18">
        <v>1.1010538257301901</v>
      </c>
      <c r="H623" s="21">
        <v>94.119172745605695</v>
      </c>
      <c r="I623" s="21">
        <v>84.000087778522897</v>
      </c>
      <c r="J623" s="21">
        <v>94.782948158940997</v>
      </c>
      <c r="K623" s="18">
        <v>0.98188756608556005</v>
      </c>
      <c r="L623" s="18">
        <v>90.348788430019198</v>
      </c>
      <c r="M623" s="18">
        <v>40.771986470503101</v>
      </c>
      <c r="N623" s="18">
        <v>10.91602597786</v>
      </c>
      <c r="O623" s="18">
        <v>15.6566138569338</v>
      </c>
      <c r="P623" s="18">
        <v>2.3707765616751399</v>
      </c>
      <c r="Q623" s="19"/>
      <c r="R623" s="18">
        <v>88.576054670975594</v>
      </c>
      <c r="S623" s="18">
        <v>57.479002517800502</v>
      </c>
      <c r="T623" s="18">
        <v>61.555774147916601</v>
      </c>
      <c r="U623" s="18">
        <v>63.2544289937983</v>
      </c>
      <c r="V623" s="18">
        <v>64.613352870503704</v>
      </c>
      <c r="W623" s="18">
        <v>65.632545778032707</v>
      </c>
      <c r="X623" s="18"/>
      <c r="Y623" s="18">
        <v>30.876447842029652</v>
      </c>
      <c r="Z623" s="18">
        <v>13.047985677128681</v>
      </c>
      <c r="AA623" s="18">
        <v>5.7257486449615813</v>
      </c>
      <c r="AB623" s="18">
        <v>11.902422658176551</v>
      </c>
      <c r="AC623" s="18">
        <v>16.16300245773478</v>
      </c>
      <c r="AD623" s="18">
        <v>2.1024315309970185</v>
      </c>
      <c r="AE623" s="18">
        <v>3.3986473405805109</v>
      </c>
      <c r="AF623" s="18">
        <v>561.86028385447514</v>
      </c>
      <c r="AG623" s="18">
        <v>92.149173653055826</v>
      </c>
      <c r="AH623" s="18">
        <v>195.30549984783178</v>
      </c>
      <c r="AI623" s="18">
        <v>444.87461064316739</v>
      </c>
      <c r="AJ623" s="18">
        <v>0.82121909904084511</v>
      </c>
      <c r="AK623" s="18">
        <v>1.5622695937667594</v>
      </c>
      <c r="AL623" s="18"/>
      <c r="AM623" s="18">
        <v>8.7525390244062304</v>
      </c>
      <c r="AN623" s="18">
        <v>2.4745626878490099</v>
      </c>
      <c r="AO623" s="18">
        <v>1.39202724053751</v>
      </c>
      <c r="AP623" s="18">
        <v>5.04796003548807</v>
      </c>
      <c r="AQ623" s="18">
        <v>1.4741741622807201</v>
      </c>
      <c r="AR623" s="18">
        <v>4.5400246503055302</v>
      </c>
      <c r="AS623" s="18">
        <v>7.9222914534464799</v>
      </c>
      <c r="AT623" s="18">
        <v>2.4045846346998001</v>
      </c>
      <c r="AU623" s="18">
        <v>5.0529705779954499</v>
      </c>
      <c r="AV623" s="18">
        <v>4.0265543208524797</v>
      </c>
      <c r="AW623" s="18">
        <v>5.0428664732153701</v>
      </c>
      <c r="AX623" s="18"/>
      <c r="AY623" s="18">
        <v>1.04263884335452</v>
      </c>
      <c r="AZ623" s="18">
        <v>1.07129028091972</v>
      </c>
      <c r="BA623" s="18">
        <v>0.936374545611106</v>
      </c>
      <c r="BB623" s="18">
        <v>1.00660409684872</v>
      </c>
      <c r="BC623" s="18">
        <v>0.99966069126268697</v>
      </c>
      <c r="BD623" s="18">
        <v>0.99430428938128601</v>
      </c>
      <c r="BE623" s="18">
        <v>1.00044642774276</v>
      </c>
      <c r="BF623" s="18">
        <v>1.0150366686291701</v>
      </c>
      <c r="BG623" s="18">
        <v>1.01076837395273</v>
      </c>
      <c r="BH623" s="18">
        <v>0.99648406351131302</v>
      </c>
      <c r="BI623" s="18">
        <v>0.997</v>
      </c>
      <c r="BJ623" s="19"/>
      <c r="BK623" s="18">
        <v>45.127319556790255</v>
      </c>
      <c r="BL623" s="18">
        <v>12.082094478018536</v>
      </c>
      <c r="BM623" s="18">
        <v>17.329080034162086</v>
      </c>
      <c r="BN623" s="18">
        <v>2.6240269547293984</v>
      </c>
      <c r="BO623" s="18"/>
      <c r="BP623" s="18">
        <v>0</v>
      </c>
      <c r="BQ623" s="18">
        <v>0</v>
      </c>
      <c r="BR623" s="18">
        <v>1.2292332311140257</v>
      </c>
      <c r="BS623" s="18">
        <v>1.2186702720236535</v>
      </c>
      <c r="BT623" s="19"/>
      <c r="BU623" s="18">
        <v>826.70919965837925</v>
      </c>
      <c r="BV623" s="18">
        <v>130.72921197796953</v>
      </c>
      <c r="BW623" s="18">
        <v>119.5077233487447</v>
      </c>
      <c r="BX623" s="18">
        <v>39.99694842466026</v>
      </c>
      <c r="BY623" s="18">
        <v>77.200575307677511</v>
      </c>
      <c r="BZ623" s="18">
        <v>0</v>
      </c>
      <c r="CA623" s="18">
        <v>0</v>
      </c>
      <c r="CB623" s="19"/>
      <c r="CC623" s="19">
        <v>27.896496535500599</v>
      </c>
      <c r="CD623" s="19">
        <v>11.7886969738082</v>
      </c>
      <c r="CE623" s="19">
        <v>5.1731445292710303</v>
      </c>
      <c r="CF623" s="19">
        <v>10.7536946654826</v>
      </c>
      <c r="CG623" s="19">
        <v>14.603076894477601</v>
      </c>
      <c r="CH623" s="19">
        <v>1.8995214158265099</v>
      </c>
      <c r="CI623" s="19">
        <v>3.07063669522356</v>
      </c>
      <c r="CJ623" s="19"/>
      <c r="CK623" s="19">
        <v>507.63395913198508</v>
      </c>
      <c r="CL623" s="19">
        <v>83.255661943810409</v>
      </c>
      <c r="CM623" s="19">
        <v>176.45615284970901</v>
      </c>
      <c r="CN623" s="19">
        <v>401.93882074886699</v>
      </c>
      <c r="CO623" s="19">
        <v>0.74196150633932301</v>
      </c>
      <c r="CP623" s="19">
        <v>1.4114916499788499</v>
      </c>
      <c r="CQ623" s="19">
        <v>361.14217026555502</v>
      </c>
      <c r="CR623" s="19">
        <v>325.17831629025017</v>
      </c>
      <c r="HM623" s="620">
        <f t="shared" ref="HM623:HU623" si="627">HM253</f>
        <v>0.47300000000000003</v>
      </c>
      <c r="HN623" s="620">
        <f t="shared" si="627"/>
        <v>0.13</v>
      </c>
      <c r="HO623" s="620">
        <f t="shared" si="627"/>
        <v>0.39100000000000001</v>
      </c>
      <c r="HP623" s="620">
        <f t="shared" si="627"/>
        <v>5.5E-2</v>
      </c>
      <c r="HQ623" s="620">
        <f t="shared" si="627"/>
        <v>3.97</v>
      </c>
      <c r="HR623" s="620">
        <f t="shared" si="627"/>
        <v>4.5999999999999999E-3</v>
      </c>
      <c r="HS623" s="620">
        <f t="shared" si="627"/>
        <v>2.73</v>
      </c>
      <c r="HT623" s="620" t="str">
        <f t="shared" si="627"/>
        <v>as barley</v>
      </c>
      <c r="HU623" s="620" t="str">
        <f t="shared" si="627"/>
        <v>offfarm</v>
      </c>
      <c r="HV623" s="22" t="s">
        <v>2013</v>
      </c>
      <c r="IB623" s="11">
        <f t="shared" ref="IB623:II623" si="628">IB253</f>
        <v>0.47300000000000003</v>
      </c>
      <c r="IC623" s="11">
        <f t="shared" si="628"/>
        <v>0.13</v>
      </c>
      <c r="ID623" s="11">
        <f t="shared" si="628"/>
        <v>0.39100000000000001</v>
      </c>
      <c r="IE623" s="11">
        <f t="shared" si="628"/>
        <v>5.5E-2</v>
      </c>
      <c r="IF623" s="11">
        <f t="shared" si="628"/>
        <v>3.97</v>
      </c>
      <c r="IG623" s="11">
        <f t="shared" si="628"/>
        <v>4.5999999999999999E-3</v>
      </c>
      <c r="IH623" s="11">
        <f t="shared" si="628"/>
        <v>2.73</v>
      </c>
      <c r="II623" s="11" t="str">
        <f t="shared" si="628"/>
        <v>as barley</v>
      </c>
    </row>
    <row r="624" spans="4:243" x14ac:dyDescent="0.25">
      <c r="D624" s="20" t="s">
        <v>1213</v>
      </c>
      <c r="E624" s="14">
        <v>41697</v>
      </c>
      <c r="F624" s="18">
        <v>0.80671309672143399</v>
      </c>
      <c r="G624" s="18">
        <v>0.82157156819861199</v>
      </c>
      <c r="H624" s="21">
        <v>92.562306916225296</v>
      </c>
      <c r="I624" s="21">
        <v>78.413810600755696</v>
      </c>
      <c r="J624" s="21">
        <v>96.011672422398902</v>
      </c>
      <c r="K624" s="18">
        <v>1</v>
      </c>
      <c r="L624" s="18">
        <v>89.710453134867606</v>
      </c>
      <c r="M624" s="18">
        <v>40.6671769407941</v>
      </c>
      <c r="N624" s="18">
        <v>1.83386611500548</v>
      </c>
      <c r="O624" s="18">
        <v>18.710887327282801</v>
      </c>
      <c r="P624" s="18">
        <v>4.0683682051004704</v>
      </c>
      <c r="Q624" s="19"/>
      <c r="R624" s="18">
        <v>88.352329834407598</v>
      </c>
      <c r="S624" s="18">
        <v>51.731214935338599</v>
      </c>
      <c r="T624" s="18">
        <v>57.517736815059997</v>
      </c>
      <c r="U624" s="18">
        <v>59.918514919913001</v>
      </c>
      <c r="V624" s="18">
        <v>61.888446259943699</v>
      </c>
      <c r="W624" s="18">
        <v>63.304258694781403</v>
      </c>
      <c r="X624" s="18"/>
      <c r="Y624" s="18">
        <v>37.371171767752301</v>
      </c>
      <c r="Z624" s="18">
        <v>12.635499345947686</v>
      </c>
      <c r="AA624" s="18">
        <v>8.593814849425538</v>
      </c>
      <c r="AB624" s="18">
        <v>17.142625077022352</v>
      </c>
      <c r="AC624" s="18">
        <v>19.395742846965589</v>
      </c>
      <c r="AD624" s="18">
        <v>2.9736432899283525</v>
      </c>
      <c r="AE624" s="18">
        <v>3.2192301495528524</v>
      </c>
      <c r="AF624" s="18">
        <v>353.01852771742705</v>
      </c>
      <c r="AG624" s="18">
        <v>133.34476240565425</v>
      </c>
      <c r="AH624" s="18">
        <v>280.85717691237124</v>
      </c>
      <c r="AI624" s="18">
        <v>647.39338785250709</v>
      </c>
      <c r="AJ624" s="18">
        <v>1.2019665229752619</v>
      </c>
      <c r="AK624" s="18">
        <v>1.3641836324659049</v>
      </c>
      <c r="AL624" s="18"/>
      <c r="AM624" s="18">
        <v>8.6594406335387006</v>
      </c>
      <c r="AN624" s="18">
        <v>2.0884989109395802</v>
      </c>
      <c r="AO624" s="18">
        <v>1.3717216458564301</v>
      </c>
      <c r="AP624" s="18">
        <v>5.1433326633921004</v>
      </c>
      <c r="AQ624" s="18">
        <v>1.2686521821544501</v>
      </c>
      <c r="AR624" s="18">
        <v>4.1907759073473798</v>
      </c>
      <c r="AS624" s="18">
        <v>7.2156766483472801</v>
      </c>
      <c r="AT624" s="18">
        <v>2.48053465627597</v>
      </c>
      <c r="AU624" s="18">
        <v>4.7118109964660402</v>
      </c>
      <c r="AV624" s="18">
        <v>3.4599014330742399</v>
      </c>
      <c r="AW624" s="18">
        <v>4.5051519782987004</v>
      </c>
      <c r="AX624" s="18"/>
      <c r="AY624" s="18">
        <v>1.05345059272776</v>
      </c>
      <c r="AZ624" s="18">
        <v>1.0746136946315701</v>
      </c>
      <c r="BA624" s="18">
        <v>0.98387453865297403</v>
      </c>
      <c r="BB624" s="18">
        <v>1.0245535427316499</v>
      </c>
      <c r="BC624" s="18">
        <v>1.0314072121736599</v>
      </c>
      <c r="BD624" s="18">
        <v>1.0018993473254301</v>
      </c>
      <c r="BE624" s="18">
        <v>1.0023374799413101</v>
      </c>
      <c r="BF624" s="18">
        <v>1.0218082421908801</v>
      </c>
      <c r="BG624" s="18">
        <v>1.01251252652983</v>
      </c>
      <c r="BH624" s="18">
        <v>1.01246151186419</v>
      </c>
      <c r="BI624" s="18">
        <v>1.0006999999999999</v>
      </c>
      <c r="BJ624" s="19"/>
      <c r="BK624" s="18">
        <v>45.331592383840118</v>
      </c>
      <c r="BL624" s="18">
        <v>2.0442056091819185</v>
      </c>
      <c r="BM624" s="18">
        <v>20.856975607015936</v>
      </c>
      <c r="BN624" s="18">
        <v>4.534999058564809</v>
      </c>
      <c r="BO624" s="18"/>
      <c r="BP624" s="18">
        <v>0</v>
      </c>
      <c r="BQ624" s="18">
        <v>0</v>
      </c>
      <c r="BR624" s="18">
        <v>0.89924091176827448</v>
      </c>
      <c r="BS624" s="18">
        <v>0.91580360982402975</v>
      </c>
      <c r="BT624" s="19"/>
      <c r="BU624" s="18">
        <v>791.43024392984057</v>
      </c>
      <c r="BV624" s="18">
        <v>140.25483645226677</v>
      </c>
      <c r="BW624" s="18">
        <v>159.96496985989364</v>
      </c>
      <c r="BX624" s="18">
        <v>51.695117277573253</v>
      </c>
      <c r="BY624" s="18">
        <v>86.744608195770709</v>
      </c>
      <c r="BZ624" s="18">
        <v>4.0065082542618509</v>
      </c>
      <c r="CA624" s="18">
        <v>24.903198364725625</v>
      </c>
      <c r="CB624" s="19"/>
      <c r="CC624" s="19">
        <v>33.525847534660301</v>
      </c>
      <c r="CD624" s="19">
        <v>11.335363719102901</v>
      </c>
      <c r="CE624" s="19">
        <v>7.7095502429911908</v>
      </c>
      <c r="CF624" s="19">
        <v>15.378726635808199</v>
      </c>
      <c r="CG624" s="19">
        <v>17.4000087968865</v>
      </c>
      <c r="CH624" s="19">
        <v>2.6676688700093099</v>
      </c>
      <c r="CI624" s="19">
        <v>2.8879859546181401</v>
      </c>
      <c r="CJ624" s="19"/>
      <c r="CK624" s="19">
        <v>316.69452086534199</v>
      </c>
      <c r="CL624" s="19">
        <v>119.62419058572502</v>
      </c>
      <c r="CM624" s="19">
        <v>251.95824606988501</v>
      </c>
      <c r="CN624" s="19">
        <v>580.77954180765505</v>
      </c>
      <c r="CO624" s="19">
        <v>1.0782896142905201</v>
      </c>
      <c r="CP624" s="19">
        <v>1.2238153182768601</v>
      </c>
      <c r="CQ624" s="19">
        <v>359.30398305072498</v>
      </c>
      <c r="CR624" s="19">
        <v>445.3925249397509</v>
      </c>
      <c r="HM624" s="620">
        <f t="shared" ref="HM624:HU624" si="629">HM254</f>
        <v>0.47300000000000003</v>
      </c>
      <c r="HN624" s="620">
        <f t="shared" si="629"/>
        <v>0.13</v>
      </c>
      <c r="HO624" s="620">
        <f t="shared" si="629"/>
        <v>0.39100000000000001</v>
      </c>
      <c r="HP624" s="620">
        <f t="shared" si="629"/>
        <v>5.5E-2</v>
      </c>
      <c r="HQ624" s="620">
        <f t="shared" si="629"/>
        <v>3.97</v>
      </c>
      <c r="HR624" s="620">
        <f t="shared" si="629"/>
        <v>4.5999999999999999E-3</v>
      </c>
      <c r="HS624" s="620">
        <f t="shared" si="629"/>
        <v>2.73</v>
      </c>
      <c r="HT624" s="620" t="str">
        <f t="shared" si="629"/>
        <v>as barley</v>
      </c>
      <c r="HU624" s="620" t="str">
        <f t="shared" si="629"/>
        <v>offfarm</v>
      </c>
      <c r="HV624" s="22" t="s">
        <v>2013</v>
      </c>
      <c r="IB624" s="11">
        <f t="shared" ref="IB624:II624" si="630">IB254</f>
        <v>0.47300000000000003</v>
      </c>
      <c r="IC624" s="11">
        <f t="shared" si="630"/>
        <v>0.13</v>
      </c>
      <c r="ID624" s="11">
        <f t="shared" si="630"/>
        <v>0.39100000000000001</v>
      </c>
      <c r="IE624" s="11">
        <f t="shared" si="630"/>
        <v>5.5E-2</v>
      </c>
      <c r="IF624" s="11">
        <f t="shared" si="630"/>
        <v>3.97</v>
      </c>
      <c r="IG624" s="11">
        <f t="shared" si="630"/>
        <v>4.5999999999999999E-3</v>
      </c>
      <c r="IH624" s="11">
        <f t="shared" si="630"/>
        <v>2.73</v>
      </c>
      <c r="II624" s="11" t="str">
        <f t="shared" si="630"/>
        <v>as barley</v>
      </c>
    </row>
    <row r="625" spans="4:244" x14ac:dyDescent="0.25">
      <c r="D625" s="20" t="s">
        <v>1214</v>
      </c>
      <c r="E625" s="14">
        <v>41696</v>
      </c>
      <c r="F625" s="18">
        <v>0.862384304256957</v>
      </c>
      <c r="G625" s="18">
        <v>0.86886524382136798</v>
      </c>
      <c r="H625" s="21">
        <v>94.349810222247598</v>
      </c>
      <c r="I625" s="21">
        <v>80.747020472588304</v>
      </c>
      <c r="J625" s="21">
        <v>96.169665400499099</v>
      </c>
      <c r="K625" s="18">
        <v>1</v>
      </c>
      <c r="L625" s="18">
        <v>90.286902367636202</v>
      </c>
      <c r="M625" s="18">
        <v>37.7713320845467</v>
      </c>
      <c r="N625" s="18">
        <v>4.5697866967290803</v>
      </c>
      <c r="O625" s="18">
        <v>22.4241519582656</v>
      </c>
      <c r="P625" s="18">
        <v>2.8142556273063102</v>
      </c>
      <c r="Q625" s="19"/>
      <c r="R625" s="18">
        <v>88.503986342378099</v>
      </c>
      <c r="S625" s="18">
        <v>57.166381634232103</v>
      </c>
      <c r="T625" s="18">
        <v>61.380789505275501</v>
      </c>
      <c r="U625" s="18">
        <v>63.136792784876903</v>
      </c>
      <c r="V625" s="18">
        <v>64.541595408557995</v>
      </c>
      <c r="W625" s="18">
        <v>65.595197376318893</v>
      </c>
      <c r="X625" s="18"/>
      <c r="Y625" s="18">
        <v>48.889928879579251</v>
      </c>
      <c r="Z625" s="18">
        <v>15.486309602902999</v>
      </c>
      <c r="AA625" s="18">
        <v>9.5664332159999326</v>
      </c>
      <c r="AB625" s="18">
        <v>18.08721782988826</v>
      </c>
      <c r="AC625" s="18">
        <v>18.18321034083209</v>
      </c>
      <c r="AD625" s="18">
        <v>2.5001914218644155</v>
      </c>
      <c r="AE625" s="18">
        <v>2.8790083039650796</v>
      </c>
      <c r="AF625" s="18">
        <v>364.53288575927672</v>
      </c>
      <c r="AG625" s="18">
        <v>51.389778248537283</v>
      </c>
      <c r="AH625" s="18">
        <v>309.01009144398932</v>
      </c>
      <c r="AI625" s="18">
        <v>718.35441446957952</v>
      </c>
      <c r="AJ625" s="18">
        <v>1.3594301849906232</v>
      </c>
      <c r="AK625" s="18">
        <v>1.5109569378308887</v>
      </c>
      <c r="AL625" s="18"/>
      <c r="AM625" s="18">
        <v>8.4712730122904105</v>
      </c>
      <c r="AN625" s="18">
        <v>1.9619128497553999</v>
      </c>
      <c r="AO625" s="18">
        <v>1.35971976561797</v>
      </c>
      <c r="AP625" s="18">
        <v>4.7409181462539802</v>
      </c>
      <c r="AQ625" s="18">
        <v>1.2926734145749501</v>
      </c>
      <c r="AR625" s="18">
        <v>4.25144603513254</v>
      </c>
      <c r="AS625" s="18">
        <v>7.3730189212324397</v>
      </c>
      <c r="AT625" s="18">
        <v>2.5183211568774602</v>
      </c>
      <c r="AU625" s="18">
        <v>4.7876750461926303</v>
      </c>
      <c r="AV625" s="18">
        <v>3.5715994458189502</v>
      </c>
      <c r="AW625" s="18">
        <v>4.52917108602254</v>
      </c>
      <c r="AX625" s="18"/>
      <c r="AY625" s="18">
        <v>0</v>
      </c>
      <c r="AZ625" s="18">
        <v>0</v>
      </c>
      <c r="BA625" s="18">
        <v>0</v>
      </c>
      <c r="BB625" s="18">
        <v>0</v>
      </c>
      <c r="BC625" s="18">
        <v>0</v>
      </c>
      <c r="BD625" s="18">
        <v>0</v>
      </c>
      <c r="BE625" s="18">
        <v>0</v>
      </c>
      <c r="BF625" s="18">
        <v>0</v>
      </c>
      <c r="BG625" s="18">
        <v>0</v>
      </c>
      <c r="BH625" s="18">
        <v>0</v>
      </c>
      <c r="BI625" s="18">
        <v>0</v>
      </c>
      <c r="BJ625" s="19"/>
      <c r="BK625" s="18">
        <v>41.834785659991837</v>
      </c>
      <c r="BL625" s="18">
        <v>5.0614060034106823</v>
      </c>
      <c r="BM625" s="18">
        <v>24.836550341440944</v>
      </c>
      <c r="BN625" s="18">
        <v>3.117014266196704</v>
      </c>
      <c r="BO625" s="18"/>
      <c r="BP625" s="18" t="s">
        <v>217</v>
      </c>
      <c r="BQ625" s="18">
        <v>41.623552770112049</v>
      </c>
      <c r="BR625" s="18">
        <v>0.95515991981366621</v>
      </c>
      <c r="BS625" s="18">
        <v>0.96233808120192765</v>
      </c>
      <c r="BT625" s="19"/>
      <c r="BU625" s="18">
        <v>751.63449658559045</v>
      </c>
      <c r="BV625" s="18">
        <v>133.31173298808812</v>
      </c>
      <c r="BW625" s="18">
        <v>146.06180036635428</v>
      </c>
      <c r="BX625" s="18">
        <v>49.074005181222951</v>
      </c>
      <c r="BY625" s="18">
        <v>82.650956094691296</v>
      </c>
      <c r="BZ625" s="18">
        <v>0</v>
      </c>
      <c r="CA625" s="18">
        <v>0</v>
      </c>
      <c r="CB625" s="19"/>
      <c r="CC625" s="19">
        <v>44.141202355112497</v>
      </c>
      <c r="CD625" s="19">
        <v>13.9821092315229</v>
      </c>
      <c r="CE625" s="19">
        <v>8.63723621779498</v>
      </c>
      <c r="CF625" s="19">
        <v>16.3303887030929</v>
      </c>
      <c r="CG625" s="19">
        <v>16.417057367729001</v>
      </c>
      <c r="CH625" s="19">
        <v>2.2573453880627401</v>
      </c>
      <c r="CI625" s="19">
        <v>2.5993674165570901</v>
      </c>
      <c r="CJ625" s="19"/>
      <c r="CK625" s="19">
        <v>329.12545066340499</v>
      </c>
      <c r="CL625" s="19">
        <v>46.398238914201599</v>
      </c>
      <c r="CM625" s="19">
        <v>278.99563956817798</v>
      </c>
      <c r="CN625" s="19">
        <v>648.57994884575396</v>
      </c>
      <c r="CO625" s="19">
        <v>1.2273874038786601</v>
      </c>
      <c r="CP625" s="19">
        <v>1.3641962152764</v>
      </c>
      <c r="CQ625" s="19">
        <v>334.29134589441497</v>
      </c>
      <c r="CR625" s="19">
        <v>387.63616666521466</v>
      </c>
      <c r="HM625" s="620">
        <f t="shared" ref="HM625:HU625" si="631">HM255</f>
        <v>0.47300000000000003</v>
      </c>
      <c r="HN625" s="620">
        <f t="shared" si="631"/>
        <v>0.13</v>
      </c>
      <c r="HO625" s="620">
        <f t="shared" si="631"/>
        <v>0.39100000000000001</v>
      </c>
      <c r="HP625" s="620">
        <f t="shared" si="631"/>
        <v>5.5E-2</v>
      </c>
      <c r="HQ625" s="620">
        <f t="shared" si="631"/>
        <v>3.97</v>
      </c>
      <c r="HR625" s="620">
        <f t="shared" si="631"/>
        <v>4.5999999999999999E-3</v>
      </c>
      <c r="HS625" s="620">
        <f t="shared" si="631"/>
        <v>2.73</v>
      </c>
      <c r="HT625" s="620" t="str">
        <f t="shared" si="631"/>
        <v>as barley</v>
      </c>
      <c r="HU625" s="620" t="str">
        <f t="shared" si="631"/>
        <v>offfarm</v>
      </c>
      <c r="HV625" s="22" t="s">
        <v>2013</v>
      </c>
      <c r="IB625" s="11">
        <f t="shared" ref="IB625:II625" si="632">IB255</f>
        <v>0.47300000000000003</v>
      </c>
      <c r="IC625" s="11">
        <f t="shared" si="632"/>
        <v>0.13</v>
      </c>
      <c r="ID625" s="11">
        <f t="shared" si="632"/>
        <v>0.39100000000000001</v>
      </c>
      <c r="IE625" s="11">
        <f t="shared" si="632"/>
        <v>5.5E-2</v>
      </c>
      <c r="IF625" s="11">
        <f t="shared" si="632"/>
        <v>3.97</v>
      </c>
      <c r="IG625" s="11">
        <f t="shared" si="632"/>
        <v>4.5999999999999999E-3</v>
      </c>
      <c r="IH625" s="11">
        <f t="shared" si="632"/>
        <v>2.73</v>
      </c>
      <c r="II625" s="11" t="str">
        <f t="shared" si="632"/>
        <v>as barley</v>
      </c>
    </row>
    <row r="626" spans="4:244" x14ac:dyDescent="0.25">
      <c r="D626" s="20" t="s">
        <v>1215</v>
      </c>
      <c r="E626" s="14">
        <v>41814</v>
      </c>
      <c r="F626" s="18">
        <v>0.58566849292842604</v>
      </c>
      <c r="G626" s="18">
        <v>0.409734253399753</v>
      </c>
      <c r="H626" s="21">
        <v>77.588578727534198</v>
      </c>
      <c r="I626" s="21">
        <v>60.340284617116602</v>
      </c>
      <c r="J626" s="21">
        <v>86.132904163630101</v>
      </c>
      <c r="K626" s="18">
        <v>1</v>
      </c>
      <c r="L626" s="18">
        <v>90.652091742568004</v>
      </c>
      <c r="M626" s="18">
        <v>29.4892080142561</v>
      </c>
      <c r="N626" s="18">
        <v>3.1195760658479199</v>
      </c>
      <c r="O626" s="18">
        <v>22.9770092584011</v>
      </c>
      <c r="P626" s="18">
        <v>9.6050741425389301</v>
      </c>
      <c r="Q626" s="19"/>
      <c r="R626" s="18">
        <v>76.150602133291301</v>
      </c>
      <c r="S626" s="18">
        <v>33.8525689731079</v>
      </c>
      <c r="T626" s="18">
        <v>44.6419246642037</v>
      </c>
      <c r="U626" s="18">
        <v>48.793857304990603</v>
      </c>
      <c r="V626" s="18">
        <v>52.940120770827299</v>
      </c>
      <c r="W626" s="18">
        <v>55.4312803552994</v>
      </c>
      <c r="X626" s="18"/>
      <c r="Y626" s="18">
        <v>56.21202225352674</v>
      </c>
      <c r="Z626" s="18">
        <v>10.236364927523601</v>
      </c>
      <c r="AA626" s="18">
        <v>12.817364116725839</v>
      </c>
      <c r="AB626" s="18">
        <v>20.390296935895364</v>
      </c>
      <c r="AC626" s="18">
        <v>12.164743162214879</v>
      </c>
      <c r="AD626" s="18">
        <v>4.2563345761219802</v>
      </c>
      <c r="AE626" s="18">
        <v>5.8564737632801647</v>
      </c>
      <c r="AF626" s="18">
        <v>484.02398113384919</v>
      </c>
      <c r="AG626" s="18">
        <v>60.184196221539018</v>
      </c>
      <c r="AH626" s="18">
        <v>427.47120845882154</v>
      </c>
      <c r="AI626" s="18">
        <v>974.72833333174435</v>
      </c>
      <c r="AJ626" s="18">
        <v>1.8321170096338488</v>
      </c>
      <c r="AK626" s="18">
        <v>1.9055581677912148</v>
      </c>
      <c r="AL626" s="18"/>
      <c r="AM626" s="18">
        <v>5.5078068993985303</v>
      </c>
      <c r="AN626" s="18">
        <v>1.99113086269164</v>
      </c>
      <c r="AO626" s="18">
        <v>2.47567808505221</v>
      </c>
      <c r="AP626" s="18">
        <v>4.3930885712811802</v>
      </c>
      <c r="AQ626" s="18">
        <v>1.2709286225743499</v>
      </c>
      <c r="AR626" s="18">
        <v>3.9067093722346602</v>
      </c>
      <c r="AS626" s="18">
        <v>7.1071929873533</v>
      </c>
      <c r="AT626" s="18">
        <v>2.7876166029746998</v>
      </c>
      <c r="AU626" s="18">
        <v>4.0127797270790504</v>
      </c>
      <c r="AV626" s="18">
        <v>3.0290448241736598</v>
      </c>
      <c r="AW626" s="18">
        <v>5.1834656069460001</v>
      </c>
      <c r="AX626" s="18"/>
      <c r="AY626" s="18">
        <v>0</v>
      </c>
      <c r="AZ626" s="18">
        <v>0</v>
      </c>
      <c r="BA626" s="18">
        <v>0</v>
      </c>
      <c r="BB626" s="18">
        <v>0</v>
      </c>
      <c r="BC626" s="18">
        <v>0</v>
      </c>
      <c r="BD626" s="18">
        <v>0</v>
      </c>
      <c r="BE626" s="18">
        <v>0</v>
      </c>
      <c r="BF626" s="18">
        <v>0</v>
      </c>
      <c r="BG626" s="18">
        <v>0</v>
      </c>
      <c r="BH626" s="18">
        <v>0</v>
      </c>
      <c r="BI626" s="18">
        <v>0</v>
      </c>
      <c r="BJ626" s="19"/>
      <c r="BK626" s="18">
        <v>32.530091084934874</v>
      </c>
      <c r="BL626" s="18">
        <v>3.4412620888074259</v>
      </c>
      <c r="BM626" s="18">
        <v>25.346364123235844</v>
      </c>
      <c r="BN626" s="18">
        <v>10.595535037200495</v>
      </c>
      <c r="BO626" s="18"/>
      <c r="BP626" s="18" t="s">
        <v>217</v>
      </c>
      <c r="BQ626" s="18">
        <v>39.740178561511669</v>
      </c>
      <c r="BR626" s="18">
        <v>0.6460617528733873</v>
      </c>
      <c r="BS626" s="18">
        <v>0.45198543742742103</v>
      </c>
      <c r="BT626" s="19"/>
      <c r="BU626" s="18">
        <v>746.53635876764145</v>
      </c>
      <c r="BV626" s="18">
        <v>65.873056910637345</v>
      </c>
      <c r="BW626" s="18">
        <v>183.94969543063647</v>
      </c>
      <c r="BX626" s="18" t="s">
        <v>217</v>
      </c>
      <c r="BY626" s="18" t="s">
        <v>217</v>
      </c>
      <c r="BZ626" s="18">
        <v>40.700479369015945</v>
      </c>
      <c r="CA626" s="18">
        <v>228.24190391252051</v>
      </c>
      <c r="CB626" s="19"/>
      <c r="CC626" s="19">
        <v>50.957373983619803</v>
      </c>
      <c r="CD626" s="19">
        <v>9.2794789252027492</v>
      </c>
      <c r="CE626" s="19">
        <v>11.619208678073299</v>
      </c>
      <c r="CF626" s="19">
        <v>18.4842306849099</v>
      </c>
      <c r="CG626" s="19">
        <v>11.027594131658802</v>
      </c>
      <c r="CH626" s="19">
        <v>3.8584563248167405</v>
      </c>
      <c r="CI626" s="19">
        <v>5.3090159687681604</v>
      </c>
      <c r="CJ626" s="19"/>
      <c r="CK626" s="19">
        <v>438.77786343348703</v>
      </c>
      <c r="CL626" s="19">
        <v>54.5582327732767</v>
      </c>
      <c r="CM626" s="19">
        <v>387.51159206515501</v>
      </c>
      <c r="CN626" s="19">
        <v>883.61162297269698</v>
      </c>
      <c r="CO626" s="19">
        <v>1.6608523924044702</v>
      </c>
      <c r="CP626" s="19">
        <v>1.7274283384740901</v>
      </c>
      <c r="CQ626" s="19">
        <v>224.56209467194799</v>
      </c>
      <c r="CR626" s="19">
        <v>383.42867574983495</v>
      </c>
      <c r="HM626" s="620">
        <f t="shared" ref="HM626:HU626" si="633">HM256</f>
        <v>0.47300000000000003</v>
      </c>
      <c r="HN626" s="620">
        <f t="shared" si="633"/>
        <v>0.13</v>
      </c>
      <c r="HO626" s="620">
        <f t="shared" si="633"/>
        <v>0.39100000000000001</v>
      </c>
      <c r="HP626" s="620">
        <f t="shared" si="633"/>
        <v>5.5E-2</v>
      </c>
      <c r="HQ626" s="620">
        <f t="shared" si="633"/>
        <v>3.97</v>
      </c>
      <c r="HR626" s="620">
        <f t="shared" si="633"/>
        <v>4.5999999999999999E-3</v>
      </c>
      <c r="HS626" s="620">
        <f t="shared" si="633"/>
        <v>2.73</v>
      </c>
      <c r="HT626" s="620" t="str">
        <f t="shared" si="633"/>
        <v>as barley</v>
      </c>
      <c r="HU626" s="620" t="str">
        <f t="shared" si="633"/>
        <v>offfarm</v>
      </c>
      <c r="HV626" s="22" t="s">
        <v>2013</v>
      </c>
      <c r="IB626" s="11">
        <f t="shared" ref="IB626:II626" si="634">IB256</f>
        <v>0.47300000000000003</v>
      </c>
      <c r="IC626" s="11">
        <f t="shared" si="634"/>
        <v>0.13</v>
      </c>
      <c r="ID626" s="11">
        <f t="shared" si="634"/>
        <v>0.39100000000000001</v>
      </c>
      <c r="IE626" s="11">
        <f t="shared" si="634"/>
        <v>5.5E-2</v>
      </c>
      <c r="IF626" s="11">
        <f t="shared" si="634"/>
        <v>3.97</v>
      </c>
      <c r="IG626" s="11">
        <f t="shared" si="634"/>
        <v>4.5999999999999999E-3</v>
      </c>
      <c r="IH626" s="11">
        <f t="shared" si="634"/>
        <v>2.73</v>
      </c>
      <c r="II626" s="11" t="str">
        <f t="shared" si="634"/>
        <v>as barley</v>
      </c>
    </row>
    <row r="627" spans="4:244" x14ac:dyDescent="0.25">
      <c r="D627" s="20" t="s">
        <v>1216</v>
      </c>
      <c r="E627" s="14">
        <v>40310</v>
      </c>
      <c r="F627" s="18">
        <v>-8.8418002322880607E-2</v>
      </c>
      <c r="G627" s="18">
        <v>-8.2438367346939004E-2</v>
      </c>
      <c r="H627" s="21">
        <v>70</v>
      </c>
      <c r="I627" s="21">
        <v>60</v>
      </c>
      <c r="J627" s="21">
        <v>90</v>
      </c>
      <c r="K627" s="18">
        <v>1</v>
      </c>
      <c r="L627" s="18">
        <v>99</v>
      </c>
      <c r="M627" s="18">
        <v>0.1</v>
      </c>
      <c r="N627" s="18">
        <v>0.1</v>
      </c>
      <c r="O627" s="18">
        <v>96.7</v>
      </c>
      <c r="P627" s="18">
        <v>0.04</v>
      </c>
      <c r="Q627" s="19"/>
      <c r="R627" s="18">
        <v>70</v>
      </c>
      <c r="S627" s="18">
        <v>50</v>
      </c>
      <c r="T627" s="18">
        <v>50</v>
      </c>
      <c r="U627" s="18">
        <v>50</v>
      </c>
      <c r="V627" s="18">
        <v>50</v>
      </c>
      <c r="W627" s="18">
        <v>50</v>
      </c>
      <c r="X627" s="18"/>
      <c r="Y627" s="18">
        <v>0</v>
      </c>
      <c r="Z627" s="18">
        <v>0</v>
      </c>
      <c r="AA627" s="18">
        <v>0</v>
      </c>
      <c r="AB627" s="18">
        <v>0</v>
      </c>
      <c r="AC627" s="18">
        <v>0</v>
      </c>
      <c r="AD627" s="18">
        <v>0</v>
      </c>
      <c r="AE627" s="18">
        <v>0</v>
      </c>
      <c r="AF627" s="18">
        <v>62626.262626262629</v>
      </c>
      <c r="AG627" s="18">
        <v>12525.252525252525</v>
      </c>
      <c r="AH627" s="18">
        <v>25050.505050504951</v>
      </c>
      <c r="AI627" s="18">
        <v>62626.262626262629</v>
      </c>
      <c r="AJ627" s="18">
        <v>125.25252525252525</v>
      </c>
      <c r="AK627" s="18">
        <v>219.1919191919192</v>
      </c>
      <c r="AL627" s="18"/>
      <c r="AM627" s="18">
        <v>0</v>
      </c>
      <c r="AN627" s="18">
        <v>0</v>
      </c>
      <c r="AO627" s="18">
        <v>0</v>
      </c>
      <c r="AP627" s="18">
        <v>0</v>
      </c>
      <c r="AQ627" s="18">
        <v>0</v>
      </c>
      <c r="AR627" s="18">
        <v>0</v>
      </c>
      <c r="AS627" s="18">
        <v>0</v>
      </c>
      <c r="AT627" s="18">
        <v>0</v>
      </c>
      <c r="AU627" s="18">
        <v>0</v>
      </c>
      <c r="AV627" s="18">
        <v>0</v>
      </c>
      <c r="AW627" s="18">
        <v>0</v>
      </c>
      <c r="AX627" s="18"/>
      <c r="AY627" s="18">
        <v>1</v>
      </c>
      <c r="AZ627" s="18">
        <v>1</v>
      </c>
      <c r="BA627" s="18">
        <v>1</v>
      </c>
      <c r="BB627" s="18">
        <v>1</v>
      </c>
      <c r="BC627" s="18">
        <v>1</v>
      </c>
      <c r="BD627" s="18">
        <v>1</v>
      </c>
      <c r="BE627" s="18">
        <v>1</v>
      </c>
      <c r="BF627" s="18">
        <v>1</v>
      </c>
      <c r="BG627" s="18">
        <v>1</v>
      </c>
      <c r="BH627" s="18">
        <v>1</v>
      </c>
      <c r="BI627" s="18">
        <v>1</v>
      </c>
      <c r="BJ627" s="19"/>
      <c r="BK627" s="18">
        <v>0.10101010101010102</v>
      </c>
      <c r="BL627" s="18">
        <v>0.10101010101010102</v>
      </c>
      <c r="BM627" s="18">
        <v>97.676767676767682</v>
      </c>
      <c r="BN627" s="18">
        <v>4.0404040404040407E-2</v>
      </c>
      <c r="BO627" s="18"/>
      <c r="BP627" s="18">
        <v>0</v>
      </c>
      <c r="BQ627" s="18">
        <v>0</v>
      </c>
      <c r="BR627" s="18">
        <v>-8.9311113457455155E-2</v>
      </c>
      <c r="BS627" s="18">
        <v>-8.327107812822121E-2</v>
      </c>
      <c r="BT627" s="19"/>
      <c r="BU627" s="18">
        <v>23.232323232323033</v>
      </c>
      <c r="BV627" s="18">
        <v>11.044733044732929</v>
      </c>
      <c r="BW627" s="18">
        <v>3.3189033189032928</v>
      </c>
      <c r="BX627" s="18">
        <v>0</v>
      </c>
      <c r="BY627" s="18">
        <v>0</v>
      </c>
      <c r="BZ627" s="18">
        <v>0</v>
      </c>
      <c r="CA627" s="18">
        <v>0</v>
      </c>
      <c r="CB627" s="19"/>
      <c r="CC627" s="19">
        <v>0</v>
      </c>
      <c r="CD627" s="19">
        <v>0</v>
      </c>
      <c r="CE627" s="19">
        <v>0</v>
      </c>
      <c r="CF627" s="19">
        <v>0</v>
      </c>
      <c r="CG627" s="19">
        <v>0</v>
      </c>
      <c r="CH627" s="19">
        <v>0</v>
      </c>
      <c r="CI627" s="19">
        <v>0</v>
      </c>
      <c r="CJ627" s="19"/>
      <c r="CK627" s="19">
        <v>62000</v>
      </c>
      <c r="CL627" s="19">
        <v>12400</v>
      </c>
      <c r="CM627" s="19">
        <v>24799.999999999902</v>
      </c>
      <c r="CN627" s="19">
        <v>62000</v>
      </c>
      <c r="CO627" s="19">
        <v>123.99999999999999</v>
      </c>
      <c r="CP627" s="19">
        <v>217</v>
      </c>
      <c r="CQ627" s="19">
        <v>0.7</v>
      </c>
      <c r="CR627" s="19">
        <v>-7.9169397816043574</v>
      </c>
      <c r="HM627" s="620">
        <f t="shared" ref="HM627:HU627" si="635">HM257</f>
        <v>0.47300000000000003</v>
      </c>
      <c r="HN627" s="620">
        <f t="shared" si="635"/>
        <v>0.13</v>
      </c>
      <c r="HO627" s="620">
        <f t="shared" si="635"/>
        <v>0.39100000000000001</v>
      </c>
      <c r="HP627" s="620">
        <f t="shared" si="635"/>
        <v>5.5E-2</v>
      </c>
      <c r="HQ627" s="620">
        <f t="shared" si="635"/>
        <v>3.97</v>
      </c>
      <c r="HR627" s="620">
        <f t="shared" si="635"/>
        <v>4.5999999999999999E-3</v>
      </c>
      <c r="HS627" s="620">
        <f t="shared" si="635"/>
        <v>2.73</v>
      </c>
      <c r="HT627" s="620" t="str">
        <f t="shared" si="635"/>
        <v>as barley</v>
      </c>
      <c r="HU627" s="620" t="str">
        <f t="shared" si="635"/>
        <v>offfarm</v>
      </c>
      <c r="HV627" s="22" t="s">
        <v>2013</v>
      </c>
      <c r="IB627" s="11">
        <f t="shared" ref="IB627:II627" si="636">IB257</f>
        <v>0.47300000000000003</v>
      </c>
      <c r="IC627" s="11">
        <f t="shared" si="636"/>
        <v>0.13</v>
      </c>
      <c r="ID627" s="11">
        <f t="shared" si="636"/>
        <v>0.39100000000000001</v>
      </c>
      <c r="IE627" s="11">
        <f t="shared" si="636"/>
        <v>5.5E-2</v>
      </c>
      <c r="IF627" s="11">
        <f t="shared" si="636"/>
        <v>3.97</v>
      </c>
      <c r="IG627" s="11">
        <f t="shared" si="636"/>
        <v>4.5999999999999999E-3</v>
      </c>
      <c r="IH627" s="11">
        <f t="shared" si="636"/>
        <v>2.73</v>
      </c>
      <c r="II627" s="11" t="str">
        <f t="shared" si="636"/>
        <v>as barley</v>
      </c>
    </row>
    <row r="628" spans="4:244" x14ac:dyDescent="0.25">
      <c r="D628" s="20" t="s">
        <v>1217</v>
      </c>
      <c r="E628" s="14">
        <v>40310</v>
      </c>
      <c r="F628" s="18">
        <v>-8.8418002322880607E-2</v>
      </c>
      <c r="G628" s="18">
        <v>-8.2438367346939004E-2</v>
      </c>
      <c r="H628" s="21">
        <v>70</v>
      </c>
      <c r="I628" s="21">
        <v>60</v>
      </c>
      <c r="J628" s="21">
        <v>90</v>
      </c>
      <c r="K628" s="18">
        <v>1</v>
      </c>
      <c r="L628" s="18">
        <v>99</v>
      </c>
      <c r="M628" s="18">
        <v>0.1</v>
      </c>
      <c r="N628" s="18">
        <v>0.1</v>
      </c>
      <c r="O628" s="18">
        <v>96.7</v>
      </c>
      <c r="P628" s="18">
        <v>0.04</v>
      </c>
      <c r="Q628" s="19"/>
      <c r="R628" s="18">
        <v>70</v>
      </c>
      <c r="S628" s="18">
        <v>50</v>
      </c>
      <c r="T628" s="18">
        <v>50</v>
      </c>
      <c r="U628" s="18">
        <v>50</v>
      </c>
      <c r="V628" s="18">
        <v>50</v>
      </c>
      <c r="W628" s="18">
        <v>50</v>
      </c>
      <c r="X628" s="18"/>
      <c r="Y628" s="18">
        <v>0</v>
      </c>
      <c r="Z628" s="18">
        <v>0</v>
      </c>
      <c r="AA628" s="18">
        <v>0</v>
      </c>
      <c r="AB628" s="18">
        <v>0</v>
      </c>
      <c r="AC628" s="18">
        <v>0</v>
      </c>
      <c r="AD628" s="18">
        <v>0</v>
      </c>
      <c r="AE628" s="18">
        <v>0</v>
      </c>
      <c r="AF628" s="18">
        <v>62626.262626262629</v>
      </c>
      <c r="AG628" s="18">
        <v>12525.252525252525</v>
      </c>
      <c r="AH628" s="18">
        <v>25050.505050504951</v>
      </c>
      <c r="AI628" s="18">
        <v>62626.262626262629</v>
      </c>
      <c r="AJ628" s="18">
        <v>125.25252525252525</v>
      </c>
      <c r="AK628" s="18">
        <v>219.1919191919192</v>
      </c>
      <c r="AL628" s="18"/>
      <c r="AM628" s="18">
        <v>0</v>
      </c>
      <c r="AN628" s="18">
        <v>0</v>
      </c>
      <c r="AO628" s="18">
        <v>0</v>
      </c>
      <c r="AP628" s="18">
        <v>0</v>
      </c>
      <c r="AQ628" s="18">
        <v>0</v>
      </c>
      <c r="AR628" s="18">
        <v>0</v>
      </c>
      <c r="AS628" s="18">
        <v>0</v>
      </c>
      <c r="AT628" s="18">
        <v>0</v>
      </c>
      <c r="AU628" s="18">
        <v>0</v>
      </c>
      <c r="AV628" s="18">
        <v>0</v>
      </c>
      <c r="AW628" s="18">
        <v>0</v>
      </c>
      <c r="AX628" s="18"/>
      <c r="AY628" s="18">
        <v>1</v>
      </c>
      <c r="AZ628" s="18">
        <v>1</v>
      </c>
      <c r="BA628" s="18">
        <v>1</v>
      </c>
      <c r="BB628" s="18">
        <v>1</v>
      </c>
      <c r="BC628" s="18">
        <v>1</v>
      </c>
      <c r="BD628" s="18">
        <v>1</v>
      </c>
      <c r="BE628" s="18">
        <v>1</v>
      </c>
      <c r="BF628" s="18">
        <v>1</v>
      </c>
      <c r="BG628" s="18">
        <v>1</v>
      </c>
      <c r="BH628" s="18">
        <v>1</v>
      </c>
      <c r="BI628" s="18">
        <v>1</v>
      </c>
      <c r="BJ628" s="19"/>
      <c r="BK628" s="18">
        <v>0.10101010101010102</v>
      </c>
      <c r="BL628" s="18">
        <v>0.10101010101010102</v>
      </c>
      <c r="BM628" s="18">
        <v>97.676767676767682</v>
      </c>
      <c r="BN628" s="18">
        <v>4.0404040404040407E-2</v>
      </c>
      <c r="BO628" s="18"/>
      <c r="BP628" s="18">
        <v>0</v>
      </c>
      <c r="BQ628" s="18">
        <v>0</v>
      </c>
      <c r="BR628" s="18">
        <v>-8.9311113457455155E-2</v>
      </c>
      <c r="BS628" s="18">
        <v>-8.327107812822121E-2</v>
      </c>
      <c r="BT628" s="19"/>
      <c r="BU628" s="18">
        <v>23.232323232323033</v>
      </c>
      <c r="BV628" s="18">
        <v>11.044733044732929</v>
      </c>
      <c r="BW628" s="18">
        <v>3.3189033189032928</v>
      </c>
      <c r="BX628" s="18">
        <v>0</v>
      </c>
      <c r="BY628" s="18">
        <v>0</v>
      </c>
      <c r="BZ628" s="18">
        <v>0</v>
      </c>
      <c r="CA628" s="18">
        <v>0</v>
      </c>
      <c r="CB628" s="19"/>
      <c r="CC628" s="19">
        <v>0</v>
      </c>
      <c r="CD628" s="19">
        <v>0</v>
      </c>
      <c r="CE628" s="19">
        <v>0</v>
      </c>
      <c r="CF628" s="19">
        <v>0</v>
      </c>
      <c r="CG628" s="19">
        <v>0</v>
      </c>
      <c r="CH628" s="19">
        <v>0</v>
      </c>
      <c r="CI628" s="19">
        <v>0</v>
      </c>
      <c r="CJ628" s="19"/>
      <c r="CK628" s="19">
        <v>62000</v>
      </c>
      <c r="CL628" s="19">
        <v>12400</v>
      </c>
      <c r="CM628" s="19">
        <v>24799.999999999902</v>
      </c>
      <c r="CN628" s="19">
        <v>62000</v>
      </c>
      <c r="CO628" s="19">
        <v>123.99999999999999</v>
      </c>
      <c r="CP628" s="19">
        <v>217</v>
      </c>
      <c r="CQ628" s="19">
        <v>0.7</v>
      </c>
      <c r="CR628" s="19">
        <v>-7.9169397816043574</v>
      </c>
      <c r="HM628" s="620">
        <f t="shared" ref="HM628:HU628" si="637">HM258</f>
        <v>0.47300000000000003</v>
      </c>
      <c r="HN628" s="620">
        <f t="shared" si="637"/>
        <v>0.13</v>
      </c>
      <c r="HO628" s="620">
        <f t="shared" si="637"/>
        <v>0.39100000000000001</v>
      </c>
      <c r="HP628" s="620">
        <f t="shared" si="637"/>
        <v>5.5E-2</v>
      </c>
      <c r="HQ628" s="620">
        <f t="shared" si="637"/>
        <v>3.97</v>
      </c>
      <c r="HR628" s="620">
        <f t="shared" si="637"/>
        <v>4.5999999999999999E-3</v>
      </c>
      <c r="HS628" s="620">
        <f t="shared" si="637"/>
        <v>2.73</v>
      </c>
      <c r="HT628" s="620" t="str">
        <f t="shared" si="637"/>
        <v>as barley</v>
      </c>
      <c r="HU628" s="620" t="str">
        <f t="shared" si="637"/>
        <v>offfarm</v>
      </c>
      <c r="HV628" s="22" t="s">
        <v>2013</v>
      </c>
      <c r="IB628" s="11">
        <f t="shared" ref="IB628:II628" si="638">IB258</f>
        <v>0.47300000000000003</v>
      </c>
      <c r="IC628" s="11">
        <f t="shared" si="638"/>
        <v>0.13</v>
      </c>
      <c r="ID628" s="11">
        <f t="shared" si="638"/>
        <v>0.39100000000000001</v>
      </c>
      <c r="IE628" s="11">
        <f t="shared" si="638"/>
        <v>5.5E-2</v>
      </c>
      <c r="IF628" s="11">
        <f t="shared" si="638"/>
        <v>3.97</v>
      </c>
      <c r="IG628" s="11">
        <f t="shared" si="638"/>
        <v>4.5999999999999999E-3</v>
      </c>
      <c r="IH628" s="11">
        <f t="shared" si="638"/>
        <v>2.73</v>
      </c>
      <c r="II628" s="11" t="str">
        <f t="shared" si="638"/>
        <v>as barley</v>
      </c>
    </row>
    <row r="629" spans="4:244" x14ac:dyDescent="0.25">
      <c r="D629" s="20" t="s">
        <v>1219</v>
      </c>
      <c r="E629" s="14">
        <v>41814</v>
      </c>
      <c r="F629" s="18">
        <v>-8.8418002322880496E-2</v>
      </c>
      <c r="G629" s="18">
        <v>-8.2438367346938907E-2</v>
      </c>
      <c r="H629" s="21">
        <v>70</v>
      </c>
      <c r="I629" s="21">
        <v>60</v>
      </c>
      <c r="J629" s="21">
        <v>90</v>
      </c>
      <c r="K629" s="18">
        <v>1</v>
      </c>
      <c r="L629" s="18">
        <v>99</v>
      </c>
      <c r="M629" s="18">
        <v>0.1</v>
      </c>
      <c r="N629" s="18">
        <v>0.1</v>
      </c>
      <c r="O629" s="18">
        <v>96.7</v>
      </c>
      <c r="P629" s="18">
        <v>0.04</v>
      </c>
      <c r="Q629" s="19"/>
      <c r="R629" s="18">
        <v>70</v>
      </c>
      <c r="S629" s="18">
        <v>63</v>
      </c>
      <c r="T629" s="18">
        <v>63</v>
      </c>
      <c r="U629" s="18">
        <v>63</v>
      </c>
      <c r="V629" s="18">
        <v>63</v>
      </c>
      <c r="W629" s="18">
        <v>63</v>
      </c>
      <c r="X629" s="18"/>
      <c r="Y629" s="18">
        <v>0</v>
      </c>
      <c r="Z629" s="18">
        <v>0</v>
      </c>
      <c r="AA629" s="18">
        <v>0</v>
      </c>
      <c r="AB629" s="18">
        <v>0</v>
      </c>
      <c r="AC629" s="18">
        <v>0</v>
      </c>
      <c r="AD629" s="18">
        <v>0</v>
      </c>
      <c r="AE629" s="18">
        <v>0</v>
      </c>
      <c r="AF629" s="18">
        <v>16666.666666666668</v>
      </c>
      <c r="AG629" s="18">
        <v>11111.111111111111</v>
      </c>
      <c r="AH629" s="18">
        <v>22222.222222222223</v>
      </c>
      <c r="AI629" s="18">
        <v>55555.555555555555</v>
      </c>
      <c r="AJ629" s="18">
        <v>111.11111111111111</v>
      </c>
      <c r="AK629" s="18">
        <v>111.11111111111111</v>
      </c>
      <c r="AL629" s="18"/>
      <c r="AM629" s="18">
        <v>0</v>
      </c>
      <c r="AN629" s="18">
        <v>0</v>
      </c>
      <c r="AO629" s="18">
        <v>0</v>
      </c>
      <c r="AP629" s="18">
        <v>0</v>
      </c>
      <c r="AQ629" s="18">
        <v>0</v>
      </c>
      <c r="AR629" s="18">
        <v>0</v>
      </c>
      <c r="AS629" s="18">
        <v>0</v>
      </c>
      <c r="AT629" s="18">
        <v>0</v>
      </c>
      <c r="AU629" s="18">
        <v>0</v>
      </c>
      <c r="AV629" s="18">
        <v>0</v>
      </c>
      <c r="AW629" s="18">
        <v>0</v>
      </c>
      <c r="AX629" s="18"/>
      <c r="AY629" s="18">
        <v>1</v>
      </c>
      <c r="AZ629" s="18">
        <v>1</v>
      </c>
      <c r="BA629" s="18">
        <v>0</v>
      </c>
      <c r="BB629" s="18">
        <v>0</v>
      </c>
      <c r="BC629" s="18">
        <v>0</v>
      </c>
      <c r="BD629" s="18">
        <v>0</v>
      </c>
      <c r="BE629" s="18">
        <v>0</v>
      </c>
      <c r="BF629" s="18">
        <v>0</v>
      </c>
      <c r="BG629" s="18">
        <v>0</v>
      </c>
      <c r="BH629" s="18">
        <v>0</v>
      </c>
      <c r="BI629" s="18">
        <v>0</v>
      </c>
      <c r="BJ629" s="19"/>
      <c r="BK629" s="18">
        <v>0.10101010101010102</v>
      </c>
      <c r="BL629" s="18">
        <v>0.10101010101010102</v>
      </c>
      <c r="BM629" s="18">
        <v>97.676767676767682</v>
      </c>
      <c r="BN629" s="18">
        <v>4.0404040404040407E-2</v>
      </c>
      <c r="BO629" s="18"/>
      <c r="BP629" s="18">
        <v>0</v>
      </c>
      <c r="BQ629" s="18">
        <v>0</v>
      </c>
      <c r="BR629" s="18">
        <v>-8.9311113457455044E-2</v>
      </c>
      <c r="BS629" s="18">
        <v>-8.3271078128221113E-2</v>
      </c>
      <c r="BT629" s="19"/>
      <c r="BU629" s="18">
        <v>23.232323232323033</v>
      </c>
      <c r="BV629" s="18">
        <v>11.044733044732929</v>
      </c>
      <c r="BW629" s="18">
        <v>3.3189033189032928</v>
      </c>
      <c r="BX629" s="18" t="s">
        <v>217</v>
      </c>
      <c r="BY629" s="18" t="s">
        <v>217</v>
      </c>
      <c r="BZ629" s="18">
        <v>0</v>
      </c>
      <c r="CA629" s="18">
        <v>0</v>
      </c>
      <c r="CB629" s="19"/>
      <c r="CC629" s="19">
        <v>0</v>
      </c>
      <c r="CD629" s="19">
        <v>0</v>
      </c>
      <c r="CE629" s="19">
        <v>0</v>
      </c>
      <c r="CF629" s="19">
        <v>0</v>
      </c>
      <c r="CG629" s="19">
        <v>0</v>
      </c>
      <c r="CH629" s="19">
        <v>0</v>
      </c>
      <c r="CI629" s="19">
        <v>0</v>
      </c>
      <c r="CJ629" s="19"/>
      <c r="CK629" s="19">
        <v>16500</v>
      </c>
      <c r="CL629" s="19">
        <v>11000</v>
      </c>
      <c r="CM629" s="19">
        <v>22000</v>
      </c>
      <c r="CN629" s="19">
        <v>55000</v>
      </c>
      <c r="CO629" s="19">
        <v>110</v>
      </c>
      <c r="CP629" s="19">
        <v>110</v>
      </c>
      <c r="CQ629" s="19">
        <v>0.7</v>
      </c>
      <c r="CR629" s="19">
        <v>-7.9169397816043672</v>
      </c>
      <c r="HM629" s="620">
        <f t="shared" ref="HM629:HU629" si="639">HM259</f>
        <v>0.47300000000000003</v>
      </c>
      <c r="HN629" s="620">
        <f t="shared" si="639"/>
        <v>0.13</v>
      </c>
      <c r="HO629" s="620">
        <f t="shared" si="639"/>
        <v>0.39100000000000001</v>
      </c>
      <c r="HP629" s="620">
        <f t="shared" si="639"/>
        <v>5.5E-2</v>
      </c>
      <c r="HQ629" s="620">
        <f t="shared" si="639"/>
        <v>3.97</v>
      </c>
      <c r="HR629" s="620">
        <f t="shared" si="639"/>
        <v>4.5999999999999999E-3</v>
      </c>
      <c r="HS629" s="620">
        <f t="shared" si="639"/>
        <v>2.73</v>
      </c>
      <c r="HT629" s="620" t="str">
        <f t="shared" si="639"/>
        <v>as barley</v>
      </c>
      <c r="HU629" s="620" t="str">
        <f t="shared" si="639"/>
        <v>offfarm</v>
      </c>
      <c r="HV629" s="22" t="s">
        <v>2013</v>
      </c>
      <c r="IB629" s="11">
        <f t="shared" ref="IB629:II629" si="640">IB259</f>
        <v>0.47300000000000003</v>
      </c>
      <c r="IC629" s="11">
        <f t="shared" si="640"/>
        <v>0.13</v>
      </c>
      <c r="ID629" s="11">
        <f t="shared" si="640"/>
        <v>0.39100000000000001</v>
      </c>
      <c r="IE629" s="11">
        <f t="shared" si="640"/>
        <v>5.5E-2</v>
      </c>
      <c r="IF629" s="11">
        <f t="shared" si="640"/>
        <v>3.97</v>
      </c>
      <c r="IG629" s="11">
        <f t="shared" si="640"/>
        <v>4.5999999999999999E-3</v>
      </c>
      <c r="IH629" s="11">
        <f t="shared" si="640"/>
        <v>2.73</v>
      </c>
      <c r="II629" s="11" t="str">
        <f t="shared" si="640"/>
        <v>as barley</v>
      </c>
    </row>
    <row r="630" spans="4:244" x14ac:dyDescent="0.25">
      <c r="D630" s="20" t="s">
        <v>1218</v>
      </c>
      <c r="E630" s="14">
        <v>40310</v>
      </c>
      <c r="F630" s="18">
        <v>-9.1311730545877004E-2</v>
      </c>
      <c r="G630" s="18">
        <v>-8.5512504638219106E-2</v>
      </c>
      <c r="H630" s="21">
        <v>70</v>
      </c>
      <c r="I630" s="21">
        <v>60</v>
      </c>
      <c r="J630" s="21">
        <v>90</v>
      </c>
      <c r="K630" s="18">
        <v>1</v>
      </c>
      <c r="L630" s="18">
        <v>99</v>
      </c>
      <c r="M630" s="18">
        <v>0.1</v>
      </c>
      <c r="N630" s="18">
        <v>0.1</v>
      </c>
      <c r="O630" s="18">
        <v>97</v>
      </c>
      <c r="P630" s="18">
        <v>0.04</v>
      </c>
      <c r="Q630" s="19"/>
      <c r="R630" s="18">
        <v>77</v>
      </c>
      <c r="S630" s="18">
        <v>20</v>
      </c>
      <c r="T630" s="18">
        <v>27</v>
      </c>
      <c r="U630" s="18">
        <v>30</v>
      </c>
      <c r="V630" s="18">
        <v>32</v>
      </c>
      <c r="W630" s="18">
        <v>33</v>
      </c>
      <c r="X630" s="18"/>
      <c r="Y630" s="18">
        <v>1.5E-3</v>
      </c>
      <c r="Z630" s="18">
        <v>0</v>
      </c>
      <c r="AA630" s="18">
        <v>3.5000000000000001E-3</v>
      </c>
      <c r="AB630" s="18">
        <v>0</v>
      </c>
      <c r="AC630" s="18">
        <v>0</v>
      </c>
      <c r="AD630" s="18">
        <v>0</v>
      </c>
      <c r="AE630" s="18">
        <v>0</v>
      </c>
      <c r="AF630" s="18">
        <v>16666.666666666668</v>
      </c>
      <c r="AG630" s="18">
        <v>3333.3333333333335</v>
      </c>
      <c r="AH630" s="18">
        <v>22222.222222222223</v>
      </c>
      <c r="AI630" s="18">
        <v>55555.555555555555</v>
      </c>
      <c r="AJ630" s="18">
        <v>111.11111111111111</v>
      </c>
      <c r="AK630" s="18">
        <v>111.11111111111111</v>
      </c>
      <c r="AL630" s="18"/>
      <c r="AM630" s="18">
        <v>3.8</v>
      </c>
      <c r="AN630" s="18">
        <v>1.8</v>
      </c>
      <c r="AO630" s="18">
        <v>1.9</v>
      </c>
      <c r="AP630" s="18">
        <v>3.2000000000000099</v>
      </c>
      <c r="AQ630" s="18">
        <v>1.2</v>
      </c>
      <c r="AR630" s="18">
        <v>3.5</v>
      </c>
      <c r="AS630" s="18">
        <v>6.6</v>
      </c>
      <c r="AT630" s="18">
        <v>2.4</v>
      </c>
      <c r="AU630" s="18">
        <v>4.3</v>
      </c>
      <c r="AV630" s="18">
        <v>3</v>
      </c>
      <c r="AW630" s="18">
        <v>5.1000000000000103</v>
      </c>
      <c r="AX630" s="18"/>
      <c r="AY630" s="18">
        <v>1</v>
      </c>
      <c r="AZ630" s="18">
        <v>1</v>
      </c>
      <c r="BA630" s="18">
        <v>1</v>
      </c>
      <c r="BB630" s="18">
        <v>1</v>
      </c>
      <c r="BC630" s="18">
        <v>1</v>
      </c>
      <c r="BD630" s="18">
        <v>1</v>
      </c>
      <c r="BE630" s="18">
        <v>1</v>
      </c>
      <c r="BF630" s="18">
        <v>1</v>
      </c>
      <c r="BG630" s="18">
        <v>1</v>
      </c>
      <c r="BH630" s="18">
        <v>1</v>
      </c>
      <c r="BI630" s="18">
        <v>1</v>
      </c>
      <c r="BJ630" s="19"/>
      <c r="BK630" s="18">
        <v>0.10101010101010102</v>
      </c>
      <c r="BL630" s="18">
        <v>0.10101010101010102</v>
      </c>
      <c r="BM630" s="18">
        <v>97.979797979797979</v>
      </c>
      <c r="BN630" s="18">
        <v>4.0404040404040407E-2</v>
      </c>
      <c r="BO630" s="18"/>
      <c r="BP630" s="18">
        <v>0</v>
      </c>
      <c r="BQ630" s="18">
        <v>0</v>
      </c>
      <c r="BR630" s="18">
        <v>-9.2234071258461614E-2</v>
      </c>
      <c r="BS630" s="18">
        <v>-8.6376267311332425E-2</v>
      </c>
      <c r="BT630" s="19"/>
      <c r="BU630" s="18">
        <v>20.202020202020101</v>
      </c>
      <c r="BV630" s="18">
        <v>9.3564213564212828</v>
      </c>
      <c r="BW630" s="18">
        <v>2.8860028860028684</v>
      </c>
      <c r="BX630" s="18">
        <v>0</v>
      </c>
      <c r="BY630" s="18">
        <v>0</v>
      </c>
      <c r="BZ630" s="18">
        <v>0</v>
      </c>
      <c r="CA630" s="18">
        <v>0</v>
      </c>
      <c r="CB630" s="19"/>
      <c r="CC630" s="19">
        <v>1.485E-3</v>
      </c>
      <c r="CD630" s="19">
        <v>0</v>
      </c>
      <c r="CE630" s="19">
        <v>3.4650000000000002E-3</v>
      </c>
      <c r="CF630" s="19">
        <v>0</v>
      </c>
      <c r="CG630" s="19">
        <v>0</v>
      </c>
      <c r="CH630" s="19">
        <v>0</v>
      </c>
      <c r="CI630" s="19">
        <v>0</v>
      </c>
      <c r="CJ630" s="19"/>
      <c r="CK630" s="19">
        <v>16500</v>
      </c>
      <c r="CL630" s="19">
        <v>3300</v>
      </c>
      <c r="CM630" s="19">
        <v>22000</v>
      </c>
      <c r="CN630" s="19">
        <v>55000</v>
      </c>
      <c r="CO630" s="19">
        <v>110</v>
      </c>
      <c r="CP630" s="19">
        <v>110</v>
      </c>
      <c r="CQ630" s="19">
        <v>0.77</v>
      </c>
      <c r="CR630" s="19">
        <v>-8.4326514829672981</v>
      </c>
      <c r="HM630" s="620">
        <f t="shared" ref="HM630:HU630" si="641">HM260</f>
        <v>0.47300000000000003</v>
      </c>
      <c r="HN630" s="620">
        <f t="shared" si="641"/>
        <v>0.13</v>
      </c>
      <c r="HO630" s="620">
        <f t="shared" si="641"/>
        <v>0.39100000000000001</v>
      </c>
      <c r="HP630" s="620">
        <f t="shared" si="641"/>
        <v>5.5E-2</v>
      </c>
      <c r="HQ630" s="620">
        <f t="shared" si="641"/>
        <v>3.97</v>
      </c>
      <c r="HR630" s="620">
        <f t="shared" si="641"/>
        <v>4.5999999999999999E-3</v>
      </c>
      <c r="HS630" s="620">
        <f t="shared" si="641"/>
        <v>2.73</v>
      </c>
      <c r="HT630" s="620" t="str">
        <f t="shared" si="641"/>
        <v>as barley</v>
      </c>
      <c r="HU630" s="620" t="str">
        <f t="shared" si="641"/>
        <v>offfarm</v>
      </c>
      <c r="HV630" s="22" t="s">
        <v>2013</v>
      </c>
      <c r="IB630" s="11">
        <f t="shared" ref="IB630:II630" si="642">IB260</f>
        <v>0.47300000000000003</v>
      </c>
      <c r="IC630" s="11">
        <f t="shared" si="642"/>
        <v>0.13</v>
      </c>
      <c r="ID630" s="11">
        <f t="shared" si="642"/>
        <v>0.39100000000000001</v>
      </c>
      <c r="IE630" s="11">
        <f t="shared" si="642"/>
        <v>5.5E-2</v>
      </c>
      <c r="IF630" s="11">
        <f t="shared" si="642"/>
        <v>3.97</v>
      </c>
      <c r="IG630" s="11">
        <f t="shared" si="642"/>
        <v>4.5999999999999999E-3</v>
      </c>
      <c r="IH630" s="11">
        <f t="shared" si="642"/>
        <v>2.73</v>
      </c>
      <c r="II630" s="11" t="str">
        <f t="shared" si="642"/>
        <v>as barley</v>
      </c>
    </row>
    <row r="631" spans="4:244" x14ac:dyDescent="0.25">
      <c r="D631" s="20" t="s">
        <v>1220</v>
      </c>
      <c r="E631" s="14">
        <v>42522</v>
      </c>
      <c r="F631" s="18">
        <v>0.28365631097561</v>
      </c>
      <c r="G631" s="18">
        <v>0.27240196558441598</v>
      </c>
      <c r="H631" s="21">
        <v>98</v>
      </c>
      <c r="I631" s="21">
        <v>98</v>
      </c>
      <c r="J631" s="21">
        <v>98</v>
      </c>
      <c r="K631" s="18">
        <v>1</v>
      </c>
      <c r="L631" s="18">
        <v>13.5</v>
      </c>
      <c r="M631" s="18">
        <v>3.5775000000000099</v>
      </c>
      <c r="N631" s="18">
        <v>4.1849999999999898</v>
      </c>
      <c r="O631" s="18">
        <v>0.81</v>
      </c>
      <c r="P631" s="18">
        <v>0</v>
      </c>
      <c r="Q631" s="19"/>
      <c r="R631" s="18">
        <v>94</v>
      </c>
      <c r="S631" s="18">
        <v>58</v>
      </c>
      <c r="T631" s="18">
        <v>58</v>
      </c>
      <c r="U631" s="18">
        <v>58</v>
      </c>
      <c r="V631" s="18">
        <v>58</v>
      </c>
      <c r="W631" s="18">
        <v>58</v>
      </c>
      <c r="X631" s="18"/>
      <c r="Y631" s="18">
        <v>8.6000000000000014</v>
      </c>
      <c r="Z631" s="18">
        <v>7.1999999999999931</v>
      </c>
      <c r="AA631" s="18">
        <v>3.1999999999999922</v>
      </c>
      <c r="AB631" s="18">
        <v>0</v>
      </c>
      <c r="AC631" s="18">
        <v>11</v>
      </c>
      <c r="AD631" s="18">
        <v>0.9</v>
      </c>
      <c r="AE631" s="18">
        <v>0</v>
      </c>
      <c r="AF631" s="18">
        <v>4</v>
      </c>
      <c r="AG631" s="18">
        <v>1</v>
      </c>
      <c r="AH631" s="18">
        <v>1</v>
      </c>
      <c r="AI631" s="18">
        <v>41</v>
      </c>
      <c r="AJ631" s="18">
        <v>0</v>
      </c>
      <c r="AK631" s="18">
        <v>0.3</v>
      </c>
      <c r="AL631" s="18"/>
      <c r="AM631" s="18">
        <v>7.87</v>
      </c>
      <c r="AN631" s="18">
        <v>2.4700000000000002</v>
      </c>
      <c r="AO631" s="18">
        <v>0.86</v>
      </c>
      <c r="AP631" s="18">
        <v>4.45</v>
      </c>
      <c r="AQ631" s="18">
        <v>1.3</v>
      </c>
      <c r="AR631" s="18">
        <v>5.71</v>
      </c>
      <c r="AS631" s="18">
        <v>10.01</v>
      </c>
      <c r="AT631" s="18">
        <v>2.87</v>
      </c>
      <c r="AU631" s="18">
        <v>4.83</v>
      </c>
      <c r="AV631" s="18">
        <v>4.91</v>
      </c>
      <c r="AW631" s="18">
        <v>6.72</v>
      </c>
      <c r="AX631" s="18"/>
      <c r="AY631" s="18">
        <v>1.03</v>
      </c>
      <c r="AZ631" s="18">
        <v>1.03</v>
      </c>
      <c r="BA631" s="18">
        <v>1.04</v>
      </c>
      <c r="BB631" s="18">
        <v>1.03</v>
      </c>
      <c r="BC631" s="18">
        <v>1</v>
      </c>
      <c r="BD631" s="18">
        <v>1.01</v>
      </c>
      <c r="BE631" s="18">
        <v>1.03</v>
      </c>
      <c r="BF631" s="18">
        <v>1.02</v>
      </c>
      <c r="BG631" s="18">
        <v>1.04</v>
      </c>
      <c r="BH631" s="18">
        <v>0.93</v>
      </c>
      <c r="BI631" s="18">
        <v>0.98</v>
      </c>
      <c r="BJ631" s="19"/>
      <c r="BK631" s="18">
        <v>26.500000000000071</v>
      </c>
      <c r="BL631" s="18">
        <v>30.999999999999925</v>
      </c>
      <c r="BM631" s="18">
        <v>6</v>
      </c>
      <c r="BN631" s="18">
        <v>0</v>
      </c>
      <c r="BO631" s="18"/>
      <c r="BP631" s="18">
        <v>0</v>
      </c>
      <c r="BQ631" s="18">
        <v>0</v>
      </c>
      <c r="BR631" s="18">
        <v>2.1011578590785924</v>
      </c>
      <c r="BS631" s="18">
        <v>2.0177923376623408</v>
      </c>
      <c r="BT631" s="19"/>
      <c r="BU631" s="18">
        <v>940</v>
      </c>
      <c r="BV631" s="18">
        <v>379.34999999999997</v>
      </c>
      <c r="BW631" s="18">
        <v>0</v>
      </c>
      <c r="BX631" s="18">
        <v>0</v>
      </c>
      <c r="BY631" s="18">
        <v>355.55555555555628</v>
      </c>
      <c r="BZ631" s="18">
        <v>0</v>
      </c>
      <c r="CA631" s="18">
        <v>0</v>
      </c>
      <c r="CB631" s="19"/>
      <c r="CC631" s="19">
        <v>1.1610000000000003</v>
      </c>
      <c r="CD631" s="19">
        <v>0.97199999999999909</v>
      </c>
      <c r="CE631" s="19">
        <v>0.431999999999999</v>
      </c>
      <c r="CF631" s="19">
        <v>0</v>
      </c>
      <c r="CG631" s="19">
        <v>1.4850000000000001</v>
      </c>
      <c r="CH631" s="19">
        <v>0.12150000000000001</v>
      </c>
      <c r="CI631" s="19">
        <v>0</v>
      </c>
      <c r="CJ631" s="19"/>
      <c r="CK631" s="19">
        <v>0.54</v>
      </c>
      <c r="CL631" s="19">
        <v>0.13500000000000001</v>
      </c>
      <c r="CM631" s="19">
        <v>0.13500000000000001</v>
      </c>
      <c r="CN631" s="19">
        <v>5.5350000000000001</v>
      </c>
      <c r="CO631" s="19">
        <v>0</v>
      </c>
      <c r="CP631" s="19">
        <v>4.0500000000000001E-2</v>
      </c>
      <c r="CQ631" s="19">
        <v>33.628500000000102</v>
      </c>
      <c r="CR631" s="19">
        <v>118.55368168731358</v>
      </c>
      <c r="HM631" s="620">
        <f t="shared" ref="HM631:HU631" si="643">HM261</f>
        <v>0</v>
      </c>
      <c r="HN631" s="620">
        <f t="shared" si="643"/>
        <v>0</v>
      </c>
      <c r="HO631" s="620">
        <f t="shared" si="643"/>
        <v>0</v>
      </c>
      <c r="HP631" s="620">
        <f t="shared" si="643"/>
        <v>0</v>
      </c>
      <c r="HQ631" s="620">
        <f t="shared" si="643"/>
        <v>0</v>
      </c>
      <c r="HR631" s="620">
        <f t="shared" si="643"/>
        <v>0</v>
      </c>
      <c r="HS631" s="620">
        <f t="shared" si="643"/>
        <v>0</v>
      </c>
      <c r="HT631" s="620">
        <f t="shared" si="643"/>
        <v>0</v>
      </c>
      <c r="HU631" s="620" t="str">
        <f t="shared" si="643"/>
        <v>offfarm</v>
      </c>
      <c r="HV631" s="22" t="s">
        <v>2073</v>
      </c>
      <c r="IB631" s="11">
        <f t="shared" ref="IB631:II631" si="644">IB261</f>
        <v>0</v>
      </c>
      <c r="IC631" s="11">
        <f t="shared" si="644"/>
        <v>0</v>
      </c>
      <c r="ID631" s="11">
        <f t="shared" si="644"/>
        <v>0</v>
      </c>
      <c r="IE631" s="11">
        <f t="shared" si="644"/>
        <v>0</v>
      </c>
      <c r="IF631" s="11">
        <f t="shared" si="644"/>
        <v>0</v>
      </c>
      <c r="IG631" s="11">
        <f t="shared" si="644"/>
        <v>0</v>
      </c>
      <c r="IH631" s="11">
        <f t="shared" si="644"/>
        <v>0</v>
      </c>
      <c r="II631" s="11">
        <f t="shared" si="644"/>
        <v>0</v>
      </c>
    </row>
    <row r="632" spans="4:244" x14ac:dyDescent="0.25">
      <c r="D632" s="20" t="s">
        <v>1221</v>
      </c>
      <c r="E632" s="14">
        <v>42522</v>
      </c>
      <c r="F632" s="18">
        <v>2.01711154471545</v>
      </c>
      <c r="G632" s="18">
        <v>1.9370806441558499</v>
      </c>
      <c r="H632" s="21">
        <v>98</v>
      </c>
      <c r="I632" s="21">
        <v>98</v>
      </c>
      <c r="J632" s="21">
        <v>98</v>
      </c>
      <c r="K632" s="18">
        <v>1</v>
      </c>
      <c r="L632" s="18">
        <v>96</v>
      </c>
      <c r="M632" s="18">
        <v>25.440000000000101</v>
      </c>
      <c r="N632" s="18">
        <v>29.759999999999899</v>
      </c>
      <c r="O632" s="18">
        <v>5.76</v>
      </c>
      <c r="P632" s="18">
        <v>0</v>
      </c>
      <c r="Q632" s="19"/>
      <c r="R632" s="18">
        <v>94</v>
      </c>
      <c r="S632" s="18">
        <v>58</v>
      </c>
      <c r="T632" s="18">
        <v>58</v>
      </c>
      <c r="U632" s="18">
        <v>58</v>
      </c>
      <c r="V632" s="18">
        <v>58</v>
      </c>
      <c r="W632" s="18">
        <v>58</v>
      </c>
      <c r="X632" s="18"/>
      <c r="Y632" s="18">
        <v>8.6000000000000103</v>
      </c>
      <c r="Z632" s="18">
        <v>7.1999999999999895</v>
      </c>
      <c r="AA632" s="18">
        <v>3.1999999999999891</v>
      </c>
      <c r="AB632" s="18">
        <v>0</v>
      </c>
      <c r="AC632" s="18">
        <v>11</v>
      </c>
      <c r="AD632" s="18">
        <v>0.89999999999999891</v>
      </c>
      <c r="AE632" s="18">
        <v>3.3000000000000003</v>
      </c>
      <c r="AF632" s="18">
        <v>4</v>
      </c>
      <c r="AG632" s="18">
        <v>1</v>
      </c>
      <c r="AH632" s="18">
        <v>1</v>
      </c>
      <c r="AI632" s="18">
        <v>41</v>
      </c>
      <c r="AJ632" s="18">
        <v>0</v>
      </c>
      <c r="AK632" s="18">
        <v>0.3</v>
      </c>
      <c r="AL632" s="18"/>
      <c r="AM632" s="18">
        <v>7.87</v>
      </c>
      <c r="AN632" s="18">
        <v>2.4700000000000002</v>
      </c>
      <c r="AO632" s="18">
        <v>0.86</v>
      </c>
      <c r="AP632" s="18">
        <v>4.45</v>
      </c>
      <c r="AQ632" s="18">
        <v>1.3</v>
      </c>
      <c r="AR632" s="18">
        <v>5.71</v>
      </c>
      <c r="AS632" s="18">
        <v>10</v>
      </c>
      <c r="AT632" s="18">
        <v>2.87</v>
      </c>
      <c r="AU632" s="18">
        <v>4.83</v>
      </c>
      <c r="AV632" s="18">
        <v>4.91</v>
      </c>
      <c r="AW632" s="18">
        <v>6.72</v>
      </c>
      <c r="AX632" s="18"/>
      <c r="AY632" s="18">
        <v>1.03</v>
      </c>
      <c r="AZ632" s="18">
        <v>1.03</v>
      </c>
      <c r="BA632" s="18">
        <v>1.04</v>
      </c>
      <c r="BB632" s="18">
        <v>1.03</v>
      </c>
      <c r="BC632" s="18">
        <v>1</v>
      </c>
      <c r="BD632" s="18">
        <v>1.01</v>
      </c>
      <c r="BE632" s="18">
        <v>1.03</v>
      </c>
      <c r="BF632" s="18">
        <v>1.02</v>
      </c>
      <c r="BG632" s="18">
        <v>1.04</v>
      </c>
      <c r="BH632" s="18">
        <v>0.93</v>
      </c>
      <c r="BI632" s="18">
        <v>0.98</v>
      </c>
      <c r="BJ632" s="19"/>
      <c r="BK632" s="18">
        <v>26.500000000000103</v>
      </c>
      <c r="BL632" s="18">
        <v>30.999999999999897</v>
      </c>
      <c r="BM632" s="18">
        <v>6</v>
      </c>
      <c r="BN632" s="18">
        <v>0</v>
      </c>
      <c r="BO632" s="18"/>
      <c r="BP632" s="18">
        <v>0</v>
      </c>
      <c r="BQ632" s="18">
        <v>0</v>
      </c>
      <c r="BR632" s="18">
        <v>2.1011578590785938</v>
      </c>
      <c r="BS632" s="18">
        <v>2.0177923376623439</v>
      </c>
      <c r="BT632" s="19"/>
      <c r="BU632" s="18">
        <v>940</v>
      </c>
      <c r="BV632" s="18">
        <v>379.34999999999997</v>
      </c>
      <c r="BW632" s="18">
        <v>0</v>
      </c>
      <c r="BX632" s="18">
        <v>0</v>
      </c>
      <c r="BY632" s="18">
        <v>387.5</v>
      </c>
      <c r="BZ632" s="18">
        <v>0</v>
      </c>
      <c r="CA632" s="18">
        <v>0</v>
      </c>
      <c r="CB632" s="19"/>
      <c r="CC632" s="19">
        <v>8.2560000000000091</v>
      </c>
      <c r="CD632" s="19">
        <v>6.9119999999999893</v>
      </c>
      <c r="CE632" s="19">
        <v>3.0719999999999894</v>
      </c>
      <c r="CF632" s="19">
        <v>0</v>
      </c>
      <c r="CG632" s="19">
        <v>10.559999999999999</v>
      </c>
      <c r="CH632" s="19">
        <v>0.86399999999999888</v>
      </c>
      <c r="CI632" s="19">
        <v>3.1680000000000001</v>
      </c>
      <c r="CJ632" s="19"/>
      <c r="CK632" s="19">
        <v>3.84</v>
      </c>
      <c r="CL632" s="19">
        <v>0.96</v>
      </c>
      <c r="CM632" s="19">
        <v>0.96</v>
      </c>
      <c r="CN632" s="19">
        <v>39.36</v>
      </c>
      <c r="CO632" s="19">
        <v>0</v>
      </c>
      <c r="CP632" s="19">
        <v>0.28799999999999998</v>
      </c>
      <c r="CQ632" s="19">
        <v>239.13600000000099</v>
      </c>
      <c r="CR632" s="19">
        <v>118.55368168731366</v>
      </c>
      <c r="HM632" s="620">
        <f t="shared" ref="HM632:HU632" si="645">HM262</f>
        <v>8.1999999999999993</v>
      </c>
      <c r="HN632" s="620">
        <f t="shared" si="645"/>
        <v>0</v>
      </c>
      <c r="HO632" s="620">
        <f t="shared" si="645"/>
        <v>0</v>
      </c>
      <c r="HP632" s="620">
        <f t="shared" si="645"/>
        <v>0</v>
      </c>
      <c r="HQ632" s="620">
        <f t="shared" si="645"/>
        <v>0</v>
      </c>
      <c r="HR632" s="620">
        <f t="shared" si="645"/>
        <v>0</v>
      </c>
      <c r="HS632" s="620">
        <f t="shared" si="645"/>
        <v>0</v>
      </c>
      <c r="HT632" s="620" t="str">
        <f t="shared" si="645"/>
        <v>as conventional (Flysjo, 2011)</v>
      </c>
      <c r="HU632" s="620" t="str">
        <f t="shared" si="645"/>
        <v>offfarm</v>
      </c>
      <c r="HV632" s="22" t="s">
        <v>2074</v>
      </c>
      <c r="IB632" s="11">
        <f t="shared" ref="IB632:II632" si="646">IB262</f>
        <v>8.1999999999999993</v>
      </c>
      <c r="IC632" s="11">
        <f t="shared" si="646"/>
        <v>0.13</v>
      </c>
      <c r="ID632" s="11">
        <f t="shared" si="646"/>
        <v>0.39100000000000001</v>
      </c>
      <c r="IE632" s="11">
        <f t="shared" si="646"/>
        <v>5.5E-2</v>
      </c>
      <c r="IF632" s="11">
        <f t="shared" si="646"/>
        <v>3.97</v>
      </c>
      <c r="IG632" s="11">
        <f t="shared" si="646"/>
        <v>4.5999999999999999E-3</v>
      </c>
      <c r="IH632" s="11">
        <f t="shared" si="646"/>
        <v>2.73</v>
      </c>
      <c r="II632" s="11" t="str">
        <f t="shared" si="646"/>
        <v>as conventional (Flysjo, 2011)</v>
      </c>
    </row>
    <row r="633" spans="4:244" x14ac:dyDescent="0.25">
      <c r="D633" s="185" t="s">
        <v>1222</v>
      </c>
      <c r="E633" s="14">
        <v>41814</v>
      </c>
      <c r="F633" s="18">
        <v>1.01861968672357</v>
      </c>
      <c r="G633" s="18">
        <v>1.02373352511905</v>
      </c>
      <c r="H633" s="21">
        <v>90</v>
      </c>
      <c r="I633" s="21">
        <v>80</v>
      </c>
      <c r="J633" s="21">
        <v>66</v>
      </c>
      <c r="K633" s="18">
        <v>1</v>
      </c>
      <c r="L633" s="18">
        <v>87</v>
      </c>
      <c r="M633" s="18">
        <v>2.8000001700000001</v>
      </c>
      <c r="N633" s="18">
        <v>0.70000026000000004</v>
      </c>
      <c r="O633" s="18">
        <v>5.4000003899999998</v>
      </c>
      <c r="P633" s="18">
        <v>3.7999999199999999</v>
      </c>
      <c r="Q633" s="19"/>
      <c r="R633" s="18">
        <v>13</v>
      </c>
      <c r="S633" s="18">
        <v>10</v>
      </c>
      <c r="T633" s="18">
        <v>10</v>
      </c>
      <c r="U633" s="18">
        <v>10</v>
      </c>
      <c r="V633" s="18">
        <v>10</v>
      </c>
      <c r="W633" s="18">
        <v>10</v>
      </c>
      <c r="X633" s="18"/>
      <c r="Y633" s="18">
        <v>2.4137900000000001</v>
      </c>
      <c r="Z633" s="18">
        <v>1.14943</v>
      </c>
      <c r="AA633" s="18">
        <v>0.22988999999999885</v>
      </c>
      <c r="AB633" s="18">
        <v>0</v>
      </c>
      <c r="AC633" s="18">
        <v>8.5057500000000008</v>
      </c>
      <c r="AD633" s="18">
        <v>1.3</v>
      </c>
      <c r="AE633" s="18">
        <v>0</v>
      </c>
      <c r="AF633" s="18">
        <v>1272.0000000000002</v>
      </c>
      <c r="AG633" s="18">
        <v>4</v>
      </c>
      <c r="AH633" s="18">
        <v>39</v>
      </c>
      <c r="AI633" s="18">
        <v>16</v>
      </c>
      <c r="AJ633" s="18">
        <v>0</v>
      </c>
      <c r="AK633" s="18">
        <v>0.10999999999999999</v>
      </c>
      <c r="AL633" s="18"/>
      <c r="AM633" s="18">
        <v>3.84</v>
      </c>
      <c r="AN633" s="18">
        <v>1.36</v>
      </c>
      <c r="AO633" s="18">
        <v>1.1599999999999999</v>
      </c>
      <c r="AP633" s="18">
        <v>3.33</v>
      </c>
      <c r="AQ633" s="18">
        <v>1.04</v>
      </c>
      <c r="AR633" s="18">
        <v>3.25</v>
      </c>
      <c r="AS633" s="18">
        <v>5.58</v>
      </c>
      <c r="AT633" s="18">
        <v>2.2599999999999998</v>
      </c>
      <c r="AU633" s="18">
        <v>4.22</v>
      </c>
      <c r="AV633" s="18">
        <v>2.21</v>
      </c>
      <c r="AW633" s="18">
        <v>4.2</v>
      </c>
      <c r="AX633" s="18"/>
      <c r="AY633" s="18">
        <v>1</v>
      </c>
      <c r="AZ633" s="18">
        <v>1</v>
      </c>
      <c r="BA633" s="18">
        <v>1</v>
      </c>
      <c r="BB633" s="18">
        <v>1</v>
      </c>
      <c r="BC633" s="18">
        <v>1</v>
      </c>
      <c r="BD633" s="18">
        <v>1</v>
      </c>
      <c r="BE633" s="18">
        <v>1</v>
      </c>
      <c r="BF633" s="18">
        <v>1</v>
      </c>
      <c r="BG633" s="18">
        <v>1</v>
      </c>
      <c r="BH633" s="18">
        <v>1</v>
      </c>
      <c r="BI633" s="18">
        <v>1</v>
      </c>
      <c r="BJ633" s="19"/>
      <c r="BK633" s="18">
        <v>3.218391</v>
      </c>
      <c r="BL633" s="18">
        <v>0.80459800000000004</v>
      </c>
      <c r="BM633" s="18">
        <v>6.2068969999999997</v>
      </c>
      <c r="BN633" s="18">
        <v>4.3678159999999995</v>
      </c>
      <c r="BO633" s="18"/>
      <c r="BP633" s="18">
        <v>0</v>
      </c>
      <c r="BQ633" s="18">
        <v>0</v>
      </c>
      <c r="BR633" s="18">
        <v>1.170827226119046</v>
      </c>
      <c r="BS633" s="18">
        <v>1.1767052012862644</v>
      </c>
      <c r="BT633" s="19"/>
      <c r="BU633" s="18">
        <v>937.93102999999996</v>
      </c>
      <c r="BV633" s="18">
        <v>673.05582115714253</v>
      </c>
      <c r="BW633" s="18">
        <v>133.99014714285747</v>
      </c>
      <c r="BX633" s="18" t="s">
        <v>217</v>
      </c>
      <c r="BY633" s="18" t="s">
        <v>217</v>
      </c>
      <c r="BZ633" s="18">
        <v>23.000000000000004</v>
      </c>
      <c r="CA633" s="18">
        <v>82.999999999999986</v>
      </c>
      <c r="CB633" s="19"/>
      <c r="CC633" s="19">
        <v>2.0999973000000001</v>
      </c>
      <c r="CD633" s="19">
        <v>1.0000041</v>
      </c>
      <c r="CE633" s="19">
        <v>0.200004299999999</v>
      </c>
      <c r="CF633" s="19">
        <v>0</v>
      </c>
      <c r="CG633" s="19">
        <v>7.4000025000000003</v>
      </c>
      <c r="CH633" s="19">
        <v>1.131</v>
      </c>
      <c r="CI633" s="19">
        <v>0</v>
      </c>
      <c r="CJ633" s="19"/>
      <c r="CK633" s="19">
        <v>1106.6400000000001</v>
      </c>
      <c r="CL633" s="19">
        <v>3.48</v>
      </c>
      <c r="CM633" s="19">
        <v>33.93</v>
      </c>
      <c r="CN633" s="19">
        <v>13.92</v>
      </c>
      <c r="CO633" s="19">
        <v>0</v>
      </c>
      <c r="CP633" s="19">
        <v>9.5699999999999993E-2</v>
      </c>
      <c r="CQ633" s="19">
        <v>3.6400002210000002</v>
      </c>
      <c r="CR633" s="19">
        <v>3.5734634510238097</v>
      </c>
      <c r="HM633" s="620">
        <f t="shared" ref="HM633:HU633" si="647">HM263</f>
        <v>0</v>
      </c>
      <c r="HN633" s="620">
        <f t="shared" si="647"/>
        <v>0</v>
      </c>
      <c r="HO633" s="620">
        <f t="shared" si="647"/>
        <v>0</v>
      </c>
      <c r="HP633" s="620">
        <f t="shared" si="647"/>
        <v>0</v>
      </c>
      <c r="HQ633" s="620">
        <f t="shared" si="647"/>
        <v>0</v>
      </c>
      <c r="HR633" s="620">
        <f t="shared" si="647"/>
        <v>0</v>
      </c>
      <c r="HS633" s="620">
        <f t="shared" si="647"/>
        <v>0</v>
      </c>
      <c r="HT633" s="620">
        <f t="shared" si="647"/>
        <v>0</v>
      </c>
      <c r="HU633" s="620" t="str">
        <f t="shared" si="647"/>
        <v>offfarm</v>
      </c>
      <c r="HV633" s="22" t="s">
        <v>1987</v>
      </c>
      <c r="IB633" s="11">
        <f t="shared" ref="IB633:II633" si="648">IB263</f>
        <v>0.47300000000000003</v>
      </c>
      <c r="IC633" s="11">
        <f t="shared" si="648"/>
        <v>0.13</v>
      </c>
      <c r="ID633" s="11">
        <f t="shared" si="648"/>
        <v>0.39100000000000001</v>
      </c>
      <c r="IE633" s="11">
        <f t="shared" si="648"/>
        <v>5.5E-2</v>
      </c>
      <c r="IF633" s="11">
        <f t="shared" si="648"/>
        <v>3.97</v>
      </c>
      <c r="IG633" s="11">
        <f t="shared" si="648"/>
        <v>4.5999999999999999E-3</v>
      </c>
      <c r="IH633" s="11">
        <f t="shared" si="648"/>
        <v>2.73</v>
      </c>
      <c r="II633" s="11">
        <f t="shared" si="648"/>
        <v>0</v>
      </c>
    </row>
    <row r="634" spans="4:244" x14ac:dyDescent="0.25">
      <c r="D634" s="185" t="s">
        <v>1223</v>
      </c>
      <c r="E634" s="14">
        <v>41814</v>
      </c>
      <c r="F634" s="18">
        <v>1.0314118440484801</v>
      </c>
      <c r="G634" s="18">
        <v>1.0360534384378499</v>
      </c>
      <c r="H634" s="21">
        <v>82.210912650568304</v>
      </c>
      <c r="I634" s="21">
        <v>77.8211578600461</v>
      </c>
      <c r="J634" s="21">
        <v>94.971522461697006</v>
      </c>
      <c r="K634" s="18">
        <v>1</v>
      </c>
      <c r="L634" s="18">
        <v>91.03</v>
      </c>
      <c r="M634" s="18">
        <v>32.2513997872</v>
      </c>
      <c r="N634" s="18">
        <v>3.0099997144000001</v>
      </c>
      <c r="O634" s="18">
        <v>2.590000238</v>
      </c>
      <c r="P634" s="18">
        <v>4.4799997172000001</v>
      </c>
      <c r="Q634" s="19"/>
      <c r="R634" s="18">
        <v>91.249680978721301</v>
      </c>
      <c r="S634" s="18">
        <v>20</v>
      </c>
      <c r="T634" s="18">
        <v>27</v>
      </c>
      <c r="U634" s="18">
        <v>30</v>
      </c>
      <c r="V634" s="18">
        <v>32</v>
      </c>
      <c r="W634" s="18">
        <v>33</v>
      </c>
      <c r="X634" s="18"/>
      <c r="Y634" s="18">
        <v>0.69208068768537945</v>
      </c>
      <c r="Z634" s="18">
        <v>4.9983515610238385</v>
      </c>
      <c r="AA634" s="18">
        <v>7.6900094474349104E-2</v>
      </c>
      <c r="AB634" s="18">
        <v>0</v>
      </c>
      <c r="AC634" s="18">
        <v>5.6135321542348677</v>
      </c>
      <c r="AD634" s="18">
        <v>1.6802153136328684</v>
      </c>
      <c r="AE634" s="18">
        <v>0</v>
      </c>
      <c r="AF634" s="18">
        <v>67.880698670767885</v>
      </c>
      <c r="AG634" s="18">
        <v>8.0650335054377678</v>
      </c>
      <c r="AH634" s="18">
        <v>49.062287158079755</v>
      </c>
      <c r="AI634" s="18">
        <v>53.094803910798639</v>
      </c>
      <c r="AJ634" s="18">
        <v>0</v>
      </c>
      <c r="AK634" s="18">
        <v>4.7046028781720317E-2</v>
      </c>
      <c r="AL634" s="18"/>
      <c r="AM634" s="18">
        <v>1.28664180295669</v>
      </c>
      <c r="AN634" s="18">
        <v>0.52785304736684702</v>
      </c>
      <c r="AO634" s="18">
        <v>0.65981630920856205</v>
      </c>
      <c r="AP634" s="18">
        <v>92.221187884012096</v>
      </c>
      <c r="AQ634" s="18">
        <v>0.46517049799203403</v>
      </c>
      <c r="AR634" s="18">
        <v>1.08869691019412</v>
      </c>
      <c r="AS634" s="18">
        <v>2.0487296400925801</v>
      </c>
      <c r="AT634" s="18">
        <v>0.85776120197112704</v>
      </c>
      <c r="AU634" s="18">
        <v>1.28994088450274</v>
      </c>
      <c r="AV634" s="18">
        <v>0.923742832891982</v>
      </c>
      <c r="AW634" s="18">
        <v>1.58685822364659</v>
      </c>
      <c r="AX634" s="18"/>
      <c r="AY634" s="18">
        <v>0.81327697753081196</v>
      </c>
      <c r="AZ634" s="18">
        <v>0.87769495594909397</v>
      </c>
      <c r="BA634" s="18">
        <v>0.84548596673995302</v>
      </c>
      <c r="BB634" s="18">
        <v>1.0918924532860701</v>
      </c>
      <c r="BC634" s="18">
        <v>0.91795619246052096</v>
      </c>
      <c r="BD634" s="18">
        <v>0.84548596673995302</v>
      </c>
      <c r="BE634" s="18">
        <v>0.82938147213538305</v>
      </c>
      <c r="BF634" s="18">
        <v>0.87769495594909397</v>
      </c>
      <c r="BG634" s="18">
        <v>0.88574720325137901</v>
      </c>
      <c r="BH634" s="18">
        <v>0.83743371943766798</v>
      </c>
      <c r="BI634" s="18">
        <v>0.82938147213538305</v>
      </c>
      <c r="BJ634" s="19"/>
      <c r="BK634" s="18">
        <v>35.429418639129956</v>
      </c>
      <c r="BL634" s="18">
        <v>3.3066019053059432</v>
      </c>
      <c r="BM634" s="18">
        <v>2.8452161243546081</v>
      </c>
      <c r="BN634" s="18">
        <v>4.9214541548939907</v>
      </c>
      <c r="BO634" s="18"/>
      <c r="BP634" s="18">
        <v>30</v>
      </c>
      <c r="BQ634" s="18">
        <v>9.9198057159178195</v>
      </c>
      <c r="BR634" s="18">
        <v>1.1330460771706909</v>
      </c>
      <c r="BS634" s="18">
        <v>1.1381450493659782</v>
      </c>
      <c r="BT634" s="19"/>
      <c r="BU634" s="18">
        <v>971.54783875645398</v>
      </c>
      <c r="BV634" s="18">
        <v>383.3100715609645</v>
      </c>
      <c r="BW634" s="18">
        <v>60.926525420037677</v>
      </c>
      <c r="BX634" s="18" t="s">
        <v>217</v>
      </c>
      <c r="BY634" s="18" t="s">
        <v>217</v>
      </c>
      <c r="BZ634" s="18">
        <v>47.718114907173465</v>
      </c>
      <c r="CA634" s="18">
        <v>87.371196308909049</v>
      </c>
      <c r="CB634" s="19"/>
      <c r="CC634" s="19">
        <v>0.63000105000000095</v>
      </c>
      <c r="CD634" s="19">
        <v>4.5499994260000003</v>
      </c>
      <c r="CE634" s="19">
        <v>7.0002155999999996E-2</v>
      </c>
      <c r="CF634" s="19">
        <v>0</v>
      </c>
      <c r="CG634" s="19">
        <v>5.1099983199999999</v>
      </c>
      <c r="CH634" s="19">
        <v>1.5295000000000001</v>
      </c>
      <c r="CI634" s="19">
        <v>0</v>
      </c>
      <c r="CJ634" s="19"/>
      <c r="CK634" s="19">
        <v>61.791800000000002</v>
      </c>
      <c r="CL634" s="19">
        <v>7.3415999999999997</v>
      </c>
      <c r="CM634" s="19">
        <v>44.6614</v>
      </c>
      <c r="CN634" s="19">
        <v>48.3322</v>
      </c>
      <c r="CO634" s="19">
        <v>0</v>
      </c>
      <c r="CP634" s="19">
        <v>4.2826000000000003E-2</v>
      </c>
      <c r="CQ634" s="19">
        <v>294.29299416992001</v>
      </c>
      <c r="CR634" s="19">
        <v>285.33024501131013</v>
      </c>
      <c r="HM634" s="620">
        <f t="shared" ref="HM634:HU634" si="649">HM264</f>
        <v>0</v>
      </c>
      <c r="HN634" s="620">
        <f t="shared" si="649"/>
        <v>0</v>
      </c>
      <c r="HO634" s="620">
        <f t="shared" si="649"/>
        <v>0</v>
      </c>
      <c r="HP634" s="620">
        <f t="shared" si="649"/>
        <v>0</v>
      </c>
      <c r="HQ634" s="620">
        <f t="shared" si="649"/>
        <v>0</v>
      </c>
      <c r="HR634" s="620">
        <f t="shared" si="649"/>
        <v>0</v>
      </c>
      <c r="HS634" s="620">
        <f t="shared" si="649"/>
        <v>0</v>
      </c>
      <c r="HT634" s="620">
        <f t="shared" si="649"/>
        <v>0</v>
      </c>
      <c r="HU634" s="620" t="str">
        <f t="shared" si="649"/>
        <v>offfarm</v>
      </c>
      <c r="HV634" s="22" t="s">
        <v>2013</v>
      </c>
      <c r="IB634" s="11">
        <f t="shared" ref="IB634:II634" si="650">IB264</f>
        <v>0.47300000000000003</v>
      </c>
      <c r="IC634" s="11">
        <f t="shared" si="650"/>
        <v>0.13</v>
      </c>
      <c r="ID634" s="11">
        <f t="shared" si="650"/>
        <v>0.39100000000000001</v>
      </c>
      <c r="IE634" s="11">
        <f t="shared" si="650"/>
        <v>5.5E-2</v>
      </c>
      <c r="IF634" s="11">
        <f t="shared" si="650"/>
        <v>3.97</v>
      </c>
      <c r="IG634" s="11">
        <f t="shared" si="650"/>
        <v>4.5999999999999999E-3</v>
      </c>
      <c r="IH634" s="11">
        <f t="shared" si="650"/>
        <v>2.73</v>
      </c>
      <c r="II634" s="11">
        <f t="shared" si="650"/>
        <v>0</v>
      </c>
    </row>
    <row r="635" spans="4:244" x14ac:dyDescent="0.25">
      <c r="D635" s="185" t="s">
        <v>1224</v>
      </c>
      <c r="E635" s="14">
        <v>40310</v>
      </c>
      <c r="F635" s="18">
        <v>1.13840946301624</v>
      </c>
      <c r="G635" s="18">
        <v>1.1250112045315299</v>
      </c>
      <c r="H635" s="21">
        <v>87.403419079323001</v>
      </c>
      <c r="I635" s="21">
        <v>84.568218298555394</v>
      </c>
      <c r="J635" s="21">
        <v>97.288398261818301</v>
      </c>
      <c r="K635" s="18">
        <v>1</v>
      </c>
      <c r="L635" s="18">
        <v>93.45</v>
      </c>
      <c r="M635" s="18">
        <v>43.618999848000001</v>
      </c>
      <c r="N635" s="18">
        <v>2.1499997959999999</v>
      </c>
      <c r="O635" s="18">
        <v>1.8500001699999999</v>
      </c>
      <c r="P635" s="18">
        <v>3.1999997979999999</v>
      </c>
      <c r="Q635" s="19"/>
      <c r="R635" s="18">
        <v>95.378651537760007</v>
      </c>
      <c r="S635" s="18">
        <v>20</v>
      </c>
      <c r="T635" s="18">
        <v>27</v>
      </c>
      <c r="U635" s="18">
        <v>30</v>
      </c>
      <c r="V635" s="18">
        <v>32</v>
      </c>
      <c r="W635" s="18">
        <v>33</v>
      </c>
      <c r="X635" s="18"/>
      <c r="Y635" s="18">
        <v>0.48154173354735258</v>
      </c>
      <c r="Z635" s="18">
        <v>3.4777951738897803</v>
      </c>
      <c r="AA635" s="18">
        <v>5.3506195826645259E-2</v>
      </c>
      <c r="AB635" s="18">
        <v>0</v>
      </c>
      <c r="AC635" s="18">
        <v>3.9058307116104869</v>
      </c>
      <c r="AD635" s="18">
        <v>1.1690743713215623</v>
      </c>
      <c r="AE635" s="18">
        <v>0</v>
      </c>
      <c r="AF635" s="18">
        <v>47.230604601391114</v>
      </c>
      <c r="AG635" s="18">
        <v>5.6115569823434992</v>
      </c>
      <c r="AH635" s="18">
        <v>34.136971642589621</v>
      </c>
      <c r="AI635" s="18">
        <v>36.942750133761372</v>
      </c>
      <c r="AJ635" s="18">
        <v>0</v>
      </c>
      <c r="AK635" s="18">
        <v>3.2734082397003851E-2</v>
      </c>
      <c r="AL635" s="18"/>
      <c r="AM635" s="18">
        <v>0.67952038126704395</v>
      </c>
      <c r="AN635" s="18">
        <v>0.27877759231468402</v>
      </c>
      <c r="AO635" s="18">
        <v>0.34847199039335702</v>
      </c>
      <c r="AP635" s="18">
        <v>112.878883437401</v>
      </c>
      <c r="AQ635" s="18">
        <v>0.24567275322731499</v>
      </c>
      <c r="AR635" s="18">
        <v>0.57497878414903503</v>
      </c>
      <c r="AS635" s="18">
        <v>1.08200553017137</v>
      </c>
      <c r="AT635" s="18">
        <v>0.453013587511361</v>
      </c>
      <c r="AU635" s="18">
        <v>0.68126274121900998</v>
      </c>
      <c r="AV635" s="18">
        <v>0.48786078655069698</v>
      </c>
      <c r="AW635" s="18">
        <v>0.83807513689601998</v>
      </c>
      <c r="AX635" s="18"/>
      <c r="AY635" s="18">
        <v>0.77806997216400497</v>
      </c>
      <c r="AZ635" s="18">
        <v>0.83969927688986701</v>
      </c>
      <c r="BA635" s="18">
        <v>0.80888462452693599</v>
      </c>
      <c r="BB635" s="18">
        <v>1.0468006992691601</v>
      </c>
      <c r="BC635" s="18">
        <v>0.87821759234353103</v>
      </c>
      <c r="BD635" s="18">
        <v>0.80888462452693599</v>
      </c>
      <c r="BE635" s="18">
        <v>0.79347729834547098</v>
      </c>
      <c r="BF635" s="18">
        <v>0.83969927688986701</v>
      </c>
      <c r="BG635" s="18">
        <v>0.84740293998060001</v>
      </c>
      <c r="BH635" s="18">
        <v>0.80118096143620399</v>
      </c>
      <c r="BI635" s="18">
        <v>0.79347729834547098</v>
      </c>
      <c r="BJ635" s="19"/>
      <c r="BK635" s="18">
        <v>46.676297322632422</v>
      </c>
      <c r="BL635" s="18">
        <v>2.3006953408239696</v>
      </c>
      <c r="BM635" s="18">
        <v>1.979668453718566</v>
      </c>
      <c r="BN635" s="18">
        <v>3.4242908485821291</v>
      </c>
      <c r="BO635" s="18"/>
      <c r="BP635" s="18">
        <v>0</v>
      </c>
      <c r="BQ635" s="18">
        <v>0</v>
      </c>
      <c r="BR635" s="18">
        <v>1.2182016725695453</v>
      </c>
      <c r="BS635" s="18">
        <v>1.2038643173157089</v>
      </c>
      <c r="BT635" s="19"/>
      <c r="BU635" s="18">
        <v>980.20331546281432</v>
      </c>
      <c r="BV635" s="18">
        <v>369.95911541127447</v>
      </c>
      <c r="BW635" s="18">
        <v>39.701045790159547</v>
      </c>
      <c r="BX635" s="18">
        <v>269.35473515248793</v>
      </c>
      <c r="BY635" s="18">
        <v>16.834670947030496</v>
      </c>
      <c r="BZ635" s="18">
        <v>33.201712145532369</v>
      </c>
      <c r="CA635" s="18">
        <v>60.791867308721244</v>
      </c>
      <c r="CB635" s="19"/>
      <c r="CC635" s="19">
        <v>0.450000750000001</v>
      </c>
      <c r="CD635" s="19">
        <v>3.2499995899999998</v>
      </c>
      <c r="CE635" s="19">
        <v>5.0001539999999997E-2</v>
      </c>
      <c r="CF635" s="19">
        <v>0</v>
      </c>
      <c r="CG635" s="19">
        <v>3.6499988000000001</v>
      </c>
      <c r="CH635" s="19">
        <v>1.0925</v>
      </c>
      <c r="CI635" s="19">
        <v>0</v>
      </c>
      <c r="CJ635" s="19"/>
      <c r="CK635" s="19">
        <v>44.136999999999993</v>
      </c>
      <c r="CL635" s="19">
        <v>5.2439999999999998</v>
      </c>
      <c r="CM635" s="19">
        <v>31.901</v>
      </c>
      <c r="CN635" s="19">
        <v>34.523000000000003</v>
      </c>
      <c r="CO635" s="19">
        <v>0</v>
      </c>
      <c r="CP635" s="19">
        <v>3.05900000000001E-2</v>
      </c>
      <c r="CQ635" s="19">
        <v>416.0321386928</v>
      </c>
      <c r="CR635" s="19">
        <v>365.4503517482313</v>
      </c>
      <c r="HM635" s="620">
        <f t="shared" ref="HM635:HU635" si="651">HM265</f>
        <v>0</v>
      </c>
      <c r="HN635" s="620">
        <f t="shared" si="651"/>
        <v>0</v>
      </c>
      <c r="HO635" s="620">
        <f t="shared" si="651"/>
        <v>0</v>
      </c>
      <c r="HP635" s="620">
        <f t="shared" si="651"/>
        <v>0</v>
      </c>
      <c r="HQ635" s="620">
        <f t="shared" si="651"/>
        <v>0</v>
      </c>
      <c r="HR635" s="620">
        <f t="shared" si="651"/>
        <v>0</v>
      </c>
      <c r="HS635" s="620">
        <f t="shared" si="651"/>
        <v>0</v>
      </c>
      <c r="HT635" s="620">
        <f t="shared" si="651"/>
        <v>0</v>
      </c>
      <c r="HU635" s="620" t="str">
        <f t="shared" si="651"/>
        <v>offfarm</v>
      </c>
      <c r="HV635" s="22" t="s">
        <v>2013</v>
      </c>
      <c r="IB635" s="11">
        <f t="shared" ref="IB635:II635" si="652">IB265</f>
        <v>0.47300000000000003</v>
      </c>
      <c r="IC635" s="11">
        <f t="shared" si="652"/>
        <v>0.13</v>
      </c>
      <c r="ID635" s="11">
        <f t="shared" si="652"/>
        <v>0.39100000000000001</v>
      </c>
      <c r="IE635" s="11">
        <f t="shared" si="652"/>
        <v>5.5E-2</v>
      </c>
      <c r="IF635" s="11">
        <f t="shared" si="652"/>
        <v>3.97</v>
      </c>
      <c r="IG635" s="11">
        <f t="shared" si="652"/>
        <v>4.5999999999999999E-3</v>
      </c>
      <c r="IH635" s="11">
        <f t="shared" si="652"/>
        <v>2.73</v>
      </c>
      <c r="II635" s="11">
        <f t="shared" si="652"/>
        <v>0</v>
      </c>
    </row>
    <row r="636" spans="4:244" x14ac:dyDescent="0.25">
      <c r="D636" s="185" t="s">
        <v>1225</v>
      </c>
      <c r="E636" s="14">
        <v>40310</v>
      </c>
      <c r="F636" s="18">
        <v>1.41764741734418</v>
      </c>
      <c r="G636" s="18">
        <v>1.3587321999999999</v>
      </c>
      <c r="H636" s="21">
        <v>100</v>
      </c>
      <c r="I636" s="21">
        <v>100</v>
      </c>
      <c r="J636" s="21">
        <v>100</v>
      </c>
      <c r="K636" s="18">
        <v>1</v>
      </c>
      <c r="L636" s="18">
        <v>99.5</v>
      </c>
      <c r="M636" s="18">
        <v>72.037999999999997</v>
      </c>
      <c r="N636" s="18">
        <v>0</v>
      </c>
      <c r="O636" s="18">
        <v>0</v>
      </c>
      <c r="P636" s="18">
        <v>0</v>
      </c>
      <c r="Q636" s="19"/>
      <c r="R636" s="18">
        <v>75</v>
      </c>
      <c r="S636" s="18">
        <v>0</v>
      </c>
      <c r="T636" s="18">
        <v>0</v>
      </c>
      <c r="U636" s="18">
        <v>0</v>
      </c>
      <c r="V636" s="18">
        <v>0</v>
      </c>
      <c r="W636" s="18">
        <v>0</v>
      </c>
      <c r="X636" s="18"/>
      <c r="Y636" s="18">
        <v>0</v>
      </c>
      <c r="Z636" s="18">
        <v>0</v>
      </c>
      <c r="AA636" s="18">
        <v>0</v>
      </c>
      <c r="AB636" s="18">
        <v>0</v>
      </c>
      <c r="AC636" s="18">
        <v>0</v>
      </c>
      <c r="AD636" s="18">
        <v>0</v>
      </c>
      <c r="AE636" s="18">
        <v>0</v>
      </c>
      <c r="AF636" s="18">
        <v>0</v>
      </c>
      <c r="AG636" s="18">
        <v>0</v>
      </c>
      <c r="AH636" s="18">
        <v>0</v>
      </c>
      <c r="AI636" s="18">
        <v>0</v>
      </c>
      <c r="AJ636" s="18">
        <v>0</v>
      </c>
      <c r="AK636" s="18">
        <v>0</v>
      </c>
      <c r="AL636" s="18"/>
      <c r="AM636" s="18">
        <v>0</v>
      </c>
      <c r="AN636" s="18">
        <v>0</v>
      </c>
      <c r="AO636" s="18">
        <v>0</v>
      </c>
      <c r="AP636" s="18">
        <v>136</v>
      </c>
      <c r="AQ636" s="18">
        <v>0</v>
      </c>
      <c r="AR636" s="18">
        <v>0</v>
      </c>
      <c r="AS636" s="18">
        <v>0</v>
      </c>
      <c r="AT636" s="18">
        <v>0</v>
      </c>
      <c r="AU636" s="18">
        <v>0</v>
      </c>
      <c r="AV636" s="18">
        <v>0</v>
      </c>
      <c r="AW636" s="18">
        <v>0</v>
      </c>
      <c r="AX636" s="18"/>
      <c r="AY636" s="18">
        <v>1</v>
      </c>
      <c r="AZ636" s="18">
        <v>1</v>
      </c>
      <c r="BA636" s="18">
        <v>1</v>
      </c>
      <c r="BB636" s="18">
        <v>1</v>
      </c>
      <c r="BC636" s="18">
        <v>1</v>
      </c>
      <c r="BD636" s="18">
        <v>1</v>
      </c>
      <c r="BE636" s="18">
        <v>1</v>
      </c>
      <c r="BF636" s="18">
        <v>1</v>
      </c>
      <c r="BG636" s="18">
        <v>1</v>
      </c>
      <c r="BH636" s="18">
        <v>1</v>
      </c>
      <c r="BI636" s="18">
        <v>1</v>
      </c>
      <c r="BJ636" s="19"/>
      <c r="BK636" s="18">
        <v>72.399999999999991</v>
      </c>
      <c r="BL636" s="18">
        <v>0</v>
      </c>
      <c r="BM636" s="18">
        <v>0</v>
      </c>
      <c r="BN636" s="18">
        <v>0</v>
      </c>
      <c r="BO636" s="18"/>
      <c r="BP636" s="18">
        <v>0</v>
      </c>
      <c r="BQ636" s="18">
        <v>0</v>
      </c>
      <c r="BR636" s="18">
        <v>1.4247712737127436</v>
      </c>
      <c r="BS636" s="18">
        <v>1.3655599999999999</v>
      </c>
      <c r="BT636" s="19"/>
      <c r="BU636" s="18">
        <v>1000</v>
      </c>
      <c r="BV636" s="18">
        <v>341.16</v>
      </c>
      <c r="BW636" s="18">
        <v>0</v>
      </c>
      <c r="BX636" s="18" t="s">
        <v>217</v>
      </c>
      <c r="BY636" s="18" t="s">
        <v>217</v>
      </c>
      <c r="BZ636" s="18" t="s">
        <v>217</v>
      </c>
      <c r="CA636" s="18" t="s">
        <v>217</v>
      </c>
      <c r="CB636" s="19"/>
      <c r="CC636" s="19">
        <v>0</v>
      </c>
      <c r="CD636" s="19">
        <v>0</v>
      </c>
      <c r="CE636" s="19">
        <v>0</v>
      </c>
      <c r="CF636" s="19">
        <v>0</v>
      </c>
      <c r="CG636" s="19">
        <v>0</v>
      </c>
      <c r="CH636" s="19">
        <v>0</v>
      </c>
      <c r="CI636" s="19">
        <v>0</v>
      </c>
      <c r="CJ636" s="19"/>
      <c r="CK636" s="19">
        <v>0</v>
      </c>
      <c r="CL636" s="19">
        <v>0</v>
      </c>
      <c r="CM636" s="19">
        <v>0</v>
      </c>
      <c r="CN636" s="19">
        <v>0</v>
      </c>
      <c r="CO636" s="19">
        <v>0</v>
      </c>
      <c r="CP636" s="19">
        <v>0</v>
      </c>
      <c r="CQ636" s="19">
        <v>540.28499999999997</v>
      </c>
      <c r="CR636" s="19">
        <v>381.11380403187252</v>
      </c>
      <c r="HM636" s="620">
        <f t="shared" ref="HM636:HU636" si="653">HM266</f>
        <v>0</v>
      </c>
      <c r="HN636" s="620">
        <f t="shared" si="653"/>
        <v>0</v>
      </c>
      <c r="HO636" s="620">
        <f t="shared" si="653"/>
        <v>0</v>
      </c>
      <c r="HP636" s="620">
        <f t="shared" si="653"/>
        <v>0</v>
      </c>
      <c r="HQ636" s="620">
        <f t="shared" si="653"/>
        <v>0</v>
      </c>
      <c r="HR636" s="620">
        <f t="shared" si="653"/>
        <v>0</v>
      </c>
      <c r="HS636" s="620">
        <f t="shared" si="653"/>
        <v>0</v>
      </c>
      <c r="HT636" s="620">
        <f t="shared" si="653"/>
        <v>0</v>
      </c>
      <c r="HU636" s="620" t="str">
        <f t="shared" si="653"/>
        <v>offfarm</v>
      </c>
      <c r="HV636" s="22" t="s">
        <v>2013</v>
      </c>
      <c r="IB636" s="11">
        <f t="shared" ref="IB636:II636" si="654">IB266</f>
        <v>0.47300000000000003</v>
      </c>
      <c r="IC636" s="11">
        <f t="shared" si="654"/>
        <v>0.13</v>
      </c>
      <c r="ID636" s="11">
        <f t="shared" si="654"/>
        <v>0.39100000000000001</v>
      </c>
      <c r="IE636" s="11">
        <f t="shared" si="654"/>
        <v>5.5E-2</v>
      </c>
      <c r="IF636" s="11">
        <f t="shared" si="654"/>
        <v>3.97</v>
      </c>
      <c r="IG636" s="11">
        <f t="shared" si="654"/>
        <v>4.5999999999999999E-3</v>
      </c>
      <c r="IH636" s="11">
        <f t="shared" si="654"/>
        <v>2.73</v>
      </c>
      <c r="II636" s="11">
        <f t="shared" si="654"/>
        <v>0</v>
      </c>
    </row>
    <row r="637" spans="4:244" x14ac:dyDescent="0.25">
      <c r="D637" s="185" t="s">
        <v>721</v>
      </c>
      <c r="E637" s="14">
        <v>40310</v>
      </c>
      <c r="F637" s="18">
        <v>1.41764741734418</v>
      </c>
      <c r="G637" s="18">
        <v>1.3587321999999999</v>
      </c>
      <c r="H637" s="21">
        <v>100</v>
      </c>
      <c r="I637" s="21">
        <v>100</v>
      </c>
      <c r="J637" s="21">
        <v>100</v>
      </c>
      <c r="K637" s="18">
        <v>1</v>
      </c>
      <c r="L637" s="18">
        <v>99.5</v>
      </c>
      <c r="M637" s="18">
        <v>72.037999999999997</v>
      </c>
      <c r="N637" s="18">
        <v>0</v>
      </c>
      <c r="O637" s="18">
        <v>0</v>
      </c>
      <c r="P637" s="18">
        <v>0</v>
      </c>
      <c r="Q637" s="19"/>
      <c r="R637" s="18">
        <v>100</v>
      </c>
      <c r="S637" s="18">
        <v>0</v>
      </c>
      <c r="T637" s="18">
        <v>0</v>
      </c>
      <c r="U637" s="18">
        <v>0</v>
      </c>
      <c r="V637" s="18">
        <v>0</v>
      </c>
      <c r="W637" s="18">
        <v>0</v>
      </c>
      <c r="X637" s="18"/>
      <c r="Y637" s="18">
        <v>0</v>
      </c>
      <c r="Z637" s="18">
        <v>0</v>
      </c>
      <c r="AA637" s="18">
        <v>0</v>
      </c>
      <c r="AB637" s="18">
        <v>0</v>
      </c>
      <c r="AC637" s="18">
        <v>0</v>
      </c>
      <c r="AD637" s="18">
        <v>0</v>
      </c>
      <c r="AE637" s="18">
        <v>0</v>
      </c>
      <c r="AF637" s="18">
        <v>0</v>
      </c>
      <c r="AG637" s="18">
        <v>0</v>
      </c>
      <c r="AH637" s="18">
        <v>0</v>
      </c>
      <c r="AI637" s="18">
        <v>0</v>
      </c>
      <c r="AJ637" s="18">
        <v>0</v>
      </c>
      <c r="AK637" s="18">
        <v>0</v>
      </c>
      <c r="AL637" s="18"/>
      <c r="AM637" s="18">
        <v>0</v>
      </c>
      <c r="AN637" s="18">
        <v>0</v>
      </c>
      <c r="AO637" s="18">
        <v>0</v>
      </c>
      <c r="AP637" s="18">
        <v>136</v>
      </c>
      <c r="AQ637" s="18">
        <v>0</v>
      </c>
      <c r="AR637" s="18">
        <v>0</v>
      </c>
      <c r="AS637" s="18">
        <v>0</v>
      </c>
      <c r="AT637" s="18">
        <v>0</v>
      </c>
      <c r="AU637" s="18">
        <v>0</v>
      </c>
      <c r="AV637" s="18">
        <v>0</v>
      </c>
      <c r="AW637" s="18">
        <v>0</v>
      </c>
      <c r="AX637" s="18"/>
      <c r="AY637" s="18">
        <v>1</v>
      </c>
      <c r="AZ637" s="18">
        <v>1</v>
      </c>
      <c r="BA637" s="18">
        <v>1</v>
      </c>
      <c r="BB637" s="18">
        <v>1</v>
      </c>
      <c r="BC637" s="18">
        <v>1</v>
      </c>
      <c r="BD637" s="18">
        <v>1</v>
      </c>
      <c r="BE637" s="18">
        <v>1</v>
      </c>
      <c r="BF637" s="18">
        <v>1</v>
      </c>
      <c r="BG637" s="18">
        <v>1</v>
      </c>
      <c r="BH637" s="18">
        <v>1</v>
      </c>
      <c r="BI637" s="18">
        <v>1</v>
      </c>
      <c r="BJ637" s="19"/>
      <c r="BK637" s="18">
        <v>72.399999999999991</v>
      </c>
      <c r="BL637" s="18">
        <v>0</v>
      </c>
      <c r="BM637" s="18">
        <v>0</v>
      </c>
      <c r="BN637" s="18">
        <v>0</v>
      </c>
      <c r="BO637" s="18"/>
      <c r="BP637" s="18">
        <v>0</v>
      </c>
      <c r="BQ637" s="18">
        <v>0</v>
      </c>
      <c r="BR637" s="18">
        <v>1.4247712737127436</v>
      </c>
      <c r="BS637" s="18">
        <v>1.3655599999999999</v>
      </c>
      <c r="BT637" s="19"/>
      <c r="BU637" s="18">
        <v>1000</v>
      </c>
      <c r="BV637" s="18">
        <v>341.16</v>
      </c>
      <c r="BW637" s="18">
        <v>0</v>
      </c>
      <c r="BX637" s="18" t="s">
        <v>217</v>
      </c>
      <c r="BY637" s="18" t="s">
        <v>217</v>
      </c>
      <c r="BZ637" s="18" t="s">
        <v>217</v>
      </c>
      <c r="CA637" s="18" t="s">
        <v>217</v>
      </c>
      <c r="CB637" s="19"/>
      <c r="CC637" s="19">
        <v>0</v>
      </c>
      <c r="CD637" s="19">
        <v>0</v>
      </c>
      <c r="CE637" s="19">
        <v>0</v>
      </c>
      <c r="CF637" s="19">
        <v>0</v>
      </c>
      <c r="CG637" s="19">
        <v>0</v>
      </c>
      <c r="CH637" s="19">
        <v>0</v>
      </c>
      <c r="CI637" s="19">
        <v>0</v>
      </c>
      <c r="CJ637" s="19"/>
      <c r="CK637" s="19">
        <v>0</v>
      </c>
      <c r="CL637" s="19">
        <v>0</v>
      </c>
      <c r="CM637" s="19">
        <v>0</v>
      </c>
      <c r="CN637" s="19">
        <v>0</v>
      </c>
      <c r="CO637" s="19">
        <v>0</v>
      </c>
      <c r="CP637" s="19">
        <v>0</v>
      </c>
      <c r="CQ637" s="19">
        <v>720.38</v>
      </c>
      <c r="CR637" s="19">
        <v>508.15173870916334</v>
      </c>
      <c r="HM637" s="620">
        <f t="shared" ref="HM637:HU637" si="655">HM267</f>
        <v>0</v>
      </c>
      <c r="HN637" s="620">
        <f t="shared" si="655"/>
        <v>0</v>
      </c>
      <c r="HO637" s="620">
        <f t="shared" si="655"/>
        <v>0</v>
      </c>
      <c r="HP637" s="620">
        <f t="shared" si="655"/>
        <v>0</v>
      </c>
      <c r="HQ637" s="620">
        <f t="shared" si="655"/>
        <v>0</v>
      </c>
      <c r="HR637" s="620">
        <f t="shared" si="655"/>
        <v>0</v>
      </c>
      <c r="HS637" s="620">
        <f t="shared" si="655"/>
        <v>0</v>
      </c>
      <c r="HT637" s="620">
        <f t="shared" si="655"/>
        <v>0</v>
      </c>
      <c r="HU637" s="620" t="str">
        <f t="shared" si="655"/>
        <v>offfarm</v>
      </c>
      <c r="HV637" s="22" t="s">
        <v>2013</v>
      </c>
      <c r="IB637" s="11">
        <f t="shared" ref="IB637:II637" si="656">IB267</f>
        <v>0.47300000000000003</v>
      </c>
      <c r="IC637" s="11">
        <f t="shared" si="656"/>
        <v>0.13</v>
      </c>
      <c r="ID637" s="11">
        <f t="shared" si="656"/>
        <v>0.39100000000000001</v>
      </c>
      <c r="IE637" s="11">
        <f t="shared" si="656"/>
        <v>5.5E-2</v>
      </c>
      <c r="IF637" s="11">
        <f t="shared" si="656"/>
        <v>3.97</v>
      </c>
      <c r="IG637" s="11">
        <f t="shared" si="656"/>
        <v>4.5999999999999999E-3</v>
      </c>
      <c r="IH637" s="11">
        <f t="shared" si="656"/>
        <v>2.73</v>
      </c>
      <c r="II637" s="11">
        <f t="shared" si="656"/>
        <v>0</v>
      </c>
    </row>
    <row r="638" spans="4:244" x14ac:dyDescent="0.25">
      <c r="D638" s="20" t="s">
        <v>1226</v>
      </c>
      <c r="E638" s="14">
        <v>42678</v>
      </c>
      <c r="F638" s="18">
        <v>1.12659417344173</v>
      </c>
      <c r="G638" s="18">
        <v>1.1126718389610399</v>
      </c>
      <c r="H638" s="21">
        <v>90.4</v>
      </c>
      <c r="I638" s="21">
        <v>85.200011200000006</v>
      </c>
      <c r="J638" s="21">
        <v>93</v>
      </c>
      <c r="K638" s="18">
        <v>1</v>
      </c>
      <c r="L638" s="18">
        <v>85</v>
      </c>
      <c r="M638" s="18">
        <v>9.1999999999999904</v>
      </c>
      <c r="N638" s="18">
        <v>2.1</v>
      </c>
      <c r="O638" s="18">
        <v>1.7</v>
      </c>
      <c r="P638" s="18">
        <v>2.6</v>
      </c>
      <c r="Q638" s="19"/>
      <c r="R638" s="18">
        <v>82.352621739130399</v>
      </c>
      <c r="S638" s="18">
        <v>50</v>
      </c>
      <c r="T638" s="18">
        <v>54</v>
      </c>
      <c r="U638" s="18">
        <v>55</v>
      </c>
      <c r="V638" s="18">
        <v>56</v>
      </c>
      <c r="W638" s="18">
        <v>57</v>
      </c>
      <c r="X638" s="18"/>
      <c r="Y638" s="18">
        <v>0.51764705882352946</v>
      </c>
      <c r="Z638" s="18">
        <v>3.5294117647058822</v>
      </c>
      <c r="AA638" s="18">
        <v>0.1</v>
      </c>
      <c r="AB638" s="18">
        <v>0</v>
      </c>
      <c r="AC638" s="18">
        <v>3.1000018235283413</v>
      </c>
      <c r="AD638" s="18">
        <v>0.60000035294096943</v>
      </c>
      <c r="AE638" s="18">
        <v>0.60000035294096943</v>
      </c>
      <c r="AF638" s="18">
        <v>12.000007058819412</v>
      </c>
      <c r="AG638" s="18">
        <v>2.0000011764699059</v>
      </c>
      <c r="AH638" s="18">
        <v>14.000008235289295</v>
      </c>
      <c r="AI638" s="18">
        <v>18.500010882346469</v>
      </c>
      <c r="AJ638" s="18">
        <v>0</v>
      </c>
      <c r="AK638" s="18">
        <v>0</v>
      </c>
      <c r="AL638" s="18"/>
      <c r="AM638" s="18">
        <v>3.24</v>
      </c>
      <c r="AN638" s="18">
        <v>1.69</v>
      </c>
      <c r="AO638" s="18">
        <v>2.2200000000000002</v>
      </c>
      <c r="AP638" s="18">
        <v>3.15</v>
      </c>
      <c r="AQ638" s="18">
        <v>1.22</v>
      </c>
      <c r="AR638" s="18">
        <v>3.36</v>
      </c>
      <c r="AS638" s="18">
        <v>6.42</v>
      </c>
      <c r="AT638" s="18">
        <v>2.2200000000000002</v>
      </c>
      <c r="AU638" s="18">
        <v>4.3600000000000003</v>
      </c>
      <c r="AV638" s="18">
        <v>2.8</v>
      </c>
      <c r="AW638" s="18">
        <v>4.5199999999999996</v>
      </c>
      <c r="AX638" s="18"/>
      <c r="AY638" s="18">
        <v>0.98</v>
      </c>
      <c r="AZ638" s="18">
        <v>1.05</v>
      </c>
      <c r="BA638" s="18">
        <v>1.03</v>
      </c>
      <c r="BB638" s="18">
        <v>0.95</v>
      </c>
      <c r="BC638" s="18">
        <v>0.92</v>
      </c>
      <c r="BD638" s="18">
        <v>1.01</v>
      </c>
      <c r="BE638" s="18">
        <v>1.01</v>
      </c>
      <c r="BF638" s="18">
        <v>1.03</v>
      </c>
      <c r="BG638" s="18">
        <v>1.06</v>
      </c>
      <c r="BH638" s="18">
        <v>1</v>
      </c>
      <c r="BI638" s="18">
        <v>0.98</v>
      </c>
      <c r="BJ638" s="19"/>
      <c r="BK638" s="18">
        <v>10.823529411764696</v>
      </c>
      <c r="BL638" s="18">
        <v>2.4705882352941178</v>
      </c>
      <c r="BM638" s="18">
        <v>2</v>
      </c>
      <c r="BN638" s="18">
        <v>3.0588235294117645</v>
      </c>
      <c r="BO638" s="18"/>
      <c r="BP638" s="18">
        <v>105</v>
      </c>
      <c r="BQ638" s="18">
        <v>25.941176470588236</v>
      </c>
      <c r="BR638" s="18">
        <v>1.3254049099314469</v>
      </c>
      <c r="BS638" s="18">
        <v>1.3090256928953412</v>
      </c>
      <c r="BT638" s="19"/>
      <c r="BU638" s="18">
        <v>980</v>
      </c>
      <c r="BV638" s="18">
        <v>690.66117647058832</v>
      </c>
      <c r="BW638" s="18">
        <v>72.799843199999998</v>
      </c>
      <c r="BX638" s="18">
        <v>641</v>
      </c>
      <c r="BY638" s="18">
        <v>33</v>
      </c>
      <c r="BZ638" s="18">
        <v>31.712629150588235</v>
      </c>
      <c r="CA638" s="18">
        <v>126.84972379058824</v>
      </c>
      <c r="CB638" s="19"/>
      <c r="CC638" s="19">
        <v>0.44</v>
      </c>
      <c r="CD638" s="19">
        <v>3</v>
      </c>
      <c r="CE638" s="19">
        <v>8.5000000000000006E-2</v>
      </c>
      <c r="CF638" s="19">
        <v>0</v>
      </c>
      <c r="CG638" s="19">
        <v>2.6350015499990902</v>
      </c>
      <c r="CH638" s="19">
        <v>0.51000029999982399</v>
      </c>
      <c r="CI638" s="19">
        <v>0.51000029999982399</v>
      </c>
      <c r="CJ638" s="19"/>
      <c r="CK638" s="19">
        <v>10.200005999996499</v>
      </c>
      <c r="CL638" s="19">
        <v>1.7000009999994199</v>
      </c>
      <c r="CM638" s="19">
        <v>11.900006999995901</v>
      </c>
      <c r="CN638" s="19">
        <v>15.725009249994498</v>
      </c>
      <c r="CO638" s="19">
        <v>0</v>
      </c>
      <c r="CP638" s="19">
        <v>0</v>
      </c>
      <c r="CQ638" s="19">
        <v>75.764411999999993</v>
      </c>
      <c r="CR638" s="19">
        <v>67.250846654515115</v>
      </c>
      <c r="HM638" s="620">
        <f t="shared" ref="HM638:HU638" si="657">HM268</f>
        <v>0.47300000000000003</v>
      </c>
      <c r="HN638" s="620">
        <f t="shared" si="657"/>
        <v>0.13</v>
      </c>
      <c r="HO638" s="620">
        <f t="shared" si="657"/>
        <v>0.39100000000000001</v>
      </c>
      <c r="HP638" s="620">
        <f t="shared" si="657"/>
        <v>5.5E-2</v>
      </c>
      <c r="HQ638" s="620">
        <f t="shared" si="657"/>
        <v>3.97</v>
      </c>
      <c r="HR638" s="620">
        <f t="shared" si="657"/>
        <v>4.5999999999999999E-3</v>
      </c>
      <c r="HS638" s="620">
        <f t="shared" si="657"/>
        <v>2.73</v>
      </c>
      <c r="HT638" s="620" t="str">
        <f t="shared" si="657"/>
        <v>as barley</v>
      </c>
      <c r="HU638" s="620" t="str">
        <f t="shared" si="657"/>
        <v>offfarm</v>
      </c>
      <c r="HV638" s="22" t="s">
        <v>818</v>
      </c>
      <c r="IB638" s="11">
        <f t="shared" ref="IB638:II638" si="658">IB268</f>
        <v>0.47300000000000003</v>
      </c>
      <c r="IC638" s="11">
        <f t="shared" si="658"/>
        <v>0.13</v>
      </c>
      <c r="ID638" s="11">
        <f t="shared" si="658"/>
        <v>0.39100000000000001</v>
      </c>
      <c r="IE638" s="11">
        <f t="shared" si="658"/>
        <v>5.5E-2</v>
      </c>
      <c r="IF638" s="11">
        <f t="shared" si="658"/>
        <v>3.97</v>
      </c>
      <c r="IG638" s="11">
        <f t="shared" si="658"/>
        <v>4.5999999999999999E-3</v>
      </c>
      <c r="IH638" s="11">
        <f t="shared" si="658"/>
        <v>2.73</v>
      </c>
      <c r="II638" s="11" t="str">
        <f t="shared" si="658"/>
        <v>as barley</v>
      </c>
      <c r="IJ638" s="11" t="str">
        <f>topdowntables!R21</f>
        <v xml:space="preserve">triticale - on farm </v>
      </c>
    </row>
    <row r="639" spans="4:244" x14ac:dyDescent="0.25">
      <c r="D639" s="20" t="s">
        <v>1227</v>
      </c>
      <c r="E639" s="14">
        <v>42678</v>
      </c>
      <c r="F639" s="18">
        <v>1.1362689701897</v>
      </c>
      <c r="G639" s="18">
        <v>1.1194718389610401</v>
      </c>
      <c r="H639" s="21">
        <v>90.4</v>
      </c>
      <c r="I639" s="21">
        <v>85.999960799999997</v>
      </c>
      <c r="J639" s="21">
        <v>93</v>
      </c>
      <c r="K639" s="18">
        <v>1</v>
      </c>
      <c r="L639" s="18">
        <v>85</v>
      </c>
      <c r="M639" s="18">
        <v>9.1999999999999904</v>
      </c>
      <c r="N639" s="18">
        <v>2.1</v>
      </c>
      <c r="O639" s="18">
        <v>1.7</v>
      </c>
      <c r="P639" s="18">
        <v>2.6</v>
      </c>
      <c r="Q639" s="19"/>
      <c r="R639" s="18">
        <v>83.035578260869599</v>
      </c>
      <c r="S639" s="18">
        <v>50</v>
      </c>
      <c r="T639" s="18">
        <v>54</v>
      </c>
      <c r="U639" s="18">
        <v>55</v>
      </c>
      <c r="V639" s="18">
        <v>56</v>
      </c>
      <c r="W639" s="18">
        <v>57</v>
      </c>
      <c r="X639" s="18"/>
      <c r="Y639" s="18">
        <v>0.51764705882352946</v>
      </c>
      <c r="Z639" s="18">
        <v>3.5294117647058822</v>
      </c>
      <c r="AA639" s="18">
        <v>0.1</v>
      </c>
      <c r="AB639" s="18">
        <v>0</v>
      </c>
      <c r="AC639" s="18">
        <v>3.1000018235283413</v>
      </c>
      <c r="AD639" s="18">
        <v>0.60000035294096943</v>
      </c>
      <c r="AE639" s="18">
        <v>0.60000035294096943</v>
      </c>
      <c r="AF639" s="18">
        <v>12.000007058819412</v>
      </c>
      <c r="AG639" s="18">
        <v>2.0000011764699059</v>
      </c>
      <c r="AH639" s="18">
        <v>14.000008235289295</v>
      </c>
      <c r="AI639" s="18">
        <v>18.500010882346469</v>
      </c>
      <c r="AJ639" s="18">
        <v>0</v>
      </c>
      <c r="AK639" s="18">
        <v>0</v>
      </c>
      <c r="AL639" s="18"/>
      <c r="AM639" s="18">
        <v>3.24</v>
      </c>
      <c r="AN639" s="18">
        <v>1.69</v>
      </c>
      <c r="AO639" s="18">
        <v>2.2200000000000002</v>
      </c>
      <c r="AP639" s="18">
        <v>3.15</v>
      </c>
      <c r="AQ639" s="18">
        <v>1.22</v>
      </c>
      <c r="AR639" s="18">
        <v>3.36</v>
      </c>
      <c r="AS639" s="18">
        <v>6.42</v>
      </c>
      <c r="AT639" s="18">
        <v>2.2200000000000002</v>
      </c>
      <c r="AU639" s="18">
        <v>4.3600000000000003</v>
      </c>
      <c r="AV639" s="18">
        <v>2.8</v>
      </c>
      <c r="AW639" s="18">
        <v>4.5199999999999996</v>
      </c>
      <c r="AX639" s="18"/>
      <c r="AY639" s="18">
        <v>0.98</v>
      </c>
      <c r="AZ639" s="18">
        <v>1.05</v>
      </c>
      <c r="BA639" s="18">
        <v>1.03</v>
      </c>
      <c r="BB639" s="18">
        <v>0.95</v>
      </c>
      <c r="BC639" s="18">
        <v>0.92</v>
      </c>
      <c r="BD639" s="18">
        <v>1.01</v>
      </c>
      <c r="BE639" s="18">
        <v>1.01</v>
      </c>
      <c r="BF639" s="18">
        <v>1.03</v>
      </c>
      <c r="BG639" s="18">
        <v>1.06</v>
      </c>
      <c r="BH639" s="18">
        <v>1</v>
      </c>
      <c r="BI639" s="18">
        <v>0.98</v>
      </c>
      <c r="BJ639" s="19"/>
      <c r="BK639" s="18">
        <v>10.823529411764696</v>
      </c>
      <c r="BL639" s="18">
        <v>2.4705882352941178</v>
      </c>
      <c r="BM639" s="18">
        <v>2</v>
      </c>
      <c r="BN639" s="18">
        <v>3.0588235294117645</v>
      </c>
      <c r="BO639" s="18"/>
      <c r="BP639" s="18">
        <v>105</v>
      </c>
      <c r="BQ639" s="18">
        <v>25.941176470588236</v>
      </c>
      <c r="BR639" s="18">
        <v>1.3367870237525883</v>
      </c>
      <c r="BS639" s="18">
        <v>1.3170256928953412</v>
      </c>
      <c r="BT639" s="19"/>
      <c r="BU639" s="18">
        <v>980</v>
      </c>
      <c r="BV639" s="18">
        <v>701.86117647058825</v>
      </c>
      <c r="BW639" s="18">
        <v>61.600548799999885</v>
      </c>
      <c r="BX639" s="18">
        <v>641</v>
      </c>
      <c r="BY639" s="18">
        <v>33</v>
      </c>
      <c r="BZ639" s="18">
        <v>29.472617950588237</v>
      </c>
      <c r="CA639" s="18">
        <v>117.88973499058824</v>
      </c>
      <c r="CB639" s="19"/>
      <c r="CC639" s="19">
        <v>0.44</v>
      </c>
      <c r="CD639" s="19">
        <v>3</v>
      </c>
      <c r="CE639" s="19">
        <v>8.5000000000000006E-2</v>
      </c>
      <c r="CF639" s="19">
        <v>0</v>
      </c>
      <c r="CG639" s="19">
        <v>2.6350015499990902</v>
      </c>
      <c r="CH639" s="19">
        <v>0.51000029999982399</v>
      </c>
      <c r="CI639" s="19">
        <v>0.51000029999982399</v>
      </c>
      <c r="CJ639" s="19"/>
      <c r="CK639" s="19">
        <v>10.200005999996499</v>
      </c>
      <c r="CL639" s="19">
        <v>1.7000009999994199</v>
      </c>
      <c r="CM639" s="19">
        <v>11.900006999995901</v>
      </c>
      <c r="CN639" s="19">
        <v>15.725009249994498</v>
      </c>
      <c r="CO639" s="19">
        <v>0</v>
      </c>
      <c r="CP639" s="19">
        <v>0</v>
      </c>
      <c r="CQ639" s="19">
        <v>76.392731999999896</v>
      </c>
      <c r="CR639" s="19">
        <v>67.23120493842768</v>
      </c>
      <c r="HM639" s="620">
        <f t="shared" ref="HM639:HU639" si="659">HM269</f>
        <v>0.47300000000000003</v>
      </c>
      <c r="HN639" s="620">
        <f t="shared" si="659"/>
        <v>0.13</v>
      </c>
      <c r="HO639" s="620">
        <f t="shared" si="659"/>
        <v>0.39100000000000001</v>
      </c>
      <c r="HP639" s="620">
        <f t="shared" si="659"/>
        <v>5.5E-2</v>
      </c>
      <c r="HQ639" s="620">
        <f t="shared" si="659"/>
        <v>3.97</v>
      </c>
      <c r="HR639" s="620">
        <f t="shared" si="659"/>
        <v>4.5999999999999999E-3</v>
      </c>
      <c r="HS639" s="620">
        <f t="shared" si="659"/>
        <v>2.73</v>
      </c>
      <c r="HT639" s="620" t="str">
        <f t="shared" si="659"/>
        <v>as barley</v>
      </c>
      <c r="HU639" s="620" t="str">
        <f t="shared" si="659"/>
        <v>offfarm</v>
      </c>
      <c r="HV639" s="22" t="s">
        <v>818</v>
      </c>
      <c r="IB639" s="11">
        <f t="shared" ref="IB639:II639" si="660">IB269</f>
        <v>0.47300000000000003</v>
      </c>
      <c r="IC639" s="11">
        <f t="shared" si="660"/>
        <v>0.13</v>
      </c>
      <c r="ID639" s="11">
        <f t="shared" si="660"/>
        <v>0.39100000000000001</v>
      </c>
      <c r="IE639" s="11">
        <f t="shared" si="660"/>
        <v>5.5E-2</v>
      </c>
      <c r="IF639" s="11">
        <f t="shared" si="660"/>
        <v>3.97</v>
      </c>
      <c r="IG639" s="11">
        <f t="shared" si="660"/>
        <v>4.5999999999999999E-3</v>
      </c>
      <c r="IH639" s="11">
        <f t="shared" si="660"/>
        <v>2.73</v>
      </c>
      <c r="II639" s="11" t="str">
        <f t="shared" si="660"/>
        <v>as barley</v>
      </c>
      <c r="IJ639" s="11" t="str">
        <f>IJ638</f>
        <v xml:space="preserve">triticale - on farm </v>
      </c>
    </row>
    <row r="640" spans="4:244" x14ac:dyDescent="0.25">
      <c r="D640" s="20" t="s">
        <v>1228</v>
      </c>
      <c r="E640" s="14">
        <v>42678</v>
      </c>
      <c r="F640" s="18">
        <v>1.12659417344173</v>
      </c>
      <c r="G640" s="18">
        <v>1.1126718389610399</v>
      </c>
      <c r="H640" s="21">
        <v>90.4</v>
      </c>
      <c r="I640" s="21">
        <v>85.200011200000006</v>
      </c>
      <c r="J640" s="21">
        <v>93</v>
      </c>
      <c r="K640" s="18">
        <v>1</v>
      </c>
      <c r="L640" s="18">
        <v>85</v>
      </c>
      <c r="M640" s="18">
        <v>9.1999999999999904</v>
      </c>
      <c r="N640" s="18">
        <v>2.1</v>
      </c>
      <c r="O640" s="18">
        <v>1.7</v>
      </c>
      <c r="P640" s="18">
        <v>2.6</v>
      </c>
      <c r="Q640" s="19"/>
      <c r="R640" s="18">
        <v>82.352621739130399</v>
      </c>
      <c r="S640" s="18">
        <v>28</v>
      </c>
      <c r="T640" s="18">
        <v>42</v>
      </c>
      <c r="U640" s="18">
        <v>48</v>
      </c>
      <c r="V640" s="18">
        <v>53</v>
      </c>
      <c r="W640" s="18">
        <v>56</v>
      </c>
      <c r="X640" s="18"/>
      <c r="Y640" s="18">
        <v>0.51764705882352946</v>
      </c>
      <c r="Z640" s="18">
        <v>3.5294117647058822</v>
      </c>
      <c r="AA640" s="18">
        <v>0.1</v>
      </c>
      <c r="AB640" s="18">
        <v>0</v>
      </c>
      <c r="AC640" s="18">
        <v>6.2</v>
      </c>
      <c r="AD640" s="18">
        <v>1.2</v>
      </c>
      <c r="AE640" s="18">
        <v>1.2</v>
      </c>
      <c r="AF640" s="18">
        <v>23.999999999999996</v>
      </c>
      <c r="AG640" s="18">
        <v>4</v>
      </c>
      <c r="AH640" s="18">
        <v>28</v>
      </c>
      <c r="AI640" s="18">
        <v>37</v>
      </c>
      <c r="AJ640" s="18">
        <v>0</v>
      </c>
      <c r="AK640" s="18">
        <v>0</v>
      </c>
      <c r="AL640" s="18"/>
      <c r="AM640" s="18">
        <v>3.24</v>
      </c>
      <c r="AN640" s="18">
        <v>1.69</v>
      </c>
      <c r="AO640" s="18">
        <v>2.2200000000000002</v>
      </c>
      <c r="AP640" s="18">
        <v>3.15</v>
      </c>
      <c r="AQ640" s="18">
        <v>1.22</v>
      </c>
      <c r="AR640" s="18">
        <v>3.36</v>
      </c>
      <c r="AS640" s="18">
        <v>6.42</v>
      </c>
      <c r="AT640" s="18">
        <v>2.2200000000000002</v>
      </c>
      <c r="AU640" s="18">
        <v>4.3600000000000003</v>
      </c>
      <c r="AV640" s="18">
        <v>2.8</v>
      </c>
      <c r="AW640" s="18">
        <v>4.5199999999999996</v>
      </c>
      <c r="AX640" s="18"/>
      <c r="AY640" s="18">
        <v>0.98</v>
      </c>
      <c r="AZ640" s="18">
        <v>1.05</v>
      </c>
      <c r="BA640" s="18">
        <v>1.03</v>
      </c>
      <c r="BB640" s="18">
        <v>0.95</v>
      </c>
      <c r="BC640" s="18">
        <v>0.92</v>
      </c>
      <c r="BD640" s="18">
        <v>1.01</v>
      </c>
      <c r="BE640" s="18">
        <v>1.01</v>
      </c>
      <c r="BF640" s="18">
        <v>1.03</v>
      </c>
      <c r="BG640" s="18">
        <v>1.06</v>
      </c>
      <c r="BH640" s="18">
        <v>1</v>
      </c>
      <c r="BI640" s="18">
        <v>0.98</v>
      </c>
      <c r="BJ640" s="19"/>
      <c r="BK640" s="18">
        <v>10.823529411764696</v>
      </c>
      <c r="BL640" s="18">
        <v>2.4705882352941178</v>
      </c>
      <c r="BM640" s="18">
        <v>2</v>
      </c>
      <c r="BN640" s="18">
        <v>3.0588235294117645</v>
      </c>
      <c r="BO640" s="18"/>
      <c r="BP640" s="18">
        <v>105</v>
      </c>
      <c r="BQ640" s="18">
        <v>25.941176470588236</v>
      </c>
      <c r="BR640" s="18">
        <v>1.3254049099314469</v>
      </c>
      <c r="BS640" s="18">
        <v>1.3090256928953412</v>
      </c>
      <c r="BT640" s="19"/>
      <c r="BU640" s="18">
        <v>980</v>
      </c>
      <c r="BV640" s="18">
        <v>690.66117647058832</v>
      </c>
      <c r="BW640" s="18">
        <v>72.799843199999998</v>
      </c>
      <c r="BX640" s="18">
        <v>641</v>
      </c>
      <c r="BY640" s="18">
        <v>33</v>
      </c>
      <c r="BZ640" s="18">
        <v>31.712470588235295</v>
      </c>
      <c r="CA640" s="18">
        <v>126.84988235294118</v>
      </c>
      <c r="CB640" s="19"/>
      <c r="CC640" s="19">
        <v>0.44</v>
      </c>
      <c r="CD640" s="19">
        <v>3</v>
      </c>
      <c r="CE640" s="19">
        <v>8.5000000000000006E-2</v>
      </c>
      <c r="CF640" s="19">
        <v>0</v>
      </c>
      <c r="CG640" s="19">
        <v>5.27</v>
      </c>
      <c r="CH640" s="19">
        <v>1.02</v>
      </c>
      <c r="CI640" s="19">
        <v>1.02</v>
      </c>
      <c r="CJ640" s="19"/>
      <c r="CK640" s="19">
        <v>20.399999999999995</v>
      </c>
      <c r="CL640" s="19">
        <v>3.4</v>
      </c>
      <c r="CM640" s="19">
        <v>23.8</v>
      </c>
      <c r="CN640" s="19">
        <v>31.45</v>
      </c>
      <c r="CO640" s="19">
        <v>0</v>
      </c>
      <c r="CP640" s="19">
        <v>0</v>
      </c>
      <c r="CQ640" s="19">
        <v>75.764411999999993</v>
      </c>
      <c r="CR640" s="19">
        <v>67.250846654515115</v>
      </c>
      <c r="HM640" s="620">
        <f t="shared" ref="HM640:HU640" si="661">HM270</f>
        <v>0.47300000000000003</v>
      </c>
      <c r="HN640" s="620">
        <f t="shared" si="661"/>
        <v>0.13</v>
      </c>
      <c r="HO640" s="620">
        <f t="shared" si="661"/>
        <v>0.39100000000000001</v>
      </c>
      <c r="HP640" s="620">
        <f t="shared" si="661"/>
        <v>5.5E-2</v>
      </c>
      <c r="HQ640" s="620">
        <f t="shared" si="661"/>
        <v>3.97</v>
      </c>
      <c r="HR640" s="620">
        <f t="shared" si="661"/>
        <v>4.5999999999999999E-3</v>
      </c>
      <c r="HS640" s="620">
        <f t="shared" si="661"/>
        <v>2.73</v>
      </c>
      <c r="HT640" s="620" t="str">
        <f t="shared" si="661"/>
        <v>as barley</v>
      </c>
      <c r="HU640" s="620" t="str">
        <f t="shared" si="661"/>
        <v>offfarm</v>
      </c>
      <c r="HV640" s="22" t="s">
        <v>818</v>
      </c>
      <c r="IB640" s="11">
        <f t="shared" ref="IB640:II640" si="662">IB270</f>
        <v>0.47300000000000003</v>
      </c>
      <c r="IC640" s="11">
        <f t="shared" si="662"/>
        <v>0.13</v>
      </c>
      <c r="ID640" s="11">
        <f t="shared" si="662"/>
        <v>0.39100000000000001</v>
      </c>
      <c r="IE640" s="11">
        <f t="shared" si="662"/>
        <v>5.5E-2</v>
      </c>
      <c r="IF640" s="11">
        <f t="shared" si="662"/>
        <v>3.97</v>
      </c>
      <c r="IG640" s="11">
        <f t="shared" si="662"/>
        <v>4.5999999999999999E-3</v>
      </c>
      <c r="IH640" s="11">
        <f t="shared" si="662"/>
        <v>2.73</v>
      </c>
      <c r="II640" s="11" t="str">
        <f t="shared" si="662"/>
        <v>as barley</v>
      </c>
      <c r="IJ640" s="11" t="str">
        <f t="shared" ref="IJ640:IJ647" si="663">IJ639</f>
        <v xml:space="preserve">triticale - on farm </v>
      </c>
    </row>
    <row r="641" spans="4:244" x14ac:dyDescent="0.25">
      <c r="D641" s="20" t="s">
        <v>1229</v>
      </c>
      <c r="E641" s="14">
        <v>42678</v>
      </c>
      <c r="F641" s="18">
        <v>1.1362689701897</v>
      </c>
      <c r="G641" s="18">
        <v>1.1194718389610401</v>
      </c>
      <c r="H641" s="21">
        <v>90.4</v>
      </c>
      <c r="I641" s="21">
        <v>85.999960799999997</v>
      </c>
      <c r="J641" s="21">
        <v>93</v>
      </c>
      <c r="K641" s="18">
        <v>1</v>
      </c>
      <c r="L641" s="18">
        <v>85</v>
      </c>
      <c r="M641" s="18">
        <v>9.1999999999999904</v>
      </c>
      <c r="N641" s="18">
        <v>2.1</v>
      </c>
      <c r="O641" s="18">
        <v>1.7</v>
      </c>
      <c r="P641" s="18">
        <v>2.6</v>
      </c>
      <c r="Q641" s="19"/>
      <c r="R641" s="18">
        <v>83.035578260869599</v>
      </c>
      <c r="S641" s="18">
        <v>28</v>
      </c>
      <c r="T641" s="18">
        <v>42</v>
      </c>
      <c r="U641" s="18">
        <v>48</v>
      </c>
      <c r="V641" s="18">
        <v>53</v>
      </c>
      <c r="W641" s="18">
        <v>56</v>
      </c>
      <c r="X641" s="18"/>
      <c r="Y641" s="18">
        <v>0.51764705882352946</v>
      </c>
      <c r="Z641" s="18">
        <v>3.5294117647058822</v>
      </c>
      <c r="AA641" s="18">
        <v>0.1</v>
      </c>
      <c r="AB641" s="18">
        <v>0</v>
      </c>
      <c r="AC641" s="18">
        <v>6.2</v>
      </c>
      <c r="AD641" s="18">
        <v>1.2</v>
      </c>
      <c r="AE641" s="18">
        <v>1.2</v>
      </c>
      <c r="AF641" s="18">
        <v>23.999999999999996</v>
      </c>
      <c r="AG641" s="18">
        <v>4</v>
      </c>
      <c r="AH641" s="18">
        <v>28</v>
      </c>
      <c r="AI641" s="18">
        <v>37</v>
      </c>
      <c r="AJ641" s="18">
        <v>0</v>
      </c>
      <c r="AK641" s="18">
        <v>0</v>
      </c>
      <c r="AL641" s="18"/>
      <c r="AM641" s="18">
        <v>3.24</v>
      </c>
      <c r="AN641" s="18">
        <v>1.69</v>
      </c>
      <c r="AO641" s="18">
        <v>2.2200000000000002</v>
      </c>
      <c r="AP641" s="18">
        <v>3.15</v>
      </c>
      <c r="AQ641" s="18">
        <v>1.22</v>
      </c>
      <c r="AR641" s="18">
        <v>3.36</v>
      </c>
      <c r="AS641" s="18">
        <v>6.42</v>
      </c>
      <c r="AT641" s="18">
        <v>2.2200000000000002</v>
      </c>
      <c r="AU641" s="18">
        <v>4.3600000000000003</v>
      </c>
      <c r="AV641" s="18">
        <v>2.8</v>
      </c>
      <c r="AW641" s="18">
        <v>4.5199999999999996</v>
      </c>
      <c r="AX641" s="18"/>
      <c r="AY641" s="18">
        <v>0.98</v>
      </c>
      <c r="AZ641" s="18">
        <v>1.05</v>
      </c>
      <c r="BA641" s="18">
        <v>1.03</v>
      </c>
      <c r="BB641" s="18">
        <v>0.95</v>
      </c>
      <c r="BC641" s="18">
        <v>0.92</v>
      </c>
      <c r="BD641" s="18">
        <v>1.01</v>
      </c>
      <c r="BE641" s="18">
        <v>1.01</v>
      </c>
      <c r="BF641" s="18">
        <v>1.03</v>
      </c>
      <c r="BG641" s="18">
        <v>1.06</v>
      </c>
      <c r="BH641" s="18">
        <v>1</v>
      </c>
      <c r="BI641" s="18">
        <v>0.98</v>
      </c>
      <c r="BJ641" s="19"/>
      <c r="BK641" s="18">
        <v>10.823529411764696</v>
      </c>
      <c r="BL641" s="18">
        <v>2.4705882352941178</v>
      </c>
      <c r="BM641" s="18">
        <v>2</v>
      </c>
      <c r="BN641" s="18">
        <v>3.0588235294117645</v>
      </c>
      <c r="BO641" s="18"/>
      <c r="BP641" s="18">
        <v>105</v>
      </c>
      <c r="BQ641" s="18">
        <v>25.941176470588236</v>
      </c>
      <c r="BR641" s="18">
        <v>1.3367870237525883</v>
      </c>
      <c r="BS641" s="18">
        <v>1.3170256928953412</v>
      </c>
      <c r="BT641" s="19"/>
      <c r="BU641" s="18">
        <v>980</v>
      </c>
      <c r="BV641" s="18">
        <v>701.86117647058825</v>
      </c>
      <c r="BW641" s="18">
        <v>61.600548799999885</v>
      </c>
      <c r="BX641" s="18">
        <v>641</v>
      </c>
      <c r="BY641" s="18">
        <v>33</v>
      </c>
      <c r="BZ641" s="18">
        <v>29.472470588235293</v>
      </c>
      <c r="CA641" s="18">
        <v>117.88988235294117</v>
      </c>
      <c r="CB641" s="19"/>
      <c r="CC641" s="19">
        <v>0.44</v>
      </c>
      <c r="CD641" s="19">
        <v>3</v>
      </c>
      <c r="CE641" s="19">
        <v>8.5000000000000006E-2</v>
      </c>
      <c r="CF641" s="19">
        <v>0</v>
      </c>
      <c r="CG641" s="19">
        <v>5.27</v>
      </c>
      <c r="CH641" s="19">
        <v>1.02</v>
      </c>
      <c r="CI641" s="19">
        <v>1.02</v>
      </c>
      <c r="CJ641" s="19"/>
      <c r="CK641" s="19">
        <v>20.399999999999995</v>
      </c>
      <c r="CL641" s="19">
        <v>3.4</v>
      </c>
      <c r="CM641" s="19">
        <v>23.8</v>
      </c>
      <c r="CN641" s="19">
        <v>31.45</v>
      </c>
      <c r="CO641" s="19">
        <v>0</v>
      </c>
      <c r="CP641" s="19">
        <v>0</v>
      </c>
      <c r="CQ641" s="19">
        <v>76.392731999999896</v>
      </c>
      <c r="CR641" s="19">
        <v>67.23120493842768</v>
      </c>
      <c r="HM641" s="620">
        <f t="shared" ref="HM641:HU641" si="664">HM271</f>
        <v>0.47300000000000003</v>
      </c>
      <c r="HN641" s="620">
        <f t="shared" si="664"/>
        <v>0.13</v>
      </c>
      <c r="HO641" s="620">
        <f t="shared" si="664"/>
        <v>0.39100000000000001</v>
      </c>
      <c r="HP641" s="620">
        <f t="shared" si="664"/>
        <v>5.5E-2</v>
      </c>
      <c r="HQ641" s="620">
        <f t="shared" si="664"/>
        <v>3.97</v>
      </c>
      <c r="HR641" s="620">
        <f t="shared" si="664"/>
        <v>4.5999999999999999E-3</v>
      </c>
      <c r="HS641" s="620">
        <f t="shared" si="664"/>
        <v>2.73</v>
      </c>
      <c r="HT641" s="620" t="str">
        <f t="shared" si="664"/>
        <v>as barley</v>
      </c>
      <c r="HU641" s="620" t="str">
        <f t="shared" si="664"/>
        <v>offfarm</v>
      </c>
      <c r="HV641" s="22" t="s">
        <v>818</v>
      </c>
      <c r="IB641" s="11">
        <f t="shared" ref="IB641:II641" si="665">IB271</f>
        <v>0.47300000000000003</v>
      </c>
      <c r="IC641" s="11">
        <f t="shared" si="665"/>
        <v>0.13</v>
      </c>
      <c r="ID641" s="11">
        <f t="shared" si="665"/>
        <v>0.39100000000000001</v>
      </c>
      <c r="IE641" s="11">
        <f t="shared" si="665"/>
        <v>5.5E-2</v>
      </c>
      <c r="IF641" s="11">
        <f t="shared" si="665"/>
        <v>3.97</v>
      </c>
      <c r="IG641" s="11">
        <f t="shared" si="665"/>
        <v>4.5999999999999999E-3</v>
      </c>
      <c r="IH641" s="11">
        <f t="shared" si="665"/>
        <v>2.73</v>
      </c>
      <c r="II641" s="11" t="str">
        <f t="shared" si="665"/>
        <v>as barley</v>
      </c>
      <c r="IJ641" s="11" t="str">
        <f t="shared" si="663"/>
        <v xml:space="preserve">triticale - on farm </v>
      </c>
    </row>
    <row r="642" spans="4:244" x14ac:dyDescent="0.25">
      <c r="D642" s="20" t="s">
        <v>1319</v>
      </c>
      <c r="E642" s="14">
        <v>42678</v>
      </c>
      <c r="F642" s="18">
        <v>1.12403800813008</v>
      </c>
      <c r="G642" s="18">
        <v>1.1074305038961101</v>
      </c>
      <c r="H642" s="21">
        <v>89.7</v>
      </c>
      <c r="I642" s="21">
        <v>85.800023400000001</v>
      </c>
      <c r="J642" s="21">
        <v>93</v>
      </c>
      <c r="K642" s="18">
        <v>1</v>
      </c>
      <c r="L642" s="18">
        <v>85</v>
      </c>
      <c r="M642" s="18">
        <v>10.199999999999999</v>
      </c>
      <c r="N642" s="18">
        <v>1.9</v>
      </c>
      <c r="O642" s="18">
        <v>1.7</v>
      </c>
      <c r="P642" s="18">
        <v>2.6</v>
      </c>
      <c r="Q642" s="19"/>
      <c r="R642" s="18">
        <v>84.029241176470606</v>
      </c>
      <c r="S642" s="18">
        <v>50</v>
      </c>
      <c r="T642" s="18">
        <v>54</v>
      </c>
      <c r="U642" s="18">
        <v>55</v>
      </c>
      <c r="V642" s="18">
        <v>56</v>
      </c>
      <c r="W642" s="18">
        <v>57</v>
      </c>
      <c r="X642" s="18"/>
      <c r="Y642" s="18">
        <v>0.58823529411764708</v>
      </c>
      <c r="Z642" s="18">
        <v>3.5294117647058822</v>
      </c>
      <c r="AA642" s="18">
        <v>0.1</v>
      </c>
      <c r="AB642" s="18">
        <v>0</v>
      </c>
      <c r="AC642" s="18">
        <v>0</v>
      </c>
      <c r="AD642" s="18">
        <v>0</v>
      </c>
      <c r="AE642" s="18">
        <v>0</v>
      </c>
      <c r="AF642" s="18">
        <v>0</v>
      </c>
      <c r="AG642" s="18">
        <v>0</v>
      </c>
      <c r="AH642" s="18">
        <v>0</v>
      </c>
      <c r="AI642" s="18">
        <v>0</v>
      </c>
      <c r="AJ642" s="18">
        <v>0</v>
      </c>
      <c r="AK642" s="18">
        <v>0</v>
      </c>
      <c r="AL642" s="18"/>
      <c r="AM642" s="18">
        <v>3.24</v>
      </c>
      <c r="AN642" s="18">
        <v>1.69</v>
      </c>
      <c r="AO642" s="18">
        <v>2.2200000000000002</v>
      </c>
      <c r="AP642" s="18">
        <v>3.15</v>
      </c>
      <c r="AQ642" s="18">
        <v>1.22</v>
      </c>
      <c r="AR642" s="18">
        <v>3.36</v>
      </c>
      <c r="AS642" s="18">
        <v>6.42</v>
      </c>
      <c r="AT642" s="18">
        <v>2.2200000000000002</v>
      </c>
      <c r="AU642" s="18">
        <v>4.3600000000000003</v>
      </c>
      <c r="AV642" s="18">
        <v>2.8</v>
      </c>
      <c r="AW642" s="18">
        <v>4.5199999999999996</v>
      </c>
      <c r="AX642" s="18"/>
      <c r="AY642" s="18">
        <v>0.98</v>
      </c>
      <c r="AZ642" s="18">
        <v>1.05</v>
      </c>
      <c r="BA642" s="18">
        <v>1.03</v>
      </c>
      <c r="BB642" s="18">
        <v>0.95</v>
      </c>
      <c r="BC642" s="18">
        <v>0.92</v>
      </c>
      <c r="BD642" s="18">
        <v>1.01</v>
      </c>
      <c r="BE642" s="18">
        <v>1.01</v>
      </c>
      <c r="BF642" s="18">
        <v>1.03</v>
      </c>
      <c r="BG642" s="18">
        <v>1.06</v>
      </c>
      <c r="BH642" s="18">
        <v>1</v>
      </c>
      <c r="BI642" s="18">
        <v>0.98</v>
      </c>
      <c r="BJ642" s="19"/>
      <c r="BK642" s="18">
        <v>11.999999999999998</v>
      </c>
      <c r="BL642" s="18">
        <v>2.2352941176470589</v>
      </c>
      <c r="BM642" s="18">
        <v>2</v>
      </c>
      <c r="BN642" s="18">
        <v>3.0588235294117645</v>
      </c>
      <c r="BO642" s="18"/>
      <c r="BP642" s="18">
        <v>105</v>
      </c>
      <c r="BQ642" s="18">
        <v>23.470588235294116</v>
      </c>
      <c r="BR642" s="18">
        <v>1.3223976566236235</v>
      </c>
      <c r="BS642" s="18">
        <v>1.3028594163483649</v>
      </c>
      <c r="BT642" s="19"/>
      <c r="BU642" s="18">
        <v>980</v>
      </c>
      <c r="BV642" s="18">
        <v>693.57764705882357</v>
      </c>
      <c r="BW642" s="18">
        <v>54.599672400000237</v>
      </c>
      <c r="BX642" s="18">
        <v>641</v>
      </c>
      <c r="BY642" s="18">
        <v>33</v>
      </c>
      <c r="BZ642" s="18">
        <v>29.293882352941175</v>
      </c>
      <c r="CA642" s="18">
        <v>117.17552941176505</v>
      </c>
      <c r="CB642" s="19"/>
      <c r="CC642" s="19">
        <v>0.5</v>
      </c>
      <c r="CD642" s="19">
        <v>3</v>
      </c>
      <c r="CE642" s="19">
        <v>8.5000000000000006E-2</v>
      </c>
      <c r="CF642" s="19">
        <v>0</v>
      </c>
      <c r="CG642" s="19">
        <v>0</v>
      </c>
      <c r="CH642" s="19">
        <v>0</v>
      </c>
      <c r="CI642" s="19">
        <v>0</v>
      </c>
      <c r="CJ642" s="19"/>
      <c r="CK642" s="19">
        <v>0</v>
      </c>
      <c r="CL642" s="19">
        <v>0</v>
      </c>
      <c r="CM642" s="19">
        <v>0</v>
      </c>
      <c r="CN642" s="19">
        <v>0</v>
      </c>
      <c r="CO642" s="19">
        <v>0</v>
      </c>
      <c r="CP642" s="19">
        <v>0</v>
      </c>
      <c r="CQ642" s="19">
        <v>85.709826000000206</v>
      </c>
      <c r="CR642" s="19">
        <v>76.251715137804652</v>
      </c>
      <c r="HM642" s="620">
        <f t="shared" ref="HM642:HU642" si="666">HM272</f>
        <v>0.47300000000000003</v>
      </c>
      <c r="HN642" s="620">
        <f t="shared" si="666"/>
        <v>0.13</v>
      </c>
      <c r="HO642" s="620">
        <f t="shared" si="666"/>
        <v>0.39100000000000001</v>
      </c>
      <c r="HP642" s="620">
        <f t="shared" si="666"/>
        <v>5.5E-2</v>
      </c>
      <c r="HQ642" s="620">
        <f t="shared" si="666"/>
        <v>3.97</v>
      </c>
      <c r="HR642" s="620">
        <f t="shared" si="666"/>
        <v>4.5999999999999999E-3</v>
      </c>
      <c r="HS642" s="620">
        <f t="shared" si="666"/>
        <v>2.73</v>
      </c>
      <c r="HT642" s="620" t="str">
        <f t="shared" si="666"/>
        <v>as barley</v>
      </c>
      <c r="HU642" s="620" t="str">
        <f t="shared" si="666"/>
        <v>offfarm</v>
      </c>
      <c r="HV642" s="22" t="s">
        <v>818</v>
      </c>
      <c r="IB642" s="11">
        <f t="shared" ref="IB642:II642" si="667">IB272</f>
        <v>0.47300000000000003</v>
      </c>
      <c r="IC642" s="11">
        <f t="shared" si="667"/>
        <v>0.13</v>
      </c>
      <c r="ID642" s="11">
        <f t="shared" si="667"/>
        <v>0.39100000000000001</v>
      </c>
      <c r="IE642" s="11">
        <f t="shared" si="667"/>
        <v>5.5E-2</v>
      </c>
      <c r="IF642" s="11">
        <f t="shared" si="667"/>
        <v>3.97</v>
      </c>
      <c r="IG642" s="11">
        <f t="shared" si="667"/>
        <v>4.5999999999999999E-3</v>
      </c>
      <c r="IH642" s="11">
        <f t="shared" si="667"/>
        <v>2.73</v>
      </c>
      <c r="II642" s="11" t="str">
        <f t="shared" si="667"/>
        <v>as barley</v>
      </c>
      <c r="IJ642" s="11" t="str">
        <f t="shared" si="663"/>
        <v xml:space="preserve">triticale - on farm </v>
      </c>
    </row>
    <row r="643" spans="4:244" x14ac:dyDescent="0.25">
      <c r="D643" s="20" t="s">
        <v>732</v>
      </c>
      <c r="E643" s="14">
        <v>42678</v>
      </c>
      <c r="F643" s="18">
        <v>1.13371280487805</v>
      </c>
      <c r="G643" s="18">
        <v>1.11423050389611</v>
      </c>
      <c r="H643" s="21">
        <v>89.7</v>
      </c>
      <c r="I643" s="21">
        <v>86.599968000000004</v>
      </c>
      <c r="J643" s="21">
        <v>93</v>
      </c>
      <c r="K643" s="18">
        <v>1</v>
      </c>
      <c r="L643" s="18">
        <v>85</v>
      </c>
      <c r="M643" s="18">
        <v>10.199999999999999</v>
      </c>
      <c r="N643" s="18">
        <v>1.9</v>
      </c>
      <c r="O643" s="18">
        <v>1.7</v>
      </c>
      <c r="P643" s="18">
        <v>2.6</v>
      </c>
      <c r="Q643" s="19"/>
      <c r="R643" s="18">
        <v>84.645241176470606</v>
      </c>
      <c r="S643" s="18">
        <v>50</v>
      </c>
      <c r="T643" s="18">
        <v>54</v>
      </c>
      <c r="U643" s="18">
        <v>55</v>
      </c>
      <c r="V643" s="18">
        <v>56</v>
      </c>
      <c r="W643" s="18">
        <v>57</v>
      </c>
      <c r="X643" s="18"/>
      <c r="Y643" s="18">
        <v>0.58823529411764708</v>
      </c>
      <c r="Z643" s="18">
        <v>3.5294117647058822</v>
      </c>
      <c r="AA643" s="18">
        <v>0.1</v>
      </c>
      <c r="AB643" s="18">
        <v>0</v>
      </c>
      <c r="AC643" s="18">
        <v>0</v>
      </c>
      <c r="AD643" s="18">
        <v>0</v>
      </c>
      <c r="AE643" s="18">
        <v>0</v>
      </c>
      <c r="AF643" s="18">
        <v>0</v>
      </c>
      <c r="AG643" s="18">
        <v>0</v>
      </c>
      <c r="AH643" s="18">
        <v>0</v>
      </c>
      <c r="AI643" s="18">
        <v>0</v>
      </c>
      <c r="AJ643" s="18">
        <v>0</v>
      </c>
      <c r="AK643" s="18">
        <v>0</v>
      </c>
      <c r="AL643" s="18"/>
      <c r="AM643" s="18">
        <v>3.24</v>
      </c>
      <c r="AN643" s="18">
        <v>1.69</v>
      </c>
      <c r="AO643" s="18">
        <v>2.2200000000000002</v>
      </c>
      <c r="AP643" s="18">
        <v>3.15</v>
      </c>
      <c r="AQ643" s="18">
        <v>1.22</v>
      </c>
      <c r="AR643" s="18">
        <v>3.36</v>
      </c>
      <c r="AS643" s="18">
        <v>6.42</v>
      </c>
      <c r="AT643" s="18">
        <v>2.2200000000000002</v>
      </c>
      <c r="AU643" s="18">
        <v>4.3600000000000003</v>
      </c>
      <c r="AV643" s="18">
        <v>2.8</v>
      </c>
      <c r="AW643" s="18">
        <v>4.5199999999999996</v>
      </c>
      <c r="AX643" s="18"/>
      <c r="AY643" s="18">
        <v>0.98</v>
      </c>
      <c r="AZ643" s="18">
        <v>1.05</v>
      </c>
      <c r="BA643" s="18">
        <v>1.03</v>
      </c>
      <c r="BB643" s="18">
        <v>0.95</v>
      </c>
      <c r="BC643" s="18">
        <v>0.92</v>
      </c>
      <c r="BD643" s="18">
        <v>1.01</v>
      </c>
      <c r="BE643" s="18">
        <v>1.01</v>
      </c>
      <c r="BF643" s="18">
        <v>1.03</v>
      </c>
      <c r="BG643" s="18">
        <v>1.06</v>
      </c>
      <c r="BH643" s="18">
        <v>1</v>
      </c>
      <c r="BI643" s="18">
        <v>0.98</v>
      </c>
      <c r="BJ643" s="19"/>
      <c r="BK643" s="18">
        <v>11.999999999999998</v>
      </c>
      <c r="BL643" s="18">
        <v>2.2352941176470589</v>
      </c>
      <c r="BM643" s="18">
        <v>2</v>
      </c>
      <c r="BN643" s="18">
        <v>3.0588235294117645</v>
      </c>
      <c r="BO643" s="18"/>
      <c r="BP643" s="18">
        <v>105</v>
      </c>
      <c r="BQ643" s="18">
        <v>23.470588235294116</v>
      </c>
      <c r="BR643" s="18">
        <v>1.3337797704447649</v>
      </c>
      <c r="BS643" s="18">
        <v>1.3108594163483649</v>
      </c>
      <c r="BT643" s="19"/>
      <c r="BU643" s="18">
        <v>980</v>
      </c>
      <c r="BV643" s="18">
        <v>704.77764705882362</v>
      </c>
      <c r="BW643" s="18">
        <v>43.400448000000004</v>
      </c>
      <c r="BX643" s="18">
        <v>641</v>
      </c>
      <c r="BY643" s="18">
        <v>33</v>
      </c>
      <c r="BZ643" s="18">
        <v>27.053882352941176</v>
      </c>
      <c r="CA643" s="18">
        <v>108.21552941176505</v>
      </c>
      <c r="CB643" s="19"/>
      <c r="CC643" s="19">
        <v>0.5</v>
      </c>
      <c r="CD643" s="19">
        <v>3</v>
      </c>
      <c r="CE643" s="19">
        <v>8.5000000000000006E-2</v>
      </c>
      <c r="CF643" s="19">
        <v>0</v>
      </c>
      <c r="CG643" s="19">
        <v>0</v>
      </c>
      <c r="CH643" s="19">
        <v>0</v>
      </c>
      <c r="CI643" s="19">
        <v>0</v>
      </c>
      <c r="CJ643" s="19"/>
      <c r="CK643" s="19">
        <v>0</v>
      </c>
      <c r="CL643" s="19">
        <v>0</v>
      </c>
      <c r="CM643" s="19">
        <v>0</v>
      </c>
      <c r="CN643" s="19">
        <v>0</v>
      </c>
      <c r="CO643" s="19">
        <v>0</v>
      </c>
      <c r="CP643" s="19">
        <v>0</v>
      </c>
      <c r="CQ643" s="19">
        <v>86.338146000000293</v>
      </c>
      <c r="CR643" s="19">
        <v>76.155218172107894</v>
      </c>
      <c r="HM643" s="620">
        <f t="shared" ref="HM643:HU643" si="668">HM273</f>
        <v>0.47300000000000003</v>
      </c>
      <c r="HN643" s="620">
        <f t="shared" si="668"/>
        <v>0.13</v>
      </c>
      <c r="HO643" s="620">
        <f t="shared" si="668"/>
        <v>0.39100000000000001</v>
      </c>
      <c r="HP643" s="620">
        <f t="shared" si="668"/>
        <v>5.5E-2</v>
      </c>
      <c r="HQ643" s="620">
        <f t="shared" si="668"/>
        <v>3.97</v>
      </c>
      <c r="HR643" s="620">
        <f t="shared" si="668"/>
        <v>4.5999999999999999E-3</v>
      </c>
      <c r="HS643" s="620">
        <f t="shared" si="668"/>
        <v>2.73</v>
      </c>
      <c r="HT643" s="620" t="str">
        <f t="shared" si="668"/>
        <v>as barley</v>
      </c>
      <c r="HU643" s="620" t="str">
        <f t="shared" si="668"/>
        <v>offfarm</v>
      </c>
      <c r="HV643" s="22" t="s">
        <v>818</v>
      </c>
      <c r="IB643" s="11">
        <f t="shared" ref="IB643:II643" si="669">IB273</f>
        <v>0.47300000000000003</v>
      </c>
      <c r="IC643" s="11">
        <f t="shared" si="669"/>
        <v>0.13</v>
      </c>
      <c r="ID643" s="11">
        <f t="shared" si="669"/>
        <v>0.39100000000000001</v>
      </c>
      <c r="IE643" s="11">
        <f t="shared" si="669"/>
        <v>5.5E-2</v>
      </c>
      <c r="IF643" s="11">
        <f t="shared" si="669"/>
        <v>3.97</v>
      </c>
      <c r="IG643" s="11">
        <f t="shared" si="669"/>
        <v>4.5999999999999999E-3</v>
      </c>
      <c r="IH643" s="11">
        <f t="shared" si="669"/>
        <v>2.73</v>
      </c>
      <c r="II643" s="11" t="str">
        <f t="shared" si="669"/>
        <v>as barley</v>
      </c>
      <c r="IJ643" s="11" t="str">
        <f t="shared" si="663"/>
        <v xml:space="preserve">triticale - on farm </v>
      </c>
    </row>
    <row r="644" spans="4:244" x14ac:dyDescent="0.25">
      <c r="D644" s="20" t="s">
        <v>1230</v>
      </c>
      <c r="E644" s="14">
        <v>42678</v>
      </c>
      <c r="F644" s="18">
        <v>1.12403800813008</v>
      </c>
      <c r="G644" s="18">
        <v>1.1074305038961101</v>
      </c>
      <c r="H644" s="21">
        <v>89.7</v>
      </c>
      <c r="I644" s="21">
        <v>85.800023400000001</v>
      </c>
      <c r="J644" s="21">
        <v>93</v>
      </c>
      <c r="K644" s="18">
        <v>1</v>
      </c>
      <c r="L644" s="18">
        <v>85</v>
      </c>
      <c r="M644" s="18">
        <v>10.199999999999999</v>
      </c>
      <c r="N644" s="18">
        <v>1.9</v>
      </c>
      <c r="O644" s="18">
        <v>1.7</v>
      </c>
      <c r="P644" s="18">
        <v>2.6</v>
      </c>
      <c r="Q644" s="19"/>
      <c r="R644" s="18">
        <v>84.029241176470606</v>
      </c>
      <c r="S644" s="18">
        <v>28</v>
      </c>
      <c r="T644" s="18">
        <v>42</v>
      </c>
      <c r="U644" s="18">
        <v>48</v>
      </c>
      <c r="V644" s="18">
        <v>53</v>
      </c>
      <c r="W644" s="18">
        <v>56</v>
      </c>
      <c r="X644" s="18"/>
      <c r="Y644" s="18">
        <v>0.58823529411764708</v>
      </c>
      <c r="Z644" s="18">
        <v>3.5294117647058822</v>
      </c>
      <c r="AA644" s="18">
        <v>0.1</v>
      </c>
      <c r="AB644" s="18">
        <v>0</v>
      </c>
      <c r="AC644" s="18">
        <v>0</v>
      </c>
      <c r="AD644" s="18">
        <v>0</v>
      </c>
      <c r="AE644" s="18">
        <v>0</v>
      </c>
      <c r="AF644" s="18">
        <v>0</v>
      </c>
      <c r="AG644" s="18">
        <v>0</v>
      </c>
      <c r="AH644" s="18">
        <v>0</v>
      </c>
      <c r="AI644" s="18">
        <v>0</v>
      </c>
      <c r="AJ644" s="18">
        <v>0</v>
      </c>
      <c r="AK644" s="18">
        <v>0</v>
      </c>
      <c r="AL644" s="18"/>
      <c r="AM644" s="18">
        <v>3.24</v>
      </c>
      <c r="AN644" s="18">
        <v>1.69</v>
      </c>
      <c r="AO644" s="18">
        <v>2.2200000000000002</v>
      </c>
      <c r="AP644" s="18">
        <v>3.15</v>
      </c>
      <c r="AQ644" s="18">
        <v>1.22</v>
      </c>
      <c r="AR644" s="18">
        <v>3.36</v>
      </c>
      <c r="AS644" s="18">
        <v>6.42</v>
      </c>
      <c r="AT644" s="18">
        <v>2.2200000000000002</v>
      </c>
      <c r="AU644" s="18">
        <v>4.3600000000000003</v>
      </c>
      <c r="AV644" s="18">
        <v>2.8</v>
      </c>
      <c r="AW644" s="18">
        <v>4.5199999999999996</v>
      </c>
      <c r="AX644" s="18"/>
      <c r="AY644" s="18">
        <v>0.98</v>
      </c>
      <c r="AZ644" s="18">
        <v>1.05</v>
      </c>
      <c r="BA644" s="18">
        <v>1.03</v>
      </c>
      <c r="BB644" s="18">
        <v>0.95</v>
      </c>
      <c r="BC644" s="18">
        <v>0.92</v>
      </c>
      <c r="BD644" s="18">
        <v>1.01</v>
      </c>
      <c r="BE644" s="18">
        <v>1.01</v>
      </c>
      <c r="BF644" s="18">
        <v>1.03</v>
      </c>
      <c r="BG644" s="18">
        <v>1.06</v>
      </c>
      <c r="BH644" s="18">
        <v>1</v>
      </c>
      <c r="BI644" s="18">
        <v>0.98</v>
      </c>
      <c r="BJ644" s="19"/>
      <c r="BK644" s="18">
        <v>11.999999999999998</v>
      </c>
      <c r="BL644" s="18">
        <v>2.2352941176470589</v>
      </c>
      <c r="BM644" s="18">
        <v>2</v>
      </c>
      <c r="BN644" s="18">
        <v>3.0588235294117645</v>
      </c>
      <c r="BO644" s="18"/>
      <c r="BP644" s="18">
        <v>105</v>
      </c>
      <c r="BQ644" s="18">
        <v>23.470588235294116</v>
      </c>
      <c r="BR644" s="18">
        <v>1.3223976566236235</v>
      </c>
      <c r="BS644" s="18">
        <v>1.3028594163483649</v>
      </c>
      <c r="BT644" s="19"/>
      <c r="BU644" s="18">
        <v>980</v>
      </c>
      <c r="BV644" s="18">
        <v>693.57764705882357</v>
      </c>
      <c r="BW644" s="18">
        <v>54.599672400000237</v>
      </c>
      <c r="BX644" s="18">
        <v>641</v>
      </c>
      <c r="BY644" s="18">
        <v>33</v>
      </c>
      <c r="BZ644" s="18">
        <v>29.293882352941175</v>
      </c>
      <c r="CA644" s="18">
        <v>117.17552941176505</v>
      </c>
      <c r="CB644" s="19"/>
      <c r="CC644" s="19">
        <v>0.5</v>
      </c>
      <c r="CD644" s="19">
        <v>3</v>
      </c>
      <c r="CE644" s="19">
        <v>8.5000000000000006E-2</v>
      </c>
      <c r="CF644" s="19">
        <v>0</v>
      </c>
      <c r="CG644" s="19">
        <v>0</v>
      </c>
      <c r="CH644" s="19">
        <v>0</v>
      </c>
      <c r="CI644" s="19">
        <v>0</v>
      </c>
      <c r="CJ644" s="19"/>
      <c r="CK644" s="19">
        <v>0</v>
      </c>
      <c r="CL644" s="19">
        <v>0</v>
      </c>
      <c r="CM644" s="19">
        <v>0</v>
      </c>
      <c r="CN644" s="19">
        <v>0</v>
      </c>
      <c r="CO644" s="19">
        <v>0</v>
      </c>
      <c r="CP644" s="19">
        <v>0</v>
      </c>
      <c r="CQ644" s="19">
        <v>85.709826000000206</v>
      </c>
      <c r="CR644" s="19">
        <v>76.251715137804652</v>
      </c>
      <c r="HM644" s="620">
        <f t="shared" ref="HM644:HU644" si="670">HM274</f>
        <v>0.47300000000000003</v>
      </c>
      <c r="HN644" s="620">
        <f t="shared" si="670"/>
        <v>0.13</v>
      </c>
      <c r="HO644" s="620">
        <f t="shared" si="670"/>
        <v>0.39100000000000001</v>
      </c>
      <c r="HP644" s="620">
        <f t="shared" si="670"/>
        <v>5.5E-2</v>
      </c>
      <c r="HQ644" s="620">
        <f t="shared" si="670"/>
        <v>3.97</v>
      </c>
      <c r="HR644" s="620">
        <f t="shared" si="670"/>
        <v>4.5999999999999999E-3</v>
      </c>
      <c r="HS644" s="620">
        <f t="shared" si="670"/>
        <v>2.73</v>
      </c>
      <c r="HT644" s="620" t="str">
        <f t="shared" si="670"/>
        <v>as barley</v>
      </c>
      <c r="HU644" s="620" t="str">
        <f t="shared" si="670"/>
        <v>offfarm</v>
      </c>
      <c r="HV644" s="22" t="s">
        <v>818</v>
      </c>
      <c r="IB644" s="11">
        <f t="shared" ref="IB644:II644" si="671">IB274</f>
        <v>0.47300000000000003</v>
      </c>
      <c r="IC644" s="11">
        <f t="shared" si="671"/>
        <v>0.13</v>
      </c>
      <c r="ID644" s="11">
        <f t="shared" si="671"/>
        <v>0.39100000000000001</v>
      </c>
      <c r="IE644" s="11">
        <f t="shared" si="671"/>
        <v>5.5E-2</v>
      </c>
      <c r="IF644" s="11">
        <f t="shared" si="671"/>
        <v>3.97</v>
      </c>
      <c r="IG644" s="11">
        <f t="shared" si="671"/>
        <v>4.5999999999999999E-3</v>
      </c>
      <c r="IH644" s="11">
        <f t="shared" si="671"/>
        <v>2.73</v>
      </c>
      <c r="II644" s="11" t="str">
        <f t="shared" si="671"/>
        <v>as barley</v>
      </c>
      <c r="IJ644" s="11" t="str">
        <f t="shared" si="663"/>
        <v xml:space="preserve">triticale - on farm </v>
      </c>
    </row>
    <row r="645" spans="4:244" x14ac:dyDescent="0.25">
      <c r="D645" s="20" t="s">
        <v>1231</v>
      </c>
      <c r="E645" s="14">
        <v>42678</v>
      </c>
      <c r="F645" s="18">
        <v>1.13371280487805</v>
      </c>
      <c r="G645" s="18">
        <v>1.11423050389611</v>
      </c>
      <c r="H645" s="21">
        <v>89.7</v>
      </c>
      <c r="I645" s="21">
        <v>86.599968000000004</v>
      </c>
      <c r="J645" s="21">
        <v>93</v>
      </c>
      <c r="K645" s="18">
        <v>1</v>
      </c>
      <c r="L645" s="18">
        <v>85</v>
      </c>
      <c r="M645" s="18">
        <v>10.199999999999999</v>
      </c>
      <c r="N645" s="18">
        <v>1.9</v>
      </c>
      <c r="O645" s="18">
        <v>1.7</v>
      </c>
      <c r="P645" s="18">
        <v>2.6</v>
      </c>
      <c r="Q645" s="19"/>
      <c r="R645" s="18">
        <v>84.645241176470606</v>
      </c>
      <c r="S645" s="18">
        <v>28</v>
      </c>
      <c r="T645" s="18">
        <v>42</v>
      </c>
      <c r="U645" s="18">
        <v>48</v>
      </c>
      <c r="V645" s="18">
        <v>53</v>
      </c>
      <c r="W645" s="18">
        <v>56</v>
      </c>
      <c r="X645" s="18"/>
      <c r="Y645" s="18">
        <v>0.58823529411764708</v>
      </c>
      <c r="Z645" s="18">
        <v>3.5294117647058822</v>
      </c>
      <c r="AA645" s="18">
        <v>0.1</v>
      </c>
      <c r="AB645" s="18">
        <v>0</v>
      </c>
      <c r="AC645" s="18">
        <v>0</v>
      </c>
      <c r="AD645" s="18">
        <v>0</v>
      </c>
      <c r="AE645" s="18">
        <v>0</v>
      </c>
      <c r="AF645" s="18">
        <v>0</v>
      </c>
      <c r="AG645" s="18">
        <v>0</v>
      </c>
      <c r="AH645" s="18">
        <v>0</v>
      </c>
      <c r="AI645" s="18">
        <v>0</v>
      </c>
      <c r="AJ645" s="18">
        <v>0</v>
      </c>
      <c r="AK645" s="18">
        <v>0</v>
      </c>
      <c r="AL645" s="18"/>
      <c r="AM645" s="18">
        <v>3.24</v>
      </c>
      <c r="AN645" s="18">
        <v>1.69</v>
      </c>
      <c r="AO645" s="18">
        <v>2.2200000000000002</v>
      </c>
      <c r="AP645" s="18">
        <v>3.15</v>
      </c>
      <c r="AQ645" s="18">
        <v>1.22</v>
      </c>
      <c r="AR645" s="18">
        <v>3.36</v>
      </c>
      <c r="AS645" s="18">
        <v>6.42</v>
      </c>
      <c r="AT645" s="18">
        <v>2.2200000000000002</v>
      </c>
      <c r="AU645" s="18">
        <v>4.3600000000000003</v>
      </c>
      <c r="AV645" s="18">
        <v>2.8</v>
      </c>
      <c r="AW645" s="18">
        <v>4.5199999999999996</v>
      </c>
      <c r="AX645" s="18"/>
      <c r="AY645" s="18">
        <v>0.98</v>
      </c>
      <c r="AZ645" s="18">
        <v>1.05</v>
      </c>
      <c r="BA645" s="18">
        <v>1.03</v>
      </c>
      <c r="BB645" s="18">
        <v>0.95</v>
      </c>
      <c r="BC645" s="18">
        <v>0.92</v>
      </c>
      <c r="BD645" s="18">
        <v>1.01</v>
      </c>
      <c r="BE645" s="18">
        <v>1.01</v>
      </c>
      <c r="BF645" s="18">
        <v>1.03</v>
      </c>
      <c r="BG645" s="18">
        <v>1.06</v>
      </c>
      <c r="BH645" s="18">
        <v>1</v>
      </c>
      <c r="BI645" s="18">
        <v>0.98</v>
      </c>
      <c r="BJ645" s="19"/>
      <c r="BK645" s="18">
        <v>11.999999999999998</v>
      </c>
      <c r="BL645" s="18">
        <v>2.2352941176470589</v>
      </c>
      <c r="BM645" s="18">
        <v>2</v>
      </c>
      <c r="BN645" s="18">
        <v>3.0588235294117645</v>
      </c>
      <c r="BO645" s="18"/>
      <c r="BP645" s="18">
        <v>105</v>
      </c>
      <c r="BQ645" s="18">
        <v>23.470588235294116</v>
      </c>
      <c r="BR645" s="18">
        <v>1.3337797704447649</v>
      </c>
      <c r="BS645" s="18">
        <v>1.3108594163483649</v>
      </c>
      <c r="BT645" s="19"/>
      <c r="BU645" s="18">
        <v>980</v>
      </c>
      <c r="BV645" s="18">
        <v>704.77764705882362</v>
      </c>
      <c r="BW645" s="18">
        <v>43.400448000000004</v>
      </c>
      <c r="BX645" s="18">
        <v>641</v>
      </c>
      <c r="BY645" s="18">
        <v>33</v>
      </c>
      <c r="BZ645" s="18">
        <v>27.053882352941176</v>
      </c>
      <c r="CA645" s="18">
        <v>108.21552941176505</v>
      </c>
      <c r="CB645" s="19"/>
      <c r="CC645" s="19">
        <v>0.5</v>
      </c>
      <c r="CD645" s="19">
        <v>3</v>
      </c>
      <c r="CE645" s="19">
        <v>8.5000000000000006E-2</v>
      </c>
      <c r="CF645" s="19">
        <v>0</v>
      </c>
      <c r="CG645" s="19">
        <v>0</v>
      </c>
      <c r="CH645" s="19">
        <v>0</v>
      </c>
      <c r="CI645" s="19">
        <v>0</v>
      </c>
      <c r="CJ645" s="19"/>
      <c r="CK645" s="19">
        <v>0</v>
      </c>
      <c r="CL645" s="19">
        <v>0</v>
      </c>
      <c r="CM645" s="19">
        <v>0</v>
      </c>
      <c r="CN645" s="19">
        <v>0</v>
      </c>
      <c r="CO645" s="19">
        <v>0</v>
      </c>
      <c r="CP645" s="19">
        <v>0</v>
      </c>
      <c r="CQ645" s="19">
        <v>86.338146000000293</v>
      </c>
      <c r="CR645" s="19">
        <v>76.155218172107894</v>
      </c>
      <c r="HM645" s="620">
        <f t="shared" ref="HM645:HU645" si="672">HM275</f>
        <v>0.47300000000000003</v>
      </c>
      <c r="HN645" s="620">
        <f t="shared" si="672"/>
        <v>0.13</v>
      </c>
      <c r="HO645" s="620">
        <f t="shared" si="672"/>
        <v>0.39100000000000001</v>
      </c>
      <c r="HP645" s="620">
        <f t="shared" si="672"/>
        <v>5.5E-2</v>
      </c>
      <c r="HQ645" s="620">
        <f t="shared" si="672"/>
        <v>3.97</v>
      </c>
      <c r="HR645" s="620">
        <f t="shared" si="672"/>
        <v>4.5999999999999999E-3</v>
      </c>
      <c r="HS645" s="620">
        <f t="shared" si="672"/>
        <v>2.73</v>
      </c>
      <c r="HT645" s="620" t="str">
        <f t="shared" si="672"/>
        <v>as barley</v>
      </c>
      <c r="HU645" s="620" t="str">
        <f t="shared" si="672"/>
        <v>offfarm</v>
      </c>
      <c r="HV645" s="22" t="s">
        <v>818</v>
      </c>
      <c r="IB645" s="11">
        <f t="shared" ref="IB645:II645" si="673">IB275</f>
        <v>0.47300000000000003</v>
      </c>
      <c r="IC645" s="11">
        <f t="shared" si="673"/>
        <v>0.13</v>
      </c>
      <c r="ID645" s="11">
        <f t="shared" si="673"/>
        <v>0.39100000000000001</v>
      </c>
      <c r="IE645" s="11">
        <f t="shared" si="673"/>
        <v>5.5E-2</v>
      </c>
      <c r="IF645" s="11">
        <f t="shared" si="673"/>
        <v>3.97</v>
      </c>
      <c r="IG645" s="11">
        <f t="shared" si="673"/>
        <v>4.5999999999999999E-3</v>
      </c>
      <c r="IH645" s="11">
        <f t="shared" si="673"/>
        <v>2.73</v>
      </c>
      <c r="II645" s="11" t="str">
        <f t="shared" si="673"/>
        <v>as barley</v>
      </c>
      <c r="IJ645" s="11" t="str">
        <f t="shared" si="663"/>
        <v xml:space="preserve">triticale - on farm </v>
      </c>
    </row>
    <row r="646" spans="4:244" x14ac:dyDescent="0.25">
      <c r="D646" s="20" t="s">
        <v>1232</v>
      </c>
      <c r="E646" s="14">
        <v>42517</v>
      </c>
      <c r="F646" s="18">
        <v>1.12505406504065</v>
      </c>
      <c r="G646" s="18">
        <v>1.10995937142857</v>
      </c>
      <c r="H646" s="21">
        <v>90.4</v>
      </c>
      <c r="I646" s="21">
        <v>85.600031200000004</v>
      </c>
      <c r="J646" s="21">
        <v>93</v>
      </c>
      <c r="K646" s="18">
        <v>1</v>
      </c>
      <c r="L646" s="18">
        <v>85</v>
      </c>
      <c r="M646" s="18">
        <v>9.9999999999999591</v>
      </c>
      <c r="N646" s="18">
        <v>1.9</v>
      </c>
      <c r="O646" s="18">
        <v>1.7</v>
      </c>
      <c r="P646" s="18">
        <v>2.6</v>
      </c>
      <c r="Q646" s="19"/>
      <c r="R646" s="18">
        <v>83.527811999999997</v>
      </c>
      <c r="S646" s="18">
        <v>28</v>
      </c>
      <c r="T646" s="18">
        <v>42</v>
      </c>
      <c r="U646" s="18">
        <v>48</v>
      </c>
      <c r="V646" s="18">
        <v>53</v>
      </c>
      <c r="W646" s="18">
        <v>56</v>
      </c>
      <c r="X646" s="18"/>
      <c r="Y646" s="18">
        <v>0.47058823529411764</v>
      </c>
      <c r="Z646" s="18">
        <v>3.5294117647058822</v>
      </c>
      <c r="AA646" s="18">
        <v>0.1</v>
      </c>
      <c r="AB646" s="18">
        <v>0</v>
      </c>
      <c r="AC646" s="18">
        <v>6.2</v>
      </c>
      <c r="AD646" s="18">
        <v>1.2</v>
      </c>
      <c r="AE646" s="18">
        <v>1.2</v>
      </c>
      <c r="AF646" s="18">
        <v>23.999999999999996</v>
      </c>
      <c r="AG646" s="18">
        <v>4</v>
      </c>
      <c r="AH646" s="18">
        <v>28</v>
      </c>
      <c r="AI646" s="18">
        <v>37</v>
      </c>
      <c r="AJ646" s="18">
        <v>0</v>
      </c>
      <c r="AK646" s="18">
        <v>0</v>
      </c>
      <c r="AL646" s="18"/>
      <c r="AM646" s="18">
        <v>3.24</v>
      </c>
      <c r="AN646" s="18">
        <v>1.69</v>
      </c>
      <c r="AO646" s="18">
        <v>2.2200000000000002</v>
      </c>
      <c r="AP646" s="18">
        <v>3.15</v>
      </c>
      <c r="AQ646" s="18">
        <v>1.22</v>
      </c>
      <c r="AR646" s="18">
        <v>3.36</v>
      </c>
      <c r="AS646" s="18">
        <v>6.42</v>
      </c>
      <c r="AT646" s="18">
        <v>2.2200000000000002</v>
      </c>
      <c r="AU646" s="18">
        <v>4.3600000000000003</v>
      </c>
      <c r="AV646" s="18">
        <v>2.8</v>
      </c>
      <c r="AW646" s="18">
        <v>4.5199999999999996</v>
      </c>
      <c r="AX646" s="18"/>
      <c r="AY646" s="18">
        <v>0.98</v>
      </c>
      <c r="AZ646" s="18">
        <v>1.05</v>
      </c>
      <c r="BA646" s="18">
        <v>1.03</v>
      </c>
      <c r="BB646" s="18">
        <v>0.95</v>
      </c>
      <c r="BC646" s="18">
        <v>0.92</v>
      </c>
      <c r="BD646" s="18">
        <v>1.01</v>
      </c>
      <c r="BE646" s="18">
        <v>1.01</v>
      </c>
      <c r="BF646" s="18">
        <v>1.03</v>
      </c>
      <c r="BG646" s="18">
        <v>1.06</v>
      </c>
      <c r="BH646" s="18">
        <v>1</v>
      </c>
      <c r="BI646" s="18">
        <v>0.98</v>
      </c>
      <c r="BJ646" s="19"/>
      <c r="BK646" s="18">
        <v>11.764705882352892</v>
      </c>
      <c r="BL646" s="18">
        <v>2.2352941176470589</v>
      </c>
      <c r="BM646" s="18">
        <v>2</v>
      </c>
      <c r="BN646" s="18">
        <v>3.0588235294117645</v>
      </c>
      <c r="BO646" s="18"/>
      <c r="BP646" s="18">
        <v>105</v>
      </c>
      <c r="BQ646" s="18">
        <v>23.470588235294116</v>
      </c>
      <c r="BR646" s="18">
        <v>1.3235930176948822</v>
      </c>
      <c r="BS646" s="18">
        <v>1.3058345546218471</v>
      </c>
      <c r="BT646" s="19"/>
      <c r="BU646" s="18">
        <v>980</v>
      </c>
      <c r="BV646" s="18">
        <v>689.97882352941178</v>
      </c>
      <c r="BW646" s="18">
        <v>67.199563200000242</v>
      </c>
      <c r="BX646" s="18">
        <v>641</v>
      </c>
      <c r="BY646" s="18">
        <v>33</v>
      </c>
      <c r="BZ646" s="18">
        <v>30.474823529411765</v>
      </c>
      <c r="CA646" s="18">
        <v>121.89929411764706</v>
      </c>
      <c r="CB646" s="19"/>
      <c r="CC646" s="19">
        <v>0.39999999999999997</v>
      </c>
      <c r="CD646" s="19">
        <v>3</v>
      </c>
      <c r="CE646" s="19">
        <v>8.5000000000000006E-2</v>
      </c>
      <c r="CF646" s="19">
        <v>0</v>
      </c>
      <c r="CG646" s="19">
        <v>5.27</v>
      </c>
      <c r="CH646" s="19">
        <v>1.02</v>
      </c>
      <c r="CI646" s="19">
        <v>1.02</v>
      </c>
      <c r="CJ646" s="19"/>
      <c r="CK646" s="19">
        <v>20.399999999999995</v>
      </c>
      <c r="CL646" s="19">
        <v>3.4</v>
      </c>
      <c r="CM646" s="19">
        <v>23.8</v>
      </c>
      <c r="CN646" s="19">
        <v>31.45</v>
      </c>
      <c r="CO646" s="19">
        <v>0</v>
      </c>
      <c r="CP646" s="19">
        <v>0</v>
      </c>
      <c r="CQ646" s="19">
        <v>83.527811999999699</v>
      </c>
      <c r="CR646" s="19">
        <v>74.243376025650562</v>
      </c>
      <c r="HM646" s="620">
        <f t="shared" ref="HM646:HU646" si="674">HM276</f>
        <v>0.47300000000000003</v>
      </c>
      <c r="HN646" s="620">
        <f t="shared" si="674"/>
        <v>0.13</v>
      </c>
      <c r="HO646" s="620">
        <f t="shared" si="674"/>
        <v>0.39100000000000001</v>
      </c>
      <c r="HP646" s="620">
        <f t="shared" si="674"/>
        <v>5.5E-2</v>
      </c>
      <c r="HQ646" s="620">
        <f t="shared" si="674"/>
        <v>3.97</v>
      </c>
      <c r="HR646" s="620">
        <f t="shared" si="674"/>
        <v>4.5999999999999999E-3</v>
      </c>
      <c r="HS646" s="620">
        <f t="shared" si="674"/>
        <v>2.73</v>
      </c>
      <c r="HT646" s="620" t="str">
        <f t="shared" si="674"/>
        <v>as barley</v>
      </c>
      <c r="HU646" s="620" t="str">
        <f t="shared" si="674"/>
        <v>offfarm</v>
      </c>
      <c r="HV646" s="22" t="s">
        <v>818</v>
      </c>
      <c r="IB646" s="11">
        <f t="shared" ref="IB646:II646" si="675">IB276</f>
        <v>0.47300000000000003</v>
      </c>
      <c r="IC646" s="11">
        <f t="shared" si="675"/>
        <v>0.13</v>
      </c>
      <c r="ID646" s="11">
        <f t="shared" si="675"/>
        <v>0.39100000000000001</v>
      </c>
      <c r="IE646" s="11">
        <f t="shared" si="675"/>
        <v>5.5E-2</v>
      </c>
      <c r="IF646" s="11">
        <f t="shared" si="675"/>
        <v>3.97</v>
      </c>
      <c r="IG646" s="11">
        <f t="shared" si="675"/>
        <v>4.5999999999999999E-3</v>
      </c>
      <c r="IH646" s="11">
        <f t="shared" si="675"/>
        <v>2.73</v>
      </c>
      <c r="II646" s="11" t="str">
        <f t="shared" si="675"/>
        <v>as barley</v>
      </c>
      <c r="IJ646" s="11" t="str">
        <f t="shared" si="663"/>
        <v xml:space="preserve">triticale - on farm </v>
      </c>
    </row>
    <row r="647" spans="4:244" x14ac:dyDescent="0.25">
      <c r="D647" s="20" t="s">
        <v>1233</v>
      </c>
      <c r="E647" s="14">
        <v>42517</v>
      </c>
      <c r="F647" s="18">
        <v>1.12172682926829</v>
      </c>
      <c r="G647" s="18">
        <v>1.1067704103896101</v>
      </c>
      <c r="H647" s="21">
        <v>90.4</v>
      </c>
      <c r="I647" s="21">
        <v>85.600031200000004</v>
      </c>
      <c r="J647" s="21">
        <v>93</v>
      </c>
      <c r="K647" s="18">
        <v>1</v>
      </c>
      <c r="L647" s="18">
        <v>85</v>
      </c>
      <c r="M647" s="18">
        <v>11.5</v>
      </c>
      <c r="N647" s="18">
        <v>1.9</v>
      </c>
      <c r="O647" s="18">
        <v>1.7</v>
      </c>
      <c r="P647" s="18">
        <v>2.6</v>
      </c>
      <c r="Q647" s="19"/>
      <c r="R647" s="18">
        <v>84.763314782608703</v>
      </c>
      <c r="S647" s="18">
        <v>28</v>
      </c>
      <c r="T647" s="18">
        <v>42</v>
      </c>
      <c r="U647" s="18">
        <v>48</v>
      </c>
      <c r="V647" s="18">
        <v>53</v>
      </c>
      <c r="W647" s="18">
        <v>56</v>
      </c>
      <c r="X647" s="18"/>
      <c r="Y647" s="18">
        <v>0.47058823529411764</v>
      </c>
      <c r="Z647" s="18">
        <v>3.5294117647058822</v>
      </c>
      <c r="AA647" s="18">
        <v>0.1</v>
      </c>
      <c r="AB647" s="18">
        <v>0</v>
      </c>
      <c r="AC647" s="18">
        <v>6.2</v>
      </c>
      <c r="AD647" s="18">
        <v>1.2</v>
      </c>
      <c r="AE647" s="18">
        <v>1.2</v>
      </c>
      <c r="AF647" s="18">
        <v>23.999999999999996</v>
      </c>
      <c r="AG647" s="18">
        <v>4</v>
      </c>
      <c r="AH647" s="18">
        <v>28</v>
      </c>
      <c r="AI647" s="18">
        <v>37</v>
      </c>
      <c r="AJ647" s="18">
        <v>0</v>
      </c>
      <c r="AK647" s="18">
        <v>0</v>
      </c>
      <c r="AL647" s="18"/>
      <c r="AM647" s="18">
        <v>3.24</v>
      </c>
      <c r="AN647" s="18">
        <v>1.69</v>
      </c>
      <c r="AO647" s="18">
        <v>2.2200000000000002</v>
      </c>
      <c r="AP647" s="18">
        <v>3.15</v>
      </c>
      <c r="AQ647" s="18">
        <v>1.22</v>
      </c>
      <c r="AR647" s="18">
        <v>3.36</v>
      </c>
      <c r="AS647" s="18">
        <v>6.42</v>
      </c>
      <c r="AT647" s="18">
        <v>2.2200000000000002</v>
      </c>
      <c r="AU647" s="18">
        <v>4.3600000000000003</v>
      </c>
      <c r="AV647" s="18">
        <v>2.8</v>
      </c>
      <c r="AW647" s="18">
        <v>4.5199999999999996</v>
      </c>
      <c r="AX647" s="18"/>
      <c r="AY647" s="18">
        <v>0.98</v>
      </c>
      <c r="AZ647" s="18">
        <v>1.05</v>
      </c>
      <c r="BA647" s="18">
        <v>1.03</v>
      </c>
      <c r="BB647" s="18">
        <v>0.95</v>
      </c>
      <c r="BC647" s="18">
        <v>0.92</v>
      </c>
      <c r="BD647" s="18">
        <v>1.01</v>
      </c>
      <c r="BE647" s="18">
        <v>1.01</v>
      </c>
      <c r="BF647" s="18">
        <v>1.03</v>
      </c>
      <c r="BG647" s="18">
        <v>1.06</v>
      </c>
      <c r="BH647" s="18">
        <v>1</v>
      </c>
      <c r="BI647" s="18">
        <v>0.98</v>
      </c>
      <c r="BJ647" s="19"/>
      <c r="BK647" s="18">
        <v>13.529411764705882</v>
      </c>
      <c r="BL647" s="18">
        <v>2.2352941176470589</v>
      </c>
      <c r="BM647" s="18">
        <v>2</v>
      </c>
      <c r="BN647" s="18">
        <v>3.0588235294117645</v>
      </c>
      <c r="BO647" s="18"/>
      <c r="BP647" s="18">
        <v>105</v>
      </c>
      <c r="BQ647" s="18">
        <v>23.470588235294116</v>
      </c>
      <c r="BR647" s="18">
        <v>1.3196786226685764</v>
      </c>
      <c r="BS647" s="18">
        <v>1.3020828357524825</v>
      </c>
      <c r="BT647" s="19"/>
      <c r="BU647" s="18">
        <v>980</v>
      </c>
      <c r="BV647" s="18">
        <v>673.92</v>
      </c>
      <c r="BW647" s="18">
        <v>67.199563200000242</v>
      </c>
      <c r="BX647" s="18">
        <v>641</v>
      </c>
      <c r="BY647" s="18">
        <v>33</v>
      </c>
      <c r="BZ647" s="18">
        <v>30.227764705882354</v>
      </c>
      <c r="CA647" s="18">
        <v>120.91105882352942</v>
      </c>
      <c r="CB647" s="19"/>
      <c r="CC647" s="19">
        <v>0.39999999999999997</v>
      </c>
      <c r="CD647" s="19">
        <v>3</v>
      </c>
      <c r="CE647" s="19">
        <v>8.5000000000000006E-2</v>
      </c>
      <c r="CF647" s="19">
        <v>0</v>
      </c>
      <c r="CG647" s="19">
        <v>5.27</v>
      </c>
      <c r="CH647" s="19">
        <v>1.02</v>
      </c>
      <c r="CI647" s="19">
        <v>1.02</v>
      </c>
      <c r="CJ647" s="19"/>
      <c r="CK647" s="19">
        <v>20.399999999999995</v>
      </c>
      <c r="CL647" s="19">
        <v>3.4</v>
      </c>
      <c r="CM647" s="19">
        <v>23.8</v>
      </c>
      <c r="CN647" s="19">
        <v>31.45</v>
      </c>
      <c r="CO647" s="19">
        <v>0</v>
      </c>
      <c r="CP647" s="19">
        <v>0</v>
      </c>
      <c r="CQ647" s="19">
        <v>97.477812000000498</v>
      </c>
      <c r="CR647" s="19">
        <v>86.899777607696095</v>
      </c>
      <c r="HM647" s="620">
        <f t="shared" ref="HM647:HU647" si="676">HM277</f>
        <v>0.47300000000000003</v>
      </c>
      <c r="HN647" s="620">
        <f t="shared" si="676"/>
        <v>0.13</v>
      </c>
      <c r="HO647" s="620">
        <f t="shared" si="676"/>
        <v>0.39100000000000001</v>
      </c>
      <c r="HP647" s="620">
        <f t="shared" si="676"/>
        <v>5.5E-2</v>
      </c>
      <c r="HQ647" s="620">
        <f t="shared" si="676"/>
        <v>3.97</v>
      </c>
      <c r="HR647" s="620">
        <f t="shared" si="676"/>
        <v>4.5999999999999999E-3</v>
      </c>
      <c r="HS647" s="620">
        <f t="shared" si="676"/>
        <v>2.73</v>
      </c>
      <c r="HT647" s="620" t="str">
        <f t="shared" si="676"/>
        <v>as barley</v>
      </c>
      <c r="HU647" s="620" t="str">
        <f t="shared" si="676"/>
        <v>offfarm</v>
      </c>
      <c r="HV647" s="22" t="s">
        <v>818</v>
      </c>
      <c r="IB647" s="11">
        <f t="shared" ref="IB647:II647" si="677">IB277</f>
        <v>0.47300000000000003</v>
      </c>
      <c r="IC647" s="11">
        <f t="shared" si="677"/>
        <v>0.13</v>
      </c>
      <c r="ID647" s="11">
        <f t="shared" si="677"/>
        <v>0.39100000000000001</v>
      </c>
      <c r="IE647" s="11">
        <f t="shared" si="677"/>
        <v>5.5E-2</v>
      </c>
      <c r="IF647" s="11">
        <f t="shared" si="677"/>
        <v>3.97</v>
      </c>
      <c r="IG647" s="11">
        <f t="shared" si="677"/>
        <v>4.5999999999999999E-3</v>
      </c>
      <c r="IH647" s="11">
        <f t="shared" si="677"/>
        <v>2.73</v>
      </c>
      <c r="II647" s="11" t="str">
        <f t="shared" si="677"/>
        <v>as barley</v>
      </c>
      <c r="IJ647" s="11" t="str">
        <f t="shared" si="663"/>
        <v xml:space="preserve">triticale - on farm </v>
      </c>
    </row>
    <row r="648" spans="4:244" x14ac:dyDescent="0.25">
      <c r="D648" s="185" t="s">
        <v>1234</v>
      </c>
      <c r="E648" s="14">
        <v>41814</v>
      </c>
      <c r="F648" s="18">
        <v>1.0709841394053801</v>
      </c>
      <c r="G648" s="18">
        <v>1.06723036189149</v>
      </c>
      <c r="H648" s="21">
        <v>84.818443321859206</v>
      </c>
      <c r="I648" s="21">
        <v>81.198174706649297</v>
      </c>
      <c r="J648" s="21">
        <v>96.706399046610997</v>
      </c>
      <c r="K648" s="18">
        <v>1</v>
      </c>
      <c r="L648" s="18">
        <v>92.04</v>
      </c>
      <c r="M648" s="18">
        <v>42.7007998176</v>
      </c>
      <c r="N648" s="18">
        <v>2.5799997551999998</v>
      </c>
      <c r="O648" s="18">
        <v>2.2200002040000002</v>
      </c>
      <c r="P648" s="18">
        <v>3.8399997575999998</v>
      </c>
      <c r="Q648" s="19"/>
      <c r="R648" s="18">
        <v>94.335133803589798</v>
      </c>
      <c r="S648" s="18">
        <v>20</v>
      </c>
      <c r="T648" s="18">
        <v>27</v>
      </c>
      <c r="U648" s="18">
        <v>30</v>
      </c>
      <c r="V648" s="18">
        <v>32</v>
      </c>
      <c r="W648" s="18">
        <v>33</v>
      </c>
      <c r="X648" s="18"/>
      <c r="Y648" s="18">
        <v>0.58670241199478479</v>
      </c>
      <c r="Z648" s="18">
        <v>4.2372876010430245</v>
      </c>
      <c r="AA648" s="18">
        <v>6.5191056062581479E-2</v>
      </c>
      <c r="AB648" s="18">
        <v>0</v>
      </c>
      <c r="AC648" s="18">
        <v>4.7587989569752276</v>
      </c>
      <c r="AD648" s="18">
        <v>1.4243807040417209</v>
      </c>
      <c r="AE648" s="18">
        <v>0</v>
      </c>
      <c r="AF648" s="18">
        <v>57.544980443285525</v>
      </c>
      <c r="AG648" s="18">
        <v>6.8370273794002596</v>
      </c>
      <c r="AH648" s="18">
        <v>41.591916558018248</v>
      </c>
      <c r="AI648" s="18">
        <v>45.010430247718375</v>
      </c>
      <c r="AJ648" s="18">
        <v>0</v>
      </c>
      <c r="AK648" s="18">
        <v>3.9882659713168185E-2</v>
      </c>
      <c r="AL648" s="18"/>
      <c r="AM648" s="18">
        <v>0.83295861999240695</v>
      </c>
      <c r="AN648" s="18">
        <v>0.34172661333021698</v>
      </c>
      <c r="AO648" s="18">
        <v>0.42715826666277401</v>
      </c>
      <c r="AP648" s="18">
        <v>0.70481113999357303</v>
      </c>
      <c r="AQ648" s="18">
        <v>92.076461718224607</v>
      </c>
      <c r="AR648" s="18">
        <v>0.70481113999357303</v>
      </c>
      <c r="AS648" s="18">
        <v>1.32632641798791</v>
      </c>
      <c r="AT648" s="18">
        <v>0.55530574666160304</v>
      </c>
      <c r="AU648" s="18">
        <v>0.83509441132572004</v>
      </c>
      <c r="AV648" s="18">
        <v>0.59802157332787997</v>
      </c>
      <c r="AW648" s="18">
        <v>1.02731563132397</v>
      </c>
      <c r="AX648" s="18"/>
      <c r="AY648" s="18">
        <v>0.78667683772555697</v>
      </c>
      <c r="AZ648" s="18">
        <v>0.848987874377086</v>
      </c>
      <c r="BA648" s="18">
        <v>0.81783235605132099</v>
      </c>
      <c r="BB648" s="18">
        <v>0.73215468065546896</v>
      </c>
      <c r="BC648" s="18">
        <v>1.0594875068724501</v>
      </c>
      <c r="BD648" s="18">
        <v>0.81783235605132099</v>
      </c>
      <c r="BE648" s="18">
        <v>0.80225459688843903</v>
      </c>
      <c r="BF648" s="18">
        <v>0.848987874377086</v>
      </c>
      <c r="BG648" s="18">
        <v>0.85677675395852704</v>
      </c>
      <c r="BH648" s="18">
        <v>0.81004347646987995</v>
      </c>
      <c r="BI648" s="18">
        <v>0.80225459688843903</v>
      </c>
      <c r="BJ648" s="19"/>
      <c r="BK648" s="18">
        <v>46.393741653194262</v>
      </c>
      <c r="BL648" s="18">
        <v>2.8031288083441979</v>
      </c>
      <c r="BM648" s="18">
        <v>2.4119950065189051</v>
      </c>
      <c r="BN648" s="18">
        <v>4.1720988239895691</v>
      </c>
      <c r="BO648" s="18"/>
      <c r="BP648" s="18">
        <v>0</v>
      </c>
      <c r="BQ648" s="18">
        <v>0</v>
      </c>
      <c r="BR648" s="18">
        <v>1.163607278797675</v>
      </c>
      <c r="BS648" s="18">
        <v>1.1595288590737614</v>
      </c>
      <c r="BT648" s="19"/>
      <c r="BU648" s="18">
        <v>975.88004993481093</v>
      </c>
      <c r="BV648" s="18">
        <v>327.88218402987502</v>
      </c>
      <c r="BW648" s="18">
        <v>50.470684528406771</v>
      </c>
      <c r="BX648" s="18" t="s">
        <v>217</v>
      </c>
      <c r="BY648" s="18" t="s">
        <v>217</v>
      </c>
      <c r="BZ648" s="18">
        <v>40.452411994784875</v>
      </c>
      <c r="CA648" s="18">
        <v>74.067796610169481</v>
      </c>
      <c r="CB648" s="19"/>
      <c r="CC648" s="19">
        <v>0.54000090000000001</v>
      </c>
      <c r="CD648" s="19">
        <v>3.8999995080000001</v>
      </c>
      <c r="CE648" s="19">
        <v>6.0001848000000003E-2</v>
      </c>
      <c r="CF648" s="19">
        <v>0</v>
      </c>
      <c r="CG648" s="19">
        <v>4.3799985599999998</v>
      </c>
      <c r="CH648" s="19">
        <v>1.3110000000000002</v>
      </c>
      <c r="CI648" s="19">
        <v>0</v>
      </c>
      <c r="CJ648" s="19"/>
      <c r="CK648" s="19">
        <v>52.964400000000005</v>
      </c>
      <c r="CL648" s="19">
        <v>6.2927999999999997</v>
      </c>
      <c r="CM648" s="19">
        <v>38.281199999999998</v>
      </c>
      <c r="CN648" s="19">
        <v>41.427599999999998</v>
      </c>
      <c r="CO648" s="19">
        <v>0</v>
      </c>
      <c r="CP648" s="19">
        <v>3.6708000000000005E-2</v>
      </c>
      <c r="CQ648" s="19">
        <v>402.81856643136001</v>
      </c>
      <c r="CR648" s="19">
        <v>376.12001112827727</v>
      </c>
      <c r="HM648" s="620">
        <f t="shared" ref="HM648:HU648" si="678">HM278</f>
        <v>0</v>
      </c>
      <c r="HN648" s="620">
        <f t="shared" si="678"/>
        <v>0</v>
      </c>
      <c r="HO648" s="620">
        <f t="shared" si="678"/>
        <v>0</v>
      </c>
      <c r="HP648" s="620">
        <f t="shared" si="678"/>
        <v>0</v>
      </c>
      <c r="HQ648" s="620">
        <f t="shared" si="678"/>
        <v>0</v>
      </c>
      <c r="HR648" s="620">
        <f t="shared" si="678"/>
        <v>0</v>
      </c>
      <c r="HS648" s="620">
        <f t="shared" si="678"/>
        <v>0</v>
      </c>
      <c r="HT648" s="620">
        <f t="shared" si="678"/>
        <v>0</v>
      </c>
      <c r="HU648" s="620" t="str">
        <f t="shared" si="678"/>
        <v>offfarm</v>
      </c>
      <c r="HV648" s="22" t="s">
        <v>2013</v>
      </c>
      <c r="IB648" s="11">
        <f t="shared" ref="IB648:II648" si="679">IB278</f>
        <v>0.47300000000000003</v>
      </c>
      <c r="IC648" s="11">
        <f t="shared" si="679"/>
        <v>0.13</v>
      </c>
      <c r="ID648" s="11">
        <f t="shared" si="679"/>
        <v>0.39100000000000001</v>
      </c>
      <c r="IE648" s="11">
        <f t="shared" si="679"/>
        <v>5.5E-2</v>
      </c>
      <c r="IF648" s="11">
        <f t="shared" si="679"/>
        <v>3.97</v>
      </c>
      <c r="IG648" s="11">
        <f t="shared" si="679"/>
        <v>4.5999999999999999E-3</v>
      </c>
      <c r="IH648" s="11">
        <f t="shared" si="679"/>
        <v>2.73</v>
      </c>
      <c r="II648" s="11">
        <f t="shared" si="679"/>
        <v>0</v>
      </c>
    </row>
    <row r="649" spans="4:244" x14ac:dyDescent="0.25">
      <c r="D649" s="185" t="s">
        <v>1235</v>
      </c>
      <c r="E649" s="14">
        <v>40310</v>
      </c>
      <c r="F649" s="18">
        <v>1.3832934634146401</v>
      </c>
      <c r="G649" s="18">
        <v>1.32580594285714</v>
      </c>
      <c r="H649" s="21">
        <v>100</v>
      </c>
      <c r="I649" s="21">
        <v>100</v>
      </c>
      <c r="J649" s="21">
        <v>100</v>
      </c>
      <c r="K649" s="18">
        <v>1</v>
      </c>
      <c r="L649" s="18">
        <v>99</v>
      </c>
      <c r="M649" s="18">
        <v>83.951999999999998</v>
      </c>
      <c r="N649" s="18">
        <v>0</v>
      </c>
      <c r="O649" s="18">
        <v>0</v>
      </c>
      <c r="P649" s="18">
        <v>0</v>
      </c>
      <c r="Q649" s="19"/>
      <c r="R649" s="18">
        <v>75</v>
      </c>
      <c r="S649" s="18">
        <v>0</v>
      </c>
      <c r="T649" s="18">
        <v>0</v>
      </c>
      <c r="U649" s="18">
        <v>0</v>
      </c>
      <c r="V649" s="18">
        <v>0</v>
      </c>
      <c r="W649" s="18">
        <v>0</v>
      </c>
      <c r="X649" s="18"/>
      <c r="Y649" s="18">
        <v>0</v>
      </c>
      <c r="Z649" s="18">
        <v>0</v>
      </c>
      <c r="AA649" s="18">
        <v>0</v>
      </c>
      <c r="AB649" s="18">
        <v>0</v>
      </c>
      <c r="AC649" s="18">
        <v>0</v>
      </c>
      <c r="AD649" s="18">
        <v>0</v>
      </c>
      <c r="AE649" s="18">
        <v>0</v>
      </c>
      <c r="AF649" s="18">
        <v>0</v>
      </c>
      <c r="AG649" s="18">
        <v>0</v>
      </c>
      <c r="AH649" s="18">
        <v>0</v>
      </c>
      <c r="AI649" s="18">
        <v>0</v>
      </c>
      <c r="AJ649" s="18">
        <v>0</v>
      </c>
      <c r="AK649" s="18">
        <v>0</v>
      </c>
      <c r="AL649" s="18"/>
      <c r="AM649" s="18">
        <v>0</v>
      </c>
      <c r="AN649" s="18">
        <v>0</v>
      </c>
      <c r="AO649" s="18">
        <v>0</v>
      </c>
      <c r="AP649" s="18">
        <v>0</v>
      </c>
      <c r="AQ649" s="18">
        <v>116.7</v>
      </c>
      <c r="AR649" s="18">
        <v>0</v>
      </c>
      <c r="AS649" s="18">
        <v>0</v>
      </c>
      <c r="AT649" s="18">
        <v>0</v>
      </c>
      <c r="AU649" s="18">
        <v>0</v>
      </c>
      <c r="AV649" s="18">
        <v>0</v>
      </c>
      <c r="AW649" s="18">
        <v>0</v>
      </c>
      <c r="AX649" s="18"/>
      <c r="AY649" s="18">
        <v>1</v>
      </c>
      <c r="AZ649" s="18">
        <v>1</v>
      </c>
      <c r="BA649" s="18">
        <v>1</v>
      </c>
      <c r="BB649" s="18">
        <v>1</v>
      </c>
      <c r="BC649" s="18">
        <v>1</v>
      </c>
      <c r="BD649" s="18">
        <v>1</v>
      </c>
      <c r="BE649" s="18">
        <v>1</v>
      </c>
      <c r="BF649" s="18">
        <v>1</v>
      </c>
      <c r="BG649" s="18">
        <v>1</v>
      </c>
      <c r="BH649" s="18">
        <v>1</v>
      </c>
      <c r="BI649" s="18">
        <v>1</v>
      </c>
      <c r="BJ649" s="19"/>
      <c r="BK649" s="18">
        <v>84.8</v>
      </c>
      <c r="BL649" s="18">
        <v>0</v>
      </c>
      <c r="BM649" s="18">
        <v>0</v>
      </c>
      <c r="BN649" s="18">
        <v>0</v>
      </c>
      <c r="BO649" s="18"/>
      <c r="BP649" s="18">
        <v>0</v>
      </c>
      <c r="BQ649" s="18">
        <v>0</v>
      </c>
      <c r="BR649" s="18">
        <v>1.3972661246612526</v>
      </c>
      <c r="BS649" s="18">
        <v>1.3391979220779193</v>
      </c>
      <c r="BT649" s="19"/>
      <c r="BU649" s="18">
        <v>1000</v>
      </c>
      <c r="BV649" s="18">
        <v>228.32</v>
      </c>
      <c r="BW649" s="18">
        <v>0</v>
      </c>
      <c r="BX649" s="18">
        <v>0</v>
      </c>
      <c r="BY649" s="18">
        <v>0</v>
      </c>
      <c r="BZ649" s="18" t="s">
        <v>217</v>
      </c>
      <c r="CA649" s="18" t="s">
        <v>217</v>
      </c>
      <c r="CB649" s="19"/>
      <c r="CC649" s="19">
        <v>0</v>
      </c>
      <c r="CD649" s="19">
        <v>0</v>
      </c>
      <c r="CE649" s="19">
        <v>0</v>
      </c>
      <c r="CF649" s="19">
        <v>0</v>
      </c>
      <c r="CG649" s="19">
        <v>0</v>
      </c>
      <c r="CH649" s="19">
        <v>0</v>
      </c>
      <c r="CI649" s="19">
        <v>0</v>
      </c>
      <c r="CJ649" s="19"/>
      <c r="CK649" s="19">
        <v>0</v>
      </c>
      <c r="CL649" s="19">
        <v>0</v>
      </c>
      <c r="CM649" s="19">
        <v>0</v>
      </c>
      <c r="CN649" s="19">
        <v>0</v>
      </c>
      <c r="CO649" s="19">
        <v>0</v>
      </c>
      <c r="CP649" s="19">
        <v>0</v>
      </c>
      <c r="CQ649" s="19">
        <v>629.64</v>
      </c>
      <c r="CR649" s="19">
        <v>455.1745646550969</v>
      </c>
      <c r="HM649" s="620">
        <f t="shared" ref="HM649:HU649" si="680">HM279</f>
        <v>0</v>
      </c>
      <c r="HN649" s="620">
        <f t="shared" si="680"/>
        <v>0</v>
      </c>
      <c r="HO649" s="620">
        <f t="shared" si="680"/>
        <v>0</v>
      </c>
      <c r="HP649" s="620">
        <f t="shared" si="680"/>
        <v>0</v>
      </c>
      <c r="HQ649" s="620">
        <f t="shared" si="680"/>
        <v>0</v>
      </c>
      <c r="HR649" s="620">
        <f t="shared" si="680"/>
        <v>0</v>
      </c>
      <c r="HS649" s="620">
        <f t="shared" si="680"/>
        <v>0</v>
      </c>
      <c r="HT649" s="620">
        <f t="shared" si="680"/>
        <v>0</v>
      </c>
      <c r="HU649" s="620" t="str">
        <f t="shared" si="680"/>
        <v>offfarm</v>
      </c>
      <c r="HV649" s="22" t="s">
        <v>2013</v>
      </c>
      <c r="IB649" s="11">
        <f t="shared" ref="IB649:II649" si="681">IB279</f>
        <v>0.47300000000000003</v>
      </c>
      <c r="IC649" s="11">
        <f t="shared" si="681"/>
        <v>0.13</v>
      </c>
      <c r="ID649" s="11">
        <f t="shared" si="681"/>
        <v>0.39100000000000001</v>
      </c>
      <c r="IE649" s="11">
        <f t="shared" si="681"/>
        <v>5.5E-2</v>
      </c>
      <c r="IF649" s="11">
        <f t="shared" si="681"/>
        <v>3.97</v>
      </c>
      <c r="IG649" s="11">
        <f t="shared" si="681"/>
        <v>4.5999999999999999E-3</v>
      </c>
      <c r="IH649" s="11">
        <f t="shared" si="681"/>
        <v>2.73</v>
      </c>
      <c r="II649" s="11">
        <f t="shared" si="681"/>
        <v>0</v>
      </c>
    </row>
    <row r="650" spans="4:244" x14ac:dyDescent="0.25">
      <c r="D650" s="185" t="s">
        <v>740</v>
      </c>
      <c r="E650" s="14">
        <v>40310</v>
      </c>
      <c r="F650" s="18">
        <v>1.3832934634146401</v>
      </c>
      <c r="G650" s="18">
        <v>1.32580594285714</v>
      </c>
      <c r="H650" s="21">
        <v>100</v>
      </c>
      <c r="I650" s="21">
        <v>100</v>
      </c>
      <c r="J650" s="21">
        <v>100</v>
      </c>
      <c r="K650" s="18">
        <v>1</v>
      </c>
      <c r="L650" s="18">
        <v>99</v>
      </c>
      <c r="M650" s="18">
        <v>83.951999999999998</v>
      </c>
      <c r="N650" s="18">
        <v>0</v>
      </c>
      <c r="O650" s="18">
        <v>0</v>
      </c>
      <c r="P650" s="18">
        <v>0</v>
      </c>
      <c r="Q650" s="19"/>
      <c r="R650" s="18">
        <v>100</v>
      </c>
      <c r="S650" s="18">
        <v>0</v>
      </c>
      <c r="T650" s="18">
        <v>0</v>
      </c>
      <c r="U650" s="18">
        <v>0</v>
      </c>
      <c r="V650" s="18">
        <v>0</v>
      </c>
      <c r="W650" s="18">
        <v>0</v>
      </c>
      <c r="X650" s="18"/>
      <c r="Y650" s="18">
        <v>0</v>
      </c>
      <c r="Z650" s="18">
        <v>0</v>
      </c>
      <c r="AA650" s="18">
        <v>0</v>
      </c>
      <c r="AB650" s="18">
        <v>0</v>
      </c>
      <c r="AC650" s="18">
        <v>0</v>
      </c>
      <c r="AD650" s="18">
        <v>0</v>
      </c>
      <c r="AE650" s="18">
        <v>0</v>
      </c>
      <c r="AF650" s="18">
        <v>0</v>
      </c>
      <c r="AG650" s="18">
        <v>0</v>
      </c>
      <c r="AH650" s="18">
        <v>0</v>
      </c>
      <c r="AI650" s="18">
        <v>0</v>
      </c>
      <c r="AJ650" s="18">
        <v>0</v>
      </c>
      <c r="AK650" s="18">
        <v>0</v>
      </c>
      <c r="AL650" s="18"/>
      <c r="AM650" s="18">
        <v>0</v>
      </c>
      <c r="AN650" s="18">
        <v>0</v>
      </c>
      <c r="AO650" s="18">
        <v>0</v>
      </c>
      <c r="AP650" s="18">
        <v>0</v>
      </c>
      <c r="AQ650" s="18">
        <v>116.7</v>
      </c>
      <c r="AR650" s="18">
        <v>0</v>
      </c>
      <c r="AS650" s="18">
        <v>0</v>
      </c>
      <c r="AT650" s="18">
        <v>0</v>
      </c>
      <c r="AU650" s="18">
        <v>0</v>
      </c>
      <c r="AV650" s="18">
        <v>0</v>
      </c>
      <c r="AW650" s="18">
        <v>0</v>
      </c>
      <c r="AX650" s="18"/>
      <c r="AY650" s="18">
        <v>1</v>
      </c>
      <c r="AZ650" s="18">
        <v>1</v>
      </c>
      <c r="BA650" s="18">
        <v>1</v>
      </c>
      <c r="BB650" s="18">
        <v>1</v>
      </c>
      <c r="BC650" s="18">
        <v>1</v>
      </c>
      <c r="BD650" s="18">
        <v>1</v>
      </c>
      <c r="BE650" s="18">
        <v>1</v>
      </c>
      <c r="BF650" s="18">
        <v>1</v>
      </c>
      <c r="BG650" s="18">
        <v>1</v>
      </c>
      <c r="BH650" s="18">
        <v>1</v>
      </c>
      <c r="BI650" s="18">
        <v>1</v>
      </c>
      <c r="BJ650" s="19"/>
      <c r="BK650" s="18">
        <v>84.8</v>
      </c>
      <c r="BL650" s="18">
        <v>0</v>
      </c>
      <c r="BM650" s="18">
        <v>0</v>
      </c>
      <c r="BN650" s="18">
        <v>0</v>
      </c>
      <c r="BO650" s="18"/>
      <c r="BP650" s="18">
        <v>0</v>
      </c>
      <c r="BQ650" s="18">
        <v>0</v>
      </c>
      <c r="BR650" s="18">
        <v>1.3972661246612526</v>
      </c>
      <c r="BS650" s="18">
        <v>1.3391979220779193</v>
      </c>
      <c r="BT650" s="19"/>
      <c r="BU650" s="18">
        <v>1000</v>
      </c>
      <c r="BV650" s="18">
        <v>228.32</v>
      </c>
      <c r="BW650" s="18">
        <v>0</v>
      </c>
      <c r="BX650" s="18">
        <v>0</v>
      </c>
      <c r="BY650" s="18">
        <v>0</v>
      </c>
      <c r="BZ650" s="18" t="s">
        <v>217</v>
      </c>
      <c r="CA650" s="18" t="s">
        <v>217</v>
      </c>
      <c r="CB650" s="19"/>
      <c r="CC650" s="19">
        <v>0</v>
      </c>
      <c r="CD650" s="19">
        <v>0</v>
      </c>
      <c r="CE650" s="19">
        <v>0</v>
      </c>
      <c r="CF650" s="19">
        <v>0</v>
      </c>
      <c r="CG650" s="19">
        <v>0</v>
      </c>
      <c r="CH650" s="19">
        <v>0</v>
      </c>
      <c r="CI650" s="19">
        <v>0</v>
      </c>
      <c r="CJ650" s="19"/>
      <c r="CK650" s="19">
        <v>0</v>
      </c>
      <c r="CL650" s="19">
        <v>0</v>
      </c>
      <c r="CM650" s="19">
        <v>0</v>
      </c>
      <c r="CN650" s="19">
        <v>0</v>
      </c>
      <c r="CO650" s="19">
        <v>0</v>
      </c>
      <c r="CP650" s="19">
        <v>0</v>
      </c>
      <c r="CQ650" s="19">
        <v>839.52</v>
      </c>
      <c r="CR650" s="19">
        <v>606.8994195401292</v>
      </c>
      <c r="HM650" s="620">
        <f t="shared" ref="HM650:HU650" si="682">HM280</f>
        <v>0</v>
      </c>
      <c r="HN650" s="620">
        <f t="shared" si="682"/>
        <v>0</v>
      </c>
      <c r="HO650" s="620">
        <f t="shared" si="682"/>
        <v>0</v>
      </c>
      <c r="HP650" s="620">
        <f t="shared" si="682"/>
        <v>0</v>
      </c>
      <c r="HQ650" s="620">
        <f t="shared" si="682"/>
        <v>0</v>
      </c>
      <c r="HR650" s="620">
        <f t="shared" si="682"/>
        <v>0</v>
      </c>
      <c r="HS650" s="620">
        <f t="shared" si="682"/>
        <v>0</v>
      </c>
      <c r="HT650" s="620">
        <f t="shared" si="682"/>
        <v>0</v>
      </c>
      <c r="HU650" s="620" t="str">
        <f t="shared" si="682"/>
        <v>offfarm</v>
      </c>
      <c r="HV650" s="22" t="s">
        <v>2013</v>
      </c>
      <c r="IB650" s="11">
        <f t="shared" ref="IB650:II650" si="683">IB280</f>
        <v>0.47300000000000003</v>
      </c>
      <c r="IC650" s="11">
        <f t="shared" si="683"/>
        <v>0.13</v>
      </c>
      <c r="ID650" s="11">
        <f t="shared" si="683"/>
        <v>0.39100000000000001</v>
      </c>
      <c r="IE650" s="11">
        <f t="shared" si="683"/>
        <v>5.5E-2</v>
      </c>
      <c r="IF650" s="11">
        <f t="shared" si="683"/>
        <v>3.97</v>
      </c>
      <c r="IG650" s="11">
        <f t="shared" si="683"/>
        <v>4.5999999999999999E-3</v>
      </c>
      <c r="IH650" s="11">
        <f t="shared" si="683"/>
        <v>2.73</v>
      </c>
      <c r="II650" s="11">
        <f t="shared" si="683"/>
        <v>0</v>
      </c>
    </row>
    <row r="651" spans="4:244" x14ac:dyDescent="0.25">
      <c r="D651" s="185" t="s">
        <v>1320</v>
      </c>
      <c r="E651" s="14">
        <v>40310</v>
      </c>
      <c r="F651" s="18">
        <v>1.2085399792561</v>
      </c>
      <c r="G651" s="18">
        <v>1.1583149411571401</v>
      </c>
      <c r="H651" s="21">
        <v>100</v>
      </c>
      <c r="I651" s="21">
        <v>100</v>
      </c>
      <c r="J651" s="21">
        <v>100</v>
      </c>
      <c r="K651" s="18">
        <v>1</v>
      </c>
      <c r="L651" s="18">
        <v>99</v>
      </c>
      <c r="M651" s="18">
        <v>47.82987</v>
      </c>
      <c r="N651" s="18">
        <v>0</v>
      </c>
      <c r="O651" s="18">
        <v>14.99999985</v>
      </c>
      <c r="P651" s="18">
        <v>0</v>
      </c>
      <c r="Q651" s="19"/>
      <c r="R651" s="18">
        <v>100</v>
      </c>
      <c r="S651" s="18">
        <v>0</v>
      </c>
      <c r="T651" s="18">
        <v>0</v>
      </c>
      <c r="U651" s="18">
        <v>0</v>
      </c>
      <c r="V651" s="18">
        <v>0</v>
      </c>
      <c r="W651" s="18">
        <v>0</v>
      </c>
      <c r="X651" s="18"/>
      <c r="Y651" s="18">
        <v>0</v>
      </c>
      <c r="Z651" s="18">
        <v>0</v>
      </c>
      <c r="AA651" s="18">
        <v>0</v>
      </c>
      <c r="AB651" s="18">
        <v>0</v>
      </c>
      <c r="AC651" s="18">
        <v>0</v>
      </c>
      <c r="AD651" s="18">
        <v>0</v>
      </c>
      <c r="AE651" s="18">
        <v>0</v>
      </c>
      <c r="AF651" s="18">
        <v>0</v>
      </c>
      <c r="AG651" s="18">
        <v>0</v>
      </c>
      <c r="AH651" s="18">
        <v>0</v>
      </c>
      <c r="AI651" s="18">
        <v>0</v>
      </c>
      <c r="AJ651" s="18">
        <v>0</v>
      </c>
      <c r="AK651" s="18">
        <v>0</v>
      </c>
      <c r="AL651" s="18"/>
      <c r="AM651" s="18">
        <v>0</v>
      </c>
      <c r="AN651" s="18">
        <v>0</v>
      </c>
      <c r="AO651" s="18">
        <v>0</v>
      </c>
      <c r="AP651" s="18">
        <v>0</v>
      </c>
      <c r="AQ651" s="18">
        <v>0</v>
      </c>
      <c r="AR651" s="18">
        <v>0</v>
      </c>
      <c r="AS651" s="18">
        <v>0</v>
      </c>
      <c r="AT651" s="18">
        <v>0</v>
      </c>
      <c r="AU651" s="18">
        <v>0</v>
      </c>
      <c r="AV651" s="18">
        <v>206.98362800000001</v>
      </c>
      <c r="AW651" s="18">
        <v>0</v>
      </c>
      <c r="AX651" s="18"/>
      <c r="AY651" s="18">
        <v>1</v>
      </c>
      <c r="AZ651" s="18">
        <v>1</v>
      </c>
      <c r="BA651" s="18">
        <v>1</v>
      </c>
      <c r="BB651" s="18">
        <v>1</v>
      </c>
      <c r="BC651" s="18">
        <v>1</v>
      </c>
      <c r="BD651" s="18">
        <v>1</v>
      </c>
      <c r="BE651" s="18">
        <v>1</v>
      </c>
      <c r="BF651" s="18">
        <v>1</v>
      </c>
      <c r="BG651" s="18">
        <v>1</v>
      </c>
      <c r="BH651" s="18">
        <v>1</v>
      </c>
      <c r="BI651" s="18">
        <v>1</v>
      </c>
      <c r="BJ651" s="19"/>
      <c r="BK651" s="18">
        <v>48.313000000000002</v>
      </c>
      <c r="BL651" s="18">
        <v>0</v>
      </c>
      <c r="BM651" s="18">
        <v>15.151515</v>
      </c>
      <c r="BN651" s="18">
        <v>0</v>
      </c>
      <c r="BO651" s="18"/>
      <c r="BP651" s="18">
        <v>0</v>
      </c>
      <c r="BQ651" s="18">
        <v>0</v>
      </c>
      <c r="BR651" s="18">
        <v>1.2207474537940404</v>
      </c>
      <c r="BS651" s="18">
        <v>1.1700150920779193</v>
      </c>
      <c r="BT651" s="19"/>
      <c r="BU651" s="18">
        <v>848.48485000000005</v>
      </c>
      <c r="BV651" s="18">
        <v>408.83654999999999</v>
      </c>
      <c r="BW651" s="18">
        <v>0</v>
      </c>
      <c r="BX651" s="18">
        <v>0</v>
      </c>
      <c r="BY651" s="18">
        <v>0</v>
      </c>
      <c r="BZ651" s="18" t="s">
        <v>217</v>
      </c>
      <c r="CA651" s="18" t="s">
        <v>217</v>
      </c>
      <c r="CB651" s="19"/>
      <c r="CC651" s="19">
        <v>0</v>
      </c>
      <c r="CD651" s="19">
        <v>0</v>
      </c>
      <c r="CE651" s="19">
        <v>0</v>
      </c>
      <c r="CF651" s="19">
        <v>0</v>
      </c>
      <c r="CG651" s="19">
        <v>0</v>
      </c>
      <c r="CH651" s="19">
        <v>0</v>
      </c>
      <c r="CI651" s="19">
        <v>0</v>
      </c>
      <c r="CJ651" s="19"/>
      <c r="CK651" s="19">
        <v>0</v>
      </c>
      <c r="CL651" s="19">
        <v>0</v>
      </c>
      <c r="CM651" s="19">
        <v>0</v>
      </c>
      <c r="CN651" s="19">
        <v>0</v>
      </c>
      <c r="CO651" s="19">
        <v>0</v>
      </c>
      <c r="CP651" s="19">
        <v>0</v>
      </c>
      <c r="CQ651" s="19">
        <v>478.2987</v>
      </c>
      <c r="CR651" s="19">
        <v>395.76572410489069</v>
      </c>
      <c r="HM651" s="620">
        <f t="shared" ref="HM651:HU651" si="684">HM281</f>
        <v>0</v>
      </c>
      <c r="HN651" s="620">
        <f t="shared" si="684"/>
        <v>0</v>
      </c>
      <c r="HO651" s="620">
        <f t="shared" si="684"/>
        <v>0</v>
      </c>
      <c r="HP651" s="620">
        <f t="shared" si="684"/>
        <v>0</v>
      </c>
      <c r="HQ651" s="620">
        <f t="shared" si="684"/>
        <v>0</v>
      </c>
      <c r="HR651" s="620">
        <f t="shared" si="684"/>
        <v>0</v>
      </c>
      <c r="HS651" s="620">
        <f t="shared" si="684"/>
        <v>0</v>
      </c>
      <c r="HT651" s="620">
        <f t="shared" si="684"/>
        <v>0</v>
      </c>
      <c r="HU651" s="620" t="str">
        <f t="shared" si="684"/>
        <v>offfarm</v>
      </c>
      <c r="HV651" s="22" t="s">
        <v>2013</v>
      </c>
      <c r="IB651" s="11">
        <f t="shared" ref="IB651:II651" si="685">IB281</f>
        <v>0.47300000000000003</v>
      </c>
      <c r="IC651" s="11">
        <f t="shared" si="685"/>
        <v>0.13</v>
      </c>
      <c r="ID651" s="11">
        <f t="shared" si="685"/>
        <v>0.39100000000000001</v>
      </c>
      <c r="IE651" s="11">
        <f t="shared" si="685"/>
        <v>5.5E-2</v>
      </c>
      <c r="IF651" s="11">
        <f t="shared" si="685"/>
        <v>3.97</v>
      </c>
      <c r="IG651" s="11">
        <f t="shared" si="685"/>
        <v>4.5999999999999999E-3</v>
      </c>
      <c r="IH651" s="11">
        <f t="shared" si="685"/>
        <v>2.73</v>
      </c>
      <c r="II651" s="11">
        <f t="shared" si="685"/>
        <v>0</v>
      </c>
    </row>
    <row r="652" spans="4:244" x14ac:dyDescent="0.25">
      <c r="D652" s="20" t="s">
        <v>1236</v>
      </c>
      <c r="E652" s="14">
        <v>40310</v>
      </c>
      <c r="F652" s="18">
        <v>1.0540971979384399</v>
      </c>
      <c r="G652" s="18">
        <v>1.0711745939821899</v>
      </c>
      <c r="H652" s="21">
        <v>92.3</v>
      </c>
      <c r="I652" s="21">
        <v>77.400000000000006</v>
      </c>
      <c r="J652" s="21">
        <v>94.1</v>
      </c>
      <c r="K652" s="18">
        <v>1</v>
      </c>
      <c r="L652" s="18">
        <v>93.9</v>
      </c>
      <c r="M652" s="18">
        <v>45.353700000000003</v>
      </c>
      <c r="N652" s="18">
        <v>5.5400999999999998</v>
      </c>
      <c r="O652" s="18">
        <v>8.7326999999999995</v>
      </c>
      <c r="P652" s="18">
        <v>1.8779999999999999</v>
      </c>
      <c r="Q652" s="19"/>
      <c r="R652" s="18">
        <v>85</v>
      </c>
      <c r="S652" s="18">
        <v>50</v>
      </c>
      <c r="T652" s="18">
        <v>50</v>
      </c>
      <c r="U652" s="18">
        <v>50</v>
      </c>
      <c r="V652" s="18">
        <v>50</v>
      </c>
      <c r="W652" s="18">
        <v>50</v>
      </c>
      <c r="X652" s="18"/>
      <c r="Y652" s="18">
        <v>1.4</v>
      </c>
      <c r="Z652" s="18">
        <v>13</v>
      </c>
      <c r="AA652" s="18">
        <v>9.1999999999999993</v>
      </c>
      <c r="AB652" s="18">
        <v>0</v>
      </c>
      <c r="AC652" s="18">
        <v>15.999999999999998</v>
      </c>
      <c r="AD652" s="18">
        <v>2.8</v>
      </c>
      <c r="AE652" s="18">
        <v>3.6</v>
      </c>
      <c r="AF652" s="18">
        <v>106</v>
      </c>
      <c r="AG652" s="18">
        <v>18</v>
      </c>
      <c r="AH652" s="18">
        <v>23</v>
      </c>
      <c r="AI652" s="18">
        <v>94.000000000000099</v>
      </c>
      <c r="AJ652" s="18">
        <v>0</v>
      </c>
      <c r="AK652" s="18">
        <v>0.48</v>
      </c>
      <c r="AL652" s="18"/>
      <c r="AM652" s="18">
        <v>5.9999999999999902</v>
      </c>
      <c r="AN652" s="18">
        <v>1.7</v>
      </c>
      <c r="AO652" s="18">
        <v>1.2</v>
      </c>
      <c r="AP652" s="18">
        <v>4.3</v>
      </c>
      <c r="AQ652" s="18">
        <v>1.31</v>
      </c>
      <c r="AR652" s="18">
        <v>4.4599999999999902</v>
      </c>
      <c r="AS652" s="18">
        <v>6.81</v>
      </c>
      <c r="AT652" s="18">
        <v>2.19</v>
      </c>
      <c r="AU652" s="18">
        <v>3.8899999999999899</v>
      </c>
      <c r="AV652" s="18">
        <v>3.2099999999999902</v>
      </c>
      <c r="AW652" s="18">
        <v>4.84</v>
      </c>
      <c r="AX652" s="18"/>
      <c r="AY652" s="18">
        <v>1</v>
      </c>
      <c r="AZ652" s="18">
        <v>1</v>
      </c>
      <c r="BA652" s="18">
        <v>1</v>
      </c>
      <c r="BB652" s="18">
        <v>1</v>
      </c>
      <c r="BC652" s="18">
        <v>1</v>
      </c>
      <c r="BD652" s="18">
        <v>1</v>
      </c>
      <c r="BE652" s="18">
        <v>1</v>
      </c>
      <c r="BF652" s="18">
        <v>1</v>
      </c>
      <c r="BG652" s="18">
        <v>1</v>
      </c>
      <c r="BH652" s="18">
        <v>1</v>
      </c>
      <c r="BI652" s="18">
        <v>1</v>
      </c>
      <c r="BJ652" s="19"/>
      <c r="BK652" s="18">
        <v>48.300000000000004</v>
      </c>
      <c r="BL652" s="18">
        <v>5.8999999999999995</v>
      </c>
      <c r="BM652" s="18">
        <v>9.2999999999999989</v>
      </c>
      <c r="BN652" s="18">
        <v>1.9999999999999998</v>
      </c>
      <c r="BO652" s="18"/>
      <c r="BP652" s="18">
        <v>0</v>
      </c>
      <c r="BQ652" s="18">
        <v>0</v>
      </c>
      <c r="BR652" s="18">
        <v>1.1225742257065388</v>
      </c>
      <c r="BS652" s="18">
        <v>1.1407610159554737</v>
      </c>
      <c r="BT652" s="19"/>
      <c r="BU652" s="18">
        <v>907</v>
      </c>
      <c r="BV652" s="18">
        <v>147.33957142857082</v>
      </c>
      <c r="BW652" s="18">
        <v>193.06142857142808</v>
      </c>
      <c r="BX652" s="18">
        <v>62</v>
      </c>
      <c r="BY652" s="18">
        <v>22</v>
      </c>
      <c r="BZ652" s="18" t="s">
        <v>217</v>
      </c>
      <c r="CA652" s="18" t="s">
        <v>217</v>
      </c>
      <c r="CB652" s="19"/>
      <c r="CC652" s="19">
        <v>1.3146</v>
      </c>
      <c r="CD652" s="19">
        <v>12.207000000000001</v>
      </c>
      <c r="CE652" s="19">
        <v>8.6387999999999998</v>
      </c>
      <c r="CF652" s="19">
        <v>0</v>
      </c>
      <c r="CG652" s="19">
        <v>15.023999999999999</v>
      </c>
      <c r="CH652" s="19">
        <v>2.6292</v>
      </c>
      <c r="CI652" s="19">
        <v>3.3804000000000003</v>
      </c>
      <c r="CJ652" s="19"/>
      <c r="CK652" s="19">
        <v>99.534000000000006</v>
      </c>
      <c r="CL652" s="19">
        <v>16.902000000000001</v>
      </c>
      <c r="CM652" s="19">
        <v>21.597000000000001</v>
      </c>
      <c r="CN652" s="19">
        <v>88.266000000000105</v>
      </c>
      <c r="CO652" s="19">
        <v>0</v>
      </c>
      <c r="CP652" s="19">
        <v>0.45072000000000001</v>
      </c>
      <c r="CQ652" s="19">
        <v>385.50644999999997</v>
      </c>
      <c r="CR652" s="19">
        <v>365.72191895961555</v>
      </c>
      <c r="HM652" s="620">
        <f t="shared" ref="HM652:HU652" si="686">HM282</f>
        <v>0</v>
      </c>
      <c r="HN652" s="620">
        <f t="shared" si="686"/>
        <v>0</v>
      </c>
      <c r="HO652" s="620">
        <f t="shared" si="686"/>
        <v>0</v>
      </c>
      <c r="HP652" s="620">
        <f t="shared" si="686"/>
        <v>0</v>
      </c>
      <c r="HQ652" s="620">
        <f t="shared" si="686"/>
        <v>0</v>
      </c>
      <c r="HR652" s="620">
        <f t="shared" si="686"/>
        <v>0</v>
      </c>
      <c r="HS652" s="620">
        <f t="shared" si="686"/>
        <v>0</v>
      </c>
      <c r="HT652" s="620">
        <f t="shared" si="686"/>
        <v>0</v>
      </c>
      <c r="HU652" s="620" t="str">
        <f t="shared" si="686"/>
        <v>offfarm</v>
      </c>
      <c r="HV652" s="22" t="s">
        <v>2075</v>
      </c>
      <c r="IB652" s="11">
        <f t="shared" ref="IB652:II652" si="687">IB282</f>
        <v>0.47300000000000003</v>
      </c>
      <c r="IC652" s="11">
        <f t="shared" si="687"/>
        <v>0.13</v>
      </c>
      <c r="ID652" s="11">
        <f t="shared" si="687"/>
        <v>0.39100000000000001</v>
      </c>
      <c r="IE652" s="11">
        <f t="shared" si="687"/>
        <v>5.5E-2</v>
      </c>
      <c r="IF652" s="11">
        <f t="shared" si="687"/>
        <v>3.97</v>
      </c>
      <c r="IG652" s="11">
        <f t="shared" si="687"/>
        <v>4.5999999999999999E-3</v>
      </c>
      <c r="IH652" s="11">
        <f t="shared" si="687"/>
        <v>2.73</v>
      </c>
      <c r="II652" s="11">
        <f t="shared" si="687"/>
        <v>0</v>
      </c>
    </row>
    <row r="653" spans="4:244" x14ac:dyDescent="0.25">
      <c r="D653" s="20" t="s">
        <v>746</v>
      </c>
      <c r="E653" s="14">
        <v>40310</v>
      </c>
      <c r="F653" s="18">
        <v>1.39316029810298</v>
      </c>
      <c r="G653" s="18">
        <v>1.33526272727273</v>
      </c>
      <c r="H653" s="21">
        <v>100</v>
      </c>
      <c r="I653" s="21">
        <v>100</v>
      </c>
      <c r="J653" s="21">
        <v>100</v>
      </c>
      <c r="K653" s="18">
        <v>1</v>
      </c>
      <c r="L653" s="18">
        <v>98.5</v>
      </c>
      <c r="M653" s="18">
        <v>72.099999999999994</v>
      </c>
      <c r="N653" s="18">
        <v>0</v>
      </c>
      <c r="O653" s="18">
        <v>0.5</v>
      </c>
      <c r="P653" s="18">
        <v>0</v>
      </c>
      <c r="Q653" s="19"/>
      <c r="R653" s="18">
        <v>100</v>
      </c>
      <c r="S653" s="18">
        <v>0</v>
      </c>
      <c r="T653" s="18">
        <v>0</v>
      </c>
      <c r="U653" s="18">
        <v>0</v>
      </c>
      <c r="V653" s="18">
        <v>0</v>
      </c>
      <c r="W653" s="18">
        <v>0</v>
      </c>
      <c r="X653" s="18"/>
      <c r="Y653" s="18">
        <v>0</v>
      </c>
      <c r="Z653" s="18">
        <v>0</v>
      </c>
      <c r="AA653" s="18">
        <v>0</v>
      </c>
      <c r="AB653" s="18">
        <v>0</v>
      </c>
      <c r="AC653" s="18">
        <v>0</v>
      </c>
      <c r="AD653" s="18">
        <v>0</v>
      </c>
      <c r="AE653" s="18">
        <v>0</v>
      </c>
      <c r="AF653" s="18">
        <v>0</v>
      </c>
      <c r="AG653" s="18">
        <v>0</v>
      </c>
      <c r="AH653" s="18">
        <v>0</v>
      </c>
      <c r="AI653" s="18">
        <v>0</v>
      </c>
      <c r="AJ653" s="18">
        <v>0</v>
      </c>
      <c r="AK653" s="18">
        <v>0</v>
      </c>
      <c r="AL653" s="18"/>
      <c r="AM653" s="18">
        <v>0</v>
      </c>
      <c r="AN653" s="18">
        <v>0</v>
      </c>
      <c r="AO653" s="18">
        <v>0</v>
      </c>
      <c r="AP653" s="18">
        <v>0</v>
      </c>
      <c r="AQ653" s="18">
        <v>0</v>
      </c>
      <c r="AR653" s="18">
        <v>0</v>
      </c>
      <c r="AS653" s="18">
        <v>0</v>
      </c>
      <c r="AT653" s="18">
        <v>0</v>
      </c>
      <c r="AU653" s="18">
        <v>0</v>
      </c>
      <c r="AV653" s="18">
        <v>0</v>
      </c>
      <c r="AW653" s="18">
        <v>133.77926400000001</v>
      </c>
      <c r="AX653" s="18"/>
      <c r="AY653" s="18">
        <v>1</v>
      </c>
      <c r="AZ653" s="18">
        <v>1</v>
      </c>
      <c r="BA653" s="18">
        <v>1</v>
      </c>
      <c r="BB653" s="18">
        <v>1</v>
      </c>
      <c r="BC653" s="18">
        <v>1</v>
      </c>
      <c r="BD653" s="18">
        <v>1</v>
      </c>
      <c r="BE653" s="18">
        <v>1</v>
      </c>
      <c r="BF653" s="18">
        <v>1</v>
      </c>
      <c r="BG653" s="18">
        <v>1</v>
      </c>
      <c r="BH653" s="18">
        <v>1</v>
      </c>
      <c r="BI653" s="18">
        <v>1</v>
      </c>
      <c r="BJ653" s="19"/>
      <c r="BK653" s="18">
        <v>73.197969543147195</v>
      </c>
      <c r="BL653" s="18">
        <v>0</v>
      </c>
      <c r="BM653" s="18">
        <v>0.50761421319796951</v>
      </c>
      <c r="BN653" s="18">
        <v>0</v>
      </c>
      <c r="BO653" s="18"/>
      <c r="BP653" s="18">
        <v>0</v>
      </c>
      <c r="BQ653" s="18">
        <v>0</v>
      </c>
      <c r="BR653" s="18">
        <v>1.4143759371603859</v>
      </c>
      <c r="BS653" s="18">
        <v>1.3555966774342436</v>
      </c>
      <c r="BT653" s="19"/>
      <c r="BU653" s="18">
        <v>994.92385786802026</v>
      </c>
      <c r="BV653" s="18">
        <v>328.82233502538071</v>
      </c>
      <c r="BW653" s="18">
        <v>0</v>
      </c>
      <c r="BX653" s="18">
        <v>0</v>
      </c>
      <c r="BY653" s="18">
        <v>0</v>
      </c>
      <c r="BZ653" s="18" t="s">
        <v>217</v>
      </c>
      <c r="CA653" s="18" t="s">
        <v>217</v>
      </c>
      <c r="CB653" s="19"/>
      <c r="CC653" s="19">
        <v>0</v>
      </c>
      <c r="CD653" s="19">
        <v>0</v>
      </c>
      <c r="CE653" s="19">
        <v>0</v>
      </c>
      <c r="CF653" s="19">
        <v>0</v>
      </c>
      <c r="CG653" s="19">
        <v>0</v>
      </c>
      <c r="CH653" s="19">
        <v>0</v>
      </c>
      <c r="CI653" s="19">
        <v>0</v>
      </c>
      <c r="CJ653" s="19"/>
      <c r="CK653" s="19">
        <v>0</v>
      </c>
      <c r="CL653" s="19">
        <v>0</v>
      </c>
      <c r="CM653" s="19">
        <v>0</v>
      </c>
      <c r="CN653" s="19">
        <v>0</v>
      </c>
      <c r="CO653" s="19">
        <v>0</v>
      </c>
      <c r="CP653" s="19">
        <v>0</v>
      </c>
      <c r="CQ653" s="19">
        <v>721</v>
      </c>
      <c r="CR653" s="19">
        <v>517.52838562925001</v>
      </c>
      <c r="HM653" s="620">
        <f t="shared" ref="HM653:HU653" si="688">HM283</f>
        <v>0</v>
      </c>
      <c r="HN653" s="620">
        <f t="shared" si="688"/>
        <v>0</v>
      </c>
      <c r="HO653" s="620">
        <f t="shared" si="688"/>
        <v>0</v>
      </c>
      <c r="HP653" s="620">
        <f t="shared" si="688"/>
        <v>0</v>
      </c>
      <c r="HQ653" s="620">
        <f t="shared" si="688"/>
        <v>0</v>
      </c>
      <c r="HR653" s="620">
        <f t="shared" si="688"/>
        <v>0</v>
      </c>
      <c r="HS653" s="620">
        <f t="shared" si="688"/>
        <v>0</v>
      </c>
      <c r="HT653" s="620">
        <f t="shared" si="688"/>
        <v>0</v>
      </c>
      <c r="HU653" s="620" t="str">
        <f t="shared" si="688"/>
        <v>offfarm</v>
      </c>
      <c r="HV653" s="22" t="s">
        <v>2013</v>
      </c>
      <c r="IB653" s="11">
        <f t="shared" ref="IB653:II653" si="689">IB283</f>
        <v>0.47300000000000003</v>
      </c>
      <c r="IC653" s="11">
        <f t="shared" si="689"/>
        <v>0.13</v>
      </c>
      <c r="ID653" s="11">
        <f t="shared" si="689"/>
        <v>0.39100000000000001</v>
      </c>
      <c r="IE653" s="11">
        <f t="shared" si="689"/>
        <v>5.5E-2</v>
      </c>
      <c r="IF653" s="11">
        <f t="shared" si="689"/>
        <v>3.97</v>
      </c>
      <c r="IG653" s="11">
        <f t="shared" si="689"/>
        <v>4.5999999999999999E-3</v>
      </c>
      <c r="IH653" s="11">
        <f t="shared" si="689"/>
        <v>2.73</v>
      </c>
      <c r="II653" s="11">
        <f t="shared" si="689"/>
        <v>0</v>
      </c>
    </row>
    <row r="654" spans="4:244" x14ac:dyDescent="0.25">
      <c r="D654" s="20" t="s">
        <v>1321</v>
      </c>
      <c r="E654" s="14">
        <v>41498</v>
      </c>
      <c r="F654" s="18">
        <v>7.5821663707884498E-2</v>
      </c>
      <c r="G654" s="18">
        <v>7.2955508894792104E-2</v>
      </c>
      <c r="H654" s="21">
        <v>99</v>
      </c>
      <c r="I654" s="21">
        <v>98</v>
      </c>
      <c r="J654" s="21">
        <v>98</v>
      </c>
      <c r="K654" s="18">
        <v>0.86</v>
      </c>
      <c r="L654" s="18">
        <v>6.33</v>
      </c>
      <c r="M654" s="18">
        <v>0.99429237947122995</v>
      </c>
      <c r="N654" s="18">
        <v>0.118133748055987</v>
      </c>
      <c r="O654" s="18">
        <v>0.63300000000000001</v>
      </c>
      <c r="P654" s="18">
        <v>0</v>
      </c>
      <c r="Q654" s="19"/>
      <c r="R654" s="18">
        <v>76</v>
      </c>
      <c r="S654" s="18">
        <v>50</v>
      </c>
      <c r="T654" s="18">
        <v>50</v>
      </c>
      <c r="U654" s="18">
        <v>50</v>
      </c>
      <c r="V654" s="18">
        <v>50</v>
      </c>
      <c r="W654" s="18">
        <v>50</v>
      </c>
      <c r="X654" s="18"/>
      <c r="Y654" s="18">
        <v>6.3191153238546605</v>
      </c>
      <c r="Z654" s="18">
        <v>7.109004739336493</v>
      </c>
      <c r="AA654" s="18">
        <v>12.322274881516604</v>
      </c>
      <c r="AB654" s="18">
        <v>24.644549763033176</v>
      </c>
      <c r="AC654" s="18">
        <v>22.748815165876778</v>
      </c>
      <c r="AD654" s="18">
        <v>1.2638230647709305</v>
      </c>
      <c r="AE654" s="18">
        <v>0</v>
      </c>
      <c r="AF654" s="18">
        <v>11</v>
      </c>
      <c r="AG654" s="18">
        <v>1.9999999999999998</v>
      </c>
      <c r="AH654" s="18">
        <v>0</v>
      </c>
      <c r="AI654" s="18">
        <v>6</v>
      </c>
      <c r="AJ654" s="18">
        <v>0</v>
      </c>
      <c r="AK654" s="18">
        <v>0</v>
      </c>
      <c r="AL654" s="18"/>
      <c r="AM654" s="18">
        <v>3.7</v>
      </c>
      <c r="AN654" s="18">
        <v>0.7</v>
      </c>
      <c r="AO654" s="18">
        <v>1.3</v>
      </c>
      <c r="AP654" s="18">
        <v>1.9</v>
      </c>
      <c r="AQ654" s="18">
        <v>0.7</v>
      </c>
      <c r="AR654" s="18">
        <v>2</v>
      </c>
      <c r="AS654" s="18">
        <v>4.4000000000000004</v>
      </c>
      <c r="AT654" s="18">
        <v>1.1000000000000001</v>
      </c>
      <c r="AU654" s="18">
        <v>1.5</v>
      </c>
      <c r="AV654" s="18">
        <v>1.7</v>
      </c>
      <c r="AW654" s="18">
        <v>1.7</v>
      </c>
      <c r="AX654" s="18"/>
      <c r="AY654" s="18">
        <v>0.89</v>
      </c>
      <c r="AZ654" s="18">
        <v>1.06</v>
      </c>
      <c r="BA654" s="18">
        <v>1.04</v>
      </c>
      <c r="BB654" s="18">
        <v>1.01</v>
      </c>
      <c r="BC654" s="18">
        <v>1.08</v>
      </c>
      <c r="BD654" s="18">
        <v>1.05</v>
      </c>
      <c r="BE654" s="18">
        <v>1.0900000000000001</v>
      </c>
      <c r="BF654" s="18">
        <v>1.05</v>
      </c>
      <c r="BG654" s="18">
        <v>1.02</v>
      </c>
      <c r="BH654" s="18">
        <v>1.1200000000000001</v>
      </c>
      <c r="BI654" s="18">
        <v>1.05</v>
      </c>
      <c r="BJ654" s="19"/>
      <c r="BK654" s="18">
        <v>15.707620528771406</v>
      </c>
      <c r="BL654" s="18">
        <v>1.866251944012433</v>
      </c>
      <c r="BM654" s="18">
        <v>10</v>
      </c>
      <c r="BN654" s="18">
        <v>0</v>
      </c>
      <c r="BO654" s="18"/>
      <c r="BP654" s="18">
        <v>34</v>
      </c>
      <c r="BQ654" s="18">
        <v>6.3452566096423064</v>
      </c>
      <c r="BR654" s="18">
        <v>1.1978145925416193</v>
      </c>
      <c r="BS654" s="18">
        <v>1.1525356855417395</v>
      </c>
      <c r="BT654" s="19"/>
      <c r="BU654" s="18">
        <v>900</v>
      </c>
      <c r="BV654" s="18">
        <v>717.10086647411697</v>
      </c>
      <c r="BW654" s="18">
        <v>12.857142857142907</v>
      </c>
      <c r="BX654" s="18">
        <v>0</v>
      </c>
      <c r="BY654" s="18" t="s">
        <v>217</v>
      </c>
      <c r="BZ654" s="18">
        <v>0</v>
      </c>
      <c r="CA654" s="18">
        <v>0</v>
      </c>
      <c r="CB654" s="19"/>
      <c r="CC654" s="19">
        <v>0.39999999999999997</v>
      </c>
      <c r="CD654" s="19">
        <v>0.44999999999999996</v>
      </c>
      <c r="CE654" s="19">
        <v>0.78000000000000091</v>
      </c>
      <c r="CF654" s="19">
        <v>1.5599999999999998</v>
      </c>
      <c r="CG654" s="19">
        <v>1.44</v>
      </c>
      <c r="CH654" s="19">
        <v>7.9999999999999891E-2</v>
      </c>
      <c r="CI654" s="19">
        <v>0</v>
      </c>
      <c r="CJ654" s="19"/>
      <c r="CK654" s="19">
        <v>0.69629999999999992</v>
      </c>
      <c r="CL654" s="19">
        <v>0.12659999999999996</v>
      </c>
      <c r="CM654" s="19">
        <v>0</v>
      </c>
      <c r="CN654" s="19">
        <v>0.37979999999999997</v>
      </c>
      <c r="CO654" s="19">
        <v>0</v>
      </c>
      <c r="CP654" s="19">
        <v>0</v>
      </c>
      <c r="CQ654" s="19">
        <v>7.5566220839813001</v>
      </c>
      <c r="CR654" s="19">
        <v>99.663100418034048</v>
      </c>
      <c r="HM654" s="620">
        <f t="shared" ref="HM654:HU654" si="690">HM284</f>
        <v>0</v>
      </c>
      <c r="HN654" s="620">
        <f t="shared" si="690"/>
        <v>0</v>
      </c>
      <c r="HO654" s="620">
        <f t="shared" si="690"/>
        <v>0</v>
      </c>
      <c r="HP654" s="620">
        <f t="shared" si="690"/>
        <v>0</v>
      </c>
      <c r="HQ654" s="620">
        <f t="shared" si="690"/>
        <v>0</v>
      </c>
      <c r="HR654" s="620">
        <f t="shared" si="690"/>
        <v>0</v>
      </c>
      <c r="HS654" s="620">
        <f t="shared" si="690"/>
        <v>0</v>
      </c>
      <c r="HT654" s="620">
        <f t="shared" si="690"/>
        <v>0</v>
      </c>
      <c r="HU654" s="620" t="str">
        <f t="shared" si="690"/>
        <v>offfarm</v>
      </c>
      <c r="HV654" s="22" t="s">
        <v>2076</v>
      </c>
      <c r="IB654" s="11">
        <f t="shared" ref="IB654:II654" si="691">IB284</f>
        <v>0.47300000000000003</v>
      </c>
      <c r="IC654" s="11">
        <f t="shared" si="691"/>
        <v>0.13</v>
      </c>
      <c r="ID654" s="11">
        <f t="shared" si="691"/>
        <v>0.39100000000000001</v>
      </c>
      <c r="IE654" s="11">
        <f t="shared" si="691"/>
        <v>5.5E-2</v>
      </c>
      <c r="IF654" s="11">
        <f t="shared" si="691"/>
        <v>3.97</v>
      </c>
      <c r="IG654" s="11">
        <f t="shared" si="691"/>
        <v>4.5999999999999999E-3</v>
      </c>
      <c r="IH654" s="11">
        <f t="shared" si="691"/>
        <v>2.73</v>
      </c>
      <c r="II654" s="11">
        <f t="shared" si="691"/>
        <v>0</v>
      </c>
    </row>
    <row r="655" spans="4:244" x14ac:dyDescent="0.25">
      <c r="D655" s="20" t="s">
        <v>1237</v>
      </c>
      <c r="E655" s="14">
        <v>42694</v>
      </c>
      <c r="F655" s="18">
        <v>6.4095266786681995E-2</v>
      </c>
      <c r="G655" s="18">
        <v>6.1669228550500998E-2</v>
      </c>
      <c r="H655" s="21">
        <v>99</v>
      </c>
      <c r="I655" s="21">
        <v>98</v>
      </c>
      <c r="J655" s="21">
        <v>98</v>
      </c>
      <c r="K655" s="18">
        <v>0.86</v>
      </c>
      <c r="L655" s="18">
        <v>5.2</v>
      </c>
      <c r="M655" s="18">
        <v>0.67600000000000005</v>
      </c>
      <c r="N655" s="18">
        <v>0.1222</v>
      </c>
      <c r="O655" s="18">
        <v>0.44719999999999999</v>
      </c>
      <c r="P655" s="18">
        <v>0</v>
      </c>
      <c r="Q655" s="19"/>
      <c r="R655" s="18">
        <v>85</v>
      </c>
      <c r="S655" s="18">
        <v>50</v>
      </c>
      <c r="T655" s="18">
        <v>50</v>
      </c>
      <c r="U655" s="18">
        <v>50</v>
      </c>
      <c r="V655" s="18">
        <v>50</v>
      </c>
      <c r="W655" s="18">
        <v>50</v>
      </c>
      <c r="X655" s="18"/>
      <c r="Y655" s="18">
        <v>10.259960744747191</v>
      </c>
      <c r="Z655" s="18">
        <v>8.5462136302810574</v>
      </c>
      <c r="AA655" s="18">
        <v>7.403229824862076</v>
      </c>
      <c r="AB655" s="18">
        <v>16.635551362792096</v>
      </c>
      <c r="AC655" s="18">
        <v>24.724462459915962</v>
      </c>
      <c r="AD655" s="18">
        <v>1.453217096983719</v>
      </c>
      <c r="AE655" s="18">
        <v>0</v>
      </c>
      <c r="AF655" s="18">
        <v>91.999999999999986</v>
      </c>
      <c r="AG655" s="18">
        <v>21.999999999999996</v>
      </c>
      <c r="AH655" s="18">
        <v>3</v>
      </c>
      <c r="AI655" s="18">
        <v>17</v>
      </c>
      <c r="AJ655" s="18">
        <v>0</v>
      </c>
      <c r="AK655" s="18">
        <v>0.05</v>
      </c>
      <c r="AL655" s="18"/>
      <c r="AM655" s="18">
        <v>6.3922845522859202</v>
      </c>
      <c r="AN655" s="18">
        <v>1.4350478772698001</v>
      </c>
      <c r="AO655" s="18">
        <v>1.51285907952347</v>
      </c>
      <c r="AP655" s="18">
        <v>5.3675239386348998</v>
      </c>
      <c r="AQ655" s="18">
        <v>1.19742818409531</v>
      </c>
      <c r="AR655" s="18">
        <v>5.7</v>
      </c>
      <c r="AS655" s="18">
        <v>8.1</v>
      </c>
      <c r="AT655" s="18">
        <v>1.2</v>
      </c>
      <c r="AU655" s="18">
        <v>2.6</v>
      </c>
      <c r="AV655" s="18">
        <v>2</v>
      </c>
      <c r="AW655" s="18">
        <v>5</v>
      </c>
      <c r="AX655" s="18"/>
      <c r="AY655" s="18">
        <v>0.89</v>
      </c>
      <c r="AZ655" s="18">
        <v>1.06</v>
      </c>
      <c r="BA655" s="18">
        <v>1.04</v>
      </c>
      <c r="BB655" s="18">
        <v>1.01</v>
      </c>
      <c r="BC655" s="18">
        <v>1.08</v>
      </c>
      <c r="BD655" s="18">
        <v>1.05</v>
      </c>
      <c r="BE655" s="18">
        <v>1.0900000000000001</v>
      </c>
      <c r="BF655" s="18">
        <v>1.05</v>
      </c>
      <c r="BG655" s="18">
        <v>1.02</v>
      </c>
      <c r="BH655" s="18">
        <v>1.1200000000000001</v>
      </c>
      <c r="BI655" s="18">
        <v>1.05</v>
      </c>
      <c r="BJ655" s="19"/>
      <c r="BK655" s="18">
        <v>13.000000000000002</v>
      </c>
      <c r="BL655" s="18">
        <v>2.35</v>
      </c>
      <c r="BM655" s="18">
        <v>8.6</v>
      </c>
      <c r="BN655" s="18">
        <v>0</v>
      </c>
      <c r="BO655" s="18"/>
      <c r="BP655" s="18">
        <v>34</v>
      </c>
      <c r="BQ655" s="18">
        <v>7.99</v>
      </c>
      <c r="BR655" s="18">
        <v>1.2326012843592691</v>
      </c>
      <c r="BS655" s="18">
        <v>1.1859467028942499</v>
      </c>
      <c r="BT655" s="19"/>
      <c r="BU655" s="18">
        <v>914</v>
      </c>
      <c r="BV655" s="18">
        <v>750.70785714285773</v>
      </c>
      <c r="BW655" s="18">
        <v>13.057142857142903</v>
      </c>
      <c r="BX655" s="18">
        <v>0</v>
      </c>
      <c r="BY655" s="18" t="s">
        <v>217</v>
      </c>
      <c r="BZ655" s="18">
        <v>0</v>
      </c>
      <c r="CA655" s="18">
        <v>0</v>
      </c>
      <c r="CB655" s="19"/>
      <c r="CC655" s="19">
        <v>0.53351795872685404</v>
      </c>
      <c r="CD655" s="19">
        <v>0.44440310877461503</v>
      </c>
      <c r="CE655" s="19">
        <v>0.38496795089282798</v>
      </c>
      <c r="CF655" s="19">
        <v>0.86504867086518911</v>
      </c>
      <c r="CG655" s="19">
        <v>1.2856720479156301</v>
      </c>
      <c r="CH655" s="19">
        <v>7.5567289043153393E-2</v>
      </c>
      <c r="CI655" s="19">
        <v>0</v>
      </c>
      <c r="CJ655" s="19"/>
      <c r="CK655" s="19">
        <v>4.7839999999999998</v>
      </c>
      <c r="CL655" s="19">
        <v>1.1439999999999999</v>
      </c>
      <c r="CM655" s="19">
        <v>0.15600000000000003</v>
      </c>
      <c r="CN655" s="19">
        <v>0.88400000000000012</v>
      </c>
      <c r="CO655" s="19">
        <v>0</v>
      </c>
      <c r="CP655" s="19">
        <v>2.6000000000000003E-3</v>
      </c>
      <c r="CQ655" s="19">
        <v>5.7460000000000004</v>
      </c>
      <c r="CR655" s="19">
        <v>89.647805338317596</v>
      </c>
      <c r="HM655" s="620">
        <f t="shared" ref="HM655:HU655" si="692">HM285</f>
        <v>0</v>
      </c>
      <c r="HN655" s="620">
        <f t="shared" si="692"/>
        <v>0</v>
      </c>
      <c r="HO655" s="620">
        <f t="shared" si="692"/>
        <v>0</v>
      </c>
      <c r="HP655" s="620">
        <f t="shared" si="692"/>
        <v>0</v>
      </c>
      <c r="HQ655" s="620">
        <f t="shared" si="692"/>
        <v>0</v>
      </c>
      <c r="HR655" s="620">
        <f t="shared" si="692"/>
        <v>0</v>
      </c>
      <c r="HS655" s="620">
        <f t="shared" si="692"/>
        <v>0</v>
      </c>
      <c r="HT655" s="620">
        <f t="shared" si="692"/>
        <v>0</v>
      </c>
      <c r="HU655" s="620" t="str">
        <f t="shared" si="692"/>
        <v>offfarm</v>
      </c>
      <c r="HV655" s="22" t="s">
        <v>2076</v>
      </c>
      <c r="IB655" s="11">
        <f t="shared" ref="IB655:II655" si="693">IB285</f>
        <v>0.47300000000000003</v>
      </c>
      <c r="IC655" s="11">
        <f t="shared" si="693"/>
        <v>0.13</v>
      </c>
      <c r="ID655" s="11">
        <f t="shared" si="693"/>
        <v>0.39100000000000001</v>
      </c>
      <c r="IE655" s="11">
        <f t="shared" si="693"/>
        <v>5.5E-2</v>
      </c>
      <c r="IF655" s="11">
        <f t="shared" si="693"/>
        <v>3.97</v>
      </c>
      <c r="IG655" s="11">
        <f t="shared" si="693"/>
        <v>4.5999999999999999E-3</v>
      </c>
      <c r="IH655" s="11">
        <f t="shared" si="693"/>
        <v>2.73</v>
      </c>
      <c r="II655" s="11">
        <f t="shared" si="693"/>
        <v>0</v>
      </c>
    </row>
    <row r="656" spans="4:244" x14ac:dyDescent="0.25">
      <c r="D656" s="20" t="s">
        <v>1238</v>
      </c>
      <c r="E656" s="14">
        <v>42694</v>
      </c>
      <c r="F656" s="18">
        <v>8.20119672410346E-2</v>
      </c>
      <c r="G656" s="18">
        <v>7.89048958947558E-2</v>
      </c>
      <c r="H656" s="21">
        <v>99</v>
      </c>
      <c r="I656" s="21">
        <v>98</v>
      </c>
      <c r="J656" s="21">
        <v>98</v>
      </c>
      <c r="K656" s="18">
        <v>0.86</v>
      </c>
      <c r="L656" s="18">
        <v>6.68</v>
      </c>
      <c r="M656" s="18">
        <v>0.55315029743390398</v>
      </c>
      <c r="N656" s="18">
        <v>0.16923671850699901</v>
      </c>
      <c r="O656" s="18">
        <v>0.65617241675000004</v>
      </c>
      <c r="P656" s="18">
        <v>0</v>
      </c>
      <c r="Q656" s="19"/>
      <c r="R656" s="18">
        <v>76.767354735176099</v>
      </c>
      <c r="S656" s="18">
        <v>50</v>
      </c>
      <c r="T656" s="18">
        <v>50</v>
      </c>
      <c r="U656" s="18">
        <v>50</v>
      </c>
      <c r="V656" s="18">
        <v>50</v>
      </c>
      <c r="W656" s="18">
        <v>50</v>
      </c>
      <c r="X656" s="18"/>
      <c r="Y656" s="18">
        <v>9.5158869760479039</v>
      </c>
      <c r="Z656" s="18">
        <v>7.5278443113772449</v>
      </c>
      <c r="AA656" s="18">
        <v>19.194461077844313</v>
      </c>
      <c r="AB656" s="18">
        <v>43.067964071856281</v>
      </c>
      <c r="AC656" s="18">
        <v>25.482877994011979</v>
      </c>
      <c r="AD656" s="18">
        <v>1.5109842814371257</v>
      </c>
      <c r="AE656" s="18">
        <v>0</v>
      </c>
      <c r="AF656" s="18">
        <v>21.397829341317365</v>
      </c>
      <c r="AG656" s="18">
        <v>4.567365269461078</v>
      </c>
      <c r="AH656" s="18">
        <v>0.38510479041916174</v>
      </c>
      <c r="AI656" s="18">
        <v>7.4120508982035922</v>
      </c>
      <c r="AJ656" s="18">
        <v>0</v>
      </c>
      <c r="AK656" s="18">
        <v>6.4184131736526942E-3</v>
      </c>
      <c r="AL656" s="18"/>
      <c r="AM656" s="18">
        <v>3.8356229497625201</v>
      </c>
      <c r="AN656" s="18">
        <v>0.76820930979343505</v>
      </c>
      <c r="AO656" s="18">
        <v>0.46261841103800899</v>
      </c>
      <c r="AP656" s="18">
        <v>2.5434406284352198</v>
      </c>
      <c r="AQ656" s="18">
        <v>0.73410465489671695</v>
      </c>
      <c r="AR656" s="18">
        <v>2.3154680577946398</v>
      </c>
      <c r="AS656" s="18">
        <v>4.7154680577946397</v>
      </c>
      <c r="AT656" s="18">
        <v>1.1085261637241799</v>
      </c>
      <c r="AU656" s="18">
        <v>1.5937878009659701</v>
      </c>
      <c r="AV656" s="18">
        <v>1.72557849117254</v>
      </c>
      <c r="AW656" s="18">
        <v>1.9813634028979199</v>
      </c>
      <c r="AX656" s="18"/>
      <c r="AY656" s="18">
        <v>0.89</v>
      </c>
      <c r="AZ656" s="18">
        <v>1.06</v>
      </c>
      <c r="BA656" s="18">
        <v>1.04</v>
      </c>
      <c r="BB656" s="18">
        <v>1.01</v>
      </c>
      <c r="BC656" s="18">
        <v>1.08</v>
      </c>
      <c r="BD656" s="18">
        <v>1.05</v>
      </c>
      <c r="BE656" s="18">
        <v>1.0900000000000001</v>
      </c>
      <c r="BF656" s="18">
        <v>1.05</v>
      </c>
      <c r="BG656" s="18">
        <v>1.02</v>
      </c>
      <c r="BH656" s="18">
        <v>1.1200000000000001</v>
      </c>
      <c r="BI656" s="18">
        <v>1.05</v>
      </c>
      <c r="BJ656" s="19"/>
      <c r="BK656" s="18">
        <v>8.2806930753578438</v>
      </c>
      <c r="BL656" s="18">
        <v>2.533483809985015</v>
      </c>
      <c r="BM656" s="18">
        <v>9.8229403705089826</v>
      </c>
      <c r="BN656" s="18">
        <v>0</v>
      </c>
      <c r="BO656" s="18"/>
      <c r="BP656" s="18">
        <v>34</v>
      </c>
      <c r="BQ656" s="18">
        <v>8.6138449539490285</v>
      </c>
      <c r="BR656" s="18">
        <v>1.2277240604945299</v>
      </c>
      <c r="BS656" s="18">
        <v>1.1812110163885599</v>
      </c>
      <c r="BT656" s="19"/>
      <c r="BU656" s="18">
        <v>901.77059629491032</v>
      </c>
      <c r="BV656" s="18">
        <v>779.94135329942367</v>
      </c>
      <c r="BW656" s="18">
        <v>12.882437089927308</v>
      </c>
      <c r="BX656" s="18">
        <v>0</v>
      </c>
      <c r="BY656" s="18" t="s">
        <v>217</v>
      </c>
      <c r="BZ656" s="18">
        <v>0</v>
      </c>
      <c r="CA656" s="18">
        <v>0</v>
      </c>
      <c r="CB656" s="19"/>
      <c r="CC656" s="19">
        <v>0.63566124999999996</v>
      </c>
      <c r="CD656" s="19">
        <v>0.50285999999999997</v>
      </c>
      <c r="CE656" s="19">
        <v>1.2821900000000002</v>
      </c>
      <c r="CF656" s="19">
        <v>2.8769399999999994</v>
      </c>
      <c r="CG656" s="19">
        <v>1.70225625</v>
      </c>
      <c r="CH656" s="19">
        <v>0.10093374999999999</v>
      </c>
      <c r="CI656" s="19">
        <v>0</v>
      </c>
      <c r="CJ656" s="19"/>
      <c r="CK656" s="19">
        <v>1.4293750000000001</v>
      </c>
      <c r="CL656" s="19">
        <v>0.30509999999999998</v>
      </c>
      <c r="CM656" s="19">
        <v>2.5725000000000005E-2</v>
      </c>
      <c r="CN656" s="19">
        <v>0.49512499999999993</v>
      </c>
      <c r="CO656" s="19">
        <v>0</v>
      </c>
      <c r="CP656" s="19">
        <v>4.2874999999999999E-4</v>
      </c>
      <c r="CQ656" s="19">
        <v>4.2463885104976704</v>
      </c>
      <c r="CR656" s="19">
        <v>51.777669203050095</v>
      </c>
      <c r="HM656" s="620">
        <f t="shared" ref="HM656:HU656" si="694">HM286</f>
        <v>0</v>
      </c>
      <c r="HN656" s="620">
        <f t="shared" si="694"/>
        <v>0</v>
      </c>
      <c r="HO656" s="620">
        <f t="shared" si="694"/>
        <v>0</v>
      </c>
      <c r="HP656" s="620">
        <f t="shared" si="694"/>
        <v>0</v>
      </c>
      <c r="HQ656" s="620">
        <f t="shared" si="694"/>
        <v>0</v>
      </c>
      <c r="HR656" s="620">
        <f t="shared" si="694"/>
        <v>0</v>
      </c>
      <c r="HS656" s="620">
        <f t="shared" si="694"/>
        <v>0</v>
      </c>
      <c r="HT656" s="620">
        <f t="shared" si="694"/>
        <v>0</v>
      </c>
      <c r="HU656" s="620" t="str">
        <f t="shared" si="694"/>
        <v>offfarm</v>
      </c>
      <c r="HV656" s="22" t="s">
        <v>2076</v>
      </c>
      <c r="IB656" s="11">
        <f t="shared" ref="IB656:II656" si="695">IB286</f>
        <v>0.47300000000000003</v>
      </c>
      <c r="IC656" s="11">
        <f t="shared" si="695"/>
        <v>0.13</v>
      </c>
      <c r="ID656" s="11">
        <f t="shared" si="695"/>
        <v>0.39100000000000001</v>
      </c>
      <c r="IE656" s="11">
        <f t="shared" si="695"/>
        <v>5.5E-2</v>
      </c>
      <c r="IF656" s="11">
        <f t="shared" si="695"/>
        <v>3.97</v>
      </c>
      <c r="IG656" s="11">
        <f t="shared" si="695"/>
        <v>4.5999999999999999E-3</v>
      </c>
      <c r="IH656" s="11">
        <f t="shared" si="695"/>
        <v>2.73</v>
      </c>
      <c r="II656" s="11">
        <f t="shared" si="695"/>
        <v>0</v>
      </c>
    </row>
    <row r="657" spans="4:243" x14ac:dyDescent="0.25">
      <c r="D657" s="20" t="s">
        <v>1322</v>
      </c>
      <c r="E657" s="14">
        <v>42691</v>
      </c>
      <c r="F657" s="18">
        <v>7.0958841882875004E-2</v>
      </c>
      <c r="G657" s="18">
        <v>6.8273555785973494E-2</v>
      </c>
      <c r="H657" s="21">
        <v>99</v>
      </c>
      <c r="I657" s="21">
        <v>98</v>
      </c>
      <c r="J657" s="21">
        <v>98</v>
      </c>
      <c r="K657" s="18">
        <v>0.86</v>
      </c>
      <c r="L657" s="18">
        <v>5.77</v>
      </c>
      <c r="M657" s="18">
        <v>0.79625999999999997</v>
      </c>
      <c r="N657" s="18">
        <v>0.13270999999999999</v>
      </c>
      <c r="O657" s="18">
        <v>0.49741381299999998</v>
      </c>
      <c r="P657" s="18">
        <v>0</v>
      </c>
      <c r="Q657" s="19"/>
      <c r="R657" s="18">
        <v>85</v>
      </c>
      <c r="S657" s="18">
        <v>50</v>
      </c>
      <c r="T657" s="18">
        <v>50</v>
      </c>
      <c r="U657" s="18">
        <v>50</v>
      </c>
      <c r="V657" s="18">
        <v>50</v>
      </c>
      <c r="W657" s="18">
        <v>50</v>
      </c>
      <c r="X657" s="18"/>
      <c r="Y657" s="18">
        <v>7.2</v>
      </c>
      <c r="Z657" s="18">
        <v>7.3</v>
      </c>
      <c r="AA657" s="18">
        <v>6.8</v>
      </c>
      <c r="AB657" s="18">
        <v>17.200000000000003</v>
      </c>
      <c r="AC657" s="18">
        <v>25.5</v>
      </c>
      <c r="AD657" s="18">
        <v>1.3</v>
      </c>
      <c r="AE657" s="18">
        <v>0</v>
      </c>
      <c r="AF657" s="18">
        <v>92.000000000000014</v>
      </c>
      <c r="AG657" s="18">
        <v>22.000000000000004</v>
      </c>
      <c r="AH657" s="18">
        <v>3</v>
      </c>
      <c r="AI657" s="18">
        <v>17.000000000000004</v>
      </c>
      <c r="AJ657" s="18">
        <v>0</v>
      </c>
      <c r="AK657" s="18">
        <v>0.05</v>
      </c>
      <c r="AL657" s="18"/>
      <c r="AM657" s="18">
        <v>6.1</v>
      </c>
      <c r="AN657" s="18">
        <v>1.5</v>
      </c>
      <c r="AO657" s="18">
        <v>2</v>
      </c>
      <c r="AP657" s="18">
        <v>5.4</v>
      </c>
      <c r="AQ657" s="18">
        <v>1.1000000000000001</v>
      </c>
      <c r="AR657" s="18">
        <v>5.7</v>
      </c>
      <c r="AS657" s="18">
        <v>8.1</v>
      </c>
      <c r="AT657" s="18">
        <v>1.2</v>
      </c>
      <c r="AU657" s="18">
        <v>2.6</v>
      </c>
      <c r="AV657" s="18">
        <v>2</v>
      </c>
      <c r="AW657" s="18">
        <v>5</v>
      </c>
      <c r="AX657" s="18"/>
      <c r="AY657" s="18">
        <v>0.89</v>
      </c>
      <c r="AZ657" s="18">
        <v>1.06</v>
      </c>
      <c r="BA657" s="18">
        <v>1.04</v>
      </c>
      <c r="BB657" s="18">
        <v>1.01</v>
      </c>
      <c r="BC657" s="18">
        <v>1.08</v>
      </c>
      <c r="BD657" s="18">
        <v>1.05</v>
      </c>
      <c r="BE657" s="18">
        <v>1.0900000000000001</v>
      </c>
      <c r="BF657" s="18">
        <v>1.05</v>
      </c>
      <c r="BG657" s="18">
        <v>1.02</v>
      </c>
      <c r="BH657" s="18">
        <v>1.1200000000000001</v>
      </c>
      <c r="BI657" s="18">
        <v>1.05</v>
      </c>
      <c r="BJ657" s="19"/>
      <c r="BK657" s="18">
        <v>13.799999999999999</v>
      </c>
      <c r="BL657" s="18">
        <v>2.2999999999999998</v>
      </c>
      <c r="BM657" s="18">
        <v>8.6206900000000015</v>
      </c>
      <c r="BN657" s="18">
        <v>0</v>
      </c>
      <c r="BO657" s="18"/>
      <c r="BP657" s="18">
        <v>34</v>
      </c>
      <c r="BQ657" s="18">
        <v>7.8200000000000012</v>
      </c>
      <c r="BR657" s="18">
        <v>1.2297892873981804</v>
      </c>
      <c r="BS657" s="18">
        <v>1.1832505335524004</v>
      </c>
      <c r="BT657" s="19"/>
      <c r="BU657" s="18">
        <v>913.79310000000009</v>
      </c>
      <c r="BV657" s="18">
        <v>743.71098185714402</v>
      </c>
      <c r="BW657" s="18">
        <v>13.054187142857106</v>
      </c>
      <c r="BX657" s="18">
        <v>0</v>
      </c>
      <c r="BY657" s="18" t="s">
        <v>217</v>
      </c>
      <c r="BZ657" s="18">
        <v>0</v>
      </c>
      <c r="CA657" s="18">
        <v>0</v>
      </c>
      <c r="CB657" s="19"/>
      <c r="CC657" s="19">
        <v>0.41543999999999998</v>
      </c>
      <c r="CD657" s="19">
        <v>0.42120999999999997</v>
      </c>
      <c r="CE657" s="19">
        <v>0.39235999999999993</v>
      </c>
      <c r="CF657" s="19">
        <v>0.9924400000000001</v>
      </c>
      <c r="CG657" s="19">
        <v>1.4713499999999999</v>
      </c>
      <c r="CH657" s="19">
        <v>7.5009999999999993E-2</v>
      </c>
      <c r="CI657" s="19">
        <v>0</v>
      </c>
      <c r="CJ657" s="19"/>
      <c r="CK657" s="19">
        <v>5.3084000000000007</v>
      </c>
      <c r="CL657" s="19">
        <v>1.2694000000000001</v>
      </c>
      <c r="CM657" s="19">
        <v>0.17309999999999998</v>
      </c>
      <c r="CN657" s="19">
        <v>0.98090000000000011</v>
      </c>
      <c r="CO657" s="19">
        <v>0</v>
      </c>
      <c r="CP657" s="19">
        <v>2.885E-3</v>
      </c>
      <c r="CQ657" s="19">
        <v>6.7682099999999998</v>
      </c>
      <c r="CR657" s="19">
        <v>95.382193683087991</v>
      </c>
      <c r="HM657" s="620">
        <f t="shared" ref="HM657:HU657" si="696">HM287</f>
        <v>0</v>
      </c>
      <c r="HN657" s="620">
        <f t="shared" si="696"/>
        <v>0</v>
      </c>
      <c r="HO657" s="620">
        <f t="shared" si="696"/>
        <v>0</v>
      </c>
      <c r="HP657" s="620">
        <f t="shared" si="696"/>
        <v>0</v>
      </c>
      <c r="HQ657" s="620">
        <f t="shared" si="696"/>
        <v>0</v>
      </c>
      <c r="HR657" s="620">
        <f t="shared" si="696"/>
        <v>0</v>
      </c>
      <c r="HS657" s="620">
        <f t="shared" si="696"/>
        <v>0</v>
      </c>
      <c r="HT657" s="620">
        <f t="shared" si="696"/>
        <v>0</v>
      </c>
      <c r="HU657" s="620" t="str">
        <f t="shared" si="696"/>
        <v>offfarm</v>
      </c>
      <c r="HV657" s="22" t="s">
        <v>2076</v>
      </c>
      <c r="IB657" s="11">
        <f t="shared" ref="IB657:II657" si="697">IB287</f>
        <v>0.47300000000000003</v>
      </c>
      <c r="IC657" s="11">
        <f t="shared" si="697"/>
        <v>0.13</v>
      </c>
      <c r="ID657" s="11">
        <f t="shared" si="697"/>
        <v>0.39100000000000001</v>
      </c>
      <c r="IE657" s="11">
        <f t="shared" si="697"/>
        <v>5.5E-2</v>
      </c>
      <c r="IF657" s="11">
        <f t="shared" si="697"/>
        <v>3.97</v>
      </c>
      <c r="IG657" s="11">
        <f t="shared" si="697"/>
        <v>4.5999999999999999E-3</v>
      </c>
      <c r="IH657" s="11">
        <f t="shared" si="697"/>
        <v>2.73</v>
      </c>
      <c r="II657" s="11">
        <f t="shared" si="697"/>
        <v>0</v>
      </c>
    </row>
    <row r="658" spans="4:243" x14ac:dyDescent="0.25">
      <c r="D658" s="20" t="s">
        <v>1323</v>
      </c>
      <c r="E658" s="14">
        <v>42691</v>
      </c>
      <c r="F658" s="18">
        <v>4.3868820398313101E-2</v>
      </c>
      <c r="G658" s="18">
        <v>4.2208370246413301E-2</v>
      </c>
      <c r="H658" s="21">
        <v>99</v>
      </c>
      <c r="I658" s="21">
        <v>98</v>
      </c>
      <c r="J658" s="21">
        <v>98</v>
      </c>
      <c r="K658" s="18">
        <v>0.86</v>
      </c>
      <c r="L658" s="18">
        <v>3.56</v>
      </c>
      <c r="M658" s="18">
        <v>0.74048000000000003</v>
      </c>
      <c r="N658" s="18">
        <v>0.11036</v>
      </c>
      <c r="O658" s="18">
        <v>0.30689656399999998</v>
      </c>
      <c r="P658" s="18">
        <v>0</v>
      </c>
      <c r="Q658" s="19"/>
      <c r="R658" s="18">
        <v>85</v>
      </c>
      <c r="S658" s="18">
        <v>50</v>
      </c>
      <c r="T658" s="18">
        <v>50</v>
      </c>
      <c r="U658" s="18">
        <v>50</v>
      </c>
      <c r="V658" s="18">
        <v>50</v>
      </c>
      <c r="W658" s="18">
        <v>50</v>
      </c>
      <c r="X658" s="18"/>
      <c r="Y658" s="18">
        <v>11.5</v>
      </c>
      <c r="Z658" s="18">
        <v>9</v>
      </c>
      <c r="AA658" s="18">
        <v>7.7999999999999989</v>
      </c>
      <c r="AB658" s="18">
        <v>9.2999999999999989</v>
      </c>
      <c r="AC658" s="18">
        <v>26.700000000000003</v>
      </c>
      <c r="AD658" s="18">
        <v>1.7999999999999998</v>
      </c>
      <c r="AE658" s="18">
        <v>0</v>
      </c>
      <c r="AF658" s="18">
        <v>92</v>
      </c>
      <c r="AG658" s="18">
        <v>22</v>
      </c>
      <c r="AH658" s="18">
        <v>3</v>
      </c>
      <c r="AI658" s="18">
        <v>17</v>
      </c>
      <c r="AJ658" s="18">
        <v>0</v>
      </c>
      <c r="AK658" s="18">
        <v>4.9999999999999996E-2</v>
      </c>
      <c r="AL658" s="18"/>
      <c r="AM658" s="18">
        <v>6.1</v>
      </c>
      <c r="AN658" s="18">
        <v>1.5</v>
      </c>
      <c r="AO658" s="18">
        <v>2</v>
      </c>
      <c r="AP658" s="18">
        <v>5.4</v>
      </c>
      <c r="AQ658" s="18">
        <v>1.1000000000000001</v>
      </c>
      <c r="AR658" s="18">
        <v>5.7</v>
      </c>
      <c r="AS658" s="18">
        <v>8.1</v>
      </c>
      <c r="AT658" s="18">
        <v>1.2</v>
      </c>
      <c r="AU658" s="18">
        <v>2.6</v>
      </c>
      <c r="AV658" s="18">
        <v>2</v>
      </c>
      <c r="AW658" s="18">
        <v>5</v>
      </c>
      <c r="AX658" s="18"/>
      <c r="AY658" s="18">
        <v>0.89</v>
      </c>
      <c r="AZ658" s="18">
        <v>1.06</v>
      </c>
      <c r="BA658" s="18">
        <v>1.04</v>
      </c>
      <c r="BB658" s="18">
        <v>1.01</v>
      </c>
      <c r="BC658" s="18">
        <v>1.08</v>
      </c>
      <c r="BD658" s="18">
        <v>1.05</v>
      </c>
      <c r="BE658" s="18">
        <v>1.0900000000000001</v>
      </c>
      <c r="BF658" s="18">
        <v>1.05</v>
      </c>
      <c r="BG658" s="18">
        <v>1.02</v>
      </c>
      <c r="BH658" s="18">
        <v>1.1200000000000001</v>
      </c>
      <c r="BI658" s="18">
        <v>1.05</v>
      </c>
      <c r="BJ658" s="19"/>
      <c r="BK658" s="18">
        <v>20.8</v>
      </c>
      <c r="BL658" s="18">
        <v>3.0999999999999996</v>
      </c>
      <c r="BM658" s="18">
        <v>8.6206899999999997</v>
      </c>
      <c r="BN658" s="18">
        <v>0</v>
      </c>
      <c r="BO658" s="18"/>
      <c r="BP658" s="18">
        <v>34</v>
      </c>
      <c r="BQ658" s="18">
        <v>10.54</v>
      </c>
      <c r="BR658" s="18">
        <v>1.2322702359076712</v>
      </c>
      <c r="BS658" s="18">
        <v>1.1856283777082388</v>
      </c>
      <c r="BT658" s="19"/>
      <c r="BU658" s="18">
        <v>913.79309999999998</v>
      </c>
      <c r="BV658" s="18">
        <v>672.25098185714319</v>
      </c>
      <c r="BW658" s="18">
        <v>13.054187142857106</v>
      </c>
      <c r="BX658" s="18">
        <v>0</v>
      </c>
      <c r="BY658" s="18" t="s">
        <v>217</v>
      </c>
      <c r="BZ658" s="18">
        <v>0</v>
      </c>
      <c r="CA658" s="18">
        <v>0</v>
      </c>
      <c r="CB658" s="19"/>
      <c r="CC658" s="19">
        <v>0.40939999999999999</v>
      </c>
      <c r="CD658" s="19">
        <v>0.32040000000000002</v>
      </c>
      <c r="CE658" s="19">
        <v>0.27767999999999998</v>
      </c>
      <c r="CF658" s="19">
        <v>0.33107999999999999</v>
      </c>
      <c r="CG658" s="19">
        <v>0.95052000000000014</v>
      </c>
      <c r="CH658" s="19">
        <v>6.4079999999999998E-2</v>
      </c>
      <c r="CI658" s="19">
        <v>0</v>
      </c>
      <c r="CJ658" s="19"/>
      <c r="CK658" s="19">
        <v>3.2751999999999999</v>
      </c>
      <c r="CL658" s="19">
        <v>0.78320000000000001</v>
      </c>
      <c r="CM658" s="19">
        <v>0.10680000000000001</v>
      </c>
      <c r="CN658" s="19">
        <v>0.60519999999999996</v>
      </c>
      <c r="CO658" s="19">
        <v>0</v>
      </c>
      <c r="CP658" s="19">
        <v>1.7799999999999999E-3</v>
      </c>
      <c r="CQ658" s="19">
        <v>6.2940800000000001</v>
      </c>
      <c r="CR658" s="19">
        <v>143.47502264369132</v>
      </c>
      <c r="HM658" s="620">
        <f t="shared" ref="HM658:HU658" si="698">HM288</f>
        <v>0</v>
      </c>
      <c r="HN658" s="620">
        <f t="shared" si="698"/>
        <v>0</v>
      </c>
      <c r="HO658" s="620">
        <f t="shared" si="698"/>
        <v>0</v>
      </c>
      <c r="HP658" s="620">
        <f t="shared" si="698"/>
        <v>0</v>
      </c>
      <c r="HQ658" s="620">
        <f t="shared" si="698"/>
        <v>0</v>
      </c>
      <c r="HR658" s="620">
        <f t="shared" si="698"/>
        <v>0</v>
      </c>
      <c r="HS658" s="620">
        <f t="shared" si="698"/>
        <v>0</v>
      </c>
      <c r="HT658" s="620">
        <f t="shared" si="698"/>
        <v>0</v>
      </c>
      <c r="HU658" s="620" t="str">
        <f t="shared" si="698"/>
        <v>offfarm</v>
      </c>
      <c r="HV658" s="22" t="s">
        <v>2076</v>
      </c>
      <c r="IB658" s="11">
        <f t="shared" ref="IB658:II658" si="699">IB288</f>
        <v>0.47300000000000003</v>
      </c>
      <c r="IC658" s="11">
        <f t="shared" si="699"/>
        <v>0.13</v>
      </c>
      <c r="ID658" s="11">
        <f t="shared" si="699"/>
        <v>0.39100000000000001</v>
      </c>
      <c r="IE658" s="11">
        <f t="shared" si="699"/>
        <v>5.5E-2</v>
      </c>
      <c r="IF658" s="11">
        <f t="shared" si="699"/>
        <v>3.97</v>
      </c>
      <c r="IG658" s="11">
        <f t="shared" si="699"/>
        <v>4.5999999999999999E-3</v>
      </c>
      <c r="IH658" s="11">
        <f t="shared" si="699"/>
        <v>2.73</v>
      </c>
      <c r="II658" s="11">
        <f t="shared" si="699"/>
        <v>0</v>
      </c>
    </row>
    <row r="659" spans="4:243" x14ac:dyDescent="0.25">
      <c r="D659" s="20" t="s">
        <v>1324</v>
      </c>
      <c r="E659" s="14">
        <v>42691</v>
      </c>
      <c r="F659" s="18">
        <v>0.17772054148257899</v>
      </c>
      <c r="G659" s="18">
        <v>0.17100756265658601</v>
      </c>
      <c r="H659" s="21">
        <v>99</v>
      </c>
      <c r="I659" s="21">
        <v>98</v>
      </c>
      <c r="J659" s="21">
        <v>98</v>
      </c>
      <c r="K659" s="18">
        <v>0.86</v>
      </c>
      <c r="L659" s="18">
        <v>14.95</v>
      </c>
      <c r="M659" s="18">
        <v>0.62790000000000001</v>
      </c>
      <c r="N659" s="18">
        <v>4.4850000000000001E-2</v>
      </c>
      <c r="O659" s="18">
        <v>1.4950000000000001</v>
      </c>
      <c r="P659" s="18">
        <v>0</v>
      </c>
      <c r="Q659" s="19"/>
      <c r="R659" s="18">
        <v>76</v>
      </c>
      <c r="S659" s="18">
        <v>50</v>
      </c>
      <c r="T659" s="18">
        <v>50</v>
      </c>
      <c r="U659" s="18">
        <v>50</v>
      </c>
      <c r="V659" s="18">
        <v>50</v>
      </c>
      <c r="W659" s="18">
        <v>50</v>
      </c>
      <c r="X659" s="18"/>
      <c r="Y659" s="18">
        <v>7.7</v>
      </c>
      <c r="Z659" s="18">
        <v>5.7</v>
      </c>
      <c r="AA659" s="18">
        <v>19</v>
      </c>
      <c r="AB659" s="18">
        <v>48.199999999999996</v>
      </c>
      <c r="AC659" s="18">
        <v>27.299999999999997</v>
      </c>
      <c r="AD659" s="18">
        <v>1.5000000000000002</v>
      </c>
      <c r="AE659" s="18">
        <v>0</v>
      </c>
      <c r="AF659" s="18">
        <v>11.000000000000002</v>
      </c>
      <c r="AG659" s="18">
        <v>2</v>
      </c>
      <c r="AH659" s="18">
        <v>0</v>
      </c>
      <c r="AI659" s="18">
        <v>6.0000000000000009</v>
      </c>
      <c r="AJ659" s="18">
        <v>0</v>
      </c>
      <c r="AK659" s="18">
        <v>0</v>
      </c>
      <c r="AL659" s="18"/>
      <c r="AM659" s="18">
        <v>3.6</v>
      </c>
      <c r="AN659" s="18">
        <v>0.7</v>
      </c>
      <c r="AO659" s="18">
        <v>0</v>
      </c>
      <c r="AP659" s="18">
        <v>2.4</v>
      </c>
      <c r="AQ659" s="18">
        <v>0.7</v>
      </c>
      <c r="AR659" s="18">
        <v>2</v>
      </c>
      <c r="AS659" s="18">
        <v>4.4000000000000004</v>
      </c>
      <c r="AT659" s="18">
        <v>1.1000000000000001</v>
      </c>
      <c r="AU659" s="18">
        <v>1.5</v>
      </c>
      <c r="AV659" s="18">
        <v>1.7</v>
      </c>
      <c r="AW659" s="18">
        <v>1.7</v>
      </c>
      <c r="AX659" s="18"/>
      <c r="AY659" s="18">
        <v>0.89</v>
      </c>
      <c r="AZ659" s="18">
        <v>1.06</v>
      </c>
      <c r="BA659" s="18">
        <v>1.04</v>
      </c>
      <c r="BB659" s="18">
        <v>1.01</v>
      </c>
      <c r="BC659" s="18">
        <v>1.08</v>
      </c>
      <c r="BD659" s="18">
        <v>1.05</v>
      </c>
      <c r="BE659" s="18">
        <v>1.0900000000000001</v>
      </c>
      <c r="BF659" s="18">
        <v>1.05</v>
      </c>
      <c r="BG659" s="18">
        <v>1.02</v>
      </c>
      <c r="BH659" s="18">
        <v>1.1200000000000001</v>
      </c>
      <c r="BI659" s="18">
        <v>1.05</v>
      </c>
      <c r="BJ659" s="19"/>
      <c r="BK659" s="18">
        <v>4.2</v>
      </c>
      <c r="BL659" s="18">
        <v>0.30000000000000004</v>
      </c>
      <c r="BM659" s="18">
        <v>10</v>
      </c>
      <c r="BN659" s="18">
        <v>0</v>
      </c>
      <c r="BO659" s="18"/>
      <c r="BP659" s="18">
        <v>34</v>
      </c>
      <c r="BQ659" s="18">
        <v>1.02</v>
      </c>
      <c r="BR659" s="18">
        <v>1.1887661637630702</v>
      </c>
      <c r="BS659" s="18">
        <v>1.1438632953617793</v>
      </c>
      <c r="BT659" s="19"/>
      <c r="BU659" s="18">
        <v>900.00000000000011</v>
      </c>
      <c r="BV659" s="18">
        <v>837.01285714285621</v>
      </c>
      <c r="BW659" s="18">
        <v>12.857142857142877</v>
      </c>
      <c r="BX659" s="18">
        <v>0</v>
      </c>
      <c r="BY659" s="18" t="s">
        <v>217</v>
      </c>
      <c r="BZ659" s="18">
        <v>0</v>
      </c>
      <c r="CA659" s="18">
        <v>0</v>
      </c>
      <c r="CB659" s="19"/>
      <c r="CC659" s="19">
        <v>1.1511499999999999</v>
      </c>
      <c r="CD659" s="19">
        <v>0.85214999999999996</v>
      </c>
      <c r="CE659" s="19">
        <v>2.8405</v>
      </c>
      <c r="CF659" s="19">
        <v>7.2058999999999989</v>
      </c>
      <c r="CG659" s="19">
        <v>4.0813499999999996</v>
      </c>
      <c r="CH659" s="19">
        <v>0.22425000000000003</v>
      </c>
      <c r="CI659" s="19">
        <v>0</v>
      </c>
      <c r="CJ659" s="19"/>
      <c r="CK659" s="19">
        <v>1.6445000000000003</v>
      </c>
      <c r="CL659" s="19">
        <v>0.29899999999999999</v>
      </c>
      <c r="CM659" s="19">
        <v>0</v>
      </c>
      <c r="CN659" s="19">
        <v>0.89700000000000013</v>
      </c>
      <c r="CO659" s="19">
        <v>0</v>
      </c>
      <c r="CP659" s="19">
        <v>0</v>
      </c>
      <c r="CQ659" s="19">
        <v>4.7720399999999996</v>
      </c>
      <c r="CR659" s="19">
        <v>26.851369910257546</v>
      </c>
      <c r="HM659" s="620">
        <f t="shared" ref="HM659:HU659" si="700">HM289</f>
        <v>0</v>
      </c>
      <c r="HN659" s="620">
        <f t="shared" si="700"/>
        <v>0</v>
      </c>
      <c r="HO659" s="620">
        <f t="shared" si="700"/>
        <v>0</v>
      </c>
      <c r="HP659" s="620">
        <f t="shared" si="700"/>
        <v>0</v>
      </c>
      <c r="HQ659" s="620">
        <f t="shared" si="700"/>
        <v>0</v>
      </c>
      <c r="HR659" s="620">
        <f t="shared" si="700"/>
        <v>0</v>
      </c>
      <c r="HS659" s="620">
        <f t="shared" si="700"/>
        <v>0</v>
      </c>
      <c r="HT659" s="620">
        <f t="shared" si="700"/>
        <v>0</v>
      </c>
      <c r="HU659" s="620" t="str">
        <f t="shared" si="700"/>
        <v>offfarm</v>
      </c>
      <c r="HV659" s="22" t="s">
        <v>2076</v>
      </c>
      <c r="IB659" s="11">
        <f t="shared" ref="IB659:II659" si="701">IB289</f>
        <v>0.47300000000000003</v>
      </c>
      <c r="IC659" s="11">
        <f t="shared" si="701"/>
        <v>0.13</v>
      </c>
      <c r="ID659" s="11">
        <f t="shared" si="701"/>
        <v>0.39100000000000001</v>
      </c>
      <c r="IE659" s="11">
        <f t="shared" si="701"/>
        <v>5.5E-2</v>
      </c>
      <c r="IF659" s="11">
        <f t="shared" si="701"/>
        <v>3.97</v>
      </c>
      <c r="IG659" s="11">
        <f t="shared" si="701"/>
        <v>4.5999999999999999E-3</v>
      </c>
      <c r="IH659" s="11">
        <f t="shared" si="701"/>
        <v>2.73</v>
      </c>
      <c r="II659" s="11">
        <f t="shared" si="701"/>
        <v>0</v>
      </c>
    </row>
    <row r="660" spans="4:243" x14ac:dyDescent="0.25">
      <c r="D660" s="20" t="s">
        <v>1325</v>
      </c>
      <c r="E660" s="14">
        <v>42691</v>
      </c>
      <c r="F660" s="18">
        <v>7.1763437888606701E-2</v>
      </c>
      <c r="G660" s="18">
        <v>6.9046084847338193E-2</v>
      </c>
      <c r="H660" s="21">
        <v>99</v>
      </c>
      <c r="I660" s="21">
        <v>98</v>
      </c>
      <c r="J660" s="21">
        <v>98</v>
      </c>
      <c r="K660" s="18">
        <v>0.86</v>
      </c>
      <c r="L660" s="18">
        <v>5.8</v>
      </c>
      <c r="M660" s="18">
        <v>0.63219999999999998</v>
      </c>
      <c r="N660" s="18">
        <v>0.13919999999999999</v>
      </c>
      <c r="O660" s="18">
        <v>0.50000001999999999</v>
      </c>
      <c r="P660" s="18">
        <v>0</v>
      </c>
      <c r="Q660" s="19"/>
      <c r="R660" s="18">
        <v>85</v>
      </c>
      <c r="S660" s="18">
        <v>50</v>
      </c>
      <c r="T660" s="18">
        <v>50</v>
      </c>
      <c r="U660" s="18">
        <v>50</v>
      </c>
      <c r="V660" s="18">
        <v>50</v>
      </c>
      <c r="W660" s="18">
        <v>50</v>
      </c>
      <c r="X660" s="18"/>
      <c r="Y660" s="18">
        <v>19.399999999999999</v>
      </c>
      <c r="Z660" s="18">
        <v>12</v>
      </c>
      <c r="AA660" s="18">
        <v>6</v>
      </c>
      <c r="AB660" s="18">
        <v>12.899999999999999</v>
      </c>
      <c r="AC660" s="18">
        <v>26.200000000000003</v>
      </c>
      <c r="AD660" s="18">
        <v>1.7</v>
      </c>
      <c r="AE660" s="18">
        <v>0</v>
      </c>
      <c r="AF660" s="18">
        <v>92</v>
      </c>
      <c r="AG660" s="18">
        <v>22.000000000000004</v>
      </c>
      <c r="AH660" s="18">
        <v>3</v>
      </c>
      <c r="AI660" s="18">
        <v>17</v>
      </c>
      <c r="AJ660" s="18">
        <v>0</v>
      </c>
      <c r="AK660" s="18">
        <v>4.9999999999999996E-2</v>
      </c>
      <c r="AL660" s="18"/>
      <c r="AM660" s="18">
        <v>7</v>
      </c>
      <c r="AN660" s="18">
        <v>1.3</v>
      </c>
      <c r="AO660" s="18">
        <v>0.5</v>
      </c>
      <c r="AP660" s="18">
        <v>5.3</v>
      </c>
      <c r="AQ660" s="18">
        <v>1.4</v>
      </c>
      <c r="AR660" s="18">
        <v>5.7</v>
      </c>
      <c r="AS660" s="18">
        <v>8.1</v>
      </c>
      <c r="AT660" s="18">
        <v>1.2</v>
      </c>
      <c r="AU660" s="18">
        <v>2.6</v>
      </c>
      <c r="AV660" s="18">
        <v>2</v>
      </c>
      <c r="AW660" s="18">
        <v>5</v>
      </c>
      <c r="AX660" s="18"/>
      <c r="AY660" s="18">
        <v>0.89</v>
      </c>
      <c r="AZ660" s="18">
        <v>1.06</v>
      </c>
      <c r="BA660" s="18">
        <v>1.04</v>
      </c>
      <c r="BB660" s="18">
        <v>1.01</v>
      </c>
      <c r="BC660" s="18">
        <v>1.08</v>
      </c>
      <c r="BD660" s="18">
        <v>1.05</v>
      </c>
      <c r="BE660" s="18">
        <v>1.0900000000000001</v>
      </c>
      <c r="BF660" s="18">
        <v>1.05</v>
      </c>
      <c r="BG660" s="18">
        <v>1.02</v>
      </c>
      <c r="BH660" s="18">
        <v>1.1200000000000001</v>
      </c>
      <c r="BI660" s="18">
        <v>1.05</v>
      </c>
      <c r="BJ660" s="19"/>
      <c r="BK660" s="18">
        <v>10.9</v>
      </c>
      <c r="BL660" s="18">
        <v>2.4</v>
      </c>
      <c r="BM660" s="18">
        <v>8.6206899999999997</v>
      </c>
      <c r="BN660" s="18">
        <v>0</v>
      </c>
      <c r="BO660" s="18"/>
      <c r="BP660" s="18">
        <v>34</v>
      </c>
      <c r="BQ660" s="18">
        <v>8.16</v>
      </c>
      <c r="BR660" s="18">
        <v>1.2373006532518398</v>
      </c>
      <c r="BS660" s="18">
        <v>1.1904497387472102</v>
      </c>
      <c r="BT660" s="19"/>
      <c r="BU660" s="18">
        <v>913.79309999999998</v>
      </c>
      <c r="BV660" s="18">
        <v>769.13098185714307</v>
      </c>
      <c r="BW660" s="18">
        <v>13.054187142857105</v>
      </c>
      <c r="BX660" s="18">
        <v>0</v>
      </c>
      <c r="BY660" s="18" t="s">
        <v>217</v>
      </c>
      <c r="BZ660" s="18">
        <v>0</v>
      </c>
      <c r="CA660" s="18">
        <v>0</v>
      </c>
      <c r="CB660" s="19"/>
      <c r="CC660" s="19">
        <v>1.1251999999999998</v>
      </c>
      <c r="CD660" s="19">
        <v>0.69599999999999995</v>
      </c>
      <c r="CE660" s="19">
        <v>0.34799999999999998</v>
      </c>
      <c r="CF660" s="19">
        <v>0.74819999999999987</v>
      </c>
      <c r="CG660" s="19">
        <v>1.5196000000000001</v>
      </c>
      <c r="CH660" s="19">
        <v>9.8599999999999993E-2</v>
      </c>
      <c r="CI660" s="19">
        <v>0</v>
      </c>
      <c r="CJ660" s="19"/>
      <c r="CK660" s="19">
        <v>5.3359999999999994</v>
      </c>
      <c r="CL660" s="19">
        <v>1.276</v>
      </c>
      <c r="CM660" s="19">
        <v>0.17399999999999999</v>
      </c>
      <c r="CN660" s="19">
        <v>0.98599999999999999</v>
      </c>
      <c r="CO660" s="19">
        <v>0</v>
      </c>
      <c r="CP660" s="19">
        <v>2.8999999999999994E-3</v>
      </c>
      <c r="CQ660" s="19">
        <v>5.3737000000000004</v>
      </c>
      <c r="CR660" s="19">
        <v>74.880749279893948</v>
      </c>
      <c r="HM660" s="620">
        <f t="shared" ref="HM660:HU660" si="702">HM290</f>
        <v>0</v>
      </c>
      <c r="HN660" s="620">
        <f t="shared" si="702"/>
        <v>0</v>
      </c>
      <c r="HO660" s="620">
        <f t="shared" si="702"/>
        <v>0</v>
      </c>
      <c r="HP660" s="620">
        <f t="shared" si="702"/>
        <v>0</v>
      </c>
      <c r="HQ660" s="620">
        <f t="shared" si="702"/>
        <v>0</v>
      </c>
      <c r="HR660" s="620">
        <f t="shared" si="702"/>
        <v>0</v>
      </c>
      <c r="HS660" s="620">
        <f t="shared" si="702"/>
        <v>0</v>
      </c>
      <c r="HT660" s="620">
        <f t="shared" si="702"/>
        <v>0</v>
      </c>
      <c r="HU660" s="620" t="str">
        <f t="shared" si="702"/>
        <v>offfarm</v>
      </c>
      <c r="HV660" s="22" t="s">
        <v>2076</v>
      </c>
      <c r="IB660" s="11">
        <f t="shared" ref="IB660:II660" si="703">IB290</f>
        <v>0.47300000000000003</v>
      </c>
      <c r="IC660" s="11">
        <f t="shared" si="703"/>
        <v>0.13</v>
      </c>
      <c r="ID660" s="11">
        <f t="shared" si="703"/>
        <v>0.39100000000000001</v>
      </c>
      <c r="IE660" s="11">
        <f t="shared" si="703"/>
        <v>5.5E-2</v>
      </c>
      <c r="IF660" s="11">
        <f t="shared" si="703"/>
        <v>3.97</v>
      </c>
      <c r="IG660" s="11">
        <f t="shared" si="703"/>
        <v>4.5999999999999999E-3</v>
      </c>
      <c r="IH660" s="11">
        <f t="shared" si="703"/>
        <v>2.73</v>
      </c>
      <c r="II660" s="11">
        <f t="shared" si="703"/>
        <v>0</v>
      </c>
    </row>
    <row r="661" spans="4:243" x14ac:dyDescent="0.25">
      <c r="D661" s="20" t="s">
        <v>1326</v>
      </c>
      <c r="E661" s="14">
        <v>42691</v>
      </c>
      <c r="F661" s="18">
        <v>6.7383057562726806E-2</v>
      </c>
      <c r="G661" s="18">
        <v>6.4824899439316297E-2</v>
      </c>
      <c r="H661" s="21">
        <v>99</v>
      </c>
      <c r="I661" s="21">
        <v>98</v>
      </c>
      <c r="J661" s="21">
        <v>98</v>
      </c>
      <c r="K661" s="18">
        <v>0.86</v>
      </c>
      <c r="L661" s="18">
        <v>5.3</v>
      </c>
      <c r="M661" s="18">
        <v>0.89570000000000005</v>
      </c>
      <c r="N661" s="18">
        <v>0.24909999999999999</v>
      </c>
      <c r="O661" s="18">
        <v>0.45689657</v>
      </c>
      <c r="P661" s="18">
        <v>0</v>
      </c>
      <c r="Q661" s="19"/>
      <c r="R661" s="18">
        <v>85</v>
      </c>
      <c r="S661" s="18">
        <v>50</v>
      </c>
      <c r="T661" s="18">
        <v>50</v>
      </c>
      <c r="U661" s="18">
        <v>50</v>
      </c>
      <c r="V661" s="18">
        <v>50</v>
      </c>
      <c r="W661" s="18">
        <v>50</v>
      </c>
      <c r="X661" s="18"/>
      <c r="Y661" s="18">
        <v>13.8</v>
      </c>
      <c r="Z661" s="18">
        <v>9.6999999999999993</v>
      </c>
      <c r="AA661" s="18">
        <v>5.6000000000000005</v>
      </c>
      <c r="AB661" s="18">
        <v>13.8</v>
      </c>
      <c r="AC661" s="18">
        <v>23.800000000000004</v>
      </c>
      <c r="AD661" s="18">
        <v>1.6</v>
      </c>
      <c r="AE661" s="18">
        <v>0</v>
      </c>
      <c r="AF661" s="18">
        <v>92.000000000000014</v>
      </c>
      <c r="AG661" s="18">
        <v>22</v>
      </c>
      <c r="AH661" s="18">
        <v>2.9999999999999813</v>
      </c>
      <c r="AI661" s="18">
        <v>17.000000000000004</v>
      </c>
      <c r="AJ661" s="18">
        <v>0</v>
      </c>
      <c r="AK661" s="18">
        <v>5.000000000000019E-2</v>
      </c>
      <c r="AL661" s="18"/>
      <c r="AM661" s="18">
        <v>7</v>
      </c>
      <c r="AN661" s="18">
        <v>1.3</v>
      </c>
      <c r="AO661" s="18">
        <v>0.5</v>
      </c>
      <c r="AP661" s="18">
        <v>5.3</v>
      </c>
      <c r="AQ661" s="18">
        <v>1.4</v>
      </c>
      <c r="AR661" s="18">
        <v>5.7</v>
      </c>
      <c r="AS661" s="18">
        <v>8.1</v>
      </c>
      <c r="AT661" s="18">
        <v>1.2</v>
      </c>
      <c r="AU661" s="18">
        <v>2.6</v>
      </c>
      <c r="AV661" s="18">
        <v>2</v>
      </c>
      <c r="AW661" s="18">
        <v>5</v>
      </c>
      <c r="AX661" s="18"/>
      <c r="AY661" s="18">
        <v>0.89</v>
      </c>
      <c r="AZ661" s="18">
        <v>1.06</v>
      </c>
      <c r="BA661" s="18">
        <v>1.04</v>
      </c>
      <c r="BB661" s="18">
        <v>1.01</v>
      </c>
      <c r="BC661" s="18">
        <v>1.08</v>
      </c>
      <c r="BD661" s="18">
        <v>1.05</v>
      </c>
      <c r="BE661" s="18">
        <v>1.0900000000000001</v>
      </c>
      <c r="BF661" s="18">
        <v>1.05</v>
      </c>
      <c r="BG661" s="18">
        <v>1.02</v>
      </c>
      <c r="BH661" s="18">
        <v>1.1200000000000001</v>
      </c>
      <c r="BI661" s="18">
        <v>1.05</v>
      </c>
      <c r="BJ661" s="19"/>
      <c r="BK661" s="18">
        <v>16.900000000000002</v>
      </c>
      <c r="BL661" s="18">
        <v>4.7</v>
      </c>
      <c r="BM661" s="18">
        <v>8.6206899999999997</v>
      </c>
      <c r="BN661" s="18">
        <v>0</v>
      </c>
      <c r="BO661" s="18"/>
      <c r="BP661" s="18">
        <v>34</v>
      </c>
      <c r="BQ661" s="18">
        <v>15.98</v>
      </c>
      <c r="BR661" s="18">
        <v>1.2713784445797511</v>
      </c>
      <c r="BS661" s="18">
        <v>1.2231113101757793</v>
      </c>
      <c r="BT661" s="19"/>
      <c r="BU661" s="18">
        <v>913.79310000000009</v>
      </c>
      <c r="BV661" s="18">
        <v>692.22098185714344</v>
      </c>
      <c r="BW661" s="18">
        <v>13.054187142857096</v>
      </c>
      <c r="BX661" s="18">
        <v>0</v>
      </c>
      <c r="BY661" s="18" t="s">
        <v>217</v>
      </c>
      <c r="BZ661" s="18">
        <v>0</v>
      </c>
      <c r="CA661" s="18">
        <v>0</v>
      </c>
      <c r="CB661" s="19"/>
      <c r="CC661" s="19">
        <v>0.73140000000000005</v>
      </c>
      <c r="CD661" s="19">
        <v>0.5141</v>
      </c>
      <c r="CE661" s="19">
        <v>0.29680000000000001</v>
      </c>
      <c r="CF661" s="19">
        <v>0.73140000000000005</v>
      </c>
      <c r="CG661" s="19">
        <v>1.2614000000000003</v>
      </c>
      <c r="CH661" s="19">
        <v>8.48E-2</v>
      </c>
      <c r="CI661" s="19">
        <v>0</v>
      </c>
      <c r="CJ661" s="19"/>
      <c r="CK661" s="19">
        <v>4.8760000000000003</v>
      </c>
      <c r="CL661" s="19">
        <v>1.1659999999999999</v>
      </c>
      <c r="CM661" s="19">
        <v>0.158999999999999</v>
      </c>
      <c r="CN661" s="19">
        <v>0.90100000000000013</v>
      </c>
      <c r="CO661" s="19">
        <v>0</v>
      </c>
      <c r="CP661" s="19">
        <v>2.65000000000001E-3</v>
      </c>
      <c r="CQ661" s="19">
        <v>7.6134500000000003</v>
      </c>
      <c r="CR661" s="19">
        <v>112.98760067265646</v>
      </c>
      <c r="HM661" s="620">
        <f t="shared" ref="HM661:HU661" si="704">HM291</f>
        <v>0</v>
      </c>
      <c r="HN661" s="620">
        <f t="shared" si="704"/>
        <v>0</v>
      </c>
      <c r="HO661" s="620">
        <f t="shared" si="704"/>
        <v>0</v>
      </c>
      <c r="HP661" s="620">
        <f t="shared" si="704"/>
        <v>0</v>
      </c>
      <c r="HQ661" s="620">
        <f t="shared" si="704"/>
        <v>0</v>
      </c>
      <c r="HR661" s="620">
        <f t="shared" si="704"/>
        <v>0</v>
      </c>
      <c r="HS661" s="620">
        <f t="shared" si="704"/>
        <v>0</v>
      </c>
      <c r="HT661" s="620">
        <f t="shared" si="704"/>
        <v>0</v>
      </c>
      <c r="HU661" s="620" t="str">
        <f t="shared" si="704"/>
        <v>offfarm</v>
      </c>
      <c r="HV661" s="22" t="s">
        <v>2076</v>
      </c>
      <c r="IB661" s="11">
        <f t="shared" ref="IB661:II661" si="705">IB291</f>
        <v>0.47300000000000003</v>
      </c>
      <c r="IC661" s="11">
        <f t="shared" si="705"/>
        <v>0.13</v>
      </c>
      <c r="ID661" s="11">
        <f t="shared" si="705"/>
        <v>0.39100000000000001</v>
      </c>
      <c r="IE661" s="11">
        <f t="shared" si="705"/>
        <v>5.5E-2</v>
      </c>
      <c r="IF661" s="11">
        <f t="shared" si="705"/>
        <v>3.97</v>
      </c>
      <c r="IG661" s="11">
        <f t="shared" si="705"/>
        <v>4.5999999999999999E-3</v>
      </c>
      <c r="IH661" s="11">
        <f t="shared" si="705"/>
        <v>2.73</v>
      </c>
      <c r="II661" s="11">
        <f t="shared" si="705"/>
        <v>0</v>
      </c>
    </row>
    <row r="662" spans="4:243" x14ac:dyDescent="0.25">
      <c r="D662" s="20" t="s">
        <v>1327</v>
      </c>
      <c r="E662" s="14">
        <v>41492</v>
      </c>
      <c r="F662" s="18">
        <v>7.8255987261394905E-2</v>
      </c>
      <c r="G662" s="18">
        <v>7.5299016676876801E-2</v>
      </c>
      <c r="H662" s="21">
        <v>99</v>
      </c>
      <c r="I662" s="21">
        <v>98</v>
      </c>
      <c r="J662" s="21">
        <v>98</v>
      </c>
      <c r="K662" s="18">
        <v>0.86</v>
      </c>
      <c r="L662" s="18">
        <v>6.56</v>
      </c>
      <c r="M662" s="18">
        <v>0.24</v>
      </c>
      <c r="N662" s="18">
        <v>3.0045801526717601E-2</v>
      </c>
      <c r="O662" s="18">
        <v>0.65600000000000003</v>
      </c>
      <c r="P662" s="18">
        <v>0</v>
      </c>
      <c r="Q662" s="19"/>
      <c r="R662" s="18">
        <v>76</v>
      </c>
      <c r="S662" s="18">
        <v>50</v>
      </c>
      <c r="T662" s="18">
        <v>50</v>
      </c>
      <c r="U662" s="18">
        <v>50</v>
      </c>
      <c r="V662" s="18">
        <v>50</v>
      </c>
      <c r="W662" s="18">
        <v>50</v>
      </c>
      <c r="X662" s="18"/>
      <c r="Y662" s="18">
        <v>5.1829268292682933</v>
      </c>
      <c r="Z662" s="18">
        <v>7.3170731707317076</v>
      </c>
      <c r="AA662" s="18">
        <v>7.4695121951219514</v>
      </c>
      <c r="AB662" s="18">
        <v>18.445121951219512</v>
      </c>
      <c r="AC662" s="18">
        <v>26.219512195121954</v>
      </c>
      <c r="AD662" s="18">
        <v>1.2195121951219499</v>
      </c>
      <c r="AE662" s="18">
        <v>0</v>
      </c>
      <c r="AF662" s="18">
        <v>11.000000000000002</v>
      </c>
      <c r="AG662" s="18">
        <v>2.0000000000000004</v>
      </c>
      <c r="AH662" s="18">
        <v>0</v>
      </c>
      <c r="AI662" s="18">
        <v>6</v>
      </c>
      <c r="AJ662" s="18">
        <v>0</v>
      </c>
      <c r="AK662" s="18">
        <v>0</v>
      </c>
      <c r="AL662" s="18"/>
      <c r="AM662" s="18">
        <v>3.6</v>
      </c>
      <c r="AN662" s="18">
        <v>0.7</v>
      </c>
      <c r="AO662" s="18">
        <v>0</v>
      </c>
      <c r="AP662" s="18">
        <v>2.4</v>
      </c>
      <c r="AQ662" s="18">
        <v>0.7</v>
      </c>
      <c r="AR662" s="18">
        <v>2</v>
      </c>
      <c r="AS662" s="18">
        <v>4.4000000000000004</v>
      </c>
      <c r="AT662" s="18">
        <v>1.1000000000000001</v>
      </c>
      <c r="AU662" s="18">
        <v>1.5</v>
      </c>
      <c r="AV662" s="18">
        <v>1.7</v>
      </c>
      <c r="AW662" s="18">
        <v>1.7</v>
      </c>
      <c r="AX662" s="18"/>
      <c r="AY662" s="18">
        <v>0.89</v>
      </c>
      <c r="AZ662" s="18">
        <v>1.06</v>
      </c>
      <c r="BA662" s="18">
        <v>1.04</v>
      </c>
      <c r="BB662" s="18">
        <v>1.01</v>
      </c>
      <c r="BC662" s="18">
        <v>1.08</v>
      </c>
      <c r="BD662" s="18">
        <v>1.05</v>
      </c>
      <c r="BE662" s="18">
        <v>1.0900000000000001</v>
      </c>
      <c r="BF662" s="18">
        <v>1.05</v>
      </c>
      <c r="BG662" s="18">
        <v>1.02</v>
      </c>
      <c r="BH662" s="18">
        <v>1.1200000000000001</v>
      </c>
      <c r="BI662" s="18">
        <v>1.05</v>
      </c>
      <c r="BJ662" s="19"/>
      <c r="BK662" s="18">
        <v>3.6585365853658538</v>
      </c>
      <c r="BL662" s="18">
        <v>0.45801526717557323</v>
      </c>
      <c r="BM662" s="18">
        <v>10.000000000000002</v>
      </c>
      <c r="BN662" s="18">
        <v>0</v>
      </c>
      <c r="BO662" s="18"/>
      <c r="BP662" s="18">
        <v>34</v>
      </c>
      <c r="BQ662" s="18">
        <v>1.5572519083969514</v>
      </c>
      <c r="BR662" s="18">
        <v>1.1929266350822394</v>
      </c>
      <c r="BS662" s="18">
        <v>1.1478508639767806</v>
      </c>
      <c r="BT662" s="19"/>
      <c r="BU662" s="18">
        <v>900</v>
      </c>
      <c r="BV662" s="18">
        <v>840.40742612442534</v>
      </c>
      <c r="BW662" s="18">
        <v>12.857142857142897</v>
      </c>
      <c r="BX662" s="18">
        <v>0</v>
      </c>
      <c r="BY662" s="18" t="s">
        <v>217</v>
      </c>
      <c r="BZ662" s="18">
        <v>0</v>
      </c>
      <c r="CA662" s="18">
        <v>0</v>
      </c>
      <c r="CB662" s="19"/>
      <c r="CC662" s="19">
        <v>0.33999999999999997</v>
      </c>
      <c r="CD662" s="19">
        <v>0.48</v>
      </c>
      <c r="CE662" s="19">
        <v>0.48999999999999994</v>
      </c>
      <c r="CF662" s="19">
        <v>1.21</v>
      </c>
      <c r="CG662" s="19">
        <v>1.72</v>
      </c>
      <c r="CH662" s="19">
        <v>7.9999999999999905E-2</v>
      </c>
      <c r="CI662" s="19">
        <v>0</v>
      </c>
      <c r="CJ662" s="19"/>
      <c r="CK662" s="19">
        <v>0.72160000000000002</v>
      </c>
      <c r="CL662" s="19">
        <v>0.13120000000000001</v>
      </c>
      <c r="CM662" s="19">
        <v>0</v>
      </c>
      <c r="CN662" s="19">
        <v>0.39359999999999995</v>
      </c>
      <c r="CO662" s="19">
        <v>0</v>
      </c>
      <c r="CP662" s="19">
        <v>0</v>
      </c>
      <c r="CQ662" s="19">
        <v>1.8240000000000001</v>
      </c>
      <c r="CR662" s="19">
        <v>23.308120743622798</v>
      </c>
      <c r="HM662" s="620">
        <f t="shared" ref="HM662:HU662" si="706">HM292</f>
        <v>0</v>
      </c>
      <c r="HN662" s="620">
        <f t="shared" si="706"/>
        <v>0</v>
      </c>
      <c r="HO662" s="620">
        <f t="shared" si="706"/>
        <v>0</v>
      </c>
      <c r="HP662" s="620">
        <f t="shared" si="706"/>
        <v>0</v>
      </c>
      <c r="HQ662" s="620">
        <f t="shared" si="706"/>
        <v>0</v>
      </c>
      <c r="HR662" s="620">
        <f t="shared" si="706"/>
        <v>0</v>
      </c>
      <c r="HS662" s="620">
        <f t="shared" si="706"/>
        <v>0</v>
      </c>
      <c r="HT662" s="620">
        <f t="shared" si="706"/>
        <v>0</v>
      </c>
      <c r="HU662" s="620" t="str">
        <f t="shared" si="706"/>
        <v>offfarm</v>
      </c>
      <c r="HV662" s="22" t="s">
        <v>2076</v>
      </c>
      <c r="IB662" s="11">
        <f t="shared" ref="IB662:II662" si="707">IB292</f>
        <v>0.47300000000000003</v>
      </c>
      <c r="IC662" s="11">
        <f t="shared" si="707"/>
        <v>0.13</v>
      </c>
      <c r="ID662" s="11">
        <f t="shared" si="707"/>
        <v>0.39100000000000001</v>
      </c>
      <c r="IE662" s="11">
        <f t="shared" si="707"/>
        <v>5.5E-2</v>
      </c>
      <c r="IF662" s="11">
        <f t="shared" si="707"/>
        <v>3.97</v>
      </c>
      <c r="IG662" s="11">
        <f t="shared" si="707"/>
        <v>4.5999999999999999E-3</v>
      </c>
      <c r="IH662" s="11">
        <f t="shared" si="707"/>
        <v>2.73</v>
      </c>
      <c r="II662" s="11">
        <f t="shared" si="707"/>
        <v>0</v>
      </c>
    </row>
    <row r="663" spans="4:243" x14ac:dyDescent="0.25">
      <c r="D663" s="20" t="s">
        <v>1328</v>
      </c>
      <c r="E663" s="14">
        <v>41492</v>
      </c>
      <c r="F663" s="18">
        <v>9.4047886991869598E-2</v>
      </c>
      <c r="G663" s="18">
        <v>9.0473333111687898E-2</v>
      </c>
      <c r="H663" s="21">
        <v>99</v>
      </c>
      <c r="I663" s="21">
        <v>98</v>
      </c>
      <c r="J663" s="21">
        <v>98</v>
      </c>
      <c r="K663" s="18">
        <v>0.86</v>
      </c>
      <c r="L663" s="18">
        <v>7.42</v>
      </c>
      <c r="M663" s="18">
        <v>0.65</v>
      </c>
      <c r="N663" s="18">
        <v>0.35</v>
      </c>
      <c r="O663" s="18">
        <v>0.74199999999999999</v>
      </c>
      <c r="P663" s="18">
        <v>0</v>
      </c>
      <c r="Q663" s="19"/>
      <c r="R663" s="18">
        <v>76</v>
      </c>
      <c r="S663" s="18">
        <v>50</v>
      </c>
      <c r="T663" s="18">
        <v>50</v>
      </c>
      <c r="U663" s="18">
        <v>50</v>
      </c>
      <c r="V663" s="18">
        <v>50</v>
      </c>
      <c r="W663" s="18">
        <v>50</v>
      </c>
      <c r="X663" s="18"/>
      <c r="Y663" s="18">
        <v>7.2776280323450138</v>
      </c>
      <c r="Z663" s="18">
        <v>7.4123989218328852</v>
      </c>
      <c r="AA663" s="18">
        <v>6.0646900269541781</v>
      </c>
      <c r="AB663" s="18">
        <v>15.768194070080861</v>
      </c>
      <c r="AC663" s="18">
        <v>24.393530997304584</v>
      </c>
      <c r="AD663" s="18">
        <v>1.3477088948787064</v>
      </c>
      <c r="AE663" s="18">
        <v>0</v>
      </c>
      <c r="AF663" s="18">
        <v>11</v>
      </c>
      <c r="AG663" s="18">
        <v>2</v>
      </c>
      <c r="AH663" s="18">
        <v>0</v>
      </c>
      <c r="AI663" s="18">
        <v>6</v>
      </c>
      <c r="AJ663" s="18">
        <v>0</v>
      </c>
      <c r="AK663" s="18">
        <v>0</v>
      </c>
      <c r="AL663" s="18"/>
      <c r="AM663" s="18">
        <v>3.6</v>
      </c>
      <c r="AN663" s="18">
        <v>0.7</v>
      </c>
      <c r="AO663" s="18">
        <v>0</v>
      </c>
      <c r="AP663" s="18">
        <v>2.4</v>
      </c>
      <c r="AQ663" s="18">
        <v>0.7</v>
      </c>
      <c r="AR663" s="18">
        <v>2</v>
      </c>
      <c r="AS663" s="18">
        <v>4.4000000000000004</v>
      </c>
      <c r="AT663" s="18">
        <v>1.1000000000000001</v>
      </c>
      <c r="AU663" s="18">
        <v>1.5</v>
      </c>
      <c r="AV663" s="18">
        <v>1.7</v>
      </c>
      <c r="AW663" s="18">
        <v>1.7</v>
      </c>
      <c r="AX663" s="18"/>
      <c r="AY663" s="18">
        <v>0.89</v>
      </c>
      <c r="AZ663" s="18">
        <v>1.06</v>
      </c>
      <c r="BA663" s="18">
        <v>1.04</v>
      </c>
      <c r="BB663" s="18">
        <v>1.01</v>
      </c>
      <c r="BC663" s="18">
        <v>1.08</v>
      </c>
      <c r="BD663" s="18">
        <v>1.05</v>
      </c>
      <c r="BE663" s="18">
        <v>1.0900000000000001</v>
      </c>
      <c r="BF663" s="18">
        <v>1.05</v>
      </c>
      <c r="BG663" s="18">
        <v>1.02</v>
      </c>
      <c r="BH663" s="18">
        <v>1.1200000000000001</v>
      </c>
      <c r="BI663" s="18">
        <v>1.05</v>
      </c>
      <c r="BJ663" s="19"/>
      <c r="BK663" s="18">
        <v>8.7601078167115904</v>
      </c>
      <c r="BL663" s="18">
        <v>4.7169811320754711</v>
      </c>
      <c r="BM663" s="18">
        <v>10</v>
      </c>
      <c r="BN663" s="18">
        <v>0</v>
      </c>
      <c r="BO663" s="18"/>
      <c r="BP663" s="18">
        <v>34</v>
      </c>
      <c r="BQ663" s="18">
        <v>16.037735849056602</v>
      </c>
      <c r="BR663" s="18">
        <v>1.2674917384349003</v>
      </c>
      <c r="BS663" s="18">
        <v>1.2193171578394595</v>
      </c>
      <c r="BT663" s="19"/>
      <c r="BU663" s="18">
        <v>900</v>
      </c>
      <c r="BV663" s="18">
        <v>752.67115902964963</v>
      </c>
      <c r="BW663" s="18">
        <v>12.857142857142897</v>
      </c>
      <c r="BX663" s="18">
        <v>0</v>
      </c>
      <c r="BY663" s="18" t="s">
        <v>217</v>
      </c>
      <c r="BZ663" s="18">
        <v>0</v>
      </c>
      <c r="CA663" s="18">
        <v>0</v>
      </c>
      <c r="CB663" s="19"/>
      <c r="CC663" s="19">
        <v>0.54</v>
      </c>
      <c r="CD663" s="19">
        <v>0.55000000000000004</v>
      </c>
      <c r="CE663" s="19">
        <v>0.45</v>
      </c>
      <c r="CF663" s="19">
        <v>1.17</v>
      </c>
      <c r="CG663" s="19">
        <v>1.8100000000000003</v>
      </c>
      <c r="CH663" s="19">
        <v>0.10000000000000002</v>
      </c>
      <c r="CI663" s="19">
        <v>0</v>
      </c>
      <c r="CJ663" s="19"/>
      <c r="CK663" s="19">
        <v>0.81620000000000004</v>
      </c>
      <c r="CL663" s="19">
        <v>0.1484</v>
      </c>
      <c r="CM663" s="19">
        <v>0</v>
      </c>
      <c r="CN663" s="19">
        <v>0.44520000000000004</v>
      </c>
      <c r="CO663" s="19">
        <v>0</v>
      </c>
      <c r="CP663" s="19">
        <v>0</v>
      </c>
      <c r="CQ663" s="19">
        <v>4.9400000000000004</v>
      </c>
      <c r="CR663" s="19">
        <v>52.526432629231337</v>
      </c>
      <c r="HM663" s="620">
        <f t="shared" ref="HM663:HU663" si="708">HM293</f>
        <v>0</v>
      </c>
      <c r="HN663" s="620">
        <f t="shared" si="708"/>
        <v>0</v>
      </c>
      <c r="HO663" s="620">
        <f t="shared" si="708"/>
        <v>0</v>
      </c>
      <c r="HP663" s="620">
        <f t="shared" si="708"/>
        <v>0</v>
      </c>
      <c r="HQ663" s="620">
        <f t="shared" si="708"/>
        <v>0</v>
      </c>
      <c r="HR663" s="620">
        <f t="shared" si="708"/>
        <v>0</v>
      </c>
      <c r="HS663" s="620">
        <f t="shared" si="708"/>
        <v>0</v>
      </c>
      <c r="HT663" s="620">
        <f t="shared" si="708"/>
        <v>0</v>
      </c>
      <c r="HU663" s="620" t="str">
        <f t="shared" si="708"/>
        <v>offfarm</v>
      </c>
      <c r="HV663" s="22" t="s">
        <v>2076</v>
      </c>
      <c r="IB663" s="11">
        <f t="shared" ref="IB663:II663" si="709">IB293</f>
        <v>0.47300000000000003</v>
      </c>
      <c r="IC663" s="11">
        <f t="shared" si="709"/>
        <v>0.13</v>
      </c>
      <c r="ID663" s="11">
        <f t="shared" si="709"/>
        <v>0.39100000000000001</v>
      </c>
      <c r="IE663" s="11">
        <f t="shared" si="709"/>
        <v>5.5E-2</v>
      </c>
      <c r="IF663" s="11">
        <f t="shared" si="709"/>
        <v>3.97</v>
      </c>
      <c r="IG663" s="11">
        <f t="shared" si="709"/>
        <v>4.5999999999999999E-3</v>
      </c>
      <c r="IH663" s="11">
        <f t="shared" si="709"/>
        <v>2.73</v>
      </c>
      <c r="II663" s="11">
        <f t="shared" si="709"/>
        <v>0</v>
      </c>
    </row>
    <row r="664" spans="4:243" x14ac:dyDescent="0.25">
      <c r="D664" s="20" t="s">
        <v>1329</v>
      </c>
      <c r="E664" s="14">
        <v>42691</v>
      </c>
      <c r="F664" s="18">
        <v>8.5216744936701394E-2</v>
      </c>
      <c r="G664" s="18">
        <v>8.1997048475510106E-2</v>
      </c>
      <c r="H664" s="21">
        <v>99</v>
      </c>
      <c r="I664" s="21">
        <v>98</v>
      </c>
      <c r="J664" s="21">
        <v>98</v>
      </c>
      <c r="K664" s="18">
        <v>0.86</v>
      </c>
      <c r="L664" s="18">
        <v>7.1500000000000101</v>
      </c>
      <c r="M664" s="18">
        <v>0.40755000000000102</v>
      </c>
      <c r="N664" s="18">
        <v>4.2900000000000098E-2</v>
      </c>
      <c r="O664" s="18">
        <v>0.71500000000000097</v>
      </c>
      <c r="P664" s="18">
        <v>0</v>
      </c>
      <c r="Q664" s="19"/>
      <c r="R664" s="18">
        <v>76</v>
      </c>
      <c r="S664" s="18">
        <v>50</v>
      </c>
      <c r="T664" s="18">
        <v>50</v>
      </c>
      <c r="U664" s="18">
        <v>50</v>
      </c>
      <c r="V664" s="18">
        <v>50</v>
      </c>
      <c r="W664" s="18">
        <v>50</v>
      </c>
      <c r="X664" s="18"/>
      <c r="Y664" s="18">
        <v>17.099999999999977</v>
      </c>
      <c r="Z664" s="18">
        <v>9.6</v>
      </c>
      <c r="AA664" s="18">
        <v>16.799999999999976</v>
      </c>
      <c r="AB664" s="18">
        <v>59.800000000000054</v>
      </c>
      <c r="AC664" s="18">
        <v>27.999999999999957</v>
      </c>
      <c r="AD664" s="18">
        <v>2.099999999999997</v>
      </c>
      <c r="AE664" s="18">
        <v>0</v>
      </c>
      <c r="AF664" s="18">
        <v>10.999999999999996</v>
      </c>
      <c r="AG664" s="18">
        <v>1.9999999999999971</v>
      </c>
      <c r="AH664" s="18">
        <v>0</v>
      </c>
      <c r="AI664" s="18">
        <v>6.0000000000000053</v>
      </c>
      <c r="AJ664" s="18">
        <v>0</v>
      </c>
      <c r="AK664" s="18">
        <v>0</v>
      </c>
      <c r="AL664" s="18"/>
      <c r="AM664" s="18">
        <v>3.6</v>
      </c>
      <c r="AN664" s="18">
        <v>0.7</v>
      </c>
      <c r="AO664" s="18">
        <v>0</v>
      </c>
      <c r="AP664" s="18">
        <v>2.4</v>
      </c>
      <c r="AQ664" s="18">
        <v>0.7</v>
      </c>
      <c r="AR664" s="18">
        <v>2</v>
      </c>
      <c r="AS664" s="18">
        <v>4.4000000000000004</v>
      </c>
      <c r="AT664" s="18">
        <v>1.1000000000000001</v>
      </c>
      <c r="AU664" s="18">
        <v>1.5</v>
      </c>
      <c r="AV664" s="18">
        <v>1.7</v>
      </c>
      <c r="AW664" s="18">
        <v>1.7</v>
      </c>
      <c r="AX664" s="18"/>
      <c r="AY664" s="18">
        <v>0.89</v>
      </c>
      <c r="AZ664" s="18">
        <v>1.06</v>
      </c>
      <c r="BA664" s="18">
        <v>1.04</v>
      </c>
      <c r="BB664" s="18">
        <v>1.01</v>
      </c>
      <c r="BC664" s="18">
        <v>1.08</v>
      </c>
      <c r="BD664" s="18">
        <v>1.05</v>
      </c>
      <c r="BE664" s="18">
        <v>1.0900000000000001</v>
      </c>
      <c r="BF664" s="18">
        <v>1.05</v>
      </c>
      <c r="BG664" s="18">
        <v>1.02</v>
      </c>
      <c r="BH664" s="18">
        <v>1.1200000000000001</v>
      </c>
      <c r="BI664" s="18">
        <v>1.05</v>
      </c>
      <c r="BJ664" s="19"/>
      <c r="BK664" s="18">
        <v>5.7000000000000064</v>
      </c>
      <c r="BL664" s="18">
        <v>0.60000000000000053</v>
      </c>
      <c r="BM664" s="18">
        <v>10</v>
      </c>
      <c r="BN664" s="18">
        <v>0</v>
      </c>
      <c r="BO664" s="18"/>
      <c r="BP664" s="18">
        <v>34</v>
      </c>
      <c r="BQ664" s="18">
        <v>2.0399999999999969</v>
      </c>
      <c r="BR664" s="18">
        <v>1.1918425865272906</v>
      </c>
      <c r="BS664" s="18">
        <v>1.1468118667903495</v>
      </c>
      <c r="BT664" s="19"/>
      <c r="BU664" s="18">
        <v>900</v>
      </c>
      <c r="BV664" s="18">
        <v>820.45285714285762</v>
      </c>
      <c r="BW664" s="18">
        <v>12.857142857142906</v>
      </c>
      <c r="BX664" s="18">
        <v>0</v>
      </c>
      <c r="BY664" s="18" t="s">
        <v>217</v>
      </c>
      <c r="BZ664" s="18">
        <v>0</v>
      </c>
      <c r="CA664" s="18">
        <v>0</v>
      </c>
      <c r="CB664" s="19"/>
      <c r="CC664" s="19">
        <v>1.22265</v>
      </c>
      <c r="CD664" s="19">
        <v>0.68640000000000101</v>
      </c>
      <c r="CE664" s="19">
        <v>1.2012</v>
      </c>
      <c r="CF664" s="19">
        <v>4.2757000000000103</v>
      </c>
      <c r="CG664" s="19">
        <v>2.0019999999999998</v>
      </c>
      <c r="CH664" s="19">
        <v>0.15015000000000001</v>
      </c>
      <c r="CI664" s="19">
        <v>0</v>
      </c>
      <c r="CJ664" s="19"/>
      <c r="CK664" s="19">
        <v>0.78650000000000087</v>
      </c>
      <c r="CL664" s="19">
        <v>0.14300000000000002</v>
      </c>
      <c r="CM664" s="19">
        <v>0</v>
      </c>
      <c r="CN664" s="19">
        <v>0.42900000000000099</v>
      </c>
      <c r="CO664" s="19">
        <v>0</v>
      </c>
      <c r="CP664" s="19">
        <v>0</v>
      </c>
      <c r="CQ664" s="19">
        <v>3.0973799999999998</v>
      </c>
      <c r="CR664" s="19">
        <v>36.347081812391679</v>
      </c>
      <c r="HM664" s="620">
        <f t="shared" ref="HM664:HU664" si="710">HM294</f>
        <v>0</v>
      </c>
      <c r="HN664" s="620">
        <f t="shared" si="710"/>
        <v>0</v>
      </c>
      <c r="HO664" s="620">
        <f t="shared" si="710"/>
        <v>0</v>
      </c>
      <c r="HP664" s="620">
        <f t="shared" si="710"/>
        <v>0</v>
      </c>
      <c r="HQ664" s="620">
        <f t="shared" si="710"/>
        <v>0</v>
      </c>
      <c r="HR664" s="620">
        <f t="shared" si="710"/>
        <v>0</v>
      </c>
      <c r="HS664" s="620">
        <f t="shared" si="710"/>
        <v>0</v>
      </c>
      <c r="HT664" s="620">
        <f t="shared" si="710"/>
        <v>0</v>
      </c>
      <c r="HU664" s="620" t="str">
        <f t="shared" si="710"/>
        <v>offfarm</v>
      </c>
      <c r="HV664" s="22" t="s">
        <v>2076</v>
      </c>
      <c r="IB664" s="11">
        <f t="shared" ref="IB664:II664" si="711">IB294</f>
        <v>0.47300000000000003</v>
      </c>
      <c r="IC664" s="11">
        <f t="shared" si="711"/>
        <v>0.13</v>
      </c>
      <c r="ID664" s="11">
        <f t="shared" si="711"/>
        <v>0.39100000000000001</v>
      </c>
      <c r="IE664" s="11">
        <f t="shared" si="711"/>
        <v>5.5E-2</v>
      </c>
      <c r="IF664" s="11">
        <f t="shared" si="711"/>
        <v>3.97</v>
      </c>
      <c r="IG664" s="11">
        <f t="shared" si="711"/>
        <v>4.5999999999999999E-3</v>
      </c>
      <c r="IH664" s="11">
        <f t="shared" si="711"/>
        <v>2.73</v>
      </c>
      <c r="II664" s="11">
        <f t="shared" si="711"/>
        <v>0</v>
      </c>
    </row>
    <row r="665" spans="4:243" x14ac:dyDescent="0.25">
      <c r="D665" s="20" t="s">
        <v>1330</v>
      </c>
      <c r="E665" s="14">
        <v>42691</v>
      </c>
      <c r="F665" s="18">
        <v>8.4363473169173503E-2</v>
      </c>
      <c r="G665" s="18">
        <v>8.1170917645331395E-2</v>
      </c>
      <c r="H665" s="21">
        <v>99</v>
      </c>
      <c r="I665" s="21">
        <v>98</v>
      </c>
      <c r="J665" s="21">
        <v>98</v>
      </c>
      <c r="K665" s="18">
        <v>0.86</v>
      </c>
      <c r="L665" s="18">
        <v>6.86</v>
      </c>
      <c r="M665" s="18">
        <v>0.37730000000000002</v>
      </c>
      <c r="N665" s="18">
        <v>0.10290000000000001</v>
      </c>
      <c r="O665" s="18">
        <v>0.59137933399999998</v>
      </c>
      <c r="P665" s="18">
        <v>0</v>
      </c>
      <c r="Q665" s="19"/>
      <c r="R665" s="18">
        <v>85</v>
      </c>
      <c r="S665" s="18">
        <v>50</v>
      </c>
      <c r="T665" s="18">
        <v>50</v>
      </c>
      <c r="U665" s="18">
        <v>50</v>
      </c>
      <c r="V665" s="18">
        <v>50</v>
      </c>
      <c r="W665" s="18">
        <v>50</v>
      </c>
      <c r="X665" s="18"/>
      <c r="Y665" s="18">
        <v>7.0999999999999988</v>
      </c>
      <c r="Z665" s="18">
        <v>7.8</v>
      </c>
      <c r="AA665" s="18">
        <v>6.3999999999999995</v>
      </c>
      <c r="AB665" s="18">
        <v>17.899999999999999</v>
      </c>
      <c r="AC665" s="18">
        <v>25.7</v>
      </c>
      <c r="AD665" s="18">
        <v>1.2999999999999998</v>
      </c>
      <c r="AE665" s="18">
        <v>0</v>
      </c>
      <c r="AF665" s="18">
        <v>92</v>
      </c>
      <c r="AG665" s="18">
        <v>22</v>
      </c>
      <c r="AH665" s="18">
        <v>3</v>
      </c>
      <c r="AI665" s="18">
        <v>16.999999999999996</v>
      </c>
      <c r="AJ665" s="18">
        <v>0</v>
      </c>
      <c r="AK665" s="18">
        <v>4.9999999999999996E-2</v>
      </c>
      <c r="AL665" s="18"/>
      <c r="AM665" s="18">
        <v>6.1</v>
      </c>
      <c r="AN665" s="18">
        <v>1.5</v>
      </c>
      <c r="AO665" s="18">
        <v>2</v>
      </c>
      <c r="AP665" s="18">
        <v>5.4</v>
      </c>
      <c r="AQ665" s="18">
        <v>1.1000000000000001</v>
      </c>
      <c r="AR665" s="18">
        <v>5.7</v>
      </c>
      <c r="AS665" s="18">
        <v>8.1</v>
      </c>
      <c r="AT665" s="18">
        <v>1.2</v>
      </c>
      <c r="AU665" s="18">
        <v>2.6</v>
      </c>
      <c r="AV665" s="18">
        <v>2</v>
      </c>
      <c r="AW665" s="18">
        <v>5</v>
      </c>
      <c r="AX665" s="18"/>
      <c r="AY665" s="18">
        <v>0.89</v>
      </c>
      <c r="AZ665" s="18">
        <v>1.06</v>
      </c>
      <c r="BA665" s="18">
        <v>1.04</v>
      </c>
      <c r="BB665" s="18">
        <v>1.01</v>
      </c>
      <c r="BC665" s="18">
        <v>1.08</v>
      </c>
      <c r="BD665" s="18">
        <v>1.05</v>
      </c>
      <c r="BE665" s="18">
        <v>1.0900000000000001</v>
      </c>
      <c r="BF665" s="18">
        <v>1.05</v>
      </c>
      <c r="BG665" s="18">
        <v>1.02</v>
      </c>
      <c r="BH665" s="18">
        <v>1.1200000000000001</v>
      </c>
      <c r="BI665" s="18">
        <v>1.05</v>
      </c>
      <c r="BJ665" s="19"/>
      <c r="BK665" s="18">
        <v>5.5</v>
      </c>
      <c r="BL665" s="18">
        <v>1.5</v>
      </c>
      <c r="BM665" s="18">
        <v>8.620689999999998</v>
      </c>
      <c r="BN665" s="18">
        <v>0</v>
      </c>
      <c r="BO665" s="18"/>
      <c r="BP665" s="18">
        <v>34</v>
      </c>
      <c r="BQ665" s="18">
        <v>5.0999999999999996</v>
      </c>
      <c r="BR665" s="18">
        <v>1.2297882386176895</v>
      </c>
      <c r="BS665" s="18">
        <v>1.1832495283576003</v>
      </c>
      <c r="BT665" s="19"/>
      <c r="BU665" s="18">
        <v>913.79310000000009</v>
      </c>
      <c r="BV665" s="18">
        <v>827.00098185714285</v>
      </c>
      <c r="BW665" s="18">
        <v>13.054187142857099</v>
      </c>
      <c r="BX665" s="18">
        <v>0</v>
      </c>
      <c r="BY665" s="18" t="s">
        <v>217</v>
      </c>
      <c r="BZ665" s="18">
        <v>0</v>
      </c>
      <c r="CA665" s="18">
        <v>0</v>
      </c>
      <c r="CB665" s="19"/>
      <c r="CC665" s="19">
        <v>0.48705999999999999</v>
      </c>
      <c r="CD665" s="19">
        <v>0.53508</v>
      </c>
      <c r="CE665" s="19">
        <v>0.43904000000000004</v>
      </c>
      <c r="CF665" s="19">
        <v>1.22794</v>
      </c>
      <c r="CG665" s="19">
        <v>1.7630200000000003</v>
      </c>
      <c r="CH665" s="19">
        <v>8.9179999999999995E-2</v>
      </c>
      <c r="CI665" s="19">
        <v>0</v>
      </c>
      <c r="CJ665" s="19"/>
      <c r="CK665" s="19">
        <v>6.3112000000000004</v>
      </c>
      <c r="CL665" s="19">
        <v>1.5092000000000001</v>
      </c>
      <c r="CM665" s="19">
        <v>0.20580000000000004</v>
      </c>
      <c r="CN665" s="19">
        <v>1.1661999999999999</v>
      </c>
      <c r="CO665" s="19">
        <v>0</v>
      </c>
      <c r="CP665" s="19">
        <v>3.4300000000000003E-3</v>
      </c>
      <c r="CQ665" s="19">
        <v>3.2070500000000002</v>
      </c>
      <c r="CR665" s="19">
        <v>38.014674829341416</v>
      </c>
      <c r="HM665" s="620">
        <f t="shared" ref="HM665:HU665" si="712">HM295</f>
        <v>0</v>
      </c>
      <c r="HN665" s="620">
        <f t="shared" si="712"/>
        <v>0</v>
      </c>
      <c r="HO665" s="620">
        <f t="shared" si="712"/>
        <v>0</v>
      </c>
      <c r="HP665" s="620">
        <f t="shared" si="712"/>
        <v>0</v>
      </c>
      <c r="HQ665" s="620">
        <f t="shared" si="712"/>
        <v>0</v>
      </c>
      <c r="HR665" s="620">
        <f t="shared" si="712"/>
        <v>0</v>
      </c>
      <c r="HS665" s="620">
        <f t="shared" si="712"/>
        <v>0</v>
      </c>
      <c r="HT665" s="620">
        <f t="shared" si="712"/>
        <v>0</v>
      </c>
      <c r="HU665" s="620" t="str">
        <f t="shared" si="712"/>
        <v>offfarm</v>
      </c>
      <c r="HV665" s="22" t="s">
        <v>2076</v>
      </c>
      <c r="IB665" s="11">
        <f t="shared" ref="IB665:II665" si="713">IB295</f>
        <v>0.47300000000000003</v>
      </c>
      <c r="IC665" s="11">
        <f t="shared" si="713"/>
        <v>0.13</v>
      </c>
      <c r="ID665" s="11">
        <f t="shared" si="713"/>
        <v>0.39100000000000001</v>
      </c>
      <c r="IE665" s="11">
        <f t="shared" si="713"/>
        <v>5.5E-2</v>
      </c>
      <c r="IF665" s="11">
        <f t="shared" si="713"/>
        <v>3.97</v>
      </c>
      <c r="IG665" s="11">
        <f t="shared" si="713"/>
        <v>4.5999999999999999E-3</v>
      </c>
      <c r="IH665" s="11">
        <f t="shared" si="713"/>
        <v>2.73</v>
      </c>
      <c r="II665" s="11">
        <f t="shared" si="713"/>
        <v>0</v>
      </c>
    </row>
    <row r="666" spans="4:243" x14ac:dyDescent="0.25">
      <c r="D666" s="20" t="s">
        <v>1331</v>
      </c>
      <c r="E666" s="14">
        <v>42691</v>
      </c>
      <c r="F666" s="18">
        <v>4.9282422857143002E-2</v>
      </c>
      <c r="G666" s="18">
        <v>4.7399036834137397E-2</v>
      </c>
      <c r="H666" s="21">
        <v>99</v>
      </c>
      <c r="I666" s="21">
        <v>98</v>
      </c>
      <c r="J666" s="21">
        <v>98</v>
      </c>
      <c r="K666" s="18">
        <v>0.86</v>
      </c>
      <c r="L666" s="18">
        <v>3.66</v>
      </c>
      <c r="M666" s="18">
        <v>0.65880000000000005</v>
      </c>
      <c r="N666" s="18">
        <v>0.35136000000000001</v>
      </c>
      <c r="O666" s="18">
        <v>0.36599999999999999</v>
      </c>
      <c r="P666" s="18">
        <v>0</v>
      </c>
      <c r="Q666" s="19"/>
      <c r="R666" s="18">
        <v>76</v>
      </c>
      <c r="S666" s="18">
        <v>50</v>
      </c>
      <c r="T666" s="18">
        <v>50</v>
      </c>
      <c r="U666" s="18">
        <v>50</v>
      </c>
      <c r="V666" s="18">
        <v>50</v>
      </c>
      <c r="W666" s="18">
        <v>50</v>
      </c>
      <c r="X666" s="18"/>
      <c r="Y666" s="18">
        <v>9.6</v>
      </c>
      <c r="Z666" s="18">
        <v>7.6000000000000005</v>
      </c>
      <c r="AA666" s="18">
        <v>43.8</v>
      </c>
      <c r="AB666" s="18">
        <v>72.900000000000006</v>
      </c>
      <c r="AC666" s="18">
        <v>19.400000000000002</v>
      </c>
      <c r="AD666" s="18">
        <v>1.3</v>
      </c>
      <c r="AE666" s="18">
        <v>0</v>
      </c>
      <c r="AF666" s="18">
        <v>10.999999999999998</v>
      </c>
      <c r="AG666" s="18">
        <v>2</v>
      </c>
      <c r="AH666" s="18">
        <v>0</v>
      </c>
      <c r="AI666" s="18">
        <v>5.9999999999999991</v>
      </c>
      <c r="AJ666" s="18">
        <v>0</v>
      </c>
      <c r="AK666" s="18">
        <v>0</v>
      </c>
      <c r="AL666" s="18"/>
      <c r="AM666" s="18">
        <v>3.6</v>
      </c>
      <c r="AN666" s="18">
        <v>0.7</v>
      </c>
      <c r="AO666" s="18">
        <v>0</v>
      </c>
      <c r="AP666" s="18">
        <v>2.4</v>
      </c>
      <c r="AQ666" s="18">
        <v>0.7</v>
      </c>
      <c r="AR666" s="18">
        <v>2</v>
      </c>
      <c r="AS666" s="18">
        <v>4.4000000000000004</v>
      </c>
      <c r="AT666" s="18">
        <v>1.1000000000000001</v>
      </c>
      <c r="AU666" s="18">
        <v>1.5</v>
      </c>
      <c r="AV666" s="18">
        <v>1.7</v>
      </c>
      <c r="AW666" s="18">
        <v>1.7</v>
      </c>
      <c r="AX666" s="18"/>
      <c r="AY666" s="18">
        <v>0.89</v>
      </c>
      <c r="AZ666" s="18">
        <v>1.06</v>
      </c>
      <c r="BA666" s="18">
        <v>1.04</v>
      </c>
      <c r="BB666" s="18">
        <v>1.01</v>
      </c>
      <c r="BC666" s="18">
        <v>1.08</v>
      </c>
      <c r="BD666" s="18">
        <v>1.05</v>
      </c>
      <c r="BE666" s="18">
        <v>1.0900000000000001</v>
      </c>
      <c r="BF666" s="18">
        <v>1.05</v>
      </c>
      <c r="BG666" s="18">
        <v>1.02</v>
      </c>
      <c r="BH666" s="18">
        <v>1.1200000000000001</v>
      </c>
      <c r="BI666" s="18">
        <v>1.05</v>
      </c>
      <c r="BJ666" s="19"/>
      <c r="BK666" s="18">
        <v>18.000000000000004</v>
      </c>
      <c r="BL666" s="18">
        <v>9.6</v>
      </c>
      <c r="BM666" s="18">
        <v>10</v>
      </c>
      <c r="BN666" s="18">
        <v>0</v>
      </c>
      <c r="BO666" s="18"/>
      <c r="BP666" s="18">
        <v>34</v>
      </c>
      <c r="BQ666" s="18">
        <v>32.639999999999993</v>
      </c>
      <c r="BR666" s="18">
        <v>1.3465142857142895</v>
      </c>
      <c r="BS666" s="18">
        <v>1.2950556512059397</v>
      </c>
      <c r="BT666" s="19"/>
      <c r="BU666" s="18">
        <v>900</v>
      </c>
      <c r="BV666" s="18">
        <v>621.22285714285795</v>
      </c>
      <c r="BW666" s="18">
        <v>12.857142857142895</v>
      </c>
      <c r="BX666" s="18">
        <v>0</v>
      </c>
      <c r="BY666" s="18" t="s">
        <v>217</v>
      </c>
      <c r="BZ666" s="18">
        <v>0</v>
      </c>
      <c r="CA666" s="18">
        <v>0</v>
      </c>
      <c r="CB666" s="19"/>
      <c r="CC666" s="19">
        <v>0.35136000000000001</v>
      </c>
      <c r="CD666" s="19">
        <v>0.27816000000000002</v>
      </c>
      <c r="CE666" s="19">
        <v>1.6030799999999998</v>
      </c>
      <c r="CF666" s="19">
        <v>2.6681400000000002</v>
      </c>
      <c r="CG666" s="19">
        <v>0.71004000000000012</v>
      </c>
      <c r="CH666" s="19">
        <v>4.7580000000000004E-2</v>
      </c>
      <c r="CI666" s="19">
        <v>0</v>
      </c>
      <c r="CJ666" s="19"/>
      <c r="CK666" s="19">
        <v>0.40259999999999996</v>
      </c>
      <c r="CL666" s="19">
        <v>7.3200000000000001E-2</v>
      </c>
      <c r="CM666" s="19">
        <v>0</v>
      </c>
      <c r="CN666" s="19">
        <v>0.21959999999999996</v>
      </c>
      <c r="CO666" s="19">
        <v>0</v>
      </c>
      <c r="CP666" s="19">
        <v>0</v>
      </c>
      <c r="CQ666" s="19">
        <v>5.0068799999999998</v>
      </c>
      <c r="CR666" s="19">
        <v>101.59565438804927</v>
      </c>
      <c r="HM666" s="620">
        <f t="shared" ref="HM666:HU666" si="714">HM296</f>
        <v>0</v>
      </c>
      <c r="HN666" s="620">
        <f t="shared" si="714"/>
        <v>0</v>
      </c>
      <c r="HO666" s="620">
        <f t="shared" si="714"/>
        <v>0</v>
      </c>
      <c r="HP666" s="620">
        <f t="shared" si="714"/>
        <v>0</v>
      </c>
      <c r="HQ666" s="620">
        <f t="shared" si="714"/>
        <v>0</v>
      </c>
      <c r="HR666" s="620">
        <f t="shared" si="714"/>
        <v>0</v>
      </c>
      <c r="HS666" s="620">
        <f t="shared" si="714"/>
        <v>0</v>
      </c>
      <c r="HT666" s="620">
        <f t="shared" si="714"/>
        <v>0</v>
      </c>
      <c r="HU666" s="620" t="str">
        <f t="shared" si="714"/>
        <v>offfarm</v>
      </c>
      <c r="HV666" s="22" t="s">
        <v>2076</v>
      </c>
      <c r="IB666" s="11">
        <f t="shared" ref="IB666:II666" si="715">IB296</f>
        <v>0.47300000000000003</v>
      </c>
      <c r="IC666" s="11">
        <f t="shared" si="715"/>
        <v>0.13</v>
      </c>
      <c r="ID666" s="11">
        <f t="shared" si="715"/>
        <v>0.39100000000000001</v>
      </c>
      <c r="IE666" s="11">
        <f t="shared" si="715"/>
        <v>5.5E-2</v>
      </c>
      <c r="IF666" s="11">
        <f t="shared" si="715"/>
        <v>3.97</v>
      </c>
      <c r="IG666" s="11">
        <f t="shared" si="715"/>
        <v>4.5999999999999999E-3</v>
      </c>
      <c r="IH666" s="11">
        <f t="shared" si="715"/>
        <v>2.73</v>
      </c>
      <c r="II666" s="11">
        <f t="shared" si="715"/>
        <v>0</v>
      </c>
    </row>
    <row r="667" spans="4:243" x14ac:dyDescent="0.25">
      <c r="D667" s="20" t="s">
        <v>1332</v>
      </c>
      <c r="E667" s="14">
        <v>42691</v>
      </c>
      <c r="F667" s="18">
        <v>4.73437826233064E-2</v>
      </c>
      <c r="G667" s="18">
        <v>4.5552664509090797E-2</v>
      </c>
      <c r="H667" s="21">
        <v>99</v>
      </c>
      <c r="I667" s="21">
        <v>98</v>
      </c>
      <c r="J667" s="21">
        <v>98</v>
      </c>
      <c r="K667" s="18">
        <v>0.86</v>
      </c>
      <c r="L667" s="18">
        <v>3.92</v>
      </c>
      <c r="M667" s="18">
        <v>0.58799999999999997</v>
      </c>
      <c r="N667" s="18">
        <v>9.0160000000000004E-2</v>
      </c>
      <c r="O667" s="18">
        <v>0.39200000000000002</v>
      </c>
      <c r="P667" s="18">
        <v>0</v>
      </c>
      <c r="Q667" s="19"/>
      <c r="R667" s="18">
        <v>76</v>
      </c>
      <c r="S667" s="18">
        <v>50</v>
      </c>
      <c r="T667" s="18">
        <v>50</v>
      </c>
      <c r="U667" s="18">
        <v>50</v>
      </c>
      <c r="V667" s="18">
        <v>50</v>
      </c>
      <c r="W667" s="18">
        <v>50</v>
      </c>
      <c r="X667" s="18"/>
      <c r="Y667" s="18">
        <v>10.7</v>
      </c>
      <c r="Z667" s="18">
        <v>8.8000000000000007</v>
      </c>
      <c r="AA667" s="18">
        <v>6.4</v>
      </c>
      <c r="AB667" s="18">
        <v>14.500000000000002</v>
      </c>
      <c r="AC667" s="18">
        <v>24.200000000000003</v>
      </c>
      <c r="AD667" s="18">
        <v>1.5</v>
      </c>
      <c r="AE667" s="18">
        <v>0</v>
      </c>
      <c r="AF667" s="18">
        <v>11.000000000000002</v>
      </c>
      <c r="AG667" s="18">
        <v>2</v>
      </c>
      <c r="AH667" s="18">
        <v>0</v>
      </c>
      <c r="AI667" s="18">
        <v>6</v>
      </c>
      <c r="AJ667" s="18">
        <v>0</v>
      </c>
      <c r="AK667" s="18">
        <v>0</v>
      </c>
      <c r="AL667" s="18"/>
      <c r="AM667" s="18">
        <v>3.6</v>
      </c>
      <c r="AN667" s="18">
        <v>0.7</v>
      </c>
      <c r="AO667" s="18">
        <v>0</v>
      </c>
      <c r="AP667" s="18">
        <v>2.4</v>
      </c>
      <c r="AQ667" s="18">
        <v>0.7</v>
      </c>
      <c r="AR667" s="18">
        <v>2</v>
      </c>
      <c r="AS667" s="18">
        <v>4.4000000000000004</v>
      </c>
      <c r="AT667" s="18">
        <v>1.1000000000000001</v>
      </c>
      <c r="AU667" s="18">
        <v>1.5</v>
      </c>
      <c r="AV667" s="18">
        <v>1.7</v>
      </c>
      <c r="AW667" s="18">
        <v>1.7</v>
      </c>
      <c r="AX667" s="18"/>
      <c r="AY667" s="18">
        <v>0.89</v>
      </c>
      <c r="AZ667" s="18">
        <v>1.06</v>
      </c>
      <c r="BA667" s="18">
        <v>1.04</v>
      </c>
      <c r="BB667" s="18">
        <v>1.01</v>
      </c>
      <c r="BC667" s="18">
        <v>1.08</v>
      </c>
      <c r="BD667" s="18">
        <v>1.05</v>
      </c>
      <c r="BE667" s="18">
        <v>1.0900000000000001</v>
      </c>
      <c r="BF667" s="18">
        <v>1.05</v>
      </c>
      <c r="BG667" s="18">
        <v>1.02</v>
      </c>
      <c r="BH667" s="18">
        <v>1.1200000000000001</v>
      </c>
      <c r="BI667" s="18">
        <v>1.05</v>
      </c>
      <c r="BJ667" s="19"/>
      <c r="BK667" s="18">
        <v>15</v>
      </c>
      <c r="BL667" s="18">
        <v>2.3000000000000003</v>
      </c>
      <c r="BM667" s="18">
        <v>10.000000000000002</v>
      </c>
      <c r="BN667" s="18">
        <v>0</v>
      </c>
      <c r="BO667" s="18"/>
      <c r="BP667" s="18">
        <v>34</v>
      </c>
      <c r="BQ667" s="18">
        <v>7.82</v>
      </c>
      <c r="BR667" s="18">
        <v>1.207749556717</v>
      </c>
      <c r="BS667" s="18">
        <v>1.1620577680890509</v>
      </c>
      <c r="BT667" s="19"/>
      <c r="BU667" s="18">
        <v>900</v>
      </c>
      <c r="BV667" s="18">
        <v>719.33285714285716</v>
      </c>
      <c r="BW667" s="18">
        <v>12.857142857142907</v>
      </c>
      <c r="BX667" s="18">
        <v>0</v>
      </c>
      <c r="BY667" s="18" t="s">
        <v>217</v>
      </c>
      <c r="BZ667" s="18">
        <v>0</v>
      </c>
      <c r="CA667" s="18">
        <v>0</v>
      </c>
      <c r="CB667" s="19"/>
      <c r="CC667" s="19">
        <v>0.41943999999999998</v>
      </c>
      <c r="CD667" s="19">
        <v>0.34496000000000004</v>
      </c>
      <c r="CE667" s="19">
        <v>0.25087999999999999</v>
      </c>
      <c r="CF667" s="19">
        <v>0.56840000000000002</v>
      </c>
      <c r="CG667" s="19">
        <v>0.94864000000000004</v>
      </c>
      <c r="CH667" s="19">
        <v>5.8799999999999998E-2</v>
      </c>
      <c r="CI667" s="19">
        <v>0</v>
      </c>
      <c r="CJ667" s="19"/>
      <c r="CK667" s="19">
        <v>0.43120000000000008</v>
      </c>
      <c r="CL667" s="19">
        <v>7.8399999999999997E-2</v>
      </c>
      <c r="CM667" s="19">
        <v>0</v>
      </c>
      <c r="CN667" s="19">
        <v>0.23519999999999999</v>
      </c>
      <c r="CO667" s="19">
        <v>0</v>
      </c>
      <c r="CP667" s="19">
        <v>0</v>
      </c>
      <c r="CQ667" s="19">
        <v>4.4687999999999999</v>
      </c>
      <c r="CR667" s="19">
        <v>94.3904300075951</v>
      </c>
      <c r="HM667" s="620">
        <f t="shared" ref="HM667:HU667" si="716">HM297</f>
        <v>0</v>
      </c>
      <c r="HN667" s="620">
        <f t="shared" si="716"/>
        <v>0</v>
      </c>
      <c r="HO667" s="620">
        <f t="shared" si="716"/>
        <v>0</v>
      </c>
      <c r="HP667" s="620">
        <f t="shared" si="716"/>
        <v>0</v>
      </c>
      <c r="HQ667" s="620">
        <f t="shared" si="716"/>
        <v>0</v>
      </c>
      <c r="HR667" s="620">
        <f t="shared" si="716"/>
        <v>0</v>
      </c>
      <c r="HS667" s="620">
        <f t="shared" si="716"/>
        <v>0</v>
      </c>
      <c r="HT667" s="620">
        <f t="shared" si="716"/>
        <v>0</v>
      </c>
      <c r="HU667" s="620" t="str">
        <f t="shared" si="716"/>
        <v>offfarm</v>
      </c>
      <c r="HV667" s="22" t="s">
        <v>2076</v>
      </c>
      <c r="IB667" s="11">
        <f t="shared" ref="IB667:II667" si="717">IB297</f>
        <v>0.47300000000000003</v>
      </c>
      <c r="IC667" s="11">
        <f t="shared" si="717"/>
        <v>0.13</v>
      </c>
      <c r="ID667" s="11">
        <f t="shared" si="717"/>
        <v>0.39100000000000001</v>
      </c>
      <c r="IE667" s="11">
        <f t="shared" si="717"/>
        <v>5.5E-2</v>
      </c>
      <c r="IF667" s="11">
        <f t="shared" si="717"/>
        <v>3.97</v>
      </c>
      <c r="IG667" s="11">
        <f t="shared" si="717"/>
        <v>4.5999999999999999E-3</v>
      </c>
      <c r="IH667" s="11">
        <f t="shared" si="717"/>
        <v>2.73</v>
      </c>
      <c r="II667" s="11">
        <f t="shared" si="717"/>
        <v>0</v>
      </c>
    </row>
    <row r="668" spans="4:243" x14ac:dyDescent="0.25">
      <c r="D668" s="20" t="s">
        <v>1333</v>
      </c>
      <c r="E668" s="14">
        <v>42691</v>
      </c>
      <c r="F668" s="18">
        <v>6.5449195031697105E-2</v>
      </c>
      <c r="G668" s="18">
        <v>6.2975974593647996E-2</v>
      </c>
      <c r="H668" s="21">
        <v>99</v>
      </c>
      <c r="I668" s="21">
        <v>98</v>
      </c>
      <c r="J668" s="21">
        <v>98</v>
      </c>
      <c r="K668" s="18">
        <v>0.86</v>
      </c>
      <c r="L668" s="18">
        <v>5.4000000000000101</v>
      </c>
      <c r="M668" s="18">
        <v>0.18360000000000001</v>
      </c>
      <c r="N668" s="18">
        <v>2.1600000000000001E-2</v>
      </c>
      <c r="O668" s="18">
        <v>0.46551726000000099</v>
      </c>
      <c r="P668" s="18">
        <v>0</v>
      </c>
      <c r="Q668" s="19"/>
      <c r="R668" s="18">
        <v>85</v>
      </c>
      <c r="S668" s="18">
        <v>50</v>
      </c>
      <c r="T668" s="18">
        <v>50</v>
      </c>
      <c r="U668" s="18">
        <v>50</v>
      </c>
      <c r="V668" s="18">
        <v>50</v>
      </c>
      <c r="W668" s="18">
        <v>50</v>
      </c>
      <c r="X668" s="18"/>
      <c r="Y668" s="18">
        <v>4.7999999999999909</v>
      </c>
      <c r="Z668" s="18">
        <v>6.8000000000000069</v>
      </c>
      <c r="AA668" s="18">
        <v>6.6000000000000059</v>
      </c>
      <c r="AB668" s="18">
        <v>17.100000000000005</v>
      </c>
      <c r="AC668" s="18">
        <v>25.699999999999953</v>
      </c>
      <c r="AD668" s="18">
        <v>1.1999999999999995</v>
      </c>
      <c r="AE668" s="18">
        <v>0</v>
      </c>
      <c r="AF668" s="18">
        <v>92.000000000000014</v>
      </c>
      <c r="AG668" s="18">
        <v>21.999999999999957</v>
      </c>
      <c r="AH668" s="18">
        <v>2.9999999999999942</v>
      </c>
      <c r="AI668" s="18">
        <v>17.000000000000007</v>
      </c>
      <c r="AJ668" s="18">
        <v>0</v>
      </c>
      <c r="AK668" s="18">
        <v>5.0000000000000093E-2</v>
      </c>
      <c r="AL668" s="18"/>
      <c r="AM668" s="18">
        <v>6.1</v>
      </c>
      <c r="AN668" s="18">
        <v>1.5</v>
      </c>
      <c r="AO668" s="18">
        <v>2</v>
      </c>
      <c r="AP668" s="18">
        <v>5.4</v>
      </c>
      <c r="AQ668" s="18">
        <v>1.1000000000000001</v>
      </c>
      <c r="AR668" s="18">
        <v>5.7</v>
      </c>
      <c r="AS668" s="18">
        <v>8.1</v>
      </c>
      <c r="AT668" s="18">
        <v>1.2</v>
      </c>
      <c r="AU668" s="18">
        <v>2.6</v>
      </c>
      <c r="AV668" s="18">
        <v>2</v>
      </c>
      <c r="AW668" s="18">
        <v>5</v>
      </c>
      <c r="AX668" s="18"/>
      <c r="AY668" s="18">
        <v>0.89</v>
      </c>
      <c r="AZ668" s="18">
        <v>1.06</v>
      </c>
      <c r="BA668" s="18">
        <v>1.04</v>
      </c>
      <c r="BB668" s="18">
        <v>1.01</v>
      </c>
      <c r="BC668" s="18">
        <v>1.08</v>
      </c>
      <c r="BD668" s="18">
        <v>1.05</v>
      </c>
      <c r="BE668" s="18">
        <v>1.0900000000000001</v>
      </c>
      <c r="BF668" s="18">
        <v>1.05</v>
      </c>
      <c r="BG668" s="18">
        <v>1.02</v>
      </c>
      <c r="BH668" s="18">
        <v>1.1200000000000001</v>
      </c>
      <c r="BI668" s="18">
        <v>1.05</v>
      </c>
      <c r="BJ668" s="19"/>
      <c r="BK668" s="18">
        <v>3.3999999999999941</v>
      </c>
      <c r="BL668" s="18">
        <v>0.3999999999999993</v>
      </c>
      <c r="BM668" s="18">
        <v>8.6206900000000033</v>
      </c>
      <c r="BN668" s="18">
        <v>0</v>
      </c>
      <c r="BO668" s="18"/>
      <c r="BP668" s="18">
        <v>34</v>
      </c>
      <c r="BQ668" s="18">
        <v>1.3599999999999992</v>
      </c>
      <c r="BR668" s="18">
        <v>1.2120221302166108</v>
      </c>
      <c r="BS668" s="18">
        <v>1.1662217517342199</v>
      </c>
      <c r="BT668" s="19"/>
      <c r="BU668" s="18">
        <v>913.79310000000021</v>
      </c>
      <c r="BV668" s="18">
        <v>856.78098185714282</v>
      </c>
      <c r="BW668" s="18">
        <v>13.054187142857105</v>
      </c>
      <c r="BX668" s="18">
        <v>0</v>
      </c>
      <c r="BY668" s="18" t="s">
        <v>217</v>
      </c>
      <c r="BZ668" s="18">
        <v>0</v>
      </c>
      <c r="CA668" s="18">
        <v>0</v>
      </c>
      <c r="CB668" s="19"/>
      <c r="CC668" s="19">
        <v>0.25919999999999999</v>
      </c>
      <c r="CD668" s="19">
        <v>0.36720000000000108</v>
      </c>
      <c r="CE668" s="19">
        <v>0.35640000000000099</v>
      </c>
      <c r="CF668" s="19">
        <v>0.923400000000002</v>
      </c>
      <c r="CG668" s="19">
        <v>1.3878000000000001</v>
      </c>
      <c r="CH668" s="19">
        <v>6.4800000000000094E-2</v>
      </c>
      <c r="CI668" s="19">
        <v>0</v>
      </c>
      <c r="CJ668" s="19"/>
      <c r="CK668" s="19">
        <v>4.9680000000000106</v>
      </c>
      <c r="CL668" s="19">
        <v>1.1879999999999999</v>
      </c>
      <c r="CM668" s="19">
        <v>0.16200000000000001</v>
      </c>
      <c r="CN668" s="19">
        <v>0.91800000000000215</v>
      </c>
      <c r="CO668" s="19">
        <v>0</v>
      </c>
      <c r="CP668" s="19">
        <v>2.7000000000000101E-3</v>
      </c>
      <c r="CQ668" s="19">
        <v>1.5606</v>
      </c>
      <c r="CR668" s="19">
        <v>23.844449106581067</v>
      </c>
      <c r="HM668" s="620">
        <f t="shared" ref="HM668:HU668" si="718">HM298</f>
        <v>0</v>
      </c>
      <c r="HN668" s="620">
        <f t="shared" si="718"/>
        <v>0</v>
      </c>
      <c r="HO668" s="620">
        <f t="shared" si="718"/>
        <v>0</v>
      </c>
      <c r="HP668" s="620">
        <f t="shared" si="718"/>
        <v>0</v>
      </c>
      <c r="HQ668" s="620">
        <f t="shared" si="718"/>
        <v>0</v>
      </c>
      <c r="HR668" s="620">
        <f t="shared" si="718"/>
        <v>0</v>
      </c>
      <c r="HS668" s="620">
        <f t="shared" si="718"/>
        <v>0</v>
      </c>
      <c r="HT668" s="620">
        <f t="shared" si="718"/>
        <v>0</v>
      </c>
      <c r="HU668" s="620" t="str">
        <f t="shared" si="718"/>
        <v>offfarm</v>
      </c>
      <c r="HV668" s="22" t="s">
        <v>2076</v>
      </c>
      <c r="IB668" s="11">
        <f t="shared" ref="IB668:II668" si="719">IB298</f>
        <v>0.47300000000000003</v>
      </c>
      <c r="IC668" s="11">
        <f t="shared" si="719"/>
        <v>0.13</v>
      </c>
      <c r="ID668" s="11">
        <f t="shared" si="719"/>
        <v>0.39100000000000001</v>
      </c>
      <c r="IE668" s="11">
        <f t="shared" si="719"/>
        <v>5.5E-2</v>
      </c>
      <c r="IF668" s="11">
        <f t="shared" si="719"/>
        <v>3.97</v>
      </c>
      <c r="IG668" s="11">
        <f t="shared" si="719"/>
        <v>4.5999999999999999E-3</v>
      </c>
      <c r="IH668" s="11">
        <f t="shared" si="719"/>
        <v>2.73</v>
      </c>
      <c r="II668" s="11">
        <f t="shared" si="719"/>
        <v>0</v>
      </c>
    </row>
    <row r="669" spans="4:243" x14ac:dyDescent="0.25">
      <c r="D669" s="20" t="s">
        <v>1334</v>
      </c>
      <c r="E669" s="14">
        <v>42691</v>
      </c>
      <c r="F669" s="18">
        <v>7.8788725804635099E-2</v>
      </c>
      <c r="G669" s="18">
        <v>7.5808199792095105E-2</v>
      </c>
      <c r="H669" s="21">
        <v>99</v>
      </c>
      <c r="I669" s="21">
        <v>98</v>
      </c>
      <c r="J669" s="21">
        <v>98</v>
      </c>
      <c r="K669" s="18">
        <v>0.86</v>
      </c>
      <c r="L669" s="18">
        <v>6.4300000000000104</v>
      </c>
      <c r="M669" s="18">
        <v>0.97093000000000196</v>
      </c>
      <c r="N669" s="18">
        <v>0.14146</v>
      </c>
      <c r="O669" s="18">
        <v>0.55431036700000103</v>
      </c>
      <c r="P669" s="18">
        <v>0</v>
      </c>
      <c r="Q669" s="19"/>
      <c r="R669" s="18">
        <v>85</v>
      </c>
      <c r="S669" s="18">
        <v>50</v>
      </c>
      <c r="T669" s="18">
        <v>50</v>
      </c>
      <c r="U669" s="18">
        <v>50</v>
      </c>
      <c r="V669" s="18">
        <v>50</v>
      </c>
      <c r="W669" s="18">
        <v>50</v>
      </c>
      <c r="X669" s="18"/>
      <c r="Y669" s="18">
        <v>6.2000000000000055</v>
      </c>
      <c r="Z669" s="18">
        <v>6.9000000000000048</v>
      </c>
      <c r="AA669" s="18">
        <v>11.399999999999999</v>
      </c>
      <c r="AB669" s="18">
        <v>22.599999999999962</v>
      </c>
      <c r="AC669" s="18">
        <v>22.599999999999962</v>
      </c>
      <c r="AD669" s="18">
        <v>1.2999999999999994</v>
      </c>
      <c r="AE669" s="18">
        <v>0</v>
      </c>
      <c r="AF669" s="18">
        <v>92</v>
      </c>
      <c r="AG669" s="18">
        <v>21.999999999999964</v>
      </c>
      <c r="AH669" s="18">
        <v>2.9999999999999951</v>
      </c>
      <c r="AI669" s="18">
        <v>16.999999999999972</v>
      </c>
      <c r="AJ669" s="18">
        <v>0</v>
      </c>
      <c r="AK669" s="18">
        <v>5.0000000000000079E-2</v>
      </c>
      <c r="AL669" s="18"/>
      <c r="AM669" s="18">
        <v>6.1</v>
      </c>
      <c r="AN669" s="18">
        <v>1.5</v>
      </c>
      <c r="AO669" s="18">
        <v>2</v>
      </c>
      <c r="AP669" s="18">
        <v>5.4</v>
      </c>
      <c r="AQ669" s="18">
        <v>1.1000000000000001</v>
      </c>
      <c r="AR669" s="18">
        <v>5.7</v>
      </c>
      <c r="AS669" s="18">
        <v>8.1</v>
      </c>
      <c r="AT669" s="18">
        <v>1.2</v>
      </c>
      <c r="AU669" s="18">
        <v>2.6</v>
      </c>
      <c r="AV669" s="18">
        <v>2</v>
      </c>
      <c r="AW669" s="18">
        <v>5</v>
      </c>
      <c r="AX669" s="18"/>
      <c r="AY669" s="18">
        <v>0.89</v>
      </c>
      <c r="AZ669" s="18">
        <v>1.06</v>
      </c>
      <c r="BA669" s="18">
        <v>1.04</v>
      </c>
      <c r="BB669" s="18">
        <v>1.01</v>
      </c>
      <c r="BC669" s="18">
        <v>1.08</v>
      </c>
      <c r="BD669" s="18">
        <v>1.05</v>
      </c>
      <c r="BE669" s="18">
        <v>1.0900000000000001</v>
      </c>
      <c r="BF669" s="18">
        <v>1.05</v>
      </c>
      <c r="BG669" s="18">
        <v>1.02</v>
      </c>
      <c r="BH669" s="18">
        <v>1.1200000000000001</v>
      </c>
      <c r="BI669" s="18">
        <v>1.05</v>
      </c>
      <c r="BJ669" s="19"/>
      <c r="BK669" s="18">
        <v>15.100000000000007</v>
      </c>
      <c r="BL669" s="18">
        <v>2.1999999999999966</v>
      </c>
      <c r="BM669" s="18">
        <v>8.6206900000000015</v>
      </c>
      <c r="BN669" s="18">
        <v>0</v>
      </c>
      <c r="BO669" s="18"/>
      <c r="BP669" s="18">
        <v>34</v>
      </c>
      <c r="BQ669" s="18">
        <v>7.480000000000004</v>
      </c>
      <c r="BR669" s="18">
        <v>1.2253301058263604</v>
      </c>
      <c r="BS669" s="18">
        <v>1.1789766686173404</v>
      </c>
      <c r="BT669" s="19"/>
      <c r="BU669" s="18">
        <v>913.79310000000009</v>
      </c>
      <c r="BV669" s="18">
        <v>732.85098185714344</v>
      </c>
      <c r="BW669" s="18">
        <v>13.054187142857103</v>
      </c>
      <c r="BX669" s="18">
        <v>0</v>
      </c>
      <c r="BY669" s="18" t="s">
        <v>217</v>
      </c>
      <c r="BZ669" s="18">
        <v>0</v>
      </c>
      <c r="CA669" s="18">
        <v>0</v>
      </c>
      <c r="CB669" s="19"/>
      <c r="CC669" s="19">
        <v>0.39866000000000101</v>
      </c>
      <c r="CD669" s="19">
        <v>0.44367000000000106</v>
      </c>
      <c r="CE669" s="19">
        <v>0.73302000000000112</v>
      </c>
      <c r="CF669" s="19">
        <v>1.4531799999999999</v>
      </c>
      <c r="CG669" s="19">
        <v>1.4531799999999999</v>
      </c>
      <c r="CH669" s="19">
        <v>8.3590000000000095E-2</v>
      </c>
      <c r="CI669" s="19">
        <v>0</v>
      </c>
      <c r="CJ669" s="19"/>
      <c r="CK669" s="19">
        <v>5.9156000000000102</v>
      </c>
      <c r="CL669" s="19">
        <v>1.4146000000000001</v>
      </c>
      <c r="CM669" s="19">
        <v>0.19290000000000002</v>
      </c>
      <c r="CN669" s="19">
        <v>1.0931</v>
      </c>
      <c r="CO669" s="19">
        <v>0</v>
      </c>
      <c r="CP669" s="19">
        <v>3.2150000000000104E-3</v>
      </c>
      <c r="CQ669" s="19">
        <v>8.2529050000000108</v>
      </c>
      <c r="CR669" s="19">
        <v>104.74728351952224</v>
      </c>
      <c r="HM669" s="620">
        <f t="shared" ref="HM669:HU669" si="720">HM299</f>
        <v>0</v>
      </c>
      <c r="HN669" s="620">
        <f t="shared" si="720"/>
        <v>0</v>
      </c>
      <c r="HO669" s="620">
        <f t="shared" si="720"/>
        <v>0</v>
      </c>
      <c r="HP669" s="620">
        <f t="shared" si="720"/>
        <v>0</v>
      </c>
      <c r="HQ669" s="620">
        <f t="shared" si="720"/>
        <v>0</v>
      </c>
      <c r="HR669" s="620">
        <f t="shared" si="720"/>
        <v>0</v>
      </c>
      <c r="HS669" s="620">
        <f t="shared" si="720"/>
        <v>0</v>
      </c>
      <c r="HT669" s="620">
        <f t="shared" si="720"/>
        <v>0</v>
      </c>
      <c r="HU669" s="620" t="str">
        <f t="shared" si="720"/>
        <v>offfarm</v>
      </c>
      <c r="HV669" s="22" t="s">
        <v>2076</v>
      </c>
      <c r="IB669" s="11">
        <f t="shared" ref="IB669:II669" si="721">IB299</f>
        <v>0.47300000000000003</v>
      </c>
      <c r="IC669" s="11">
        <f t="shared" si="721"/>
        <v>0.13</v>
      </c>
      <c r="ID669" s="11">
        <f t="shared" si="721"/>
        <v>0.39100000000000001</v>
      </c>
      <c r="IE669" s="11">
        <f t="shared" si="721"/>
        <v>5.5E-2</v>
      </c>
      <c r="IF669" s="11">
        <f t="shared" si="721"/>
        <v>3.97</v>
      </c>
      <c r="IG669" s="11">
        <f t="shared" si="721"/>
        <v>4.5999999999999999E-3</v>
      </c>
      <c r="IH669" s="11">
        <f t="shared" si="721"/>
        <v>2.73</v>
      </c>
      <c r="II669" s="11">
        <f t="shared" si="721"/>
        <v>0</v>
      </c>
    </row>
    <row r="670" spans="4:243" x14ac:dyDescent="0.25">
      <c r="D670" s="20" t="s">
        <v>1335</v>
      </c>
      <c r="E670" s="14">
        <v>42691</v>
      </c>
      <c r="F670" s="18">
        <v>4.7735603993935699E-2</v>
      </c>
      <c r="G670" s="18">
        <v>4.59313630197783E-2</v>
      </c>
      <c r="H670" s="21">
        <v>99</v>
      </c>
      <c r="I670" s="21">
        <v>98</v>
      </c>
      <c r="J670" s="21">
        <v>98</v>
      </c>
      <c r="K670" s="18">
        <v>0.86</v>
      </c>
      <c r="L670" s="18">
        <v>3.9300000000000099</v>
      </c>
      <c r="M670" s="18">
        <v>0.48732000000000097</v>
      </c>
      <c r="N670" s="18">
        <v>5.5020000000000097E-2</v>
      </c>
      <c r="O670" s="18">
        <v>0.33879311700000098</v>
      </c>
      <c r="P670" s="18">
        <v>0</v>
      </c>
      <c r="Q670" s="19"/>
      <c r="R670" s="18">
        <v>85</v>
      </c>
      <c r="S670" s="18">
        <v>50</v>
      </c>
      <c r="T670" s="18">
        <v>50</v>
      </c>
      <c r="U670" s="18">
        <v>50</v>
      </c>
      <c r="V670" s="18">
        <v>50</v>
      </c>
      <c r="W670" s="18">
        <v>50</v>
      </c>
      <c r="X670" s="18"/>
      <c r="Y670" s="18">
        <v>9.5000000000000018</v>
      </c>
      <c r="Z670" s="18">
        <v>8.4000000000000039</v>
      </c>
      <c r="AA670" s="18">
        <v>7.000000000000008</v>
      </c>
      <c r="AB670" s="18">
        <v>21.4</v>
      </c>
      <c r="AC670" s="18">
        <v>22.999999999999993</v>
      </c>
      <c r="AD670" s="18">
        <v>1.3999999999999988</v>
      </c>
      <c r="AE670" s="18">
        <v>0</v>
      </c>
      <c r="AF670" s="18">
        <v>92.000000000000014</v>
      </c>
      <c r="AG670" s="18">
        <v>21.999999999999996</v>
      </c>
      <c r="AH670" s="18">
        <v>2.9999999999999925</v>
      </c>
      <c r="AI670" s="18">
        <v>17.000000000000007</v>
      </c>
      <c r="AJ670" s="18">
        <v>0</v>
      </c>
      <c r="AK670" s="18">
        <v>4.9999999999999878E-2</v>
      </c>
      <c r="AL670" s="18"/>
      <c r="AM670" s="18">
        <v>6.1</v>
      </c>
      <c r="AN670" s="18">
        <v>1.5</v>
      </c>
      <c r="AO670" s="18">
        <v>2</v>
      </c>
      <c r="AP670" s="18">
        <v>5.4</v>
      </c>
      <c r="AQ670" s="18">
        <v>1.1000000000000001</v>
      </c>
      <c r="AR670" s="18">
        <v>5.7</v>
      </c>
      <c r="AS670" s="18">
        <v>8.1</v>
      </c>
      <c r="AT670" s="18">
        <v>1.2</v>
      </c>
      <c r="AU670" s="18">
        <v>2.6</v>
      </c>
      <c r="AV670" s="18">
        <v>2</v>
      </c>
      <c r="AW670" s="18">
        <v>5</v>
      </c>
      <c r="AX670" s="18"/>
      <c r="AY670" s="18">
        <v>0.89</v>
      </c>
      <c r="AZ670" s="18">
        <v>1.06</v>
      </c>
      <c r="BA670" s="18">
        <v>1.04</v>
      </c>
      <c r="BB670" s="18">
        <v>1.01</v>
      </c>
      <c r="BC670" s="18">
        <v>1.08</v>
      </c>
      <c r="BD670" s="18">
        <v>1.05</v>
      </c>
      <c r="BE670" s="18">
        <v>1.0900000000000001</v>
      </c>
      <c r="BF670" s="18">
        <v>1.05</v>
      </c>
      <c r="BG670" s="18">
        <v>1.02</v>
      </c>
      <c r="BH670" s="18">
        <v>1.1200000000000001</v>
      </c>
      <c r="BI670" s="18">
        <v>1.05</v>
      </c>
      <c r="BJ670" s="19"/>
      <c r="BK670" s="18">
        <v>12.399999999999993</v>
      </c>
      <c r="BL670" s="18">
        <v>1.3999999999999988</v>
      </c>
      <c r="BM670" s="18">
        <v>8.6206900000000015</v>
      </c>
      <c r="BN670" s="18">
        <v>0</v>
      </c>
      <c r="BO670" s="18"/>
      <c r="BP670" s="18">
        <v>34</v>
      </c>
      <c r="BQ670" s="18">
        <v>4.7599999999999882</v>
      </c>
      <c r="BR670" s="18">
        <v>1.2146464120594294</v>
      </c>
      <c r="BS670" s="18">
        <v>1.1687369725134398</v>
      </c>
      <c r="BT670" s="19"/>
      <c r="BU670" s="18">
        <v>913.79310000000032</v>
      </c>
      <c r="BV670" s="18">
        <v>765.18098185714314</v>
      </c>
      <c r="BW670" s="18">
        <v>13.054187142857092</v>
      </c>
      <c r="BX670" s="18">
        <v>0</v>
      </c>
      <c r="BY670" s="18" t="s">
        <v>217</v>
      </c>
      <c r="BZ670" s="18">
        <v>0</v>
      </c>
      <c r="CA670" s="18">
        <v>0</v>
      </c>
      <c r="CB670" s="19"/>
      <c r="CC670" s="19">
        <v>0.37335000000000101</v>
      </c>
      <c r="CD670" s="19">
        <v>0.33012000000000097</v>
      </c>
      <c r="CE670" s="19">
        <v>0.27510000000000101</v>
      </c>
      <c r="CF670" s="19">
        <v>0.8410200000000021</v>
      </c>
      <c r="CG670" s="19">
        <v>0.90390000000000204</v>
      </c>
      <c r="CH670" s="19">
        <v>5.502000000000009E-2</v>
      </c>
      <c r="CI670" s="19">
        <v>0</v>
      </c>
      <c r="CJ670" s="19"/>
      <c r="CK670" s="19">
        <v>3.6156000000000095</v>
      </c>
      <c r="CL670" s="19">
        <v>0.86460000000000203</v>
      </c>
      <c r="CM670" s="19">
        <v>0.1179</v>
      </c>
      <c r="CN670" s="19">
        <v>0.66810000000000191</v>
      </c>
      <c r="CO670" s="19">
        <v>0</v>
      </c>
      <c r="CP670" s="19">
        <v>1.9650000000000002E-3</v>
      </c>
      <c r="CQ670" s="19">
        <v>4.1422200000000098</v>
      </c>
      <c r="CR670" s="19">
        <v>86.77422413103298</v>
      </c>
      <c r="HM670" s="620">
        <f t="shared" ref="HM670:HU670" si="722">HM300</f>
        <v>0</v>
      </c>
      <c r="HN670" s="620">
        <f t="shared" si="722"/>
        <v>0</v>
      </c>
      <c r="HO670" s="620">
        <f t="shared" si="722"/>
        <v>0</v>
      </c>
      <c r="HP670" s="620">
        <f t="shared" si="722"/>
        <v>0</v>
      </c>
      <c r="HQ670" s="620">
        <f t="shared" si="722"/>
        <v>0</v>
      </c>
      <c r="HR670" s="620">
        <f t="shared" si="722"/>
        <v>0</v>
      </c>
      <c r="HS670" s="620">
        <f t="shared" si="722"/>
        <v>0</v>
      </c>
      <c r="HT670" s="620">
        <f t="shared" si="722"/>
        <v>0</v>
      </c>
      <c r="HU670" s="620" t="str">
        <f t="shared" si="722"/>
        <v>offfarm</v>
      </c>
      <c r="HV670" s="22" t="s">
        <v>2076</v>
      </c>
      <c r="IB670" s="11">
        <f t="shared" ref="IB670:II670" si="723">IB300</f>
        <v>0.47300000000000003</v>
      </c>
      <c r="IC670" s="11">
        <f t="shared" si="723"/>
        <v>0.13</v>
      </c>
      <c r="ID670" s="11">
        <f t="shared" si="723"/>
        <v>0.39100000000000001</v>
      </c>
      <c r="IE670" s="11">
        <f t="shared" si="723"/>
        <v>5.5E-2</v>
      </c>
      <c r="IF670" s="11">
        <f t="shared" si="723"/>
        <v>3.97</v>
      </c>
      <c r="IG670" s="11">
        <f t="shared" si="723"/>
        <v>4.5999999999999999E-3</v>
      </c>
      <c r="IH670" s="11">
        <f t="shared" si="723"/>
        <v>2.73</v>
      </c>
      <c r="II670" s="11">
        <f t="shared" si="723"/>
        <v>0</v>
      </c>
    </row>
    <row r="671" spans="4:243" x14ac:dyDescent="0.25">
      <c r="D671" s="20" t="s">
        <v>1239</v>
      </c>
      <c r="E671" s="14">
        <v>40310</v>
      </c>
      <c r="F671" s="18">
        <v>1.36759693515292</v>
      </c>
      <c r="G671" s="18">
        <v>1.3160310513914599</v>
      </c>
      <c r="H671" s="21">
        <v>100</v>
      </c>
      <c r="I671" s="21">
        <v>98.4</v>
      </c>
      <c r="J671" s="21">
        <v>98.7</v>
      </c>
      <c r="K671" s="18">
        <v>1</v>
      </c>
      <c r="L671" s="18">
        <v>97</v>
      </c>
      <c r="M671" s="18">
        <v>9.3119999999999994</v>
      </c>
      <c r="N671" s="18">
        <v>0.48499999999999999</v>
      </c>
      <c r="O671" s="18">
        <v>8.2449999999999992</v>
      </c>
      <c r="P671" s="18">
        <v>0</v>
      </c>
      <c r="Q671" s="19"/>
      <c r="R671" s="18">
        <v>92</v>
      </c>
      <c r="S671" s="18">
        <v>58</v>
      </c>
      <c r="T671" s="18">
        <v>58</v>
      </c>
      <c r="U671" s="18">
        <v>58</v>
      </c>
      <c r="V671" s="18">
        <v>58</v>
      </c>
      <c r="W671" s="18">
        <v>58</v>
      </c>
      <c r="X671" s="18"/>
      <c r="Y671" s="18">
        <v>10.6</v>
      </c>
      <c r="Z671" s="18">
        <v>8.1999999999999993</v>
      </c>
      <c r="AA671" s="18">
        <v>6.6000000000000005</v>
      </c>
      <c r="AB671" s="18">
        <v>35</v>
      </c>
      <c r="AC671" s="18">
        <v>21</v>
      </c>
      <c r="AD671" s="18">
        <v>1.6</v>
      </c>
      <c r="AE671" s="18">
        <v>2</v>
      </c>
      <c r="AF671" s="18">
        <v>4</v>
      </c>
      <c r="AG671" s="18">
        <v>3</v>
      </c>
      <c r="AH671" s="18">
        <v>3</v>
      </c>
      <c r="AI671" s="18">
        <v>14</v>
      </c>
      <c r="AJ671" s="18">
        <v>0</v>
      </c>
      <c r="AK671" s="18">
        <v>6.25E-2</v>
      </c>
      <c r="AL671" s="18"/>
      <c r="AM671" s="18">
        <v>7.47</v>
      </c>
      <c r="AN671" s="18">
        <v>1.45</v>
      </c>
      <c r="AO671" s="18">
        <v>1.82</v>
      </c>
      <c r="AP671" s="18">
        <v>6.07</v>
      </c>
      <c r="AQ671" s="18">
        <v>1.29</v>
      </c>
      <c r="AR671" s="18">
        <v>5.88</v>
      </c>
      <c r="AS671" s="18">
        <v>8.6300000000000008</v>
      </c>
      <c r="AT671" s="18">
        <v>2.15</v>
      </c>
      <c r="AU671" s="18">
        <v>3</v>
      </c>
      <c r="AV671" s="18">
        <v>2.75</v>
      </c>
      <c r="AW671" s="18">
        <v>5.29</v>
      </c>
      <c r="AX671" s="18"/>
      <c r="AY671" s="18">
        <v>1.01</v>
      </c>
      <c r="AZ671" s="18">
        <v>0.99</v>
      </c>
      <c r="BA671" s="18">
        <v>0.97</v>
      </c>
      <c r="BB671" s="18">
        <v>1.01</v>
      </c>
      <c r="BC671" s="18">
        <v>0.99</v>
      </c>
      <c r="BD671" s="18">
        <v>0.97</v>
      </c>
      <c r="BE671" s="18">
        <v>0.98</v>
      </c>
      <c r="BF671" s="18">
        <v>1.01</v>
      </c>
      <c r="BG671" s="18">
        <v>1.05</v>
      </c>
      <c r="BH671" s="18">
        <v>1</v>
      </c>
      <c r="BI671" s="18">
        <v>0.97</v>
      </c>
      <c r="BJ671" s="19"/>
      <c r="BK671" s="18">
        <v>9.6</v>
      </c>
      <c r="BL671" s="18">
        <v>0.5</v>
      </c>
      <c r="BM671" s="18">
        <v>8.5</v>
      </c>
      <c r="BN671" s="18">
        <v>0</v>
      </c>
      <c r="BO671" s="18"/>
      <c r="BP671" s="18">
        <v>34</v>
      </c>
      <c r="BQ671" s="18">
        <v>1.7</v>
      </c>
      <c r="BR671" s="18">
        <v>1.4098937475803299</v>
      </c>
      <c r="BS671" s="18">
        <v>1.3567330426716082</v>
      </c>
      <c r="BT671" s="19"/>
      <c r="BU671" s="18">
        <v>915</v>
      </c>
      <c r="BV671" s="18">
        <v>801.87571428571448</v>
      </c>
      <c r="BW671" s="18">
        <v>20.914285714285565</v>
      </c>
      <c r="BX671" s="18">
        <v>0</v>
      </c>
      <c r="BY671" s="18">
        <v>775</v>
      </c>
      <c r="BZ671" s="18">
        <v>0</v>
      </c>
      <c r="CA671" s="18">
        <v>0</v>
      </c>
      <c r="CB671" s="19"/>
      <c r="CC671" s="19">
        <v>10.282</v>
      </c>
      <c r="CD671" s="19">
        <v>7.9539999999999988</v>
      </c>
      <c r="CE671" s="19">
        <v>6.4020000000000001</v>
      </c>
      <c r="CF671" s="19">
        <v>33.949999999999996</v>
      </c>
      <c r="CG671" s="19">
        <v>20.37</v>
      </c>
      <c r="CH671" s="19">
        <v>1.552</v>
      </c>
      <c r="CI671" s="19">
        <v>1.94</v>
      </c>
      <c r="CJ671" s="19"/>
      <c r="CK671" s="19">
        <v>3.88</v>
      </c>
      <c r="CL671" s="19">
        <v>2.91</v>
      </c>
      <c r="CM671" s="19">
        <v>2.91</v>
      </c>
      <c r="CN671" s="19">
        <v>13.58</v>
      </c>
      <c r="CO671" s="19">
        <v>0</v>
      </c>
      <c r="CP671" s="19">
        <v>6.0624999999999998E-2</v>
      </c>
      <c r="CQ671" s="19">
        <v>85.670400000000001</v>
      </c>
      <c r="CR671" s="19">
        <v>62.64301842005856</v>
      </c>
      <c r="HM671" s="620">
        <f t="shared" ref="HM671:HU671" si="724">HM301</f>
        <v>0</v>
      </c>
      <c r="HN671" s="620">
        <f t="shared" si="724"/>
        <v>0</v>
      </c>
      <c r="HO671" s="620">
        <f t="shared" si="724"/>
        <v>0</v>
      </c>
      <c r="HP671" s="620">
        <f t="shared" si="724"/>
        <v>0</v>
      </c>
      <c r="HQ671" s="620">
        <f t="shared" si="724"/>
        <v>0</v>
      </c>
      <c r="HR671" s="620">
        <f t="shared" si="724"/>
        <v>0</v>
      </c>
      <c r="HS671" s="620">
        <f t="shared" si="724"/>
        <v>0</v>
      </c>
      <c r="HT671" s="620">
        <f t="shared" si="724"/>
        <v>0</v>
      </c>
      <c r="HU671" s="620" t="str">
        <f t="shared" si="724"/>
        <v>offfarm</v>
      </c>
      <c r="HV671" s="22" t="s">
        <v>2077</v>
      </c>
      <c r="IB671" s="11">
        <f t="shared" ref="IB671:II671" si="725">IB301</f>
        <v>0.47300000000000003</v>
      </c>
      <c r="IC671" s="11">
        <f t="shared" si="725"/>
        <v>0.13</v>
      </c>
      <c r="ID671" s="11">
        <f t="shared" si="725"/>
        <v>0.39100000000000001</v>
      </c>
      <c r="IE671" s="11">
        <f t="shared" si="725"/>
        <v>5.5E-2</v>
      </c>
      <c r="IF671" s="11">
        <f t="shared" si="725"/>
        <v>3.97</v>
      </c>
      <c r="IG671" s="11">
        <f t="shared" si="725"/>
        <v>4.5999999999999999E-3</v>
      </c>
      <c r="IH671" s="11">
        <f t="shared" si="725"/>
        <v>2.73</v>
      </c>
      <c r="II671" s="11">
        <f t="shared" si="725"/>
        <v>0</v>
      </c>
    </row>
    <row r="672" spans="4:243" x14ac:dyDescent="0.25">
      <c r="D672" s="20" t="s">
        <v>1240</v>
      </c>
      <c r="E672" s="14">
        <v>40310</v>
      </c>
      <c r="F672" s="18">
        <v>1.36476482089625</v>
      </c>
      <c r="G672" s="18">
        <v>1.3141744147866401</v>
      </c>
      <c r="H672" s="21">
        <v>99.7</v>
      </c>
      <c r="I672" s="21">
        <v>98</v>
      </c>
      <c r="J672" s="21">
        <v>94.4</v>
      </c>
      <c r="K672" s="18">
        <v>1</v>
      </c>
      <c r="L672" s="18">
        <v>96.5</v>
      </c>
      <c r="M672" s="18">
        <v>12.448499999999999</v>
      </c>
      <c r="N672" s="18">
        <v>1.2544999999999999</v>
      </c>
      <c r="O672" s="18">
        <v>8.2025000000000006</v>
      </c>
      <c r="P672" s="18">
        <v>0</v>
      </c>
      <c r="Q672" s="19"/>
      <c r="R672" s="18">
        <v>85</v>
      </c>
      <c r="S672" s="18">
        <v>58</v>
      </c>
      <c r="T672" s="18">
        <v>58</v>
      </c>
      <c r="U672" s="18">
        <v>58</v>
      </c>
      <c r="V672" s="18">
        <v>58</v>
      </c>
      <c r="W672" s="18">
        <v>58</v>
      </c>
      <c r="X672" s="18"/>
      <c r="Y672" s="18">
        <v>5.5</v>
      </c>
      <c r="Z672" s="18">
        <v>6</v>
      </c>
      <c r="AA672" s="18">
        <v>5.5</v>
      </c>
      <c r="AB672" s="18">
        <v>15</v>
      </c>
      <c r="AC672" s="18">
        <v>22</v>
      </c>
      <c r="AD672" s="18">
        <v>1.3</v>
      </c>
      <c r="AE672" s="18">
        <v>2</v>
      </c>
      <c r="AF672" s="18">
        <v>4</v>
      </c>
      <c r="AG672" s="18">
        <v>3</v>
      </c>
      <c r="AH672" s="18">
        <v>2</v>
      </c>
      <c r="AI672" s="18">
        <v>2</v>
      </c>
      <c r="AJ672" s="18">
        <v>0</v>
      </c>
      <c r="AK672" s="18">
        <v>0.05</v>
      </c>
      <c r="AL672" s="18"/>
      <c r="AM672" s="18">
        <v>7.47</v>
      </c>
      <c r="AN672" s="18">
        <v>1.45</v>
      </c>
      <c r="AO672" s="18">
        <v>1.82</v>
      </c>
      <c r="AP672" s="18">
        <v>6.07</v>
      </c>
      <c r="AQ672" s="18">
        <v>1.29</v>
      </c>
      <c r="AR672" s="18">
        <v>5.88</v>
      </c>
      <c r="AS672" s="18">
        <v>8.6300000000000008</v>
      </c>
      <c r="AT672" s="18">
        <v>2.15</v>
      </c>
      <c r="AU672" s="18">
        <v>3</v>
      </c>
      <c r="AV672" s="18">
        <v>2.75</v>
      </c>
      <c r="AW672" s="18">
        <v>5.29</v>
      </c>
      <c r="AX672" s="18"/>
      <c r="AY672" s="18">
        <v>0.89</v>
      </c>
      <c r="AZ672" s="18">
        <v>1.06</v>
      </c>
      <c r="BA672" s="18">
        <v>1.04</v>
      </c>
      <c r="BB672" s="18">
        <v>1.01</v>
      </c>
      <c r="BC672" s="18">
        <v>1.08</v>
      </c>
      <c r="BD672" s="18">
        <v>1.05</v>
      </c>
      <c r="BE672" s="18">
        <v>1.0900000000000001</v>
      </c>
      <c r="BF672" s="18">
        <v>1.05</v>
      </c>
      <c r="BG672" s="18">
        <v>1.02</v>
      </c>
      <c r="BH672" s="18">
        <v>1.1200000000000001</v>
      </c>
      <c r="BI672" s="18">
        <v>1.05</v>
      </c>
      <c r="BJ672" s="19"/>
      <c r="BK672" s="18">
        <v>12.899999999999999</v>
      </c>
      <c r="BL672" s="18">
        <v>1.3</v>
      </c>
      <c r="BM672" s="18">
        <v>8.5</v>
      </c>
      <c r="BN672" s="18">
        <v>0</v>
      </c>
      <c r="BO672" s="18"/>
      <c r="BP672" s="18">
        <v>34</v>
      </c>
      <c r="BQ672" s="18">
        <v>4.42</v>
      </c>
      <c r="BR672" s="18">
        <v>1.4142640631049221</v>
      </c>
      <c r="BS672" s="18">
        <v>1.361838771799627</v>
      </c>
      <c r="BT672" s="19"/>
      <c r="BU672" s="18">
        <v>915</v>
      </c>
      <c r="BV672" s="18">
        <v>760.03357142857101</v>
      </c>
      <c r="BW672" s="18">
        <v>22.2214285714286</v>
      </c>
      <c r="BX672" s="18">
        <v>0</v>
      </c>
      <c r="BY672" s="18">
        <v>775</v>
      </c>
      <c r="BZ672" s="18">
        <v>0</v>
      </c>
      <c r="CA672" s="18">
        <v>0</v>
      </c>
      <c r="CB672" s="19"/>
      <c r="CC672" s="19">
        <v>5.3075000000000001</v>
      </c>
      <c r="CD672" s="19">
        <v>5.79</v>
      </c>
      <c r="CE672" s="19">
        <v>5.3075000000000001</v>
      </c>
      <c r="CF672" s="19">
        <v>14.475</v>
      </c>
      <c r="CG672" s="19">
        <v>21.23</v>
      </c>
      <c r="CH672" s="19">
        <v>1.2544999999999999</v>
      </c>
      <c r="CI672" s="19">
        <v>1.93</v>
      </c>
      <c r="CJ672" s="19"/>
      <c r="CK672" s="19">
        <v>3.86</v>
      </c>
      <c r="CL672" s="19">
        <v>2.895</v>
      </c>
      <c r="CM672" s="19">
        <v>1.93</v>
      </c>
      <c r="CN672" s="19">
        <v>1.93</v>
      </c>
      <c r="CO672" s="19">
        <v>0</v>
      </c>
      <c r="CP672" s="19">
        <v>4.8250000000000001E-2</v>
      </c>
      <c r="CQ672" s="19">
        <v>105.81225000000001</v>
      </c>
      <c r="CR672" s="19">
        <v>77.531489953347716</v>
      </c>
      <c r="HM672" s="620">
        <f t="shared" ref="HM672:HU672" si="726">HM302</f>
        <v>0</v>
      </c>
      <c r="HN672" s="620">
        <f t="shared" si="726"/>
        <v>0</v>
      </c>
      <c r="HO672" s="620">
        <f t="shared" si="726"/>
        <v>0</v>
      </c>
      <c r="HP672" s="620">
        <f t="shared" si="726"/>
        <v>0</v>
      </c>
      <c r="HQ672" s="620">
        <f t="shared" si="726"/>
        <v>0</v>
      </c>
      <c r="HR672" s="620">
        <f t="shared" si="726"/>
        <v>0</v>
      </c>
      <c r="HS672" s="620">
        <f t="shared" si="726"/>
        <v>0</v>
      </c>
      <c r="HT672" s="620">
        <f t="shared" si="726"/>
        <v>0</v>
      </c>
      <c r="HU672" s="620" t="str">
        <f t="shared" si="726"/>
        <v>offfarm</v>
      </c>
      <c r="HV672" s="22" t="s">
        <v>2077</v>
      </c>
      <c r="IB672" s="11">
        <f t="shared" ref="IB672:II672" si="727">IB302</f>
        <v>0.47300000000000003</v>
      </c>
      <c r="IC672" s="11">
        <f t="shared" si="727"/>
        <v>0.13</v>
      </c>
      <c r="ID672" s="11">
        <f t="shared" si="727"/>
        <v>0.39100000000000001</v>
      </c>
      <c r="IE672" s="11">
        <f t="shared" si="727"/>
        <v>5.5E-2</v>
      </c>
      <c r="IF672" s="11">
        <f t="shared" si="727"/>
        <v>3.97</v>
      </c>
      <c r="IG672" s="11">
        <f t="shared" si="727"/>
        <v>4.5999999999999999E-3</v>
      </c>
      <c r="IH672" s="11">
        <f t="shared" si="727"/>
        <v>2.73</v>
      </c>
      <c r="II672" s="11">
        <f t="shared" si="727"/>
        <v>0</v>
      </c>
    </row>
    <row r="673" spans="4:244" x14ac:dyDescent="0.25">
      <c r="D673" s="20" t="s">
        <v>1241</v>
      </c>
      <c r="E673" s="14">
        <v>40310</v>
      </c>
      <c r="F673" s="18">
        <v>1E-8</v>
      </c>
      <c r="G673" s="18">
        <v>1E-8</v>
      </c>
      <c r="H673" s="21">
        <v>1E-8</v>
      </c>
      <c r="I673" s="21">
        <v>1E-8</v>
      </c>
      <c r="J673" s="21">
        <v>1E-8</v>
      </c>
      <c r="K673" s="18">
        <v>1E-8</v>
      </c>
      <c r="L673" s="18">
        <v>1E-8</v>
      </c>
      <c r="M673" s="18">
        <v>1E-8</v>
      </c>
      <c r="N673" s="18">
        <v>1E-8</v>
      </c>
      <c r="O673" s="18">
        <v>1E-8</v>
      </c>
      <c r="P673" s="18">
        <v>1E-8</v>
      </c>
      <c r="Q673" s="19"/>
      <c r="R673" s="18">
        <v>1E-8</v>
      </c>
      <c r="S673" s="18">
        <v>1E-8</v>
      </c>
      <c r="T673" s="18">
        <v>1E-8</v>
      </c>
      <c r="U673" s="18">
        <v>1E-8</v>
      </c>
      <c r="V673" s="18">
        <v>1E-8</v>
      </c>
      <c r="W673" s="18">
        <v>1E-8</v>
      </c>
      <c r="X673" s="18"/>
      <c r="Y673" s="18">
        <v>1E-8</v>
      </c>
      <c r="Z673" s="18">
        <v>1E-8</v>
      </c>
      <c r="AA673" s="18">
        <v>1E-8</v>
      </c>
      <c r="AB673" s="18">
        <v>1E-8</v>
      </c>
      <c r="AC673" s="18">
        <v>1E-8</v>
      </c>
      <c r="AD673" s="18">
        <v>1E-8</v>
      </c>
      <c r="AE673" s="18">
        <v>1E-8</v>
      </c>
      <c r="AF673" s="18">
        <v>1E-8</v>
      </c>
      <c r="AG673" s="18">
        <v>1E-8</v>
      </c>
      <c r="AH673" s="18">
        <v>1E-8</v>
      </c>
      <c r="AI673" s="18">
        <v>1E-8</v>
      </c>
      <c r="AJ673" s="18">
        <v>1E-8</v>
      </c>
      <c r="AK673" s="18">
        <v>1E-8</v>
      </c>
      <c r="AL673" s="18"/>
      <c r="AM673" s="18">
        <v>1E-8</v>
      </c>
      <c r="AN673" s="18">
        <v>1E-8</v>
      </c>
      <c r="AO673" s="18">
        <v>1E-8</v>
      </c>
      <c r="AP673" s="18">
        <v>1E-8</v>
      </c>
      <c r="AQ673" s="18">
        <v>1E-8</v>
      </c>
      <c r="AR673" s="18">
        <v>1E-8</v>
      </c>
      <c r="AS673" s="18">
        <v>1E-8</v>
      </c>
      <c r="AT673" s="18">
        <v>1E-8</v>
      </c>
      <c r="AU673" s="18">
        <v>1E-8</v>
      </c>
      <c r="AV673" s="18">
        <v>1E-8</v>
      </c>
      <c r="AW673" s="18">
        <v>1E-8</v>
      </c>
      <c r="AX673" s="18"/>
      <c r="AY673" s="18">
        <v>1E-8</v>
      </c>
      <c r="AZ673" s="18">
        <v>1E-8</v>
      </c>
      <c r="BA673" s="18">
        <v>1E-8</v>
      </c>
      <c r="BB673" s="18">
        <v>1E-8</v>
      </c>
      <c r="BC673" s="18">
        <v>1E-8</v>
      </c>
      <c r="BD673" s="18">
        <v>1E-8</v>
      </c>
      <c r="BE673" s="18">
        <v>1E-8</v>
      </c>
      <c r="BF673" s="18">
        <v>1E-8</v>
      </c>
      <c r="BG673" s="18">
        <v>1E-8</v>
      </c>
      <c r="BH673" s="18">
        <v>1E-8</v>
      </c>
      <c r="BI673" s="18">
        <v>1E-8</v>
      </c>
      <c r="BJ673" s="19"/>
      <c r="BK673" s="18">
        <v>1E-8</v>
      </c>
      <c r="BL673" s="18">
        <v>1E-8</v>
      </c>
      <c r="BM673" s="18">
        <v>1E-8</v>
      </c>
      <c r="BN673" s="18">
        <v>1E-8</v>
      </c>
      <c r="BO673" s="18"/>
      <c r="BP673" s="18">
        <v>1E-8</v>
      </c>
      <c r="BQ673" s="18">
        <v>1E-8</v>
      </c>
      <c r="BR673" s="18">
        <v>1E-8</v>
      </c>
      <c r="BS673" s="18">
        <v>1E-8</v>
      </c>
      <c r="BT673" s="19"/>
      <c r="BU673" s="18">
        <v>1E-8</v>
      </c>
      <c r="BV673" s="18">
        <v>1E-8</v>
      </c>
      <c r="BW673" s="18">
        <v>1E-8</v>
      </c>
      <c r="BX673" s="18">
        <v>1E-8</v>
      </c>
      <c r="BY673" s="18">
        <v>1E-8</v>
      </c>
      <c r="BZ673" s="18">
        <v>1E-8</v>
      </c>
      <c r="CA673" s="18">
        <v>1E-8</v>
      </c>
      <c r="CB673" s="19"/>
      <c r="CC673" s="19">
        <v>1.0000000000000001E-18</v>
      </c>
      <c r="CD673" s="19">
        <v>1.0000000000000001E-18</v>
      </c>
      <c r="CE673" s="19">
        <v>1.0000000000000001E-18</v>
      </c>
      <c r="CF673" s="19">
        <v>1.0000000000000001E-18</v>
      </c>
      <c r="CG673" s="19">
        <v>1.0000000000000001E-18</v>
      </c>
      <c r="CH673" s="19">
        <v>1.0000000000000001E-18</v>
      </c>
      <c r="CI673" s="19">
        <v>1.0000000000000001E-18</v>
      </c>
      <c r="CJ673" s="19"/>
      <c r="CK673" s="19">
        <v>1.0000000000000001E-18</v>
      </c>
      <c r="CL673" s="19">
        <v>1.0000000000000001E-18</v>
      </c>
      <c r="CM673" s="19">
        <v>1.0000000000000001E-18</v>
      </c>
      <c r="CN673" s="19">
        <v>1.0000000000000001E-18</v>
      </c>
      <c r="CO673" s="19">
        <v>1.0000000000000001E-18</v>
      </c>
      <c r="CP673" s="19">
        <v>1.0000000000000001E-18</v>
      </c>
      <c r="CQ673" s="19">
        <v>9.9999999999999995E-8</v>
      </c>
      <c r="CR673" s="19">
        <v>1E-8</v>
      </c>
      <c r="HM673" s="620">
        <f t="shared" ref="HM673:HU673" si="728">HM303</f>
        <v>0</v>
      </c>
      <c r="HN673" s="620">
        <f t="shared" si="728"/>
        <v>0</v>
      </c>
      <c r="HO673" s="620">
        <f t="shared" si="728"/>
        <v>0</v>
      </c>
      <c r="HP673" s="620">
        <f t="shared" si="728"/>
        <v>0</v>
      </c>
      <c r="HQ673" s="620">
        <f t="shared" si="728"/>
        <v>0</v>
      </c>
      <c r="HR673" s="620">
        <f t="shared" si="728"/>
        <v>0</v>
      </c>
      <c r="HS673" s="620">
        <f t="shared" si="728"/>
        <v>0</v>
      </c>
      <c r="HT673" s="620">
        <f t="shared" si="728"/>
        <v>0</v>
      </c>
      <c r="HU673" s="620" t="str">
        <f t="shared" si="728"/>
        <v>offfarm</v>
      </c>
      <c r="HV673" s="22" t="s">
        <v>2078</v>
      </c>
      <c r="IB673" s="11">
        <f t="shared" ref="IB673:II673" si="729">IB303</f>
        <v>0</v>
      </c>
      <c r="IC673" s="11">
        <f t="shared" si="729"/>
        <v>0</v>
      </c>
      <c r="ID673" s="11">
        <f t="shared" si="729"/>
        <v>0</v>
      </c>
      <c r="IE673" s="11">
        <f t="shared" si="729"/>
        <v>0</v>
      </c>
      <c r="IF673" s="11">
        <f t="shared" si="729"/>
        <v>0</v>
      </c>
      <c r="IG673" s="11">
        <f t="shared" si="729"/>
        <v>0</v>
      </c>
      <c r="IH673" s="11">
        <f t="shared" si="729"/>
        <v>0</v>
      </c>
      <c r="II673" s="11">
        <f t="shared" si="729"/>
        <v>0</v>
      </c>
    </row>
    <row r="674" spans="4:244" x14ac:dyDescent="0.25">
      <c r="D674" s="20" t="s">
        <v>1242</v>
      </c>
      <c r="E674" s="14">
        <v>42522</v>
      </c>
      <c r="F674" s="18">
        <v>3.78963392452575</v>
      </c>
      <c r="G674" s="18">
        <v>3.6383912159740301</v>
      </c>
      <c r="H674" s="21">
        <v>97</v>
      </c>
      <c r="I674" s="21">
        <v>97</v>
      </c>
      <c r="J674" s="21">
        <v>90</v>
      </c>
      <c r="K674" s="18">
        <v>1</v>
      </c>
      <c r="L674" s="18">
        <v>99</v>
      </c>
      <c r="M674" s="18">
        <v>1E-4</v>
      </c>
      <c r="N674" s="18">
        <v>99</v>
      </c>
      <c r="O674" s="18">
        <v>0</v>
      </c>
      <c r="P674" s="18">
        <v>0</v>
      </c>
      <c r="Q674" s="19"/>
      <c r="R674" s="18">
        <v>0</v>
      </c>
      <c r="S674" s="18">
        <v>0</v>
      </c>
      <c r="T674" s="18">
        <v>0</v>
      </c>
      <c r="U674" s="18">
        <v>0</v>
      </c>
      <c r="V674" s="18">
        <v>0</v>
      </c>
      <c r="W674" s="18">
        <v>0</v>
      </c>
      <c r="X674" s="18"/>
      <c r="Y674" s="18">
        <v>0</v>
      </c>
      <c r="Z674" s="18">
        <v>0</v>
      </c>
      <c r="AA674" s="18">
        <v>0</v>
      </c>
      <c r="AB674" s="18">
        <v>0</v>
      </c>
      <c r="AC674" s="18">
        <v>0</v>
      </c>
      <c r="AD674" s="18">
        <v>0</v>
      </c>
      <c r="AE674" s="18">
        <v>0</v>
      </c>
      <c r="AF674" s="18">
        <v>0</v>
      </c>
      <c r="AG674" s="18">
        <v>0</v>
      </c>
      <c r="AH674" s="18">
        <v>0</v>
      </c>
      <c r="AI674" s="18">
        <v>0</v>
      </c>
      <c r="AJ674" s="18">
        <v>0</v>
      </c>
      <c r="AK674" s="18">
        <v>0</v>
      </c>
      <c r="AL674" s="18"/>
      <c r="AM674" s="18">
        <v>0</v>
      </c>
      <c r="AN674" s="18">
        <v>0</v>
      </c>
      <c r="AO674" s="18">
        <v>0</v>
      </c>
      <c r="AP674" s="18">
        <v>0</v>
      </c>
      <c r="AQ674" s="18">
        <v>0</v>
      </c>
      <c r="AR674" s="18">
        <v>0</v>
      </c>
      <c r="AS674" s="18">
        <v>0</v>
      </c>
      <c r="AT674" s="18">
        <v>0</v>
      </c>
      <c r="AU674" s="18">
        <v>0</v>
      </c>
      <c r="AV674" s="18">
        <v>0</v>
      </c>
      <c r="AW674" s="18">
        <v>0</v>
      </c>
      <c r="AX674" s="18"/>
      <c r="AY674" s="18">
        <v>0</v>
      </c>
      <c r="AZ674" s="18">
        <v>0</v>
      </c>
      <c r="BA674" s="18">
        <v>0</v>
      </c>
      <c r="BB674" s="18">
        <v>0</v>
      </c>
      <c r="BC674" s="18">
        <v>0</v>
      </c>
      <c r="BD674" s="18">
        <v>0</v>
      </c>
      <c r="BE674" s="18">
        <v>0</v>
      </c>
      <c r="BF674" s="18">
        <v>0</v>
      </c>
      <c r="BG674" s="18">
        <v>0</v>
      </c>
      <c r="BH674" s="18">
        <v>0</v>
      </c>
      <c r="BI674" s="18">
        <v>0</v>
      </c>
      <c r="BJ674" s="19"/>
      <c r="BK674" s="18">
        <v>1.0101010101010101E-4</v>
      </c>
      <c r="BL674" s="18">
        <v>100</v>
      </c>
      <c r="BM674" s="18">
        <v>0</v>
      </c>
      <c r="BN674" s="18">
        <v>0</v>
      </c>
      <c r="BO674" s="18"/>
      <c r="BP674" s="18">
        <v>56</v>
      </c>
      <c r="BQ674" s="18">
        <v>560</v>
      </c>
      <c r="BR674" s="18">
        <v>3.8279130550765155</v>
      </c>
      <c r="BS674" s="18">
        <v>3.67514264239801</v>
      </c>
      <c r="BT674" s="19"/>
      <c r="BU674" s="18">
        <v>1000</v>
      </c>
      <c r="BV674" s="18">
        <v>-9.1919191907823233E-4</v>
      </c>
      <c r="BW674" s="18">
        <v>0</v>
      </c>
      <c r="BX674" s="18">
        <v>0</v>
      </c>
      <c r="BY674" s="18">
        <v>0</v>
      </c>
      <c r="BZ674" s="18">
        <v>0</v>
      </c>
      <c r="CA674" s="18">
        <v>0</v>
      </c>
      <c r="CB674" s="19"/>
      <c r="CC674" s="19">
        <v>0</v>
      </c>
      <c r="CD674" s="19">
        <v>0</v>
      </c>
      <c r="CE674" s="19">
        <v>0</v>
      </c>
      <c r="CF674" s="19">
        <v>0</v>
      </c>
      <c r="CG674" s="19">
        <v>0</v>
      </c>
      <c r="CH674" s="19">
        <v>0</v>
      </c>
      <c r="CI674" s="19">
        <v>0</v>
      </c>
      <c r="CJ674" s="19"/>
      <c r="CK674" s="19">
        <v>0</v>
      </c>
      <c r="CL674" s="19">
        <v>0</v>
      </c>
      <c r="CM674" s="19">
        <v>0</v>
      </c>
      <c r="CN674" s="19">
        <v>0</v>
      </c>
      <c r="CO674" s="19">
        <v>0</v>
      </c>
      <c r="CP674" s="19">
        <v>0</v>
      </c>
      <c r="CQ674" s="19">
        <v>0</v>
      </c>
      <c r="CR674" s="19">
        <v>0</v>
      </c>
      <c r="HM674" s="620">
        <f t="shared" ref="HM674:HU674" si="730">HM304</f>
        <v>1.7955000000000001</v>
      </c>
      <c r="HN674" s="620">
        <f t="shared" si="730"/>
        <v>2.3879999999999999</v>
      </c>
      <c r="HO674" s="620">
        <f t="shared" si="730"/>
        <v>0.26200000000000001</v>
      </c>
      <c r="HP674" s="620">
        <f t="shared" si="730"/>
        <v>0.11159999999999999</v>
      </c>
      <c r="HQ674" s="620">
        <f t="shared" si="730"/>
        <v>8.9499999999999993</v>
      </c>
      <c r="HR674" s="620">
        <f t="shared" si="730"/>
        <v>0</v>
      </c>
      <c r="HS674" s="620">
        <f t="shared" si="730"/>
        <v>1.8299999999999998</v>
      </c>
      <c r="HT674" s="620" t="str">
        <f t="shared" si="730"/>
        <v>as conventional (Mogensen et al., 2018)</v>
      </c>
      <c r="HU674" s="620" t="str">
        <f t="shared" si="730"/>
        <v>offfarm</v>
      </c>
      <c r="HV674" s="22" t="s">
        <v>2079</v>
      </c>
      <c r="IB674" s="11">
        <f t="shared" ref="IB674:II674" si="731">IB304</f>
        <v>1.7955000000000001</v>
      </c>
      <c r="IC674" s="11">
        <f t="shared" si="731"/>
        <v>2.3879999999999999</v>
      </c>
      <c r="ID674" s="11">
        <f t="shared" si="731"/>
        <v>0.26200000000000001</v>
      </c>
      <c r="IE674" s="11">
        <f t="shared" si="731"/>
        <v>0.11159999999999999</v>
      </c>
      <c r="IF674" s="11">
        <f t="shared" si="731"/>
        <v>8.9499999999999993</v>
      </c>
      <c r="IG674" s="11">
        <f t="shared" si="731"/>
        <v>0</v>
      </c>
      <c r="IH674" s="11">
        <f t="shared" si="731"/>
        <v>1.8299999999999998</v>
      </c>
      <c r="II674" s="11" t="str">
        <f t="shared" si="731"/>
        <v>as conventional (Mogensen et al., 2018)</v>
      </c>
    </row>
    <row r="675" spans="4:244" x14ac:dyDescent="0.25">
      <c r="D675" s="20" t="s">
        <v>1243</v>
      </c>
      <c r="E675" s="14">
        <v>42522</v>
      </c>
      <c r="F675" s="18">
        <v>3.7953757941083599</v>
      </c>
      <c r="G675" s="18">
        <v>3.6439039299376299</v>
      </c>
      <c r="H675" s="21">
        <v>97</v>
      </c>
      <c r="I675" s="21">
        <v>97</v>
      </c>
      <c r="J675" s="21">
        <v>90</v>
      </c>
      <c r="K675" s="18">
        <v>1</v>
      </c>
      <c r="L675" s="18">
        <v>99.15</v>
      </c>
      <c r="M675" s="18">
        <v>1.00151515151515E-4</v>
      </c>
      <c r="N675" s="18">
        <v>99.15</v>
      </c>
      <c r="O675" s="18">
        <v>0</v>
      </c>
      <c r="P675" s="18">
        <v>0</v>
      </c>
      <c r="Q675" s="19"/>
      <c r="R675" s="18">
        <v>0</v>
      </c>
      <c r="S675" s="18">
        <v>0</v>
      </c>
      <c r="T675" s="18">
        <v>0</v>
      </c>
      <c r="U675" s="18">
        <v>0</v>
      </c>
      <c r="V675" s="18">
        <v>0</v>
      </c>
      <c r="W675" s="18">
        <v>0</v>
      </c>
      <c r="X675" s="18"/>
      <c r="Y675" s="18">
        <v>0</v>
      </c>
      <c r="Z675" s="18">
        <v>0</v>
      </c>
      <c r="AA675" s="18">
        <v>0</v>
      </c>
      <c r="AB675" s="18">
        <v>0</v>
      </c>
      <c r="AC675" s="18">
        <v>0</v>
      </c>
      <c r="AD675" s="18">
        <v>0</v>
      </c>
      <c r="AE675" s="18">
        <v>0</v>
      </c>
      <c r="AF675" s="18">
        <v>0</v>
      </c>
      <c r="AG675" s="18">
        <v>0</v>
      </c>
      <c r="AH675" s="18">
        <v>0</v>
      </c>
      <c r="AI675" s="18">
        <v>0</v>
      </c>
      <c r="AJ675" s="18">
        <v>0</v>
      </c>
      <c r="AK675" s="18">
        <v>0</v>
      </c>
      <c r="AL675" s="18"/>
      <c r="AM675" s="18">
        <v>0</v>
      </c>
      <c r="AN675" s="18">
        <v>0</v>
      </c>
      <c r="AO675" s="18">
        <v>0</v>
      </c>
      <c r="AP675" s="18">
        <v>0</v>
      </c>
      <c r="AQ675" s="18">
        <v>0</v>
      </c>
      <c r="AR675" s="18">
        <v>0</v>
      </c>
      <c r="AS675" s="18">
        <v>0</v>
      </c>
      <c r="AT675" s="18">
        <v>0</v>
      </c>
      <c r="AU675" s="18">
        <v>0</v>
      </c>
      <c r="AV675" s="18">
        <v>0</v>
      </c>
      <c r="AW675" s="18">
        <v>0</v>
      </c>
      <c r="AX675" s="18"/>
      <c r="AY675" s="18">
        <v>0</v>
      </c>
      <c r="AZ675" s="18">
        <v>0</v>
      </c>
      <c r="BA675" s="18">
        <v>0</v>
      </c>
      <c r="BB675" s="18">
        <v>0</v>
      </c>
      <c r="BC675" s="18">
        <v>0</v>
      </c>
      <c r="BD675" s="18">
        <v>0</v>
      </c>
      <c r="BE675" s="18">
        <v>0</v>
      </c>
      <c r="BF675" s="18">
        <v>0</v>
      </c>
      <c r="BG675" s="18">
        <v>0</v>
      </c>
      <c r="BH675" s="18">
        <v>0</v>
      </c>
      <c r="BI675" s="18">
        <v>0</v>
      </c>
      <c r="BJ675" s="19"/>
      <c r="BK675" s="18">
        <v>1.0101010101010085E-4</v>
      </c>
      <c r="BL675" s="18">
        <v>100</v>
      </c>
      <c r="BM675" s="18">
        <v>0</v>
      </c>
      <c r="BN675" s="18">
        <v>0</v>
      </c>
      <c r="BO675" s="18"/>
      <c r="BP675" s="18">
        <v>56</v>
      </c>
      <c r="BQ675" s="18">
        <v>560</v>
      </c>
      <c r="BR675" s="18">
        <v>3.8279130550765097</v>
      </c>
      <c r="BS675" s="18">
        <v>3.6751426423980127</v>
      </c>
      <c r="BT675" s="19"/>
      <c r="BU675" s="18">
        <v>999.99999999999989</v>
      </c>
      <c r="BV675" s="18">
        <v>-9.191919190782319E-4</v>
      </c>
      <c r="BW675" s="18">
        <v>0</v>
      </c>
      <c r="BX675" s="18">
        <v>0</v>
      </c>
      <c r="BY675" s="18">
        <v>0</v>
      </c>
      <c r="BZ675" s="18">
        <v>0</v>
      </c>
      <c r="CA675" s="18">
        <v>0</v>
      </c>
      <c r="CB675" s="19"/>
      <c r="CC675" s="19">
        <v>0</v>
      </c>
      <c r="CD675" s="19">
        <v>0</v>
      </c>
      <c r="CE675" s="19">
        <v>0</v>
      </c>
      <c r="CF675" s="19">
        <v>0</v>
      </c>
      <c r="CG675" s="19">
        <v>0</v>
      </c>
      <c r="CH675" s="19">
        <v>0</v>
      </c>
      <c r="CI675" s="19">
        <v>0</v>
      </c>
      <c r="CJ675" s="19"/>
      <c r="CK675" s="19">
        <v>0</v>
      </c>
      <c r="CL675" s="19">
        <v>0</v>
      </c>
      <c r="CM675" s="19">
        <v>0</v>
      </c>
      <c r="CN675" s="19">
        <v>0</v>
      </c>
      <c r="CO675" s="19">
        <v>0</v>
      </c>
      <c r="CP675" s="19">
        <v>0</v>
      </c>
      <c r="CQ675" s="19">
        <v>0</v>
      </c>
      <c r="CR675" s="19">
        <v>0</v>
      </c>
      <c r="HM675" s="620">
        <f t="shared" ref="HM675:HU675" si="732">HM305</f>
        <v>1.7955000000000001</v>
      </c>
      <c r="HN675" s="620">
        <f t="shared" si="732"/>
        <v>2.3879999999999999</v>
      </c>
      <c r="HO675" s="620">
        <f t="shared" si="732"/>
        <v>0.26200000000000001</v>
      </c>
      <c r="HP675" s="620">
        <f t="shared" si="732"/>
        <v>0.11159999999999999</v>
      </c>
      <c r="HQ675" s="620">
        <f t="shared" si="732"/>
        <v>8.9499999999999993</v>
      </c>
      <c r="HR675" s="620">
        <f t="shared" si="732"/>
        <v>0</v>
      </c>
      <c r="HS675" s="620">
        <f t="shared" si="732"/>
        <v>1.8299999999999998</v>
      </c>
      <c r="HT675" s="620" t="str">
        <f t="shared" si="732"/>
        <v>as conventional (Mogensen et al., 2018)</v>
      </c>
      <c r="HU675" s="620" t="str">
        <f t="shared" si="732"/>
        <v>offfarm</v>
      </c>
      <c r="HV675" s="22" t="s">
        <v>2079</v>
      </c>
      <c r="IB675" s="11">
        <f t="shared" ref="IB675:II675" si="733">IB305</f>
        <v>1.7955000000000001</v>
      </c>
      <c r="IC675" s="11">
        <f t="shared" si="733"/>
        <v>2.3879999999999999</v>
      </c>
      <c r="ID675" s="11">
        <f t="shared" si="733"/>
        <v>0.26200000000000001</v>
      </c>
      <c r="IE675" s="11">
        <f t="shared" si="733"/>
        <v>0.11159999999999999</v>
      </c>
      <c r="IF675" s="11">
        <f t="shared" si="733"/>
        <v>8.9499999999999993</v>
      </c>
      <c r="IG675" s="11">
        <f t="shared" si="733"/>
        <v>0</v>
      </c>
      <c r="IH675" s="11">
        <f t="shared" si="733"/>
        <v>1.8299999999999998</v>
      </c>
      <c r="II675" s="11" t="str">
        <f t="shared" si="733"/>
        <v>as conventional (Mogensen et al., 2018)</v>
      </c>
    </row>
    <row r="676" spans="4:244" x14ac:dyDescent="0.25">
      <c r="D676" s="20" t="s">
        <v>1245</v>
      </c>
      <c r="E676" s="14">
        <v>40310</v>
      </c>
      <c r="F676" s="18">
        <v>3.8087734898011298</v>
      </c>
      <c r="G676" s="18">
        <v>3.6567669291860199</v>
      </c>
      <c r="H676" s="21">
        <v>97</v>
      </c>
      <c r="I676" s="21">
        <v>97</v>
      </c>
      <c r="J676" s="21">
        <v>90</v>
      </c>
      <c r="K676" s="18">
        <v>1</v>
      </c>
      <c r="L676" s="18">
        <v>99.5</v>
      </c>
      <c r="M676" s="18">
        <v>1.0050505050505E-4</v>
      </c>
      <c r="N676" s="18">
        <v>99.5</v>
      </c>
      <c r="O676" s="18">
        <v>0</v>
      </c>
      <c r="P676" s="18">
        <v>0</v>
      </c>
      <c r="Q676" s="19"/>
      <c r="R676" s="18">
        <v>0</v>
      </c>
      <c r="S676" s="18">
        <v>0</v>
      </c>
      <c r="T676" s="18">
        <v>0</v>
      </c>
      <c r="U676" s="18">
        <v>0</v>
      </c>
      <c r="V676" s="18">
        <v>0</v>
      </c>
      <c r="W676" s="18">
        <v>0</v>
      </c>
      <c r="X676" s="18"/>
      <c r="Y676" s="18">
        <v>0</v>
      </c>
      <c r="Z676" s="18">
        <v>0</v>
      </c>
      <c r="AA676" s="18">
        <v>0</v>
      </c>
      <c r="AB676" s="18">
        <v>0</v>
      </c>
      <c r="AC676" s="18">
        <v>0</v>
      </c>
      <c r="AD676" s="18">
        <v>0</v>
      </c>
      <c r="AE676" s="18">
        <v>0</v>
      </c>
      <c r="AF676" s="18">
        <v>0</v>
      </c>
      <c r="AG676" s="18">
        <v>0</v>
      </c>
      <c r="AH676" s="18">
        <v>0</v>
      </c>
      <c r="AI676" s="18">
        <v>0</v>
      </c>
      <c r="AJ676" s="18">
        <v>0</v>
      </c>
      <c r="AK676" s="18">
        <v>0</v>
      </c>
      <c r="AL676" s="18"/>
      <c r="AM676" s="18">
        <v>0</v>
      </c>
      <c r="AN676" s="18">
        <v>0</v>
      </c>
      <c r="AO676" s="18">
        <v>0</v>
      </c>
      <c r="AP676" s="18">
        <v>0</v>
      </c>
      <c r="AQ676" s="18">
        <v>0</v>
      </c>
      <c r="AR676" s="18">
        <v>0</v>
      </c>
      <c r="AS676" s="18">
        <v>0</v>
      </c>
      <c r="AT676" s="18">
        <v>0</v>
      </c>
      <c r="AU676" s="18">
        <v>0</v>
      </c>
      <c r="AV676" s="18">
        <v>0</v>
      </c>
      <c r="AW676" s="18">
        <v>0</v>
      </c>
      <c r="AX676" s="18"/>
      <c r="AY676" s="18">
        <v>1</v>
      </c>
      <c r="AZ676" s="18">
        <v>1</v>
      </c>
      <c r="BA676" s="18">
        <v>1</v>
      </c>
      <c r="BB676" s="18">
        <v>1</v>
      </c>
      <c r="BC676" s="18">
        <v>1</v>
      </c>
      <c r="BD676" s="18">
        <v>1</v>
      </c>
      <c r="BE676" s="18">
        <v>1</v>
      </c>
      <c r="BF676" s="18">
        <v>1</v>
      </c>
      <c r="BG676" s="18">
        <v>1</v>
      </c>
      <c r="BH676" s="18">
        <v>1</v>
      </c>
      <c r="BI676" s="18">
        <v>1</v>
      </c>
      <c r="BJ676" s="19"/>
      <c r="BK676" s="18">
        <v>1.010101010101005E-4</v>
      </c>
      <c r="BL676" s="18">
        <v>100</v>
      </c>
      <c r="BM676" s="18">
        <v>0</v>
      </c>
      <c r="BN676" s="18">
        <v>0</v>
      </c>
      <c r="BO676" s="18"/>
      <c r="BP676" s="18">
        <v>10</v>
      </c>
      <c r="BQ676" s="18">
        <v>100</v>
      </c>
      <c r="BR676" s="18">
        <v>3.8279130550765124</v>
      </c>
      <c r="BS676" s="18">
        <v>3.67514264239801</v>
      </c>
      <c r="BT676" s="19"/>
      <c r="BU676" s="18">
        <v>1000</v>
      </c>
      <c r="BV676" s="18">
        <v>-9.1919191907823211E-4</v>
      </c>
      <c r="BW676" s="18">
        <v>0</v>
      </c>
      <c r="BX676" s="18">
        <v>0</v>
      </c>
      <c r="BY676" s="18">
        <v>0</v>
      </c>
      <c r="BZ676" s="18">
        <v>0</v>
      </c>
      <c r="CA676" s="18">
        <v>0</v>
      </c>
      <c r="CB676" s="19"/>
      <c r="CC676" s="19">
        <v>0</v>
      </c>
      <c r="CD676" s="19">
        <v>0</v>
      </c>
      <c r="CE676" s="19">
        <v>0</v>
      </c>
      <c r="CF676" s="19">
        <v>0</v>
      </c>
      <c r="CG676" s="19">
        <v>0</v>
      </c>
      <c r="CH676" s="19">
        <v>0</v>
      </c>
      <c r="CI676" s="19">
        <v>0</v>
      </c>
      <c r="CJ676" s="19"/>
      <c r="CK676" s="19">
        <v>0</v>
      </c>
      <c r="CL676" s="19">
        <v>0</v>
      </c>
      <c r="CM676" s="19">
        <v>0</v>
      </c>
      <c r="CN676" s="19">
        <v>0</v>
      </c>
      <c r="CO676" s="19">
        <v>0</v>
      </c>
      <c r="CP676" s="19">
        <v>0</v>
      </c>
      <c r="CQ676" s="19">
        <v>0</v>
      </c>
      <c r="CR676" s="19">
        <v>0</v>
      </c>
      <c r="HM676" s="620">
        <f t="shared" ref="HM676:HU676" si="734">HM306</f>
        <v>1.7955000000000001</v>
      </c>
      <c r="HN676" s="620">
        <f t="shared" si="734"/>
        <v>2.3879999999999999</v>
      </c>
      <c r="HO676" s="620">
        <f t="shared" si="734"/>
        <v>0.26200000000000001</v>
      </c>
      <c r="HP676" s="620">
        <f t="shared" si="734"/>
        <v>0.11159999999999999</v>
      </c>
      <c r="HQ676" s="620">
        <f t="shared" si="734"/>
        <v>8.9499999999999993</v>
      </c>
      <c r="HR676" s="620">
        <f t="shared" si="734"/>
        <v>0</v>
      </c>
      <c r="HS676" s="620">
        <f t="shared" si="734"/>
        <v>1.8299999999999998</v>
      </c>
      <c r="HT676" s="620" t="str">
        <f t="shared" si="734"/>
        <v>as conventional (Mogensen et al., 2018)</v>
      </c>
      <c r="HU676" s="620" t="str">
        <f t="shared" si="734"/>
        <v>offfarm</v>
      </c>
      <c r="HV676" s="22" t="s">
        <v>2080</v>
      </c>
      <c r="IB676" s="11">
        <f t="shared" ref="IB676:II676" si="735">IB306</f>
        <v>1.7955000000000001</v>
      </c>
      <c r="IC676" s="11">
        <f t="shared" si="735"/>
        <v>2.3879999999999999</v>
      </c>
      <c r="ID676" s="11">
        <f t="shared" si="735"/>
        <v>0.26200000000000001</v>
      </c>
      <c r="IE676" s="11">
        <f t="shared" si="735"/>
        <v>0.11159999999999999</v>
      </c>
      <c r="IF676" s="11">
        <f t="shared" si="735"/>
        <v>8.9499999999999993</v>
      </c>
      <c r="IG676" s="11">
        <f t="shared" si="735"/>
        <v>0</v>
      </c>
      <c r="IH676" s="11">
        <f t="shared" si="735"/>
        <v>1.8299999999999998</v>
      </c>
      <c r="II676" s="11" t="str">
        <f t="shared" si="735"/>
        <v>as conventional (Mogensen et al., 2018)</v>
      </c>
    </row>
    <row r="677" spans="4:244" x14ac:dyDescent="0.25">
      <c r="D677" s="20" t="s">
        <v>1246</v>
      </c>
      <c r="E677" s="14">
        <v>40310</v>
      </c>
      <c r="F677" s="18">
        <v>3.8087734898011298</v>
      </c>
      <c r="G677" s="18">
        <v>3.6567669291860199</v>
      </c>
      <c r="H677" s="21">
        <v>97</v>
      </c>
      <c r="I677" s="21">
        <v>97</v>
      </c>
      <c r="J677" s="21">
        <v>90</v>
      </c>
      <c r="K677" s="18">
        <v>1</v>
      </c>
      <c r="L677" s="18">
        <v>99.5</v>
      </c>
      <c r="M677" s="18">
        <v>1.0050505050505E-4</v>
      </c>
      <c r="N677" s="18">
        <v>99.5</v>
      </c>
      <c r="O677" s="18">
        <v>0</v>
      </c>
      <c r="P677" s="18">
        <v>0</v>
      </c>
      <c r="Q677" s="19"/>
      <c r="R677" s="18">
        <v>0</v>
      </c>
      <c r="S677" s="18">
        <v>0</v>
      </c>
      <c r="T677" s="18">
        <v>0</v>
      </c>
      <c r="U677" s="18">
        <v>0</v>
      </c>
      <c r="V677" s="18">
        <v>0</v>
      </c>
      <c r="W677" s="18">
        <v>0</v>
      </c>
      <c r="X677" s="18"/>
      <c r="Y677" s="18">
        <v>0</v>
      </c>
      <c r="Z677" s="18">
        <v>0</v>
      </c>
      <c r="AA677" s="18">
        <v>0</v>
      </c>
      <c r="AB677" s="18">
        <v>0</v>
      </c>
      <c r="AC677" s="18">
        <v>0</v>
      </c>
      <c r="AD677" s="18">
        <v>0</v>
      </c>
      <c r="AE677" s="18">
        <v>0</v>
      </c>
      <c r="AF677" s="18">
        <v>0</v>
      </c>
      <c r="AG677" s="18">
        <v>0</v>
      </c>
      <c r="AH677" s="18">
        <v>0</v>
      </c>
      <c r="AI677" s="18">
        <v>0</v>
      </c>
      <c r="AJ677" s="18">
        <v>0</v>
      </c>
      <c r="AK677" s="18">
        <v>0</v>
      </c>
      <c r="AL677" s="18"/>
      <c r="AM677" s="18">
        <v>0</v>
      </c>
      <c r="AN677" s="18">
        <v>0</v>
      </c>
      <c r="AO677" s="18">
        <v>0</v>
      </c>
      <c r="AP677" s="18">
        <v>0</v>
      </c>
      <c r="AQ677" s="18">
        <v>0</v>
      </c>
      <c r="AR677" s="18">
        <v>0</v>
      </c>
      <c r="AS677" s="18">
        <v>0</v>
      </c>
      <c r="AT677" s="18">
        <v>0</v>
      </c>
      <c r="AU677" s="18">
        <v>0</v>
      </c>
      <c r="AV677" s="18">
        <v>0</v>
      </c>
      <c r="AW677" s="18">
        <v>0</v>
      </c>
      <c r="AX677" s="18"/>
      <c r="AY677" s="18">
        <v>1</v>
      </c>
      <c r="AZ677" s="18">
        <v>1</v>
      </c>
      <c r="BA677" s="18">
        <v>1</v>
      </c>
      <c r="BB677" s="18">
        <v>1</v>
      </c>
      <c r="BC677" s="18">
        <v>1</v>
      </c>
      <c r="BD677" s="18">
        <v>1</v>
      </c>
      <c r="BE677" s="18">
        <v>1</v>
      </c>
      <c r="BF677" s="18">
        <v>1</v>
      </c>
      <c r="BG677" s="18">
        <v>1</v>
      </c>
      <c r="BH677" s="18">
        <v>1</v>
      </c>
      <c r="BI677" s="18">
        <v>1</v>
      </c>
      <c r="BJ677" s="19"/>
      <c r="BK677" s="18">
        <v>1.010101010101005E-4</v>
      </c>
      <c r="BL677" s="18">
        <v>100</v>
      </c>
      <c r="BM677" s="18">
        <v>0</v>
      </c>
      <c r="BN677" s="18">
        <v>0</v>
      </c>
      <c r="BO677" s="18"/>
      <c r="BP677" s="18">
        <v>55</v>
      </c>
      <c r="BQ677" s="18">
        <v>550</v>
      </c>
      <c r="BR677" s="18">
        <v>3.8279130550765124</v>
      </c>
      <c r="BS677" s="18">
        <v>3.67514264239801</v>
      </c>
      <c r="BT677" s="19"/>
      <c r="BU677" s="18">
        <v>1000</v>
      </c>
      <c r="BV677" s="18">
        <v>-9.1919191907823211E-4</v>
      </c>
      <c r="BW677" s="18">
        <v>0</v>
      </c>
      <c r="BX677" s="18">
        <v>0</v>
      </c>
      <c r="BY677" s="18">
        <v>0</v>
      </c>
      <c r="BZ677" s="18">
        <v>0</v>
      </c>
      <c r="CA677" s="18">
        <v>0</v>
      </c>
      <c r="CB677" s="19"/>
      <c r="CC677" s="19">
        <v>0</v>
      </c>
      <c r="CD677" s="19">
        <v>0</v>
      </c>
      <c r="CE677" s="19">
        <v>0</v>
      </c>
      <c r="CF677" s="19">
        <v>0</v>
      </c>
      <c r="CG677" s="19">
        <v>0</v>
      </c>
      <c r="CH677" s="19">
        <v>0</v>
      </c>
      <c r="CI677" s="19">
        <v>0</v>
      </c>
      <c r="CJ677" s="19"/>
      <c r="CK677" s="19">
        <v>0</v>
      </c>
      <c r="CL677" s="19">
        <v>0</v>
      </c>
      <c r="CM677" s="19">
        <v>0</v>
      </c>
      <c r="CN677" s="19">
        <v>0</v>
      </c>
      <c r="CO677" s="19">
        <v>0</v>
      </c>
      <c r="CP677" s="19">
        <v>0</v>
      </c>
      <c r="CQ677" s="19">
        <v>0</v>
      </c>
      <c r="CR677" s="19">
        <v>0</v>
      </c>
      <c r="HM677" s="620">
        <f t="shared" ref="HM677:HU677" si="736">HM307</f>
        <v>1.7955000000000001</v>
      </c>
      <c r="HN677" s="620">
        <f t="shared" si="736"/>
        <v>2.3879999999999999</v>
      </c>
      <c r="HO677" s="620">
        <f t="shared" si="736"/>
        <v>0.26200000000000001</v>
      </c>
      <c r="HP677" s="620">
        <f t="shared" si="736"/>
        <v>0.11159999999999999</v>
      </c>
      <c r="HQ677" s="620">
        <f t="shared" si="736"/>
        <v>8.9499999999999993</v>
      </c>
      <c r="HR677" s="620">
        <f t="shared" si="736"/>
        <v>0</v>
      </c>
      <c r="HS677" s="620">
        <f t="shared" si="736"/>
        <v>1.8299999999999998</v>
      </c>
      <c r="HT677" s="620" t="str">
        <f t="shared" si="736"/>
        <v>as conventional (Mogensen et al., 2018)</v>
      </c>
      <c r="HU677" s="620" t="str">
        <f t="shared" si="736"/>
        <v>offfarm</v>
      </c>
      <c r="HV677" s="22" t="s">
        <v>2080</v>
      </c>
      <c r="IB677" s="11">
        <f t="shared" ref="IB677:II677" si="737">IB307</f>
        <v>1.7955000000000001</v>
      </c>
      <c r="IC677" s="11">
        <f t="shared" si="737"/>
        <v>2.3879999999999999</v>
      </c>
      <c r="ID677" s="11">
        <f t="shared" si="737"/>
        <v>0.26200000000000001</v>
      </c>
      <c r="IE677" s="11">
        <f t="shared" si="737"/>
        <v>0.11159999999999999</v>
      </c>
      <c r="IF677" s="11">
        <f t="shared" si="737"/>
        <v>8.9499999999999993</v>
      </c>
      <c r="IG677" s="11">
        <f t="shared" si="737"/>
        <v>0</v>
      </c>
      <c r="IH677" s="11">
        <f t="shared" si="737"/>
        <v>1.8299999999999998</v>
      </c>
      <c r="II677" s="11" t="str">
        <f t="shared" si="737"/>
        <v>as conventional (Mogensen et al., 2018)</v>
      </c>
    </row>
    <row r="678" spans="4:244" x14ac:dyDescent="0.25">
      <c r="D678" s="20" t="s">
        <v>1247</v>
      </c>
      <c r="E678" s="14">
        <v>40310</v>
      </c>
      <c r="F678" s="18">
        <v>4.0372998991892004</v>
      </c>
      <c r="G678" s="18">
        <v>3.87617294493718</v>
      </c>
      <c r="H678" s="21">
        <v>97</v>
      </c>
      <c r="I678" s="21">
        <v>97</v>
      </c>
      <c r="J678" s="21">
        <v>90</v>
      </c>
      <c r="K678" s="18">
        <v>1.06</v>
      </c>
      <c r="L678" s="18">
        <v>99.5</v>
      </c>
      <c r="M678" s="18">
        <v>1.0050505050505E-4</v>
      </c>
      <c r="N678" s="18">
        <v>99.5</v>
      </c>
      <c r="O678" s="18">
        <v>0</v>
      </c>
      <c r="P678" s="18">
        <v>0</v>
      </c>
      <c r="Q678" s="19"/>
      <c r="R678" s="18">
        <v>0</v>
      </c>
      <c r="S678" s="18">
        <v>0</v>
      </c>
      <c r="T678" s="18">
        <v>0</v>
      </c>
      <c r="U678" s="18">
        <v>0</v>
      </c>
      <c r="V678" s="18">
        <v>0</v>
      </c>
      <c r="W678" s="18">
        <v>0</v>
      </c>
      <c r="X678" s="18"/>
      <c r="Y678" s="18">
        <v>0</v>
      </c>
      <c r="Z678" s="18">
        <v>0</v>
      </c>
      <c r="AA678" s="18">
        <v>0</v>
      </c>
      <c r="AB678" s="18">
        <v>0</v>
      </c>
      <c r="AC678" s="18">
        <v>0</v>
      </c>
      <c r="AD678" s="18">
        <v>0</v>
      </c>
      <c r="AE678" s="18">
        <v>0</v>
      </c>
      <c r="AF678" s="18">
        <v>0</v>
      </c>
      <c r="AG678" s="18">
        <v>0</v>
      </c>
      <c r="AH678" s="18">
        <v>0</v>
      </c>
      <c r="AI678" s="18">
        <v>0</v>
      </c>
      <c r="AJ678" s="18">
        <v>0</v>
      </c>
      <c r="AK678" s="18">
        <v>0</v>
      </c>
      <c r="AL678" s="18"/>
      <c r="AM678" s="18">
        <v>0</v>
      </c>
      <c r="AN678" s="18">
        <v>0</v>
      </c>
      <c r="AO678" s="18">
        <v>0</v>
      </c>
      <c r="AP678" s="18">
        <v>0</v>
      </c>
      <c r="AQ678" s="18">
        <v>0</v>
      </c>
      <c r="AR678" s="18">
        <v>0</v>
      </c>
      <c r="AS678" s="18">
        <v>0</v>
      </c>
      <c r="AT678" s="18">
        <v>0</v>
      </c>
      <c r="AU678" s="18">
        <v>0</v>
      </c>
      <c r="AV678" s="18">
        <v>0</v>
      </c>
      <c r="AW678" s="18">
        <v>0</v>
      </c>
      <c r="AX678" s="18"/>
      <c r="AY678" s="18">
        <v>1</v>
      </c>
      <c r="AZ678" s="18">
        <v>1</v>
      </c>
      <c r="BA678" s="18">
        <v>1</v>
      </c>
      <c r="BB678" s="18">
        <v>1</v>
      </c>
      <c r="BC678" s="18">
        <v>1</v>
      </c>
      <c r="BD678" s="18">
        <v>1</v>
      </c>
      <c r="BE678" s="18">
        <v>1</v>
      </c>
      <c r="BF678" s="18">
        <v>1</v>
      </c>
      <c r="BG678" s="18">
        <v>1</v>
      </c>
      <c r="BH678" s="18">
        <v>1</v>
      </c>
      <c r="BI678" s="18">
        <v>1</v>
      </c>
      <c r="BJ678" s="19"/>
      <c r="BK678" s="18">
        <v>1.010101010101005E-4</v>
      </c>
      <c r="BL678" s="18">
        <v>100</v>
      </c>
      <c r="BM678" s="18">
        <v>0</v>
      </c>
      <c r="BN678" s="18">
        <v>0</v>
      </c>
      <c r="BO678" s="18"/>
      <c r="BP678" s="18">
        <v>116</v>
      </c>
      <c r="BQ678" s="18">
        <v>1160</v>
      </c>
      <c r="BR678" s="18">
        <v>4.0575878383811057</v>
      </c>
      <c r="BS678" s="18">
        <v>3.8956512009418893</v>
      </c>
      <c r="BT678" s="19"/>
      <c r="BU678" s="18">
        <v>1000</v>
      </c>
      <c r="BV678" s="18">
        <v>-9.1919191907823211E-4</v>
      </c>
      <c r="BW678" s="18">
        <v>0</v>
      </c>
      <c r="BX678" s="18">
        <v>0</v>
      </c>
      <c r="BY678" s="18">
        <v>0</v>
      </c>
      <c r="BZ678" s="18">
        <v>0</v>
      </c>
      <c r="CA678" s="18">
        <v>0</v>
      </c>
      <c r="CB678" s="19"/>
      <c r="CC678" s="19">
        <v>0</v>
      </c>
      <c r="CD678" s="19">
        <v>0</v>
      </c>
      <c r="CE678" s="19">
        <v>0</v>
      </c>
      <c r="CF678" s="19">
        <v>0</v>
      </c>
      <c r="CG678" s="19">
        <v>0</v>
      </c>
      <c r="CH678" s="19">
        <v>0</v>
      </c>
      <c r="CI678" s="19">
        <v>0</v>
      </c>
      <c r="CJ678" s="19"/>
      <c r="CK678" s="19">
        <v>0</v>
      </c>
      <c r="CL678" s="19">
        <v>0</v>
      </c>
      <c r="CM678" s="19">
        <v>0</v>
      </c>
      <c r="CN678" s="19">
        <v>0</v>
      </c>
      <c r="CO678" s="19">
        <v>0</v>
      </c>
      <c r="CP678" s="19">
        <v>0</v>
      </c>
      <c r="CQ678" s="19">
        <v>0</v>
      </c>
      <c r="CR678" s="19">
        <v>0</v>
      </c>
      <c r="HM678" s="620">
        <f t="shared" ref="HM678:HU678" si="738">HM308</f>
        <v>1.7955000000000001</v>
      </c>
      <c r="HN678" s="620">
        <f t="shared" si="738"/>
        <v>2.3879999999999999</v>
      </c>
      <c r="HO678" s="620">
        <f t="shared" si="738"/>
        <v>0.26200000000000001</v>
      </c>
      <c r="HP678" s="620">
        <f t="shared" si="738"/>
        <v>0.11159999999999999</v>
      </c>
      <c r="HQ678" s="620">
        <f t="shared" si="738"/>
        <v>8.9499999999999993</v>
      </c>
      <c r="HR678" s="620">
        <f t="shared" si="738"/>
        <v>0</v>
      </c>
      <c r="HS678" s="620">
        <f t="shared" si="738"/>
        <v>1.8299999999999998</v>
      </c>
      <c r="HT678" s="620" t="str">
        <f t="shared" si="738"/>
        <v>as conventional (Mogensen et al., 2018)</v>
      </c>
      <c r="HU678" s="620" t="str">
        <f t="shared" si="738"/>
        <v>offfarm</v>
      </c>
      <c r="HV678" s="22" t="s">
        <v>2080</v>
      </c>
      <c r="IB678" s="11">
        <f t="shared" ref="IB678:II678" si="739">IB308</f>
        <v>1.7955000000000001</v>
      </c>
      <c r="IC678" s="11">
        <f t="shared" si="739"/>
        <v>2.3879999999999999</v>
      </c>
      <c r="ID678" s="11">
        <f t="shared" si="739"/>
        <v>0.26200000000000001</v>
      </c>
      <c r="IE678" s="11">
        <f t="shared" si="739"/>
        <v>0.11159999999999999</v>
      </c>
      <c r="IF678" s="11">
        <f t="shared" si="739"/>
        <v>8.9499999999999993</v>
      </c>
      <c r="IG678" s="11">
        <f t="shared" si="739"/>
        <v>0</v>
      </c>
      <c r="IH678" s="11">
        <f t="shared" si="739"/>
        <v>1.8299999999999998</v>
      </c>
      <c r="II678" s="11" t="str">
        <f t="shared" si="739"/>
        <v>as conventional (Mogensen et al., 2018)</v>
      </c>
    </row>
    <row r="679" spans="4:244" x14ac:dyDescent="0.25">
      <c r="D679" s="20" t="s">
        <v>1248</v>
      </c>
      <c r="E679" s="14">
        <v>40310</v>
      </c>
      <c r="F679" s="18">
        <v>4.0372998991892004</v>
      </c>
      <c r="G679" s="18">
        <v>3.87617294493718</v>
      </c>
      <c r="H679" s="21">
        <v>97</v>
      </c>
      <c r="I679" s="21">
        <v>97</v>
      </c>
      <c r="J679" s="21">
        <v>90</v>
      </c>
      <c r="K679" s="18">
        <v>1.06</v>
      </c>
      <c r="L679" s="18">
        <v>99.5</v>
      </c>
      <c r="M679" s="18">
        <v>1.0050505050505E-4</v>
      </c>
      <c r="N679" s="18">
        <v>99.5</v>
      </c>
      <c r="O679" s="18">
        <v>0</v>
      </c>
      <c r="P679" s="18">
        <v>0</v>
      </c>
      <c r="Q679" s="19"/>
      <c r="R679" s="18">
        <v>0</v>
      </c>
      <c r="S679" s="18">
        <v>0</v>
      </c>
      <c r="T679" s="18">
        <v>0</v>
      </c>
      <c r="U679" s="18">
        <v>0</v>
      </c>
      <c r="V679" s="18">
        <v>0</v>
      </c>
      <c r="W679" s="18">
        <v>0</v>
      </c>
      <c r="X679" s="18"/>
      <c r="Y679" s="18">
        <v>0</v>
      </c>
      <c r="Z679" s="18">
        <v>0</v>
      </c>
      <c r="AA679" s="18">
        <v>0</v>
      </c>
      <c r="AB679" s="18">
        <v>0</v>
      </c>
      <c r="AC679" s="18">
        <v>0</v>
      </c>
      <c r="AD679" s="18">
        <v>0</v>
      </c>
      <c r="AE679" s="18">
        <v>0</v>
      </c>
      <c r="AF679" s="18">
        <v>0</v>
      </c>
      <c r="AG679" s="18">
        <v>0</v>
      </c>
      <c r="AH679" s="18">
        <v>0</v>
      </c>
      <c r="AI679" s="18">
        <v>0</v>
      </c>
      <c r="AJ679" s="18">
        <v>0</v>
      </c>
      <c r="AK679" s="18">
        <v>0</v>
      </c>
      <c r="AL679" s="18"/>
      <c r="AM679" s="18">
        <v>0</v>
      </c>
      <c r="AN679" s="18">
        <v>0</v>
      </c>
      <c r="AO679" s="18">
        <v>0</v>
      </c>
      <c r="AP679" s="18">
        <v>0</v>
      </c>
      <c r="AQ679" s="18">
        <v>0</v>
      </c>
      <c r="AR679" s="18">
        <v>0</v>
      </c>
      <c r="AS679" s="18">
        <v>0</v>
      </c>
      <c r="AT679" s="18">
        <v>0</v>
      </c>
      <c r="AU679" s="18">
        <v>0</v>
      </c>
      <c r="AV679" s="18">
        <v>0</v>
      </c>
      <c r="AW679" s="18">
        <v>0</v>
      </c>
      <c r="AX679" s="18"/>
      <c r="AY679" s="18">
        <v>1</v>
      </c>
      <c r="AZ679" s="18">
        <v>1</v>
      </c>
      <c r="BA679" s="18">
        <v>1</v>
      </c>
      <c r="BB679" s="18">
        <v>1</v>
      </c>
      <c r="BC679" s="18">
        <v>1</v>
      </c>
      <c r="BD679" s="18">
        <v>1</v>
      </c>
      <c r="BE679" s="18">
        <v>1</v>
      </c>
      <c r="BF679" s="18">
        <v>1</v>
      </c>
      <c r="BG679" s="18">
        <v>1</v>
      </c>
      <c r="BH679" s="18">
        <v>1</v>
      </c>
      <c r="BI679" s="18">
        <v>1</v>
      </c>
      <c r="BJ679" s="19"/>
      <c r="BK679" s="18">
        <v>1.010101010101005E-4</v>
      </c>
      <c r="BL679" s="18">
        <v>100</v>
      </c>
      <c r="BM679" s="18">
        <v>0</v>
      </c>
      <c r="BN679" s="18">
        <v>0</v>
      </c>
      <c r="BO679" s="18"/>
      <c r="BP679" s="18">
        <v>140</v>
      </c>
      <c r="BQ679" s="18">
        <v>1400</v>
      </c>
      <c r="BR679" s="18">
        <v>4.0575878383811057</v>
      </c>
      <c r="BS679" s="18">
        <v>3.8956512009418893</v>
      </c>
      <c r="BT679" s="19"/>
      <c r="BU679" s="18">
        <v>1000</v>
      </c>
      <c r="BV679" s="18">
        <v>-9.1919191907823211E-4</v>
      </c>
      <c r="BW679" s="18">
        <v>0</v>
      </c>
      <c r="BX679" s="18">
        <v>0</v>
      </c>
      <c r="BY679" s="18">
        <v>0</v>
      </c>
      <c r="BZ679" s="18">
        <v>0</v>
      </c>
      <c r="CA679" s="18">
        <v>0</v>
      </c>
      <c r="CB679" s="19"/>
      <c r="CC679" s="19">
        <v>0</v>
      </c>
      <c r="CD679" s="19">
        <v>0</v>
      </c>
      <c r="CE679" s="19">
        <v>0</v>
      </c>
      <c r="CF679" s="19">
        <v>0</v>
      </c>
      <c r="CG679" s="19">
        <v>0</v>
      </c>
      <c r="CH679" s="19">
        <v>0</v>
      </c>
      <c r="CI679" s="19">
        <v>0</v>
      </c>
      <c r="CJ679" s="19"/>
      <c r="CK679" s="19">
        <v>0</v>
      </c>
      <c r="CL679" s="19">
        <v>0</v>
      </c>
      <c r="CM679" s="19">
        <v>0</v>
      </c>
      <c r="CN679" s="19">
        <v>0</v>
      </c>
      <c r="CO679" s="19">
        <v>0</v>
      </c>
      <c r="CP679" s="19">
        <v>0</v>
      </c>
      <c r="CQ679" s="19">
        <v>0</v>
      </c>
      <c r="CR679" s="19">
        <v>0</v>
      </c>
      <c r="HM679" s="620">
        <f t="shared" ref="HM679:HU679" si="740">HM309</f>
        <v>1.7955000000000001</v>
      </c>
      <c r="HN679" s="620">
        <f t="shared" si="740"/>
        <v>2.3879999999999999</v>
      </c>
      <c r="HO679" s="620">
        <f t="shared" si="740"/>
        <v>0.26200000000000001</v>
      </c>
      <c r="HP679" s="620">
        <f t="shared" si="740"/>
        <v>0.11159999999999999</v>
      </c>
      <c r="HQ679" s="620">
        <f t="shared" si="740"/>
        <v>8.9499999999999993</v>
      </c>
      <c r="HR679" s="620">
        <f t="shared" si="740"/>
        <v>0</v>
      </c>
      <c r="HS679" s="620">
        <f t="shared" si="740"/>
        <v>1.8299999999999998</v>
      </c>
      <c r="HT679" s="620" t="str">
        <f t="shared" si="740"/>
        <v>as conventional (Mogensen et al., 2018)</v>
      </c>
      <c r="HU679" s="620" t="str">
        <f t="shared" si="740"/>
        <v>offfarm</v>
      </c>
      <c r="HV679" s="22" t="s">
        <v>2080</v>
      </c>
      <c r="IB679" s="11">
        <f t="shared" ref="IB679:II679" si="741">IB309</f>
        <v>1.7955000000000001</v>
      </c>
      <c r="IC679" s="11">
        <f t="shared" si="741"/>
        <v>2.3879999999999999</v>
      </c>
      <c r="ID679" s="11">
        <f t="shared" si="741"/>
        <v>0.26200000000000001</v>
      </c>
      <c r="IE679" s="11">
        <f t="shared" si="741"/>
        <v>0.11159999999999999</v>
      </c>
      <c r="IF679" s="11">
        <f t="shared" si="741"/>
        <v>8.9499999999999993</v>
      </c>
      <c r="IG679" s="11">
        <f t="shared" si="741"/>
        <v>0</v>
      </c>
      <c r="IH679" s="11">
        <f t="shared" si="741"/>
        <v>1.8299999999999998</v>
      </c>
      <c r="II679" s="11" t="str">
        <f t="shared" si="741"/>
        <v>as conventional (Mogensen et al., 2018)</v>
      </c>
    </row>
    <row r="680" spans="4:244" x14ac:dyDescent="0.25">
      <c r="D680" s="185" t="s">
        <v>1244</v>
      </c>
      <c r="E680" s="14">
        <v>40310</v>
      </c>
      <c r="F680" s="18" t="s">
        <v>217</v>
      </c>
      <c r="G680" s="18" t="s">
        <v>217</v>
      </c>
      <c r="H680" s="21" t="s">
        <v>217</v>
      </c>
      <c r="I680" s="21" t="s">
        <v>217</v>
      </c>
      <c r="J680" s="21">
        <v>91</v>
      </c>
      <c r="K680" s="18">
        <v>1</v>
      </c>
      <c r="L680" s="18">
        <v>88</v>
      </c>
      <c r="M680" s="18">
        <v>0.88</v>
      </c>
      <c r="N680" s="18" t="s">
        <v>217</v>
      </c>
      <c r="O680" s="18" t="s">
        <v>217</v>
      </c>
      <c r="P680" s="18" t="s">
        <v>217</v>
      </c>
      <c r="Q680" s="19"/>
      <c r="R680" s="18" t="s">
        <v>217</v>
      </c>
      <c r="S680" s="18" t="s">
        <v>217</v>
      </c>
      <c r="T680" s="18" t="s">
        <v>217</v>
      </c>
      <c r="U680" s="18" t="s">
        <v>217</v>
      </c>
      <c r="V680" s="18" t="s">
        <v>217</v>
      </c>
      <c r="W680" s="18" t="s">
        <v>217</v>
      </c>
      <c r="X680" s="18"/>
      <c r="Y680" s="18" t="s">
        <v>217</v>
      </c>
      <c r="Z680" s="18" t="s">
        <v>217</v>
      </c>
      <c r="AA680" s="18" t="s">
        <v>217</v>
      </c>
      <c r="AB680" s="18" t="s">
        <v>217</v>
      </c>
      <c r="AC680" s="18" t="s">
        <v>217</v>
      </c>
      <c r="AD680" s="18" t="s">
        <v>217</v>
      </c>
      <c r="AE680" s="18">
        <v>0</v>
      </c>
      <c r="AF680" s="18">
        <v>0</v>
      </c>
      <c r="AG680" s="18">
        <v>0</v>
      </c>
      <c r="AH680" s="18">
        <v>0</v>
      </c>
      <c r="AI680" s="18">
        <v>0</v>
      </c>
      <c r="AJ680" s="18">
        <v>0</v>
      </c>
      <c r="AK680" s="18">
        <v>0</v>
      </c>
      <c r="AL680" s="18"/>
      <c r="AM680" s="18" t="s">
        <v>217</v>
      </c>
      <c r="AN680" s="18" t="s">
        <v>217</v>
      </c>
      <c r="AO680" s="18" t="s">
        <v>217</v>
      </c>
      <c r="AP680" s="18" t="s">
        <v>217</v>
      </c>
      <c r="AQ680" s="18" t="s">
        <v>217</v>
      </c>
      <c r="AR680" s="18" t="s">
        <v>217</v>
      </c>
      <c r="AS680" s="18" t="s">
        <v>217</v>
      </c>
      <c r="AT680" s="18" t="s">
        <v>217</v>
      </c>
      <c r="AU680" s="18" t="s">
        <v>217</v>
      </c>
      <c r="AV680" s="18" t="s">
        <v>217</v>
      </c>
      <c r="AW680" s="18" t="s">
        <v>217</v>
      </c>
      <c r="AX680" s="18"/>
      <c r="AY680" s="18">
        <v>1</v>
      </c>
      <c r="AZ680" s="18">
        <v>1</v>
      </c>
      <c r="BA680" s="18">
        <v>1</v>
      </c>
      <c r="BB680" s="18">
        <v>1</v>
      </c>
      <c r="BC680" s="18">
        <v>1</v>
      </c>
      <c r="BD680" s="18">
        <v>1</v>
      </c>
      <c r="BE680" s="18">
        <v>1</v>
      </c>
      <c r="BF680" s="18">
        <v>1</v>
      </c>
      <c r="BG680" s="18">
        <v>1</v>
      </c>
      <c r="BH680" s="18">
        <v>1</v>
      </c>
      <c r="BI680" s="18">
        <v>1</v>
      </c>
      <c r="BJ680" s="19"/>
      <c r="BK680" s="18">
        <v>1</v>
      </c>
      <c r="BL680" s="18" t="s">
        <v>217</v>
      </c>
      <c r="BM680" s="18" t="s">
        <v>217</v>
      </c>
      <c r="BN680" s="18" t="s">
        <v>217</v>
      </c>
      <c r="BO680" s="18"/>
      <c r="BP680" s="18">
        <v>0</v>
      </c>
      <c r="BQ680" s="18" t="s">
        <v>217</v>
      </c>
      <c r="BR680" s="18" t="s">
        <v>217</v>
      </c>
      <c r="BS680" s="18" t="s">
        <v>217</v>
      </c>
      <c r="BT680" s="19"/>
      <c r="BU680" s="18" t="s">
        <v>217</v>
      </c>
      <c r="BV680" s="18" t="s">
        <v>217</v>
      </c>
      <c r="BW680" s="18" t="s">
        <v>217</v>
      </c>
      <c r="BX680" s="18" t="s">
        <v>217</v>
      </c>
      <c r="BY680" s="18" t="s">
        <v>217</v>
      </c>
      <c r="BZ680" s="18" t="s">
        <v>217</v>
      </c>
      <c r="CA680" s="18" t="s">
        <v>217</v>
      </c>
      <c r="CB680" s="19"/>
      <c r="CC680" s="19" t="s">
        <v>217</v>
      </c>
      <c r="CD680" s="19" t="s">
        <v>217</v>
      </c>
      <c r="CE680" s="19" t="s">
        <v>217</v>
      </c>
      <c r="CF680" s="19" t="s">
        <v>217</v>
      </c>
      <c r="CG680" s="19" t="s">
        <v>217</v>
      </c>
      <c r="CH680" s="19" t="s">
        <v>217</v>
      </c>
      <c r="CI680" s="19">
        <v>0</v>
      </c>
      <c r="CJ680" s="19"/>
      <c r="CK680" s="19">
        <v>0</v>
      </c>
      <c r="CL680" s="19">
        <v>0</v>
      </c>
      <c r="CM680" s="19">
        <v>0</v>
      </c>
      <c r="CN680" s="19">
        <v>0</v>
      </c>
      <c r="CO680" s="19">
        <v>0</v>
      </c>
      <c r="CP680" s="19">
        <v>0</v>
      </c>
      <c r="CQ680" s="19">
        <v>0</v>
      </c>
      <c r="CR680" s="19" t="s">
        <v>217</v>
      </c>
      <c r="HM680" s="620">
        <f t="shared" ref="HM680:HU680" si="742">HM310</f>
        <v>0</v>
      </c>
      <c r="HN680" s="620">
        <f t="shared" si="742"/>
        <v>0</v>
      </c>
      <c r="HO680" s="620">
        <f t="shared" si="742"/>
        <v>0</v>
      </c>
      <c r="HP680" s="620">
        <f t="shared" si="742"/>
        <v>0</v>
      </c>
      <c r="HQ680" s="620">
        <f t="shared" si="742"/>
        <v>0</v>
      </c>
      <c r="HR680" s="620">
        <f t="shared" si="742"/>
        <v>0</v>
      </c>
      <c r="HS680" s="620">
        <f t="shared" si="742"/>
        <v>0</v>
      </c>
      <c r="HT680" s="620">
        <f t="shared" si="742"/>
        <v>0</v>
      </c>
      <c r="HU680" s="620" t="str">
        <f t="shared" si="742"/>
        <v>offfarm</v>
      </c>
      <c r="HV680" s="22" t="s">
        <v>2013</v>
      </c>
      <c r="IB680" s="11">
        <f t="shared" ref="IB680:II680" si="743">IB310</f>
        <v>0.47300000000000003</v>
      </c>
      <c r="IC680" s="11">
        <f t="shared" si="743"/>
        <v>0.13</v>
      </c>
      <c r="ID680" s="11">
        <f t="shared" si="743"/>
        <v>0.39100000000000001</v>
      </c>
      <c r="IE680" s="11">
        <f t="shared" si="743"/>
        <v>5.5E-2</v>
      </c>
      <c r="IF680" s="11">
        <f t="shared" si="743"/>
        <v>3.97</v>
      </c>
      <c r="IG680" s="11">
        <f t="shared" si="743"/>
        <v>4.5999999999999999E-3</v>
      </c>
      <c r="IH680" s="11">
        <f t="shared" si="743"/>
        <v>2.73</v>
      </c>
      <c r="II680" s="11">
        <f t="shared" si="743"/>
        <v>0</v>
      </c>
    </row>
    <row r="681" spans="4:244" x14ac:dyDescent="0.25">
      <c r="D681" s="185" t="s">
        <v>792</v>
      </c>
      <c r="E681" s="14">
        <v>40310</v>
      </c>
      <c r="F681" s="18">
        <v>1.1453137804878</v>
      </c>
      <c r="G681" s="18">
        <v>1.1150750454545399</v>
      </c>
      <c r="H681" s="21">
        <v>91</v>
      </c>
      <c r="I681" s="21">
        <v>91</v>
      </c>
      <c r="J681" s="21">
        <v>92</v>
      </c>
      <c r="K681" s="18">
        <v>1</v>
      </c>
      <c r="L681" s="18">
        <v>96.5</v>
      </c>
      <c r="M681" s="18">
        <v>73.34</v>
      </c>
      <c r="N681" s="18">
        <v>0.96499999999999997</v>
      </c>
      <c r="O681" s="18">
        <v>4.8250000000000002</v>
      </c>
      <c r="P681" s="18">
        <v>0.193</v>
      </c>
      <c r="Q681" s="19"/>
      <c r="R681" s="18">
        <v>100</v>
      </c>
      <c r="S681" s="18">
        <v>50</v>
      </c>
      <c r="T681" s="18">
        <v>50</v>
      </c>
      <c r="U681" s="18">
        <v>50</v>
      </c>
      <c r="V681" s="18">
        <v>50</v>
      </c>
      <c r="W681" s="18">
        <v>50</v>
      </c>
      <c r="X681" s="18"/>
      <c r="Y681" s="18">
        <v>0.9</v>
      </c>
      <c r="Z681" s="18">
        <v>2.2999999999999998</v>
      </c>
      <c r="AA681" s="18">
        <v>1.4</v>
      </c>
      <c r="AB681" s="18">
        <v>0</v>
      </c>
      <c r="AC681" s="18">
        <v>12.399999999999999</v>
      </c>
      <c r="AD681" s="18">
        <v>0.8</v>
      </c>
      <c r="AE681" s="18">
        <v>0</v>
      </c>
      <c r="AF681" s="18">
        <v>47</v>
      </c>
      <c r="AG681" s="18">
        <v>5</v>
      </c>
      <c r="AH681" s="18">
        <v>16</v>
      </c>
      <c r="AI681" s="18">
        <v>23</v>
      </c>
      <c r="AJ681" s="18">
        <v>0</v>
      </c>
      <c r="AK681" s="18">
        <v>0</v>
      </c>
      <c r="AL681" s="18"/>
      <c r="AM681" s="18">
        <v>68.421052631578902</v>
      </c>
      <c r="AN681" s="18">
        <v>0.22368421052631601</v>
      </c>
      <c r="AO681" s="18">
        <v>0.144736842105263</v>
      </c>
      <c r="AP681" s="18">
        <v>0.69736842105263197</v>
      </c>
      <c r="AQ681" s="18">
        <v>0.197368421052632</v>
      </c>
      <c r="AR681" s="18">
        <v>0.68421052631578905</v>
      </c>
      <c r="AS681" s="18">
        <v>1.0526315789473699</v>
      </c>
      <c r="AT681" s="18">
        <v>0.32894736842105299</v>
      </c>
      <c r="AU681" s="18">
        <v>0.53947368421052599</v>
      </c>
      <c r="AV681" s="18">
        <v>0.394736842105263</v>
      </c>
      <c r="AW681" s="18">
        <v>0.90789473684210498</v>
      </c>
      <c r="AX681" s="18"/>
      <c r="AY681" s="18">
        <v>1</v>
      </c>
      <c r="AZ681" s="18">
        <v>0.85</v>
      </c>
      <c r="BA681" s="18">
        <v>0.85</v>
      </c>
      <c r="BB681" s="18">
        <v>0.85</v>
      </c>
      <c r="BC681" s="18">
        <v>0.85</v>
      </c>
      <c r="BD681" s="18">
        <v>0.85</v>
      </c>
      <c r="BE681" s="18">
        <v>0.85</v>
      </c>
      <c r="BF681" s="18">
        <v>0.85</v>
      </c>
      <c r="BG681" s="18">
        <v>0.85</v>
      </c>
      <c r="BH681" s="18">
        <v>0.85</v>
      </c>
      <c r="BI681" s="18">
        <v>0.85</v>
      </c>
      <c r="BJ681" s="19"/>
      <c r="BK681" s="18">
        <v>76</v>
      </c>
      <c r="BL681" s="18">
        <v>1</v>
      </c>
      <c r="BM681" s="18">
        <v>5</v>
      </c>
      <c r="BN681" s="18">
        <v>0.2</v>
      </c>
      <c r="BO681" s="18"/>
      <c r="BP681" s="18">
        <v>0</v>
      </c>
      <c r="BQ681" s="18">
        <v>0</v>
      </c>
      <c r="BR681" s="18">
        <v>1.1868536585365803</v>
      </c>
      <c r="BS681" s="18">
        <v>1.1555181818181761</v>
      </c>
      <c r="BT681" s="19"/>
      <c r="BU681" s="18">
        <v>950</v>
      </c>
      <c r="BV681" s="18">
        <v>163.19999999999999</v>
      </c>
      <c r="BW681" s="18">
        <v>0</v>
      </c>
      <c r="BX681" s="18" t="s">
        <v>217</v>
      </c>
      <c r="BY681" s="18" t="s">
        <v>217</v>
      </c>
      <c r="BZ681" s="18" t="s">
        <v>217</v>
      </c>
      <c r="CA681" s="18" t="s">
        <v>217</v>
      </c>
      <c r="CB681" s="19"/>
      <c r="CC681" s="19">
        <v>0.86849999999999994</v>
      </c>
      <c r="CD681" s="19">
        <v>2.2194999999999996</v>
      </c>
      <c r="CE681" s="19">
        <v>1.351</v>
      </c>
      <c r="CF681" s="19">
        <v>0</v>
      </c>
      <c r="CG681" s="19">
        <v>11.965999999999998</v>
      </c>
      <c r="CH681" s="19">
        <v>0.77200000000000002</v>
      </c>
      <c r="CI681" s="19">
        <v>0</v>
      </c>
      <c r="CJ681" s="19"/>
      <c r="CK681" s="19">
        <v>45.354999999999997</v>
      </c>
      <c r="CL681" s="19">
        <v>4.8250000000000002</v>
      </c>
      <c r="CM681" s="19">
        <v>15.44</v>
      </c>
      <c r="CN681" s="19">
        <v>22.195</v>
      </c>
      <c r="CO681" s="19">
        <v>0</v>
      </c>
      <c r="CP681" s="19">
        <v>0</v>
      </c>
      <c r="CQ681" s="19">
        <v>733.4</v>
      </c>
      <c r="CR681" s="19">
        <v>640.34853373338262</v>
      </c>
      <c r="HM681" s="620">
        <f t="shared" ref="HM681:HU681" si="744">HM311</f>
        <v>0</v>
      </c>
      <c r="HN681" s="620">
        <f t="shared" si="744"/>
        <v>0</v>
      </c>
      <c r="HO681" s="620">
        <f t="shared" si="744"/>
        <v>0</v>
      </c>
      <c r="HP681" s="620">
        <f t="shared" si="744"/>
        <v>0</v>
      </c>
      <c r="HQ681" s="620">
        <f t="shared" si="744"/>
        <v>0</v>
      </c>
      <c r="HR681" s="620">
        <f t="shared" si="744"/>
        <v>0</v>
      </c>
      <c r="HS681" s="620">
        <f t="shared" si="744"/>
        <v>0</v>
      </c>
      <c r="HT681" s="620">
        <f t="shared" si="744"/>
        <v>0</v>
      </c>
      <c r="HU681" s="620" t="str">
        <f t="shared" si="744"/>
        <v>offfarm</v>
      </c>
      <c r="HV681" s="22" t="s">
        <v>2013</v>
      </c>
      <c r="IB681" s="11">
        <f t="shared" ref="IB681:II681" si="745">IB311</f>
        <v>0.47300000000000003</v>
      </c>
      <c r="IC681" s="11">
        <f t="shared" si="745"/>
        <v>0.13</v>
      </c>
      <c r="ID681" s="11">
        <f t="shared" si="745"/>
        <v>0.39100000000000001</v>
      </c>
      <c r="IE681" s="11">
        <f t="shared" si="745"/>
        <v>5.5E-2</v>
      </c>
      <c r="IF681" s="11">
        <f t="shared" si="745"/>
        <v>3.97</v>
      </c>
      <c r="IG681" s="11">
        <f t="shared" si="745"/>
        <v>4.5999999999999999E-3</v>
      </c>
      <c r="IH681" s="11">
        <f t="shared" si="745"/>
        <v>2.73</v>
      </c>
      <c r="II681" s="11">
        <f t="shared" si="745"/>
        <v>0</v>
      </c>
    </row>
    <row r="682" spans="4:244" x14ac:dyDescent="0.25">
      <c r="D682" s="185" t="s">
        <v>1249</v>
      </c>
      <c r="E682" s="14">
        <v>40310</v>
      </c>
      <c r="F682" s="18">
        <v>1.1453137804878</v>
      </c>
      <c r="G682" s="18">
        <v>1.1150750454545399</v>
      </c>
      <c r="H682" s="21">
        <v>91</v>
      </c>
      <c r="I682" s="21">
        <v>91</v>
      </c>
      <c r="J682" s="21">
        <v>92</v>
      </c>
      <c r="K682" s="18">
        <v>1</v>
      </c>
      <c r="L682" s="18">
        <v>96.5</v>
      </c>
      <c r="M682" s="18">
        <v>73.34</v>
      </c>
      <c r="N682" s="18">
        <v>0.96499999999999997</v>
      </c>
      <c r="O682" s="18">
        <v>4.8250000000000002</v>
      </c>
      <c r="P682" s="18">
        <v>0.193</v>
      </c>
      <c r="Q682" s="19"/>
      <c r="R682" s="18">
        <v>75</v>
      </c>
      <c r="S682" s="18">
        <v>50</v>
      </c>
      <c r="T682" s="18">
        <v>50</v>
      </c>
      <c r="U682" s="18">
        <v>50</v>
      </c>
      <c r="V682" s="18">
        <v>50</v>
      </c>
      <c r="W682" s="18">
        <v>50</v>
      </c>
      <c r="X682" s="18"/>
      <c r="Y682" s="18">
        <v>0.9</v>
      </c>
      <c r="Z682" s="18">
        <v>2.2999999999999998</v>
      </c>
      <c r="AA682" s="18">
        <v>1.4</v>
      </c>
      <c r="AB682" s="18">
        <v>0</v>
      </c>
      <c r="AC682" s="18">
        <v>12.399999999999999</v>
      </c>
      <c r="AD682" s="18">
        <v>0.8</v>
      </c>
      <c r="AE682" s="18">
        <v>0</v>
      </c>
      <c r="AF682" s="18">
        <v>47</v>
      </c>
      <c r="AG682" s="18">
        <v>5</v>
      </c>
      <c r="AH682" s="18">
        <v>16</v>
      </c>
      <c r="AI682" s="18">
        <v>23</v>
      </c>
      <c r="AJ682" s="18">
        <v>0</v>
      </c>
      <c r="AK682" s="18">
        <v>0</v>
      </c>
      <c r="AL682" s="18"/>
      <c r="AM682" s="18">
        <v>68.421052631578902</v>
      </c>
      <c r="AN682" s="18">
        <v>0.22368421052631601</v>
      </c>
      <c r="AO682" s="18">
        <v>0.144736842105263</v>
      </c>
      <c r="AP682" s="18">
        <v>0.69736842105263197</v>
      </c>
      <c r="AQ682" s="18">
        <v>0.197368421052632</v>
      </c>
      <c r="AR682" s="18">
        <v>0.68421052631578905</v>
      </c>
      <c r="AS682" s="18">
        <v>1.0526315789473699</v>
      </c>
      <c r="AT682" s="18">
        <v>0.32894736842105299</v>
      </c>
      <c r="AU682" s="18">
        <v>0.53947368421052599</v>
      </c>
      <c r="AV682" s="18">
        <v>0.394736842105263</v>
      </c>
      <c r="AW682" s="18">
        <v>0.90789473684210498</v>
      </c>
      <c r="AX682" s="18"/>
      <c r="AY682" s="18">
        <v>1</v>
      </c>
      <c r="AZ682" s="18">
        <v>0.85</v>
      </c>
      <c r="BA682" s="18">
        <v>0.85</v>
      </c>
      <c r="BB682" s="18">
        <v>0.85</v>
      </c>
      <c r="BC682" s="18">
        <v>0.85</v>
      </c>
      <c r="BD682" s="18">
        <v>0.85</v>
      </c>
      <c r="BE682" s="18">
        <v>0.85</v>
      </c>
      <c r="BF682" s="18">
        <v>0.85</v>
      </c>
      <c r="BG682" s="18">
        <v>0.85</v>
      </c>
      <c r="BH682" s="18">
        <v>0.85</v>
      </c>
      <c r="BI682" s="18">
        <v>0.85</v>
      </c>
      <c r="BJ682" s="19"/>
      <c r="BK682" s="18">
        <v>76</v>
      </c>
      <c r="BL682" s="18">
        <v>1</v>
      </c>
      <c r="BM682" s="18">
        <v>5</v>
      </c>
      <c r="BN682" s="18">
        <v>0.2</v>
      </c>
      <c r="BO682" s="18"/>
      <c r="BP682" s="18">
        <v>0</v>
      </c>
      <c r="BQ682" s="18">
        <v>0</v>
      </c>
      <c r="BR682" s="18">
        <v>1.1868536585365803</v>
      </c>
      <c r="BS682" s="18">
        <v>1.1555181818181761</v>
      </c>
      <c r="BT682" s="19"/>
      <c r="BU682" s="18">
        <v>950</v>
      </c>
      <c r="BV682" s="18">
        <v>163.19999999999999</v>
      </c>
      <c r="BW682" s="18">
        <v>0</v>
      </c>
      <c r="BX682" s="18" t="s">
        <v>217</v>
      </c>
      <c r="BY682" s="18" t="s">
        <v>217</v>
      </c>
      <c r="BZ682" s="18" t="s">
        <v>217</v>
      </c>
      <c r="CA682" s="18" t="s">
        <v>217</v>
      </c>
      <c r="CB682" s="19"/>
      <c r="CC682" s="19">
        <v>0.86849999999999994</v>
      </c>
      <c r="CD682" s="19">
        <v>2.2194999999999996</v>
      </c>
      <c r="CE682" s="19">
        <v>1.351</v>
      </c>
      <c r="CF682" s="19">
        <v>0</v>
      </c>
      <c r="CG682" s="19">
        <v>11.965999999999998</v>
      </c>
      <c r="CH682" s="19">
        <v>0.77200000000000002</v>
      </c>
      <c r="CI682" s="19">
        <v>0</v>
      </c>
      <c r="CJ682" s="19"/>
      <c r="CK682" s="19">
        <v>45.354999999999997</v>
      </c>
      <c r="CL682" s="19">
        <v>4.8250000000000002</v>
      </c>
      <c r="CM682" s="19">
        <v>15.44</v>
      </c>
      <c r="CN682" s="19">
        <v>22.195</v>
      </c>
      <c r="CO682" s="19">
        <v>0</v>
      </c>
      <c r="CP682" s="19">
        <v>0</v>
      </c>
      <c r="CQ682" s="19">
        <v>550.04999999999995</v>
      </c>
      <c r="CR682" s="19">
        <v>480.26140030003694</v>
      </c>
      <c r="HM682" s="620">
        <f t="shared" ref="HM682:HU682" si="746">HM312</f>
        <v>0</v>
      </c>
      <c r="HN682" s="620">
        <f t="shared" si="746"/>
        <v>0</v>
      </c>
      <c r="HO682" s="620">
        <f t="shared" si="746"/>
        <v>0</v>
      </c>
      <c r="HP682" s="620">
        <f t="shared" si="746"/>
        <v>0</v>
      </c>
      <c r="HQ682" s="620">
        <f t="shared" si="746"/>
        <v>0</v>
      </c>
      <c r="HR682" s="620">
        <f t="shared" si="746"/>
        <v>0</v>
      </c>
      <c r="HS682" s="620">
        <f t="shared" si="746"/>
        <v>0</v>
      </c>
      <c r="HT682" s="620">
        <f t="shared" si="746"/>
        <v>0</v>
      </c>
      <c r="HU682" s="620" t="str">
        <f t="shared" si="746"/>
        <v>offfarm</v>
      </c>
      <c r="HV682" s="22" t="s">
        <v>2013</v>
      </c>
      <c r="IB682" s="11">
        <f t="shared" ref="IB682:II682" si="747">IB312</f>
        <v>0.47300000000000003</v>
      </c>
      <c r="IC682" s="11">
        <f t="shared" si="747"/>
        <v>0.13</v>
      </c>
      <c r="ID682" s="11">
        <f t="shared" si="747"/>
        <v>0.39100000000000001</v>
      </c>
      <c r="IE682" s="11">
        <f t="shared" si="747"/>
        <v>5.5E-2</v>
      </c>
      <c r="IF682" s="11">
        <f t="shared" si="747"/>
        <v>3.97</v>
      </c>
      <c r="IG682" s="11">
        <f t="shared" si="747"/>
        <v>4.5999999999999999E-3</v>
      </c>
      <c r="IH682" s="11">
        <f t="shared" si="747"/>
        <v>2.73</v>
      </c>
      <c r="II682" s="11">
        <f t="shared" si="747"/>
        <v>0</v>
      </c>
    </row>
    <row r="683" spans="4:244" x14ac:dyDescent="0.25">
      <c r="D683" s="185" t="s">
        <v>794</v>
      </c>
      <c r="E683" s="14">
        <v>41501</v>
      </c>
      <c r="F683" s="18">
        <v>1.3951217540499901</v>
      </c>
      <c r="G683" s="18">
        <v>1.3371426681673899</v>
      </c>
      <c r="H683" s="21">
        <v>100</v>
      </c>
      <c r="I683" s="21">
        <v>100</v>
      </c>
      <c r="J683" s="21">
        <v>100</v>
      </c>
      <c r="K683" s="18">
        <v>1</v>
      </c>
      <c r="L683" s="18">
        <v>88</v>
      </c>
      <c r="M683" s="18">
        <v>8.8888888888888907E-5</v>
      </c>
      <c r="N683" s="18">
        <v>0</v>
      </c>
      <c r="O683" s="18">
        <v>0</v>
      </c>
      <c r="P683" s="18">
        <v>0</v>
      </c>
      <c r="Q683" s="19"/>
      <c r="R683" s="18">
        <v>0</v>
      </c>
      <c r="S683" s="18">
        <v>0</v>
      </c>
      <c r="T683" s="18">
        <v>0</v>
      </c>
      <c r="U683" s="18">
        <v>0</v>
      </c>
      <c r="V683" s="18">
        <v>0</v>
      </c>
      <c r="W683" s="18">
        <v>0</v>
      </c>
      <c r="X683" s="18"/>
      <c r="Y683" s="18">
        <v>0</v>
      </c>
      <c r="Z683" s="18">
        <v>0</v>
      </c>
      <c r="AA683" s="18">
        <v>0</v>
      </c>
      <c r="AB683" s="18">
        <v>0</v>
      </c>
      <c r="AC683" s="18">
        <v>0</v>
      </c>
      <c r="AD683" s="18">
        <v>0</v>
      </c>
      <c r="AE683" s="18">
        <v>0</v>
      </c>
      <c r="AF683" s="18">
        <v>0</v>
      </c>
      <c r="AG683" s="18">
        <v>0</v>
      </c>
      <c r="AH683" s="18">
        <v>0</v>
      </c>
      <c r="AI683" s="18">
        <v>0</v>
      </c>
      <c r="AJ683" s="18">
        <v>0</v>
      </c>
      <c r="AK683" s="18">
        <v>0</v>
      </c>
      <c r="AL683" s="18"/>
      <c r="AM683" s="18">
        <v>0</v>
      </c>
      <c r="AN683" s="18">
        <v>0</v>
      </c>
      <c r="AO683" s="18">
        <v>0</v>
      </c>
      <c r="AP683" s="18">
        <v>0</v>
      </c>
      <c r="AQ683" s="18">
        <v>0</v>
      </c>
      <c r="AR683" s="18">
        <v>0</v>
      </c>
      <c r="AS683" s="18">
        <v>0</v>
      </c>
      <c r="AT683" s="18">
        <v>0</v>
      </c>
      <c r="AU683" s="18">
        <v>0</v>
      </c>
      <c r="AV683" s="18">
        <v>0</v>
      </c>
      <c r="AW683" s="18">
        <v>0</v>
      </c>
      <c r="AX683" s="18"/>
      <c r="AY683" s="18">
        <v>1</v>
      </c>
      <c r="AZ683" s="18">
        <v>1</v>
      </c>
      <c r="BA683" s="18">
        <v>1</v>
      </c>
      <c r="BB683" s="18">
        <v>1</v>
      </c>
      <c r="BC683" s="18">
        <v>1</v>
      </c>
      <c r="BD683" s="18">
        <v>1</v>
      </c>
      <c r="BE683" s="18">
        <v>1</v>
      </c>
      <c r="BF683" s="18">
        <v>1</v>
      </c>
      <c r="BG683" s="18">
        <v>1</v>
      </c>
      <c r="BH683" s="18">
        <v>1</v>
      </c>
      <c r="BI683" s="18">
        <v>1</v>
      </c>
      <c r="BJ683" s="19"/>
      <c r="BK683" s="18">
        <v>1.0101010101010104E-4</v>
      </c>
      <c r="BL683" s="18">
        <v>0</v>
      </c>
      <c r="BM683" s="18">
        <v>0</v>
      </c>
      <c r="BN683" s="18">
        <v>0</v>
      </c>
      <c r="BO683" s="18"/>
      <c r="BP683" s="18">
        <v>0</v>
      </c>
      <c r="BQ683" s="18">
        <v>0</v>
      </c>
      <c r="BR683" s="18">
        <v>1.5853656296022614</v>
      </c>
      <c r="BS683" s="18">
        <v>1.5194803047356704</v>
      </c>
      <c r="BT683" s="19"/>
      <c r="BU683" s="18">
        <v>1000</v>
      </c>
      <c r="BV683" s="18">
        <v>999.99908080808075</v>
      </c>
      <c r="BW683" s="18">
        <v>0</v>
      </c>
      <c r="BX683" s="18" t="s">
        <v>217</v>
      </c>
      <c r="BY683" s="18" t="s">
        <v>217</v>
      </c>
      <c r="BZ683" s="18" t="s">
        <v>217</v>
      </c>
      <c r="CA683" s="18" t="s">
        <v>217</v>
      </c>
      <c r="CB683" s="19"/>
      <c r="CC683" s="19">
        <v>0</v>
      </c>
      <c r="CD683" s="19">
        <v>0</v>
      </c>
      <c r="CE683" s="19">
        <v>0</v>
      </c>
      <c r="CF683" s="19">
        <v>0</v>
      </c>
      <c r="CG683" s="19">
        <v>0</v>
      </c>
      <c r="CH683" s="19">
        <v>0</v>
      </c>
      <c r="CI683" s="19">
        <v>0</v>
      </c>
      <c r="CJ683" s="19"/>
      <c r="CK683" s="19">
        <v>0</v>
      </c>
      <c r="CL683" s="19">
        <v>0</v>
      </c>
      <c r="CM683" s="19">
        <v>0</v>
      </c>
      <c r="CN683" s="19">
        <v>0</v>
      </c>
      <c r="CO683" s="19">
        <v>0</v>
      </c>
      <c r="CP683" s="19">
        <v>0</v>
      </c>
      <c r="CQ683" s="19">
        <v>0</v>
      </c>
      <c r="CR683" s="19">
        <v>0</v>
      </c>
      <c r="HM683" s="620">
        <f t="shared" ref="HM683:HU683" si="748">HM313</f>
        <v>0</v>
      </c>
      <c r="HN683" s="620">
        <f t="shared" si="748"/>
        <v>0</v>
      </c>
      <c r="HO683" s="620">
        <f t="shared" si="748"/>
        <v>0</v>
      </c>
      <c r="HP683" s="620">
        <f t="shared" si="748"/>
        <v>0</v>
      </c>
      <c r="HQ683" s="620">
        <f t="shared" si="748"/>
        <v>0</v>
      </c>
      <c r="HR683" s="620">
        <f t="shared" si="748"/>
        <v>0</v>
      </c>
      <c r="HS683" s="620">
        <f t="shared" si="748"/>
        <v>0</v>
      </c>
      <c r="HT683" s="620">
        <f t="shared" si="748"/>
        <v>0</v>
      </c>
      <c r="HU683" s="620" t="str">
        <f t="shared" si="748"/>
        <v>offfarm</v>
      </c>
      <c r="HV683" s="22" t="s">
        <v>2013</v>
      </c>
      <c r="IB683" s="11">
        <f t="shared" ref="IB683:II683" si="749">IB313</f>
        <v>0.47300000000000003</v>
      </c>
      <c r="IC683" s="11">
        <f t="shared" si="749"/>
        <v>0.13</v>
      </c>
      <c r="ID683" s="11">
        <f t="shared" si="749"/>
        <v>0.39100000000000001</v>
      </c>
      <c r="IE683" s="11">
        <f t="shared" si="749"/>
        <v>5.5E-2</v>
      </c>
      <c r="IF683" s="11">
        <f t="shared" si="749"/>
        <v>3.97</v>
      </c>
      <c r="IG683" s="11">
        <f t="shared" si="749"/>
        <v>4.5999999999999999E-3</v>
      </c>
      <c r="IH683" s="11">
        <f t="shared" si="749"/>
        <v>2.73</v>
      </c>
      <c r="II683" s="11">
        <f t="shared" si="749"/>
        <v>0</v>
      </c>
    </row>
    <row r="684" spans="4:244" x14ac:dyDescent="0.25">
      <c r="D684" s="185" t="s">
        <v>1336</v>
      </c>
      <c r="E684" s="14">
        <v>42695</v>
      </c>
      <c r="F684" s="18">
        <v>1.3951217540499901</v>
      </c>
      <c r="G684" s="18">
        <v>1.3371426681673899</v>
      </c>
      <c r="H684" s="21">
        <v>100</v>
      </c>
      <c r="I684" s="21">
        <v>100</v>
      </c>
      <c r="J684" s="21">
        <v>100</v>
      </c>
      <c r="K684" s="18">
        <v>1</v>
      </c>
      <c r="L684" s="18">
        <v>88</v>
      </c>
      <c r="M684" s="18">
        <v>8.8888888888888893E-5</v>
      </c>
      <c r="N684" s="18">
        <v>0</v>
      </c>
      <c r="O684" s="18">
        <v>0</v>
      </c>
      <c r="P684" s="18">
        <v>0</v>
      </c>
      <c r="Q684" s="19"/>
      <c r="R684" s="18">
        <v>0</v>
      </c>
      <c r="S684" s="18">
        <v>0</v>
      </c>
      <c r="T684" s="18">
        <v>0</v>
      </c>
      <c r="U684" s="18">
        <v>0</v>
      </c>
      <c r="V684" s="18">
        <v>0</v>
      </c>
      <c r="W684" s="18">
        <v>0</v>
      </c>
      <c r="X684" s="18"/>
      <c r="Y684" s="18">
        <v>0</v>
      </c>
      <c r="Z684" s="18">
        <v>0</v>
      </c>
      <c r="AA684" s="18">
        <v>0</v>
      </c>
      <c r="AB684" s="18">
        <v>0</v>
      </c>
      <c r="AC684" s="18">
        <v>0</v>
      </c>
      <c r="AD684" s="18">
        <v>0</v>
      </c>
      <c r="AE684" s="18">
        <v>0</v>
      </c>
      <c r="AF684" s="18">
        <v>0</v>
      </c>
      <c r="AG684" s="18">
        <v>0</v>
      </c>
      <c r="AH684" s="18">
        <v>0</v>
      </c>
      <c r="AI684" s="18">
        <v>0</v>
      </c>
      <c r="AJ684" s="18">
        <v>0</v>
      </c>
      <c r="AK684" s="18">
        <v>0</v>
      </c>
      <c r="AL684" s="18"/>
      <c r="AM684" s="18">
        <v>0</v>
      </c>
      <c r="AN684" s="18">
        <v>0</v>
      </c>
      <c r="AO684" s="18">
        <v>0</v>
      </c>
      <c r="AP684" s="18">
        <v>0</v>
      </c>
      <c r="AQ684" s="18">
        <v>0</v>
      </c>
      <c r="AR684" s="18">
        <v>0</v>
      </c>
      <c r="AS684" s="18">
        <v>0</v>
      </c>
      <c r="AT684" s="18">
        <v>0</v>
      </c>
      <c r="AU684" s="18">
        <v>0</v>
      </c>
      <c r="AV684" s="18">
        <v>0</v>
      </c>
      <c r="AW684" s="18">
        <v>0</v>
      </c>
      <c r="AX684" s="18"/>
      <c r="AY684" s="18">
        <v>1</v>
      </c>
      <c r="AZ684" s="18">
        <v>1</v>
      </c>
      <c r="BA684" s="18">
        <v>1</v>
      </c>
      <c r="BB684" s="18">
        <v>1</v>
      </c>
      <c r="BC684" s="18">
        <v>1</v>
      </c>
      <c r="BD684" s="18">
        <v>1</v>
      </c>
      <c r="BE684" s="18">
        <v>1</v>
      </c>
      <c r="BF684" s="18">
        <v>1</v>
      </c>
      <c r="BG684" s="18">
        <v>1</v>
      </c>
      <c r="BH684" s="18">
        <v>1</v>
      </c>
      <c r="BI684" s="18">
        <v>1</v>
      </c>
      <c r="BJ684" s="19"/>
      <c r="BK684" s="18">
        <v>1.0101010101010101E-4</v>
      </c>
      <c r="BL684" s="18">
        <v>0</v>
      </c>
      <c r="BM684" s="18">
        <v>0</v>
      </c>
      <c r="BN684" s="18">
        <v>0</v>
      </c>
      <c r="BO684" s="18"/>
      <c r="BP684" s="18">
        <v>0</v>
      </c>
      <c r="BQ684" s="18">
        <v>0</v>
      </c>
      <c r="BR684" s="18">
        <v>1.5853656296022614</v>
      </c>
      <c r="BS684" s="18">
        <v>1.5194803047356702</v>
      </c>
      <c r="BT684" s="19"/>
      <c r="BU684" s="18">
        <v>1000</v>
      </c>
      <c r="BV684" s="18">
        <v>999.99908080808063</v>
      </c>
      <c r="BW684" s="18">
        <v>0</v>
      </c>
      <c r="BX684" s="18" t="s">
        <v>217</v>
      </c>
      <c r="BY684" s="18" t="s">
        <v>217</v>
      </c>
      <c r="BZ684" s="18" t="s">
        <v>217</v>
      </c>
      <c r="CA684" s="18" t="s">
        <v>217</v>
      </c>
      <c r="CB684" s="19"/>
      <c r="CC684" s="19">
        <v>0</v>
      </c>
      <c r="CD684" s="19">
        <v>0</v>
      </c>
      <c r="CE684" s="19">
        <v>0</v>
      </c>
      <c r="CF684" s="19">
        <v>0</v>
      </c>
      <c r="CG684" s="19">
        <v>0</v>
      </c>
      <c r="CH684" s="19">
        <v>0</v>
      </c>
      <c r="CI684" s="19">
        <v>0</v>
      </c>
      <c r="CJ684" s="19"/>
      <c r="CK684" s="19">
        <v>0</v>
      </c>
      <c r="CL684" s="19">
        <v>0</v>
      </c>
      <c r="CM684" s="19">
        <v>0</v>
      </c>
      <c r="CN684" s="19">
        <v>0</v>
      </c>
      <c r="CO684" s="19">
        <v>0</v>
      </c>
      <c r="CP684" s="19">
        <v>0</v>
      </c>
      <c r="CQ684" s="19">
        <v>0</v>
      </c>
      <c r="CR684" s="19">
        <v>0</v>
      </c>
      <c r="HM684" s="620">
        <f t="shared" ref="HM684:HU684" si="750">HM314</f>
        <v>0</v>
      </c>
      <c r="HN684" s="620">
        <f t="shared" si="750"/>
        <v>0</v>
      </c>
      <c r="HO684" s="620">
        <f t="shared" si="750"/>
        <v>0</v>
      </c>
      <c r="HP684" s="620">
        <f t="shared" si="750"/>
        <v>0</v>
      </c>
      <c r="HQ684" s="620">
        <f t="shared" si="750"/>
        <v>0</v>
      </c>
      <c r="HR684" s="620">
        <f t="shared" si="750"/>
        <v>0</v>
      </c>
      <c r="HS684" s="620">
        <f t="shared" si="750"/>
        <v>0</v>
      </c>
      <c r="HT684" s="620">
        <f t="shared" si="750"/>
        <v>0</v>
      </c>
      <c r="HU684" s="620" t="str">
        <f t="shared" si="750"/>
        <v>offfarm</v>
      </c>
      <c r="HV684" s="22" t="s">
        <v>2013</v>
      </c>
      <c r="IB684" s="11">
        <f t="shared" ref="IB684:II684" si="751">IB314</f>
        <v>0.47300000000000003</v>
      </c>
      <c r="IC684" s="11">
        <f t="shared" si="751"/>
        <v>0.13</v>
      </c>
      <c r="ID684" s="11">
        <f t="shared" si="751"/>
        <v>0.39100000000000001</v>
      </c>
      <c r="IE684" s="11">
        <f t="shared" si="751"/>
        <v>5.5E-2</v>
      </c>
      <c r="IF684" s="11">
        <f t="shared" si="751"/>
        <v>3.97</v>
      </c>
      <c r="IG684" s="11">
        <f t="shared" si="751"/>
        <v>4.5999999999999999E-3</v>
      </c>
      <c r="IH684" s="11">
        <f t="shared" si="751"/>
        <v>2.73</v>
      </c>
      <c r="II684" s="11">
        <f t="shared" si="751"/>
        <v>0</v>
      </c>
    </row>
    <row r="685" spans="4:244" x14ac:dyDescent="0.25">
      <c r="D685" s="185" t="s">
        <v>1337</v>
      </c>
      <c r="E685" s="14">
        <v>41501</v>
      </c>
      <c r="F685" s="18">
        <v>1.3951217540499901</v>
      </c>
      <c r="G685" s="18">
        <v>1.3371426681673899</v>
      </c>
      <c r="H685" s="21">
        <v>100</v>
      </c>
      <c r="I685" s="21">
        <v>100</v>
      </c>
      <c r="J685" s="21">
        <v>100</v>
      </c>
      <c r="K685" s="18">
        <v>1</v>
      </c>
      <c r="L685" s="18">
        <v>88</v>
      </c>
      <c r="M685" s="18">
        <v>8.8888888888888907E-5</v>
      </c>
      <c r="N685" s="18">
        <v>0</v>
      </c>
      <c r="O685" s="18">
        <v>0</v>
      </c>
      <c r="P685" s="18">
        <v>0</v>
      </c>
      <c r="Q685" s="19"/>
      <c r="R685" s="18">
        <v>0</v>
      </c>
      <c r="S685" s="18">
        <v>0</v>
      </c>
      <c r="T685" s="18">
        <v>0</v>
      </c>
      <c r="U685" s="18">
        <v>0</v>
      </c>
      <c r="V685" s="18">
        <v>0</v>
      </c>
      <c r="W685" s="18">
        <v>0</v>
      </c>
      <c r="X685" s="18"/>
      <c r="Y685" s="18">
        <v>0</v>
      </c>
      <c r="Z685" s="18">
        <v>0</v>
      </c>
      <c r="AA685" s="18">
        <v>0</v>
      </c>
      <c r="AB685" s="18">
        <v>0</v>
      </c>
      <c r="AC685" s="18">
        <v>0</v>
      </c>
      <c r="AD685" s="18">
        <v>0</v>
      </c>
      <c r="AE685" s="18">
        <v>0</v>
      </c>
      <c r="AF685" s="18">
        <v>0</v>
      </c>
      <c r="AG685" s="18">
        <v>0</v>
      </c>
      <c r="AH685" s="18">
        <v>0</v>
      </c>
      <c r="AI685" s="18">
        <v>0</v>
      </c>
      <c r="AJ685" s="18">
        <v>0</v>
      </c>
      <c r="AK685" s="18">
        <v>0</v>
      </c>
      <c r="AL685" s="18"/>
      <c r="AM685" s="18">
        <v>0</v>
      </c>
      <c r="AN685" s="18">
        <v>0</v>
      </c>
      <c r="AO685" s="18">
        <v>0</v>
      </c>
      <c r="AP685" s="18">
        <v>0</v>
      </c>
      <c r="AQ685" s="18">
        <v>0</v>
      </c>
      <c r="AR685" s="18">
        <v>0</v>
      </c>
      <c r="AS685" s="18">
        <v>0</v>
      </c>
      <c r="AT685" s="18">
        <v>0</v>
      </c>
      <c r="AU685" s="18">
        <v>0</v>
      </c>
      <c r="AV685" s="18">
        <v>0</v>
      </c>
      <c r="AW685" s="18">
        <v>0</v>
      </c>
      <c r="AX685" s="18"/>
      <c r="AY685" s="18">
        <v>1</v>
      </c>
      <c r="AZ685" s="18">
        <v>1</v>
      </c>
      <c r="BA685" s="18">
        <v>1</v>
      </c>
      <c r="BB685" s="18">
        <v>1</v>
      </c>
      <c r="BC685" s="18">
        <v>1</v>
      </c>
      <c r="BD685" s="18">
        <v>1</v>
      </c>
      <c r="BE685" s="18">
        <v>1</v>
      </c>
      <c r="BF685" s="18">
        <v>1</v>
      </c>
      <c r="BG685" s="18">
        <v>1</v>
      </c>
      <c r="BH685" s="18">
        <v>1</v>
      </c>
      <c r="BI685" s="18">
        <v>1</v>
      </c>
      <c r="BJ685" s="19"/>
      <c r="BK685" s="18">
        <v>1.0101010101010104E-4</v>
      </c>
      <c r="BL685" s="18">
        <v>0</v>
      </c>
      <c r="BM685" s="18">
        <v>0</v>
      </c>
      <c r="BN685" s="18">
        <v>0</v>
      </c>
      <c r="BO685" s="18"/>
      <c r="BP685" s="18">
        <v>0</v>
      </c>
      <c r="BQ685" s="18">
        <v>0</v>
      </c>
      <c r="BR685" s="18">
        <v>1.5853656296022614</v>
      </c>
      <c r="BS685" s="18">
        <v>1.5194803047356704</v>
      </c>
      <c r="BT685" s="19"/>
      <c r="BU685" s="18">
        <v>1000</v>
      </c>
      <c r="BV685" s="18">
        <v>999.99908080808075</v>
      </c>
      <c r="BW685" s="18">
        <v>0</v>
      </c>
      <c r="BX685" s="18" t="s">
        <v>217</v>
      </c>
      <c r="BY685" s="18" t="s">
        <v>217</v>
      </c>
      <c r="BZ685" s="18" t="s">
        <v>217</v>
      </c>
      <c r="CA685" s="18" t="s">
        <v>217</v>
      </c>
      <c r="CB685" s="19"/>
      <c r="CC685" s="19">
        <v>0</v>
      </c>
      <c r="CD685" s="19">
        <v>0</v>
      </c>
      <c r="CE685" s="19">
        <v>0</v>
      </c>
      <c r="CF685" s="19">
        <v>0</v>
      </c>
      <c r="CG685" s="19">
        <v>0</v>
      </c>
      <c r="CH685" s="19">
        <v>0</v>
      </c>
      <c r="CI685" s="19">
        <v>0</v>
      </c>
      <c r="CJ685" s="19"/>
      <c r="CK685" s="19">
        <v>0</v>
      </c>
      <c r="CL685" s="19">
        <v>0</v>
      </c>
      <c r="CM685" s="19">
        <v>0</v>
      </c>
      <c r="CN685" s="19">
        <v>0</v>
      </c>
      <c r="CO685" s="19">
        <v>0</v>
      </c>
      <c r="CP685" s="19">
        <v>0</v>
      </c>
      <c r="CQ685" s="19">
        <v>0</v>
      </c>
      <c r="CR685" s="19">
        <v>0</v>
      </c>
      <c r="HM685" s="620">
        <f t="shared" ref="HM685:HU685" si="752">HM315</f>
        <v>0</v>
      </c>
      <c r="HN685" s="620">
        <f t="shared" si="752"/>
        <v>0</v>
      </c>
      <c r="HO685" s="620">
        <f t="shared" si="752"/>
        <v>0</v>
      </c>
      <c r="HP685" s="620">
        <f t="shared" si="752"/>
        <v>0</v>
      </c>
      <c r="HQ685" s="620">
        <f t="shared" si="752"/>
        <v>0</v>
      </c>
      <c r="HR685" s="620">
        <f t="shared" si="752"/>
        <v>0</v>
      </c>
      <c r="HS685" s="620">
        <f t="shared" si="752"/>
        <v>0</v>
      </c>
      <c r="HT685" s="620">
        <f t="shared" si="752"/>
        <v>0</v>
      </c>
      <c r="HU685" s="620" t="str">
        <f t="shared" si="752"/>
        <v>offfarm</v>
      </c>
      <c r="HV685" s="22" t="s">
        <v>2013</v>
      </c>
      <c r="IB685" s="11">
        <f t="shared" ref="IB685:II685" si="753">IB315</f>
        <v>0.47300000000000003</v>
      </c>
      <c r="IC685" s="11">
        <f t="shared" si="753"/>
        <v>0.13</v>
      </c>
      <c r="ID685" s="11">
        <f t="shared" si="753"/>
        <v>0.39100000000000001</v>
      </c>
      <c r="IE685" s="11">
        <f t="shared" si="753"/>
        <v>5.5E-2</v>
      </c>
      <c r="IF685" s="11">
        <f t="shared" si="753"/>
        <v>3.97</v>
      </c>
      <c r="IG685" s="11">
        <f t="shared" si="753"/>
        <v>4.5999999999999999E-3</v>
      </c>
      <c r="IH685" s="11">
        <f t="shared" si="753"/>
        <v>2.73</v>
      </c>
      <c r="II685" s="11">
        <f t="shared" si="753"/>
        <v>0</v>
      </c>
    </row>
    <row r="686" spans="4:244" x14ac:dyDescent="0.25">
      <c r="D686" s="185" t="s">
        <v>800</v>
      </c>
      <c r="E686" s="14">
        <v>42695</v>
      </c>
      <c r="F686" s="18">
        <v>1.3951217294037901</v>
      </c>
      <c r="G686" s="18">
        <v>1.33714264454545</v>
      </c>
      <c r="H686" s="21">
        <v>100</v>
      </c>
      <c r="I686" s="21">
        <v>100</v>
      </c>
      <c r="J686" s="21">
        <v>90</v>
      </c>
      <c r="K686" s="18">
        <v>1</v>
      </c>
      <c r="L686" s="18">
        <v>88</v>
      </c>
      <c r="M686" s="18">
        <v>1E-4</v>
      </c>
      <c r="N686" s="18">
        <v>0</v>
      </c>
      <c r="O686" s="18">
        <v>0</v>
      </c>
      <c r="P686" s="18">
        <v>0</v>
      </c>
      <c r="Q686" s="19"/>
      <c r="R686" s="18">
        <v>0</v>
      </c>
      <c r="S686" s="18">
        <v>0</v>
      </c>
      <c r="T686" s="18">
        <v>0</v>
      </c>
      <c r="U686" s="18">
        <v>0</v>
      </c>
      <c r="V686" s="18">
        <v>0</v>
      </c>
      <c r="W686" s="18">
        <v>0</v>
      </c>
      <c r="X686" s="18"/>
      <c r="Y686" s="18">
        <v>35.343357265540341</v>
      </c>
      <c r="Z686" s="18">
        <v>0</v>
      </c>
      <c r="AA686" s="18">
        <v>18.849790730119434</v>
      </c>
      <c r="AB686" s="18">
        <v>0</v>
      </c>
      <c r="AC686" s="18">
        <v>0</v>
      </c>
      <c r="AD686" s="18">
        <v>0</v>
      </c>
      <c r="AE686" s="18">
        <v>13.548287087273296</v>
      </c>
      <c r="AF686" s="18">
        <v>0</v>
      </c>
      <c r="AG686" s="18">
        <v>0</v>
      </c>
      <c r="AH686" s="18">
        <v>0</v>
      </c>
      <c r="AI686" s="18">
        <v>0</v>
      </c>
      <c r="AJ686" s="18">
        <v>0</v>
      </c>
      <c r="AK686" s="18">
        <v>0</v>
      </c>
      <c r="AL686" s="18"/>
      <c r="AM686" s="18">
        <v>0</v>
      </c>
      <c r="AN686" s="18">
        <v>0</v>
      </c>
      <c r="AO686" s="18">
        <v>0</v>
      </c>
      <c r="AP686" s="18">
        <v>0</v>
      </c>
      <c r="AQ686" s="18">
        <v>0</v>
      </c>
      <c r="AR686" s="18">
        <v>0</v>
      </c>
      <c r="AS686" s="18">
        <v>0</v>
      </c>
      <c r="AT686" s="18">
        <v>0</v>
      </c>
      <c r="AU686" s="18">
        <v>0</v>
      </c>
      <c r="AV686" s="18">
        <v>0</v>
      </c>
      <c r="AW686" s="18">
        <v>0</v>
      </c>
      <c r="AX686" s="18"/>
      <c r="AY686" s="18">
        <v>0</v>
      </c>
      <c r="AZ686" s="18">
        <v>0</v>
      </c>
      <c r="BA686" s="18">
        <v>0</v>
      </c>
      <c r="BB686" s="18">
        <v>0</v>
      </c>
      <c r="BC686" s="18">
        <v>0</v>
      </c>
      <c r="BD686" s="18">
        <v>0</v>
      </c>
      <c r="BE686" s="18">
        <v>0</v>
      </c>
      <c r="BF686" s="18">
        <v>0</v>
      </c>
      <c r="BG686" s="18">
        <v>0</v>
      </c>
      <c r="BH686" s="18">
        <v>0</v>
      </c>
      <c r="BI686" s="18">
        <v>0</v>
      </c>
      <c r="BJ686" s="19"/>
      <c r="BK686" s="18">
        <v>1.1363636363636364E-4</v>
      </c>
      <c r="BL686" s="18">
        <v>0</v>
      </c>
      <c r="BM686" s="18">
        <v>0</v>
      </c>
      <c r="BN686" s="18">
        <v>0</v>
      </c>
      <c r="BO686" s="18"/>
      <c r="BP686" s="18">
        <v>0</v>
      </c>
      <c r="BQ686" s="18">
        <v>0</v>
      </c>
      <c r="BR686" s="18">
        <v>1.585365601595216</v>
      </c>
      <c r="BS686" s="18">
        <v>1.5194802778925569</v>
      </c>
      <c r="BT686" s="19"/>
      <c r="BU686" s="18">
        <v>1000</v>
      </c>
      <c r="BV686" s="18">
        <v>999.99896590909088</v>
      </c>
      <c r="BW686" s="18">
        <v>0</v>
      </c>
      <c r="BX686" s="18">
        <v>0</v>
      </c>
      <c r="BY686" s="18">
        <v>0</v>
      </c>
      <c r="BZ686" s="18">
        <v>0</v>
      </c>
      <c r="CA686" s="18">
        <v>0</v>
      </c>
      <c r="CB686" s="19"/>
      <c r="CC686" s="19">
        <v>31.102154393675502</v>
      </c>
      <c r="CD686" s="19">
        <v>0</v>
      </c>
      <c r="CE686" s="19">
        <v>16.587815842505101</v>
      </c>
      <c r="CF686" s="19">
        <v>0</v>
      </c>
      <c r="CG686" s="19">
        <v>0</v>
      </c>
      <c r="CH686" s="19">
        <v>0</v>
      </c>
      <c r="CI686" s="19">
        <v>11.9224926368005</v>
      </c>
      <c r="CJ686" s="19"/>
      <c r="CK686" s="19">
        <v>0</v>
      </c>
      <c r="CL686" s="19">
        <v>0</v>
      </c>
      <c r="CM686" s="19">
        <v>0</v>
      </c>
      <c r="CN686" s="19">
        <v>0</v>
      </c>
      <c r="CO686" s="19">
        <v>0</v>
      </c>
      <c r="CP686" s="19">
        <v>0</v>
      </c>
      <c r="CQ686" s="19">
        <v>0</v>
      </c>
      <c r="CR686" s="19">
        <v>0</v>
      </c>
      <c r="HM686" s="620">
        <f t="shared" ref="HM686:HU686" si="754">HM316</f>
        <v>0</v>
      </c>
      <c r="HN686" s="620">
        <f t="shared" si="754"/>
        <v>0</v>
      </c>
      <c r="HO686" s="620">
        <f t="shared" si="754"/>
        <v>0</v>
      </c>
      <c r="HP686" s="620">
        <f t="shared" si="754"/>
        <v>0</v>
      </c>
      <c r="HQ686" s="620">
        <f t="shared" si="754"/>
        <v>0</v>
      </c>
      <c r="HR686" s="620">
        <f t="shared" si="754"/>
        <v>0</v>
      </c>
      <c r="HS686" s="620">
        <f t="shared" si="754"/>
        <v>0</v>
      </c>
      <c r="HT686" s="620">
        <f t="shared" si="754"/>
        <v>0</v>
      </c>
      <c r="HU686" s="620" t="str">
        <f t="shared" si="754"/>
        <v>offfarm</v>
      </c>
      <c r="HV686" s="22" t="s">
        <v>2013</v>
      </c>
      <c r="IB686" s="11">
        <f t="shared" ref="IB686:II686" si="755">IB316</f>
        <v>0.47300000000000003</v>
      </c>
      <c r="IC686" s="11">
        <f t="shared" si="755"/>
        <v>0.13</v>
      </c>
      <c r="ID686" s="11">
        <f t="shared" si="755"/>
        <v>0.39100000000000001</v>
      </c>
      <c r="IE686" s="11">
        <f t="shared" si="755"/>
        <v>5.5E-2</v>
      </c>
      <c r="IF686" s="11">
        <f t="shared" si="755"/>
        <v>3.97</v>
      </c>
      <c r="IG686" s="11">
        <f t="shared" si="755"/>
        <v>4.5999999999999999E-3</v>
      </c>
      <c r="IH686" s="11">
        <f t="shared" si="755"/>
        <v>2.73</v>
      </c>
      <c r="II686" s="11">
        <f t="shared" si="755"/>
        <v>0</v>
      </c>
    </row>
    <row r="687" spans="4:244" x14ac:dyDescent="0.25">
      <c r="D687" s="185" t="s">
        <v>802</v>
      </c>
      <c r="E687" s="14">
        <v>40310</v>
      </c>
      <c r="F687" s="18">
        <v>-0.112682926829268</v>
      </c>
      <c r="G687" s="18">
        <v>-0.108</v>
      </c>
      <c r="H687" s="21">
        <v>70</v>
      </c>
      <c r="I687" s="21">
        <v>70</v>
      </c>
      <c r="J687" s="21">
        <v>0</v>
      </c>
      <c r="K687" s="18">
        <v>1</v>
      </c>
      <c r="L687" s="18">
        <v>99</v>
      </c>
      <c r="M687" s="18">
        <v>0</v>
      </c>
      <c r="N687" s="18">
        <v>0</v>
      </c>
      <c r="O687" s="18">
        <v>99</v>
      </c>
      <c r="P687" s="18">
        <v>0</v>
      </c>
      <c r="Q687" s="19"/>
      <c r="R687" s="18">
        <v>0</v>
      </c>
      <c r="S687" s="18">
        <v>0</v>
      </c>
      <c r="T687" s="18">
        <v>0</v>
      </c>
      <c r="U687" s="18">
        <v>0</v>
      </c>
      <c r="V687" s="18">
        <v>0</v>
      </c>
      <c r="W687" s="18">
        <v>0</v>
      </c>
      <c r="X687" s="18"/>
      <c r="Y687" s="18">
        <v>0</v>
      </c>
      <c r="Z687" s="18">
        <v>0</v>
      </c>
      <c r="AA687" s="18">
        <v>0</v>
      </c>
      <c r="AB687" s="18">
        <v>0</v>
      </c>
      <c r="AC687" s="18">
        <v>0</v>
      </c>
      <c r="AD687" s="18">
        <v>0</v>
      </c>
      <c r="AE687" s="18">
        <v>0</v>
      </c>
      <c r="AF687" s="18">
        <v>0</v>
      </c>
      <c r="AG687" s="18">
        <v>0</v>
      </c>
      <c r="AH687" s="18">
        <v>0</v>
      </c>
      <c r="AI687" s="18">
        <v>8080.8080808080804</v>
      </c>
      <c r="AJ687" s="18">
        <v>0</v>
      </c>
      <c r="AK687" s="18">
        <v>0</v>
      </c>
      <c r="AL687" s="18"/>
      <c r="AM687" s="18">
        <v>0</v>
      </c>
      <c r="AN687" s="18">
        <v>0</v>
      </c>
      <c r="AO687" s="18">
        <v>0</v>
      </c>
      <c r="AP687" s="18">
        <v>0</v>
      </c>
      <c r="AQ687" s="18">
        <v>0</v>
      </c>
      <c r="AR687" s="18">
        <v>0</v>
      </c>
      <c r="AS687" s="18">
        <v>0</v>
      </c>
      <c r="AT687" s="18">
        <v>0</v>
      </c>
      <c r="AU687" s="18">
        <v>0</v>
      </c>
      <c r="AV687" s="18">
        <v>0</v>
      </c>
      <c r="AW687" s="18">
        <v>0</v>
      </c>
      <c r="AX687" s="18"/>
      <c r="AY687" s="18">
        <v>1</v>
      </c>
      <c r="AZ687" s="18">
        <v>1</v>
      </c>
      <c r="BA687" s="18">
        <v>1</v>
      </c>
      <c r="BB687" s="18">
        <v>1</v>
      </c>
      <c r="BC687" s="18">
        <v>1</v>
      </c>
      <c r="BD687" s="18">
        <v>1</v>
      </c>
      <c r="BE687" s="18">
        <v>1</v>
      </c>
      <c r="BF687" s="18">
        <v>1</v>
      </c>
      <c r="BG687" s="18">
        <v>1</v>
      </c>
      <c r="BH687" s="18">
        <v>1</v>
      </c>
      <c r="BI687" s="18">
        <v>1</v>
      </c>
      <c r="BJ687" s="19"/>
      <c r="BK687" s="18">
        <v>0</v>
      </c>
      <c r="BL687" s="18">
        <v>0</v>
      </c>
      <c r="BM687" s="18">
        <v>100</v>
      </c>
      <c r="BN687" s="18">
        <v>0</v>
      </c>
      <c r="BO687" s="18"/>
      <c r="BP687" s="18">
        <v>0</v>
      </c>
      <c r="BQ687" s="18">
        <v>0</v>
      </c>
      <c r="BR687" s="18">
        <v>-0.11382113821138182</v>
      </c>
      <c r="BS687" s="18">
        <v>-0.10909090909090909</v>
      </c>
      <c r="BT687" s="19"/>
      <c r="BU687" s="18">
        <v>0</v>
      </c>
      <c r="BV687" s="18">
        <v>0</v>
      </c>
      <c r="BW687" s="18">
        <v>0</v>
      </c>
      <c r="BX687" s="18" t="s">
        <v>217</v>
      </c>
      <c r="BY687" s="18" t="s">
        <v>217</v>
      </c>
      <c r="BZ687" s="18" t="s">
        <v>217</v>
      </c>
      <c r="CA687" s="18" t="s">
        <v>217</v>
      </c>
      <c r="CB687" s="19"/>
      <c r="CC687" s="19">
        <v>0</v>
      </c>
      <c r="CD687" s="19">
        <v>0</v>
      </c>
      <c r="CE687" s="19">
        <v>0</v>
      </c>
      <c r="CF687" s="19">
        <v>0</v>
      </c>
      <c r="CG687" s="19">
        <v>0</v>
      </c>
      <c r="CH687" s="19">
        <v>0</v>
      </c>
      <c r="CI687" s="19">
        <v>0</v>
      </c>
      <c r="CJ687" s="19"/>
      <c r="CK687" s="19">
        <v>0</v>
      </c>
      <c r="CL687" s="19">
        <v>0</v>
      </c>
      <c r="CM687" s="19">
        <v>0</v>
      </c>
      <c r="CN687" s="19">
        <v>7999.9999999999991</v>
      </c>
      <c r="CO687" s="19">
        <v>0</v>
      </c>
      <c r="CP687" s="19">
        <v>0</v>
      </c>
      <c r="CQ687" s="19">
        <v>0</v>
      </c>
      <c r="CR687" s="19">
        <v>0</v>
      </c>
      <c r="HM687" s="620">
        <f t="shared" ref="HM687:HU687" si="756">HM317</f>
        <v>0</v>
      </c>
      <c r="HN687" s="620">
        <f t="shared" si="756"/>
        <v>0</v>
      </c>
      <c r="HO687" s="620">
        <f t="shared" si="756"/>
        <v>0</v>
      </c>
      <c r="HP687" s="620">
        <f t="shared" si="756"/>
        <v>0</v>
      </c>
      <c r="HQ687" s="620">
        <f t="shared" si="756"/>
        <v>0</v>
      </c>
      <c r="HR687" s="620">
        <f t="shared" si="756"/>
        <v>0</v>
      </c>
      <c r="HS687" s="620">
        <f t="shared" si="756"/>
        <v>0</v>
      </c>
      <c r="HT687" s="620">
        <f t="shared" si="756"/>
        <v>0</v>
      </c>
      <c r="HU687" s="620" t="str">
        <f t="shared" si="756"/>
        <v>offfarm</v>
      </c>
      <c r="HV687" s="22" t="s">
        <v>2013</v>
      </c>
      <c r="IB687" s="11">
        <f t="shared" ref="IB687:II687" si="757">IB317</f>
        <v>0.47300000000000003</v>
      </c>
      <c r="IC687" s="11">
        <f t="shared" si="757"/>
        <v>0.13</v>
      </c>
      <c r="ID687" s="11">
        <f t="shared" si="757"/>
        <v>0.39100000000000001</v>
      </c>
      <c r="IE687" s="11">
        <f t="shared" si="757"/>
        <v>5.5E-2</v>
      </c>
      <c r="IF687" s="11">
        <f t="shared" si="757"/>
        <v>3.97</v>
      </c>
      <c r="IG687" s="11">
        <f t="shared" si="757"/>
        <v>4.5999999999999999E-3</v>
      </c>
      <c r="IH687" s="11">
        <f t="shared" si="757"/>
        <v>2.73</v>
      </c>
      <c r="II687" s="11">
        <f t="shared" si="757"/>
        <v>0</v>
      </c>
    </row>
    <row r="688" spans="4:244" x14ac:dyDescent="0.25">
      <c r="D688" s="20" t="s">
        <v>1250</v>
      </c>
      <c r="E688" s="14">
        <v>42695</v>
      </c>
      <c r="F688" s="18">
        <v>1.00958482984901</v>
      </c>
      <c r="G688" s="18">
        <v>1.01782018227829</v>
      </c>
      <c r="H688" s="21">
        <v>90.5</v>
      </c>
      <c r="I688" s="21">
        <v>79.400000000000006</v>
      </c>
      <c r="J688" s="21">
        <v>96</v>
      </c>
      <c r="K688" s="18">
        <v>1</v>
      </c>
      <c r="L688" s="18">
        <v>85.2</v>
      </c>
      <c r="M688" s="18">
        <v>20.448</v>
      </c>
      <c r="N688" s="18">
        <v>1.8744000000000001</v>
      </c>
      <c r="O688" s="18">
        <v>3.1524000000000001</v>
      </c>
      <c r="P688" s="18">
        <v>5.3676000000000004</v>
      </c>
      <c r="Q688" s="19"/>
      <c r="R688" s="18">
        <v>82</v>
      </c>
      <c r="S688" s="18">
        <v>45</v>
      </c>
      <c r="T688" s="18">
        <v>53</v>
      </c>
      <c r="U688" s="18">
        <v>56</v>
      </c>
      <c r="V688" s="18">
        <v>59</v>
      </c>
      <c r="W688" s="18">
        <v>60</v>
      </c>
      <c r="X688" s="18"/>
      <c r="Y688" s="18">
        <v>0.9</v>
      </c>
      <c r="Z688" s="18">
        <v>4.5999999999999996</v>
      </c>
      <c r="AA688" s="18">
        <v>9.9999999999999992E-2</v>
      </c>
      <c r="AB688" s="18">
        <v>0</v>
      </c>
      <c r="AC688" s="18">
        <v>12</v>
      </c>
      <c r="AD688" s="18">
        <v>1.3000000000000116</v>
      </c>
      <c r="AE688" s="18">
        <v>1.7</v>
      </c>
      <c r="AF688" s="18">
        <v>77</v>
      </c>
      <c r="AG688" s="18">
        <v>6.7</v>
      </c>
      <c r="AH688" s="18">
        <v>16</v>
      </c>
      <c r="AI688" s="18">
        <v>39</v>
      </c>
      <c r="AJ688" s="18">
        <v>0</v>
      </c>
      <c r="AK688" s="18">
        <v>0.02</v>
      </c>
      <c r="AL688" s="18"/>
      <c r="AM688" s="18">
        <v>6.99</v>
      </c>
      <c r="AN688" s="18">
        <v>0.98</v>
      </c>
      <c r="AO688" s="18">
        <v>1.44</v>
      </c>
      <c r="AP688" s="18">
        <v>3.72</v>
      </c>
      <c r="AQ688" s="18">
        <v>0.88999999999999702</v>
      </c>
      <c r="AR688" s="18">
        <v>4.04</v>
      </c>
      <c r="AS688" s="18">
        <v>7.03</v>
      </c>
      <c r="AT688" s="18">
        <v>2.5099999999999998</v>
      </c>
      <c r="AU688" s="18">
        <v>4.59</v>
      </c>
      <c r="AV688" s="18">
        <v>3.25</v>
      </c>
      <c r="AW688" s="18">
        <v>4.6299999999999901</v>
      </c>
      <c r="AX688" s="18"/>
      <c r="AY688" s="18">
        <v>1.02</v>
      </c>
      <c r="AZ688" s="18">
        <v>0.98</v>
      </c>
      <c r="BA688" s="18">
        <v>0.85</v>
      </c>
      <c r="BB688" s="18">
        <v>0.93</v>
      </c>
      <c r="BC688" s="18">
        <v>0.89</v>
      </c>
      <c r="BD688" s="18">
        <v>0.98</v>
      </c>
      <c r="BE688" s="18">
        <v>0.95</v>
      </c>
      <c r="BF688" s="18">
        <v>1.01</v>
      </c>
      <c r="BG688" s="18">
        <v>1</v>
      </c>
      <c r="BH688" s="18">
        <v>0.95</v>
      </c>
      <c r="BI688" s="18">
        <v>0.94</v>
      </c>
      <c r="BJ688" s="19"/>
      <c r="BK688" s="18">
        <v>24</v>
      </c>
      <c r="BL688" s="18">
        <v>2.1999999999999997</v>
      </c>
      <c r="BM688" s="18">
        <v>3.7</v>
      </c>
      <c r="BN688" s="18">
        <v>6.3</v>
      </c>
      <c r="BO688" s="18"/>
      <c r="BP688" s="18">
        <v>130</v>
      </c>
      <c r="BQ688" s="18">
        <v>28.6</v>
      </c>
      <c r="BR688" s="18">
        <v>1.1849587204800587</v>
      </c>
      <c r="BS688" s="18">
        <v>1.1946246270871947</v>
      </c>
      <c r="BT688" s="19"/>
      <c r="BU688" s="18">
        <v>963</v>
      </c>
      <c r="BV688" s="18">
        <v>479.07071428571368</v>
      </c>
      <c r="BW688" s="18">
        <v>152.70428571428639</v>
      </c>
      <c r="BX688" s="18">
        <v>432</v>
      </c>
      <c r="BY688" s="18">
        <v>39</v>
      </c>
      <c r="BZ688" s="18">
        <v>91.23242142857147</v>
      </c>
      <c r="CA688" s="18">
        <v>142.69686428571362</v>
      </c>
      <c r="CB688" s="19"/>
      <c r="CC688" s="19">
        <v>0.76680000000000004</v>
      </c>
      <c r="CD688" s="19">
        <v>3.9191999999999996</v>
      </c>
      <c r="CE688" s="19">
        <v>8.5199999999999984E-2</v>
      </c>
      <c r="CF688" s="19">
        <v>0</v>
      </c>
      <c r="CG688" s="19">
        <v>10.224</v>
      </c>
      <c r="CH688" s="19">
        <v>1.1076000000000099</v>
      </c>
      <c r="CI688" s="19">
        <v>1.4483999999999999</v>
      </c>
      <c r="CJ688" s="19"/>
      <c r="CK688" s="19">
        <v>65.603999999999999</v>
      </c>
      <c r="CL688" s="19">
        <v>5.7084000000000001</v>
      </c>
      <c r="CM688" s="19">
        <v>13.632</v>
      </c>
      <c r="CN688" s="19">
        <v>33.228000000000002</v>
      </c>
      <c r="CO688" s="19">
        <v>0</v>
      </c>
      <c r="CP688" s="19">
        <v>1.704E-2</v>
      </c>
      <c r="CQ688" s="19">
        <v>167.67359999999999</v>
      </c>
      <c r="CR688" s="19">
        <v>166.08173483062009</v>
      </c>
      <c r="HM688" s="620">
        <f t="shared" ref="HM688:HU688" si="758">HM318</f>
        <v>0.38400000000000001</v>
      </c>
      <c r="HN688" s="620">
        <f t="shared" si="758"/>
        <v>0.16300000000000001</v>
      </c>
      <c r="HO688" s="620">
        <f t="shared" si="758"/>
        <v>0.79118999999999995</v>
      </c>
      <c r="HP688" s="620">
        <f t="shared" si="758"/>
        <v>5.2999999999999999E-2</v>
      </c>
      <c r="HQ688" s="620">
        <f t="shared" si="758"/>
        <v>0.97</v>
      </c>
      <c r="HR688" s="620">
        <f t="shared" si="758"/>
        <v>1.6999999999999999E-3</v>
      </c>
      <c r="HS688" s="620">
        <f t="shared" si="758"/>
        <v>5.31</v>
      </c>
      <c r="HT688" s="620">
        <f t="shared" si="758"/>
        <v>0</v>
      </c>
      <c r="HU688" s="620" t="str">
        <f t="shared" si="758"/>
        <v>offfarm</v>
      </c>
      <c r="HV688" s="22" t="s">
        <v>819</v>
      </c>
      <c r="IB688" s="11">
        <f t="shared" ref="IB688:II688" si="759">IB318</f>
        <v>0.38400000000000001</v>
      </c>
      <c r="IC688" s="11">
        <f t="shared" si="759"/>
        <v>0.16300000000000001</v>
      </c>
      <c r="ID688" s="11">
        <f t="shared" si="759"/>
        <v>0.79118999999999995</v>
      </c>
      <c r="IE688" s="11">
        <f t="shared" si="759"/>
        <v>5.2999999999999999E-2</v>
      </c>
      <c r="IF688" s="11">
        <f t="shared" si="759"/>
        <v>0.97</v>
      </c>
      <c r="IG688" s="11">
        <f t="shared" si="759"/>
        <v>1.6999999999999999E-3</v>
      </c>
      <c r="IH688" s="11">
        <f t="shared" si="759"/>
        <v>5.31</v>
      </c>
      <c r="II688" s="11">
        <f t="shared" si="759"/>
        <v>0</v>
      </c>
      <c r="IJ688" s="11" t="str">
        <f>topdowntables!R22</f>
        <v xml:space="preserve">peas - on farm </v>
      </c>
    </row>
    <row r="689" spans="4:243" x14ac:dyDescent="0.25">
      <c r="D689" s="632" t="str">
        <f>D319</f>
        <v xml:space="preserve">kløvergræs </v>
      </c>
      <c r="E689" s="18" t="str">
        <f>E319</f>
        <v>farefolde</v>
      </c>
      <c r="F689" s="18">
        <f t="shared" ref="F689:BQ689" si="760">F319</f>
        <v>0.11899999999999999</v>
      </c>
      <c r="G689" s="18">
        <f t="shared" si="760"/>
        <v>0.11899999999999999</v>
      </c>
      <c r="H689" s="18">
        <f t="shared" si="760"/>
        <v>0</v>
      </c>
      <c r="I689" s="18">
        <f t="shared" si="760"/>
        <v>0</v>
      </c>
      <c r="J689" s="18">
        <f t="shared" si="760"/>
        <v>0</v>
      </c>
      <c r="K689" s="18">
        <f t="shared" si="760"/>
        <v>0</v>
      </c>
      <c r="L689" s="18">
        <f t="shared" si="760"/>
        <v>17</v>
      </c>
      <c r="M689" s="18">
        <f t="shared" si="760"/>
        <v>0</v>
      </c>
      <c r="N689" s="18">
        <f t="shared" si="760"/>
        <v>0</v>
      </c>
      <c r="O689" s="18">
        <f t="shared" si="760"/>
        <v>0</v>
      </c>
      <c r="P689" s="18">
        <f t="shared" si="760"/>
        <v>0</v>
      </c>
      <c r="Q689" s="18">
        <f t="shared" si="760"/>
        <v>0</v>
      </c>
      <c r="R689" s="18">
        <f t="shared" si="760"/>
        <v>0</v>
      </c>
      <c r="S689" s="18">
        <f t="shared" si="760"/>
        <v>0</v>
      </c>
      <c r="T689" s="18">
        <f t="shared" si="760"/>
        <v>0</v>
      </c>
      <c r="U689" s="18">
        <f t="shared" si="760"/>
        <v>0</v>
      </c>
      <c r="V689" s="18">
        <f t="shared" si="760"/>
        <v>0</v>
      </c>
      <c r="W689" s="18">
        <f t="shared" si="760"/>
        <v>0</v>
      </c>
      <c r="X689" s="18">
        <f t="shared" si="760"/>
        <v>0</v>
      </c>
      <c r="Y689" s="18">
        <f t="shared" si="760"/>
        <v>0</v>
      </c>
      <c r="Z689" s="18">
        <f t="shared" si="760"/>
        <v>3.5</v>
      </c>
      <c r="AA689" s="18">
        <f t="shared" si="760"/>
        <v>0</v>
      </c>
      <c r="AB689" s="18">
        <f t="shared" si="760"/>
        <v>0</v>
      </c>
      <c r="AC689" s="18">
        <f t="shared" si="760"/>
        <v>0</v>
      </c>
      <c r="AD689" s="18">
        <f t="shared" si="760"/>
        <v>0</v>
      </c>
      <c r="AE689" s="18">
        <f t="shared" si="760"/>
        <v>0</v>
      </c>
      <c r="AF689" s="18">
        <f t="shared" si="760"/>
        <v>0</v>
      </c>
      <c r="AG689" s="18">
        <f t="shared" si="760"/>
        <v>0</v>
      </c>
      <c r="AH689" s="18">
        <f t="shared" si="760"/>
        <v>0</v>
      </c>
      <c r="AI689" s="18">
        <f t="shared" si="760"/>
        <v>0</v>
      </c>
      <c r="AJ689" s="18">
        <f t="shared" si="760"/>
        <v>0</v>
      </c>
      <c r="AK689" s="18">
        <f t="shared" si="760"/>
        <v>0</v>
      </c>
      <c r="AL689" s="18">
        <f t="shared" si="760"/>
        <v>0</v>
      </c>
      <c r="AM689" s="18">
        <f t="shared" si="760"/>
        <v>0</v>
      </c>
      <c r="AN689" s="18">
        <f t="shared" si="760"/>
        <v>0</v>
      </c>
      <c r="AO689" s="18">
        <f t="shared" si="760"/>
        <v>0</v>
      </c>
      <c r="AP689" s="18">
        <f t="shared" si="760"/>
        <v>0</v>
      </c>
      <c r="AQ689" s="18">
        <f t="shared" si="760"/>
        <v>0</v>
      </c>
      <c r="AR689" s="18">
        <f t="shared" si="760"/>
        <v>0</v>
      </c>
      <c r="AS689" s="18">
        <f t="shared" si="760"/>
        <v>0</v>
      </c>
      <c r="AT689" s="18">
        <f t="shared" si="760"/>
        <v>0</v>
      </c>
      <c r="AU689" s="18">
        <f t="shared" si="760"/>
        <v>0</v>
      </c>
      <c r="AV689" s="18">
        <f t="shared" si="760"/>
        <v>0</v>
      </c>
      <c r="AW689" s="18">
        <f t="shared" si="760"/>
        <v>0</v>
      </c>
      <c r="AX689" s="18">
        <f t="shared" si="760"/>
        <v>0</v>
      </c>
      <c r="AY689" s="18">
        <f t="shared" si="760"/>
        <v>0</v>
      </c>
      <c r="AZ689" s="18">
        <f t="shared" si="760"/>
        <v>0</v>
      </c>
      <c r="BA689" s="18">
        <f t="shared" si="760"/>
        <v>0</v>
      </c>
      <c r="BB689" s="18">
        <f t="shared" si="760"/>
        <v>0</v>
      </c>
      <c r="BC689" s="18">
        <f t="shared" si="760"/>
        <v>0</v>
      </c>
      <c r="BD689" s="18">
        <f t="shared" si="760"/>
        <v>0</v>
      </c>
      <c r="BE689" s="18">
        <f t="shared" si="760"/>
        <v>0</v>
      </c>
      <c r="BF689" s="18">
        <f t="shared" si="760"/>
        <v>0</v>
      </c>
      <c r="BG689" s="18">
        <f t="shared" si="760"/>
        <v>0</v>
      </c>
      <c r="BH689" s="18">
        <f t="shared" si="760"/>
        <v>0</v>
      </c>
      <c r="BI689" s="18">
        <f t="shared" si="760"/>
        <v>0</v>
      </c>
      <c r="BJ689" s="18">
        <f t="shared" si="760"/>
        <v>0</v>
      </c>
      <c r="BK689" s="18">
        <f t="shared" si="760"/>
        <v>17.8</v>
      </c>
      <c r="BL689" s="18">
        <f t="shared" si="760"/>
        <v>0</v>
      </c>
      <c r="BM689" s="18">
        <f t="shared" si="760"/>
        <v>0</v>
      </c>
      <c r="BN689" s="18">
        <f t="shared" si="760"/>
        <v>0</v>
      </c>
      <c r="BO689" s="18">
        <f t="shared" si="760"/>
        <v>0</v>
      </c>
      <c r="BP689" s="18">
        <f t="shared" si="760"/>
        <v>0</v>
      </c>
      <c r="BQ689" s="18">
        <f t="shared" si="760"/>
        <v>0</v>
      </c>
      <c r="BR689" s="18">
        <f t="shared" ref="BR689:EC689" si="761">BR319</f>
        <v>0.7</v>
      </c>
      <c r="BS689" s="18">
        <f t="shared" si="761"/>
        <v>0.7</v>
      </c>
      <c r="BT689" s="18">
        <f t="shared" si="761"/>
        <v>0</v>
      </c>
      <c r="BU689" s="18">
        <f t="shared" si="761"/>
        <v>0</v>
      </c>
      <c r="BV689" s="18">
        <f t="shared" si="761"/>
        <v>0</v>
      </c>
      <c r="BW689" s="18">
        <f t="shared" si="761"/>
        <v>0</v>
      </c>
      <c r="BX689" s="18">
        <f t="shared" si="761"/>
        <v>0</v>
      </c>
      <c r="BY689" s="18">
        <f t="shared" si="761"/>
        <v>0</v>
      </c>
      <c r="BZ689" s="18">
        <f t="shared" si="761"/>
        <v>0</v>
      </c>
      <c r="CA689" s="18">
        <f t="shared" si="761"/>
        <v>0</v>
      </c>
      <c r="CB689" s="18">
        <f t="shared" si="761"/>
        <v>0</v>
      </c>
      <c r="CC689" s="18">
        <f t="shared" si="761"/>
        <v>0</v>
      </c>
      <c r="CD689" s="18">
        <f t="shared" si="761"/>
        <v>1.1100000000000001</v>
      </c>
      <c r="CE689" s="18">
        <f t="shared" si="761"/>
        <v>0</v>
      </c>
      <c r="CF689" s="18">
        <f t="shared" si="761"/>
        <v>0</v>
      </c>
      <c r="CG689" s="18">
        <f t="shared" si="761"/>
        <v>0</v>
      </c>
      <c r="CH689" s="18">
        <f t="shared" si="761"/>
        <v>0</v>
      </c>
      <c r="CI689" s="18">
        <f t="shared" si="761"/>
        <v>0</v>
      </c>
      <c r="CJ689" s="18">
        <f t="shared" si="761"/>
        <v>0</v>
      </c>
      <c r="CK689" s="18">
        <f t="shared" si="761"/>
        <v>0</v>
      </c>
      <c r="CL689" s="18">
        <f t="shared" si="761"/>
        <v>0</v>
      </c>
      <c r="CM689" s="18">
        <f t="shared" si="761"/>
        <v>0</v>
      </c>
      <c r="CN689" s="18">
        <f t="shared" si="761"/>
        <v>0</v>
      </c>
      <c r="CO689" s="18">
        <f t="shared" si="761"/>
        <v>0</v>
      </c>
      <c r="CP689" s="18">
        <f t="shared" si="761"/>
        <v>0</v>
      </c>
      <c r="CQ689" s="18">
        <f t="shared" si="761"/>
        <v>0</v>
      </c>
      <c r="CR689" s="18">
        <f t="shared" si="761"/>
        <v>0</v>
      </c>
      <c r="CS689" s="18">
        <f t="shared" si="761"/>
        <v>0</v>
      </c>
      <c r="CT689" s="18">
        <f t="shared" si="761"/>
        <v>0</v>
      </c>
      <c r="CU689" s="18">
        <f t="shared" si="761"/>
        <v>0</v>
      </c>
      <c r="CV689" s="18">
        <f t="shared" si="761"/>
        <v>0</v>
      </c>
      <c r="CW689" s="18">
        <f t="shared" si="761"/>
        <v>0</v>
      </c>
      <c r="CX689" s="18">
        <f t="shared" si="761"/>
        <v>0</v>
      </c>
      <c r="CY689" s="18">
        <f t="shared" si="761"/>
        <v>0</v>
      </c>
      <c r="CZ689" s="18">
        <f t="shared" si="761"/>
        <v>0</v>
      </c>
      <c r="DA689" s="18">
        <f t="shared" si="761"/>
        <v>0</v>
      </c>
      <c r="DB689" s="18">
        <f t="shared" si="761"/>
        <v>0</v>
      </c>
      <c r="DC689" s="18">
        <f t="shared" si="761"/>
        <v>0</v>
      </c>
      <c r="DD689" s="18">
        <f t="shared" si="761"/>
        <v>0</v>
      </c>
      <c r="DE689" s="18">
        <f t="shared" si="761"/>
        <v>0</v>
      </c>
      <c r="DF689" s="18">
        <f t="shared" si="761"/>
        <v>0</v>
      </c>
      <c r="DG689" s="18">
        <f t="shared" si="761"/>
        <v>0</v>
      </c>
      <c r="DH689" s="18">
        <f t="shared" si="761"/>
        <v>0</v>
      </c>
      <c r="DI689" s="18">
        <f t="shared" si="761"/>
        <v>0</v>
      </c>
      <c r="DJ689" s="18">
        <f t="shared" si="761"/>
        <v>0</v>
      </c>
      <c r="DK689" s="18">
        <f t="shared" si="761"/>
        <v>0</v>
      </c>
      <c r="DL689" s="18">
        <f t="shared" si="761"/>
        <v>0</v>
      </c>
      <c r="DM689" s="18">
        <f t="shared" si="761"/>
        <v>0</v>
      </c>
      <c r="DN689" s="18">
        <f t="shared" si="761"/>
        <v>0</v>
      </c>
      <c r="DO689" s="18">
        <f t="shared" si="761"/>
        <v>0</v>
      </c>
      <c r="DP689" s="18">
        <f t="shared" si="761"/>
        <v>0</v>
      </c>
      <c r="DQ689" s="18">
        <f t="shared" si="761"/>
        <v>0</v>
      </c>
      <c r="DR689" s="18">
        <f t="shared" si="761"/>
        <v>0</v>
      </c>
      <c r="DS689" s="18">
        <f t="shared" si="761"/>
        <v>0</v>
      </c>
      <c r="DT689" s="18">
        <f t="shared" si="761"/>
        <v>0</v>
      </c>
      <c r="DU689" s="18">
        <f t="shared" si="761"/>
        <v>0</v>
      </c>
      <c r="DV689" s="18">
        <f t="shared" si="761"/>
        <v>0</v>
      </c>
      <c r="DW689" s="18">
        <f t="shared" si="761"/>
        <v>0</v>
      </c>
      <c r="DX689" s="18">
        <f t="shared" si="761"/>
        <v>0</v>
      </c>
      <c r="DY689" s="18">
        <f t="shared" si="761"/>
        <v>0</v>
      </c>
      <c r="DZ689" s="18">
        <f t="shared" si="761"/>
        <v>0</v>
      </c>
      <c r="EA689" s="18">
        <f t="shared" si="761"/>
        <v>0</v>
      </c>
      <c r="EB689" s="18">
        <f t="shared" si="761"/>
        <v>0</v>
      </c>
      <c r="EC689" s="18">
        <f t="shared" si="761"/>
        <v>0</v>
      </c>
      <c r="ED689" s="18">
        <f t="shared" ref="ED689:GO689" si="762">ED319</f>
        <v>0</v>
      </c>
      <c r="EE689" s="18">
        <f t="shared" si="762"/>
        <v>0</v>
      </c>
      <c r="EF689" s="18">
        <f t="shared" si="762"/>
        <v>0</v>
      </c>
      <c r="EG689" s="18">
        <f t="shared" si="762"/>
        <v>0</v>
      </c>
      <c r="EH689" s="18">
        <f t="shared" si="762"/>
        <v>0</v>
      </c>
      <c r="EI689" s="18">
        <f t="shared" si="762"/>
        <v>0</v>
      </c>
      <c r="EJ689" s="18">
        <f t="shared" si="762"/>
        <v>0</v>
      </c>
      <c r="EK689" s="18">
        <f t="shared" si="762"/>
        <v>0</v>
      </c>
      <c r="EL689" s="18">
        <f t="shared" si="762"/>
        <v>0</v>
      </c>
      <c r="EM689" s="18">
        <f t="shared" si="762"/>
        <v>0</v>
      </c>
      <c r="EN689" s="18">
        <f t="shared" si="762"/>
        <v>0</v>
      </c>
      <c r="EO689" s="18">
        <f t="shared" si="762"/>
        <v>0</v>
      </c>
      <c r="EP689" s="18">
        <f t="shared" si="762"/>
        <v>0</v>
      </c>
      <c r="EQ689" s="18">
        <f t="shared" si="762"/>
        <v>0</v>
      </c>
      <c r="ER689" s="18">
        <f t="shared" si="762"/>
        <v>0</v>
      </c>
      <c r="ES689" s="18">
        <f t="shared" si="762"/>
        <v>0</v>
      </c>
      <c r="ET689" s="18">
        <f t="shared" si="762"/>
        <v>0</v>
      </c>
      <c r="EU689" s="18">
        <f t="shared" si="762"/>
        <v>0</v>
      </c>
      <c r="EV689" s="18">
        <f t="shared" si="762"/>
        <v>0</v>
      </c>
      <c r="EW689" s="18">
        <f t="shared" si="762"/>
        <v>0</v>
      </c>
      <c r="EX689" s="18">
        <f t="shared" si="762"/>
        <v>0</v>
      </c>
      <c r="EY689" s="18">
        <f t="shared" si="762"/>
        <v>0</v>
      </c>
      <c r="EZ689" s="18">
        <f t="shared" si="762"/>
        <v>0</v>
      </c>
      <c r="FA689" s="18">
        <f t="shared" si="762"/>
        <v>0</v>
      </c>
      <c r="FB689" s="18">
        <f t="shared" si="762"/>
        <v>0</v>
      </c>
      <c r="FC689" s="18">
        <f t="shared" si="762"/>
        <v>0</v>
      </c>
      <c r="FD689" s="18">
        <f t="shared" si="762"/>
        <v>0</v>
      </c>
      <c r="FE689" s="18">
        <f t="shared" si="762"/>
        <v>0</v>
      </c>
      <c r="FF689" s="18">
        <f t="shared" si="762"/>
        <v>0</v>
      </c>
      <c r="FG689" s="18">
        <f t="shared" si="762"/>
        <v>0</v>
      </c>
      <c r="FH689" s="18">
        <f t="shared" si="762"/>
        <v>0</v>
      </c>
      <c r="FI689" s="18">
        <f t="shared" si="762"/>
        <v>0</v>
      </c>
      <c r="FJ689" s="18">
        <f t="shared" si="762"/>
        <v>0</v>
      </c>
      <c r="FK689" s="18">
        <f t="shared" si="762"/>
        <v>0</v>
      </c>
      <c r="FL689" s="18">
        <f t="shared" si="762"/>
        <v>0</v>
      </c>
      <c r="FM689" s="18">
        <f t="shared" si="762"/>
        <v>0</v>
      </c>
      <c r="FN689" s="18">
        <f t="shared" si="762"/>
        <v>0</v>
      </c>
      <c r="FO689" s="18">
        <f t="shared" si="762"/>
        <v>0</v>
      </c>
      <c r="FP689" s="18">
        <f t="shared" si="762"/>
        <v>0</v>
      </c>
      <c r="FQ689" s="18">
        <f t="shared" si="762"/>
        <v>0</v>
      </c>
      <c r="FR689" s="18">
        <f t="shared" si="762"/>
        <v>0</v>
      </c>
      <c r="FS689" s="18">
        <f t="shared" si="762"/>
        <v>0</v>
      </c>
      <c r="FT689" s="18">
        <f t="shared" si="762"/>
        <v>0</v>
      </c>
      <c r="FU689" s="18">
        <f t="shared" si="762"/>
        <v>0</v>
      </c>
      <c r="FV689" s="18">
        <f t="shared" si="762"/>
        <v>0</v>
      </c>
      <c r="FW689" s="18">
        <f t="shared" si="762"/>
        <v>0</v>
      </c>
      <c r="FX689" s="18">
        <f t="shared" si="762"/>
        <v>0</v>
      </c>
      <c r="FY689" s="18">
        <f t="shared" si="762"/>
        <v>0</v>
      </c>
      <c r="FZ689" s="18">
        <f t="shared" si="762"/>
        <v>0</v>
      </c>
      <c r="GA689" s="18">
        <f t="shared" si="762"/>
        <v>0</v>
      </c>
      <c r="GB689" s="18">
        <f t="shared" si="762"/>
        <v>0</v>
      </c>
      <c r="GC689" s="18">
        <f t="shared" si="762"/>
        <v>0</v>
      </c>
      <c r="GD689" s="18">
        <f t="shared" si="762"/>
        <v>0</v>
      </c>
      <c r="GE689" s="18">
        <f t="shared" si="762"/>
        <v>0</v>
      </c>
      <c r="GF689" s="18">
        <f t="shared" si="762"/>
        <v>0</v>
      </c>
      <c r="GG689" s="18">
        <f t="shared" si="762"/>
        <v>0</v>
      </c>
      <c r="GH689" s="18">
        <f t="shared" si="762"/>
        <v>0</v>
      </c>
      <c r="GI689" s="18">
        <f t="shared" si="762"/>
        <v>0</v>
      </c>
      <c r="GJ689" s="18">
        <f t="shared" si="762"/>
        <v>0</v>
      </c>
      <c r="GK689" s="18">
        <f t="shared" si="762"/>
        <v>0</v>
      </c>
      <c r="GL689" s="18">
        <f t="shared" si="762"/>
        <v>0</v>
      </c>
      <c r="GM689" s="18">
        <f t="shared" si="762"/>
        <v>0</v>
      </c>
      <c r="GN689" s="18">
        <f t="shared" si="762"/>
        <v>0</v>
      </c>
      <c r="GO689" s="18">
        <f t="shared" si="762"/>
        <v>0</v>
      </c>
      <c r="GP689" s="18">
        <f t="shared" ref="GP689:HT689" si="763">GP319</f>
        <v>0</v>
      </c>
      <c r="GQ689" s="18">
        <f t="shared" si="763"/>
        <v>0</v>
      </c>
      <c r="GR689" s="18">
        <f t="shared" si="763"/>
        <v>0</v>
      </c>
      <c r="GS689" s="18">
        <f t="shared" si="763"/>
        <v>0</v>
      </c>
      <c r="GT689" s="18">
        <f t="shared" si="763"/>
        <v>0</v>
      </c>
      <c r="GU689" s="18">
        <f t="shared" si="763"/>
        <v>0</v>
      </c>
      <c r="GV689" s="18">
        <f t="shared" si="763"/>
        <v>0</v>
      </c>
      <c r="GW689" s="18">
        <f t="shared" si="763"/>
        <v>0</v>
      </c>
      <c r="GX689" s="18">
        <f t="shared" si="763"/>
        <v>0</v>
      </c>
      <c r="GY689" s="18">
        <f t="shared" si="763"/>
        <v>0</v>
      </c>
      <c r="GZ689" s="18">
        <f t="shared" si="763"/>
        <v>0</v>
      </c>
      <c r="HA689" s="18">
        <f t="shared" si="763"/>
        <v>0</v>
      </c>
      <c r="HB689" s="18">
        <f t="shared" si="763"/>
        <v>0</v>
      </c>
      <c r="HC689" s="18">
        <f t="shared" si="763"/>
        <v>0</v>
      </c>
      <c r="HD689" s="18">
        <f t="shared" si="763"/>
        <v>0</v>
      </c>
      <c r="HE689" s="18">
        <f t="shared" si="763"/>
        <v>0</v>
      </c>
      <c r="HF689" s="18">
        <f t="shared" si="763"/>
        <v>0</v>
      </c>
      <c r="HG689" s="18">
        <f t="shared" si="763"/>
        <v>0</v>
      </c>
      <c r="HH689" s="18">
        <f t="shared" si="763"/>
        <v>0</v>
      </c>
      <c r="HI689" s="18">
        <f t="shared" si="763"/>
        <v>0</v>
      </c>
      <c r="HJ689" s="18">
        <f t="shared" si="763"/>
        <v>0</v>
      </c>
      <c r="HK689" s="18">
        <f t="shared" si="763"/>
        <v>0</v>
      </c>
      <c r="HL689" s="18">
        <f t="shared" si="763"/>
        <v>0</v>
      </c>
      <c r="HM689" s="631">
        <f t="shared" si="763"/>
        <v>0</v>
      </c>
      <c r="HN689" s="631">
        <f t="shared" si="763"/>
        <v>0</v>
      </c>
      <c r="HO689" s="631">
        <f t="shared" si="763"/>
        <v>0</v>
      </c>
      <c r="HP689" s="631">
        <f t="shared" si="763"/>
        <v>0</v>
      </c>
      <c r="HQ689" s="631">
        <f t="shared" si="763"/>
        <v>0</v>
      </c>
      <c r="HR689" s="631">
        <f t="shared" si="763"/>
        <v>0</v>
      </c>
      <c r="HS689" s="631">
        <f t="shared" si="763"/>
        <v>0</v>
      </c>
      <c r="HT689" s="620">
        <f t="shared" si="763"/>
        <v>0</v>
      </c>
      <c r="HU689" s="620" t="s">
        <v>1811</v>
      </c>
      <c r="HV689" s="827" t="s">
        <v>2081</v>
      </c>
      <c r="IB689" s="11">
        <f t="shared" ref="IB689:II689" si="764">IB319</f>
        <v>0</v>
      </c>
      <c r="IC689" s="11">
        <f t="shared" si="764"/>
        <v>0</v>
      </c>
      <c r="ID689" s="11">
        <f t="shared" si="764"/>
        <v>0</v>
      </c>
      <c r="IE689" s="11">
        <f t="shared" si="764"/>
        <v>0</v>
      </c>
      <c r="IF689" s="11">
        <f t="shared" si="764"/>
        <v>0</v>
      </c>
      <c r="IG689" s="11">
        <f t="shared" si="764"/>
        <v>0</v>
      </c>
      <c r="IH689" s="11">
        <f t="shared" si="764"/>
        <v>0</v>
      </c>
      <c r="II689" s="11">
        <f t="shared" si="764"/>
        <v>0</v>
      </c>
    </row>
    <row r="690" spans="4:243" x14ac:dyDescent="0.25">
      <c r="D690" s="632" t="str">
        <f t="shared" ref="D690:D692" si="765">D320</f>
        <v xml:space="preserve">kløvergræs </v>
      </c>
      <c r="E690" s="18" t="str">
        <f t="shared" ref="E690:BP690" si="766">E320</f>
        <v>drægtighedsfolde</v>
      </c>
      <c r="F690" s="18">
        <f t="shared" si="766"/>
        <v>0.11899999999999999</v>
      </c>
      <c r="G690" s="18">
        <f t="shared" si="766"/>
        <v>0.11899999999999999</v>
      </c>
      <c r="H690" s="18">
        <f t="shared" si="766"/>
        <v>0</v>
      </c>
      <c r="I690" s="18">
        <f t="shared" si="766"/>
        <v>0</v>
      </c>
      <c r="J690" s="18">
        <f t="shared" si="766"/>
        <v>0</v>
      </c>
      <c r="K690" s="18">
        <f t="shared" si="766"/>
        <v>0</v>
      </c>
      <c r="L690" s="18">
        <f t="shared" si="766"/>
        <v>17</v>
      </c>
      <c r="M690" s="18">
        <f t="shared" si="766"/>
        <v>0</v>
      </c>
      <c r="N690" s="18">
        <f t="shared" si="766"/>
        <v>0</v>
      </c>
      <c r="O690" s="18">
        <f t="shared" si="766"/>
        <v>0</v>
      </c>
      <c r="P690" s="18">
        <f t="shared" si="766"/>
        <v>0</v>
      </c>
      <c r="Q690" s="18">
        <f t="shared" si="766"/>
        <v>0</v>
      </c>
      <c r="R690" s="18">
        <f t="shared" si="766"/>
        <v>0</v>
      </c>
      <c r="S690" s="18">
        <f t="shared" si="766"/>
        <v>0</v>
      </c>
      <c r="T690" s="18">
        <f t="shared" si="766"/>
        <v>0</v>
      </c>
      <c r="U690" s="18">
        <f t="shared" si="766"/>
        <v>0</v>
      </c>
      <c r="V690" s="18">
        <f t="shared" si="766"/>
        <v>0</v>
      </c>
      <c r="W690" s="18">
        <f t="shared" si="766"/>
        <v>0</v>
      </c>
      <c r="X690" s="18">
        <f t="shared" si="766"/>
        <v>0</v>
      </c>
      <c r="Y690" s="18">
        <f t="shared" si="766"/>
        <v>0</v>
      </c>
      <c r="Z690" s="18">
        <f t="shared" si="766"/>
        <v>3.5</v>
      </c>
      <c r="AA690" s="18">
        <f t="shared" si="766"/>
        <v>0</v>
      </c>
      <c r="AB690" s="18">
        <f t="shared" si="766"/>
        <v>0</v>
      </c>
      <c r="AC690" s="18">
        <f t="shared" si="766"/>
        <v>0</v>
      </c>
      <c r="AD690" s="18">
        <f t="shared" si="766"/>
        <v>0</v>
      </c>
      <c r="AE690" s="18">
        <f t="shared" si="766"/>
        <v>0</v>
      </c>
      <c r="AF690" s="18">
        <f t="shared" si="766"/>
        <v>0</v>
      </c>
      <c r="AG690" s="18">
        <f t="shared" si="766"/>
        <v>0</v>
      </c>
      <c r="AH690" s="18">
        <f t="shared" si="766"/>
        <v>0</v>
      </c>
      <c r="AI690" s="18">
        <f t="shared" si="766"/>
        <v>0</v>
      </c>
      <c r="AJ690" s="18">
        <f t="shared" si="766"/>
        <v>0</v>
      </c>
      <c r="AK690" s="18">
        <f t="shared" si="766"/>
        <v>0</v>
      </c>
      <c r="AL690" s="18">
        <f t="shared" si="766"/>
        <v>0</v>
      </c>
      <c r="AM690" s="18">
        <f t="shared" si="766"/>
        <v>0</v>
      </c>
      <c r="AN690" s="18">
        <f t="shared" si="766"/>
        <v>0</v>
      </c>
      <c r="AO690" s="18">
        <f t="shared" si="766"/>
        <v>0</v>
      </c>
      <c r="AP690" s="18">
        <f t="shared" si="766"/>
        <v>0</v>
      </c>
      <c r="AQ690" s="18">
        <f t="shared" si="766"/>
        <v>0</v>
      </c>
      <c r="AR690" s="18">
        <f t="shared" si="766"/>
        <v>0</v>
      </c>
      <c r="AS690" s="18">
        <f t="shared" si="766"/>
        <v>0</v>
      </c>
      <c r="AT690" s="18">
        <f t="shared" si="766"/>
        <v>0</v>
      </c>
      <c r="AU690" s="18">
        <f t="shared" si="766"/>
        <v>0</v>
      </c>
      <c r="AV690" s="18">
        <f t="shared" si="766"/>
        <v>0</v>
      </c>
      <c r="AW690" s="18">
        <f t="shared" si="766"/>
        <v>0</v>
      </c>
      <c r="AX690" s="18">
        <f t="shared" si="766"/>
        <v>0</v>
      </c>
      <c r="AY690" s="18">
        <f t="shared" si="766"/>
        <v>0</v>
      </c>
      <c r="AZ690" s="18">
        <f t="shared" si="766"/>
        <v>0</v>
      </c>
      <c r="BA690" s="18">
        <f t="shared" si="766"/>
        <v>0</v>
      </c>
      <c r="BB690" s="18">
        <f t="shared" si="766"/>
        <v>0</v>
      </c>
      <c r="BC690" s="18">
        <f t="shared" si="766"/>
        <v>0</v>
      </c>
      <c r="BD690" s="18">
        <f t="shared" si="766"/>
        <v>0</v>
      </c>
      <c r="BE690" s="18">
        <f t="shared" si="766"/>
        <v>0</v>
      </c>
      <c r="BF690" s="18">
        <f t="shared" si="766"/>
        <v>0</v>
      </c>
      <c r="BG690" s="18">
        <f t="shared" si="766"/>
        <v>0</v>
      </c>
      <c r="BH690" s="18">
        <f t="shared" si="766"/>
        <v>0</v>
      </c>
      <c r="BI690" s="18">
        <f t="shared" si="766"/>
        <v>0</v>
      </c>
      <c r="BJ690" s="18">
        <f t="shared" si="766"/>
        <v>0</v>
      </c>
      <c r="BK690" s="18">
        <f t="shared" si="766"/>
        <v>17.8</v>
      </c>
      <c r="BL690" s="18">
        <f t="shared" si="766"/>
        <v>0</v>
      </c>
      <c r="BM690" s="18">
        <f t="shared" si="766"/>
        <v>0</v>
      </c>
      <c r="BN690" s="18">
        <f t="shared" si="766"/>
        <v>0</v>
      </c>
      <c r="BO690" s="18">
        <f t="shared" si="766"/>
        <v>0</v>
      </c>
      <c r="BP690" s="18">
        <f t="shared" si="766"/>
        <v>0</v>
      </c>
      <c r="BQ690" s="18">
        <f t="shared" ref="BQ690:EB690" si="767">BQ320</f>
        <v>0</v>
      </c>
      <c r="BR690" s="18">
        <f t="shared" si="767"/>
        <v>0.7</v>
      </c>
      <c r="BS690" s="18">
        <f t="shared" si="767"/>
        <v>0.7</v>
      </c>
      <c r="BT690" s="18">
        <f t="shared" si="767"/>
        <v>0</v>
      </c>
      <c r="BU690" s="18">
        <f t="shared" si="767"/>
        <v>0</v>
      </c>
      <c r="BV690" s="18">
        <f t="shared" si="767"/>
        <v>0</v>
      </c>
      <c r="BW690" s="18">
        <f t="shared" si="767"/>
        <v>0</v>
      </c>
      <c r="BX690" s="18">
        <f t="shared" si="767"/>
        <v>0</v>
      </c>
      <c r="BY690" s="18">
        <f t="shared" si="767"/>
        <v>0</v>
      </c>
      <c r="BZ690" s="18">
        <f t="shared" si="767"/>
        <v>0</v>
      </c>
      <c r="CA690" s="18">
        <f t="shared" si="767"/>
        <v>0</v>
      </c>
      <c r="CB690" s="18">
        <f t="shared" si="767"/>
        <v>0</v>
      </c>
      <c r="CC690" s="18">
        <f t="shared" si="767"/>
        <v>0</v>
      </c>
      <c r="CD690" s="18">
        <f t="shared" si="767"/>
        <v>1.1100000000000001</v>
      </c>
      <c r="CE690" s="18">
        <f t="shared" si="767"/>
        <v>0</v>
      </c>
      <c r="CF690" s="18">
        <f t="shared" si="767"/>
        <v>0</v>
      </c>
      <c r="CG690" s="18">
        <f t="shared" si="767"/>
        <v>0</v>
      </c>
      <c r="CH690" s="18">
        <f t="shared" si="767"/>
        <v>0</v>
      </c>
      <c r="CI690" s="18">
        <f t="shared" si="767"/>
        <v>0</v>
      </c>
      <c r="CJ690" s="18">
        <f t="shared" si="767"/>
        <v>0</v>
      </c>
      <c r="CK690" s="18">
        <f t="shared" si="767"/>
        <v>0</v>
      </c>
      <c r="CL690" s="18">
        <f t="shared" si="767"/>
        <v>0</v>
      </c>
      <c r="CM690" s="18">
        <f t="shared" si="767"/>
        <v>0</v>
      </c>
      <c r="CN690" s="18">
        <f t="shared" si="767"/>
        <v>0</v>
      </c>
      <c r="CO690" s="18">
        <f t="shared" si="767"/>
        <v>0</v>
      </c>
      <c r="CP690" s="18">
        <f t="shared" si="767"/>
        <v>0</v>
      </c>
      <c r="CQ690" s="18">
        <f t="shared" si="767"/>
        <v>0</v>
      </c>
      <c r="CR690" s="18">
        <f t="shared" si="767"/>
        <v>0</v>
      </c>
      <c r="CS690" s="18">
        <f t="shared" si="767"/>
        <v>0</v>
      </c>
      <c r="CT690" s="18">
        <f t="shared" si="767"/>
        <v>0</v>
      </c>
      <c r="CU690" s="18">
        <f t="shared" si="767"/>
        <v>0</v>
      </c>
      <c r="CV690" s="18">
        <f t="shared" si="767"/>
        <v>0</v>
      </c>
      <c r="CW690" s="18">
        <f t="shared" si="767"/>
        <v>0</v>
      </c>
      <c r="CX690" s="18">
        <f t="shared" si="767"/>
        <v>0</v>
      </c>
      <c r="CY690" s="18">
        <f t="shared" si="767"/>
        <v>0</v>
      </c>
      <c r="CZ690" s="18">
        <f t="shared" si="767"/>
        <v>0</v>
      </c>
      <c r="DA690" s="18">
        <f t="shared" si="767"/>
        <v>0</v>
      </c>
      <c r="DB690" s="18">
        <f t="shared" si="767"/>
        <v>0</v>
      </c>
      <c r="DC690" s="18">
        <f t="shared" si="767"/>
        <v>0</v>
      </c>
      <c r="DD690" s="18">
        <f t="shared" si="767"/>
        <v>0</v>
      </c>
      <c r="DE690" s="18">
        <f t="shared" si="767"/>
        <v>0</v>
      </c>
      <c r="DF690" s="18">
        <f t="shared" si="767"/>
        <v>0</v>
      </c>
      <c r="DG690" s="18">
        <f t="shared" si="767"/>
        <v>0</v>
      </c>
      <c r="DH690" s="18">
        <f t="shared" si="767"/>
        <v>0</v>
      </c>
      <c r="DI690" s="18">
        <f t="shared" si="767"/>
        <v>0</v>
      </c>
      <c r="DJ690" s="18">
        <f t="shared" si="767"/>
        <v>0</v>
      </c>
      <c r="DK690" s="18">
        <f t="shared" si="767"/>
        <v>0</v>
      </c>
      <c r="DL690" s="18">
        <f t="shared" si="767"/>
        <v>0</v>
      </c>
      <c r="DM690" s="18">
        <f t="shared" si="767"/>
        <v>0</v>
      </c>
      <c r="DN690" s="18">
        <f t="shared" si="767"/>
        <v>0</v>
      </c>
      <c r="DO690" s="18">
        <f t="shared" si="767"/>
        <v>0</v>
      </c>
      <c r="DP690" s="18">
        <f t="shared" si="767"/>
        <v>0</v>
      </c>
      <c r="DQ690" s="18">
        <f t="shared" si="767"/>
        <v>0</v>
      </c>
      <c r="DR690" s="18">
        <f t="shared" si="767"/>
        <v>0</v>
      </c>
      <c r="DS690" s="18">
        <f t="shared" si="767"/>
        <v>0</v>
      </c>
      <c r="DT690" s="18">
        <f t="shared" si="767"/>
        <v>0</v>
      </c>
      <c r="DU690" s="18">
        <f t="shared" si="767"/>
        <v>0</v>
      </c>
      <c r="DV690" s="18">
        <f t="shared" si="767"/>
        <v>0</v>
      </c>
      <c r="DW690" s="18">
        <f t="shared" si="767"/>
        <v>0</v>
      </c>
      <c r="DX690" s="18">
        <f t="shared" si="767"/>
        <v>0</v>
      </c>
      <c r="DY690" s="18">
        <f t="shared" si="767"/>
        <v>0</v>
      </c>
      <c r="DZ690" s="18">
        <f t="shared" si="767"/>
        <v>0</v>
      </c>
      <c r="EA690" s="18">
        <f t="shared" si="767"/>
        <v>0</v>
      </c>
      <c r="EB690" s="18">
        <f t="shared" si="767"/>
        <v>0</v>
      </c>
      <c r="EC690" s="18">
        <f t="shared" ref="EC690:GN690" si="768">EC320</f>
        <v>0</v>
      </c>
      <c r="ED690" s="18">
        <f t="shared" si="768"/>
        <v>0</v>
      </c>
      <c r="EE690" s="18">
        <f t="shared" si="768"/>
        <v>0</v>
      </c>
      <c r="EF690" s="18">
        <f t="shared" si="768"/>
        <v>0</v>
      </c>
      <c r="EG690" s="18">
        <f t="shared" si="768"/>
        <v>0</v>
      </c>
      <c r="EH690" s="18">
        <f t="shared" si="768"/>
        <v>0</v>
      </c>
      <c r="EI690" s="18">
        <f t="shared" si="768"/>
        <v>0</v>
      </c>
      <c r="EJ690" s="18">
        <f t="shared" si="768"/>
        <v>0</v>
      </c>
      <c r="EK690" s="18">
        <f t="shared" si="768"/>
        <v>0</v>
      </c>
      <c r="EL690" s="18">
        <f t="shared" si="768"/>
        <v>0</v>
      </c>
      <c r="EM690" s="18">
        <f t="shared" si="768"/>
        <v>0</v>
      </c>
      <c r="EN690" s="18">
        <f t="shared" si="768"/>
        <v>0</v>
      </c>
      <c r="EO690" s="18">
        <f t="shared" si="768"/>
        <v>0</v>
      </c>
      <c r="EP690" s="18">
        <f t="shared" si="768"/>
        <v>0</v>
      </c>
      <c r="EQ690" s="18">
        <f t="shared" si="768"/>
        <v>0</v>
      </c>
      <c r="ER690" s="18">
        <f t="shared" si="768"/>
        <v>0</v>
      </c>
      <c r="ES690" s="18">
        <f t="shared" si="768"/>
        <v>0</v>
      </c>
      <c r="ET690" s="18">
        <f t="shared" si="768"/>
        <v>0</v>
      </c>
      <c r="EU690" s="18">
        <f t="shared" si="768"/>
        <v>0</v>
      </c>
      <c r="EV690" s="18">
        <f t="shared" si="768"/>
        <v>0</v>
      </c>
      <c r="EW690" s="18">
        <f t="shared" si="768"/>
        <v>0</v>
      </c>
      <c r="EX690" s="18">
        <f t="shared" si="768"/>
        <v>0</v>
      </c>
      <c r="EY690" s="18">
        <f t="shared" si="768"/>
        <v>0</v>
      </c>
      <c r="EZ690" s="18">
        <f t="shared" si="768"/>
        <v>0</v>
      </c>
      <c r="FA690" s="18">
        <f t="shared" si="768"/>
        <v>0</v>
      </c>
      <c r="FB690" s="18">
        <f t="shared" si="768"/>
        <v>0</v>
      </c>
      <c r="FC690" s="18">
        <f t="shared" si="768"/>
        <v>0</v>
      </c>
      <c r="FD690" s="18">
        <f t="shared" si="768"/>
        <v>0</v>
      </c>
      <c r="FE690" s="18">
        <f t="shared" si="768"/>
        <v>0</v>
      </c>
      <c r="FF690" s="18">
        <f t="shared" si="768"/>
        <v>0</v>
      </c>
      <c r="FG690" s="18">
        <f t="shared" si="768"/>
        <v>0</v>
      </c>
      <c r="FH690" s="18">
        <f t="shared" si="768"/>
        <v>0</v>
      </c>
      <c r="FI690" s="18">
        <f t="shared" si="768"/>
        <v>0</v>
      </c>
      <c r="FJ690" s="18">
        <f t="shared" si="768"/>
        <v>0</v>
      </c>
      <c r="FK690" s="18">
        <f t="shared" si="768"/>
        <v>0</v>
      </c>
      <c r="FL690" s="18">
        <f t="shared" si="768"/>
        <v>0</v>
      </c>
      <c r="FM690" s="18">
        <f t="shared" si="768"/>
        <v>0</v>
      </c>
      <c r="FN690" s="18">
        <f t="shared" si="768"/>
        <v>0</v>
      </c>
      <c r="FO690" s="18">
        <f t="shared" si="768"/>
        <v>0</v>
      </c>
      <c r="FP690" s="18">
        <f t="shared" si="768"/>
        <v>0</v>
      </c>
      <c r="FQ690" s="18">
        <f t="shared" si="768"/>
        <v>0</v>
      </c>
      <c r="FR690" s="18">
        <f t="shared" si="768"/>
        <v>0</v>
      </c>
      <c r="FS690" s="18">
        <f t="shared" si="768"/>
        <v>0</v>
      </c>
      <c r="FT690" s="18">
        <f t="shared" si="768"/>
        <v>0</v>
      </c>
      <c r="FU690" s="18">
        <f t="shared" si="768"/>
        <v>0</v>
      </c>
      <c r="FV690" s="18">
        <f t="shared" si="768"/>
        <v>0</v>
      </c>
      <c r="FW690" s="18">
        <f t="shared" si="768"/>
        <v>0</v>
      </c>
      <c r="FX690" s="18">
        <f t="shared" si="768"/>
        <v>0</v>
      </c>
      <c r="FY690" s="18">
        <f t="shared" si="768"/>
        <v>0</v>
      </c>
      <c r="FZ690" s="18">
        <f t="shared" si="768"/>
        <v>0</v>
      </c>
      <c r="GA690" s="18">
        <f t="shared" si="768"/>
        <v>0</v>
      </c>
      <c r="GB690" s="18">
        <f t="shared" si="768"/>
        <v>0</v>
      </c>
      <c r="GC690" s="18">
        <f t="shared" si="768"/>
        <v>0</v>
      </c>
      <c r="GD690" s="18">
        <f t="shared" si="768"/>
        <v>0</v>
      </c>
      <c r="GE690" s="18">
        <f t="shared" si="768"/>
        <v>0</v>
      </c>
      <c r="GF690" s="18">
        <f t="shared" si="768"/>
        <v>0</v>
      </c>
      <c r="GG690" s="18">
        <f t="shared" si="768"/>
        <v>0</v>
      </c>
      <c r="GH690" s="18">
        <f t="shared" si="768"/>
        <v>0</v>
      </c>
      <c r="GI690" s="18">
        <f t="shared" si="768"/>
        <v>0</v>
      </c>
      <c r="GJ690" s="18">
        <f t="shared" si="768"/>
        <v>0</v>
      </c>
      <c r="GK690" s="18">
        <f t="shared" si="768"/>
        <v>0</v>
      </c>
      <c r="GL690" s="18">
        <f t="shared" si="768"/>
        <v>0</v>
      </c>
      <c r="GM690" s="18">
        <f t="shared" si="768"/>
        <v>0</v>
      </c>
      <c r="GN690" s="18">
        <f t="shared" si="768"/>
        <v>0</v>
      </c>
      <c r="GO690" s="18">
        <f t="shared" ref="GO690:HT690" si="769">GO320</f>
        <v>0</v>
      </c>
      <c r="GP690" s="18">
        <f t="shared" si="769"/>
        <v>0</v>
      </c>
      <c r="GQ690" s="18">
        <f t="shared" si="769"/>
        <v>0</v>
      </c>
      <c r="GR690" s="18">
        <f t="shared" si="769"/>
        <v>0</v>
      </c>
      <c r="GS690" s="18">
        <f t="shared" si="769"/>
        <v>0</v>
      </c>
      <c r="GT690" s="18">
        <f t="shared" si="769"/>
        <v>0</v>
      </c>
      <c r="GU690" s="18">
        <f t="shared" si="769"/>
        <v>0</v>
      </c>
      <c r="GV690" s="18">
        <f t="shared" si="769"/>
        <v>0</v>
      </c>
      <c r="GW690" s="18">
        <f t="shared" si="769"/>
        <v>0</v>
      </c>
      <c r="GX690" s="18">
        <f t="shared" si="769"/>
        <v>0</v>
      </c>
      <c r="GY690" s="18">
        <f t="shared" si="769"/>
        <v>0</v>
      </c>
      <c r="GZ690" s="18">
        <f t="shared" si="769"/>
        <v>0</v>
      </c>
      <c r="HA690" s="18">
        <f t="shared" si="769"/>
        <v>0</v>
      </c>
      <c r="HB690" s="18">
        <f t="shared" si="769"/>
        <v>0</v>
      </c>
      <c r="HC690" s="18">
        <f t="shared" si="769"/>
        <v>0</v>
      </c>
      <c r="HD690" s="18">
        <f t="shared" si="769"/>
        <v>0</v>
      </c>
      <c r="HE690" s="18">
        <f t="shared" si="769"/>
        <v>0</v>
      </c>
      <c r="HF690" s="18">
        <f t="shared" si="769"/>
        <v>0</v>
      </c>
      <c r="HG690" s="18">
        <f t="shared" si="769"/>
        <v>0</v>
      </c>
      <c r="HH690" s="18">
        <f t="shared" si="769"/>
        <v>0</v>
      </c>
      <c r="HI690" s="18">
        <f t="shared" si="769"/>
        <v>0</v>
      </c>
      <c r="HJ690" s="18">
        <f t="shared" si="769"/>
        <v>0</v>
      </c>
      <c r="HK690" s="18">
        <f t="shared" si="769"/>
        <v>0</v>
      </c>
      <c r="HL690" s="18">
        <f t="shared" si="769"/>
        <v>0</v>
      </c>
      <c r="HM690" s="631">
        <f t="shared" si="769"/>
        <v>0</v>
      </c>
      <c r="HN690" s="631">
        <f t="shared" si="769"/>
        <v>0</v>
      </c>
      <c r="HO690" s="631">
        <f t="shared" si="769"/>
        <v>0</v>
      </c>
      <c r="HP690" s="631">
        <f t="shared" si="769"/>
        <v>0</v>
      </c>
      <c r="HQ690" s="631">
        <f t="shared" si="769"/>
        <v>0</v>
      </c>
      <c r="HR690" s="631">
        <f t="shared" si="769"/>
        <v>0</v>
      </c>
      <c r="HS690" s="631">
        <f t="shared" si="769"/>
        <v>0</v>
      </c>
      <c r="HT690" s="620">
        <f t="shared" si="769"/>
        <v>0</v>
      </c>
      <c r="HU690" s="620" t="s">
        <v>1811</v>
      </c>
      <c r="HV690" s="827" t="s">
        <v>2081</v>
      </c>
      <c r="IB690" s="11">
        <f t="shared" ref="IB690:II690" si="770">IB320</f>
        <v>0</v>
      </c>
      <c r="IC690" s="11">
        <f t="shared" si="770"/>
        <v>0</v>
      </c>
      <c r="ID690" s="11">
        <f t="shared" si="770"/>
        <v>0</v>
      </c>
      <c r="IE690" s="11">
        <f t="shared" si="770"/>
        <v>0</v>
      </c>
      <c r="IF690" s="11">
        <f t="shared" si="770"/>
        <v>0</v>
      </c>
      <c r="IG690" s="11">
        <f t="shared" si="770"/>
        <v>0</v>
      </c>
      <c r="IH690" s="11">
        <f t="shared" si="770"/>
        <v>0</v>
      </c>
      <c r="II690" s="11">
        <f t="shared" si="770"/>
        <v>0</v>
      </c>
    </row>
    <row r="691" spans="4:243" x14ac:dyDescent="0.25">
      <c r="D691" s="632" t="str">
        <f t="shared" si="765"/>
        <v xml:space="preserve">kløvergræs </v>
      </c>
      <c r="E691" s="18" t="str">
        <f t="shared" ref="E691:BP691" si="771">E321</f>
        <v>smågrisefolde</v>
      </c>
      <c r="F691" s="18">
        <f t="shared" si="771"/>
        <v>0.11899999999999999</v>
      </c>
      <c r="G691" s="18">
        <f t="shared" si="771"/>
        <v>0.11899999999999999</v>
      </c>
      <c r="H691" s="18">
        <f t="shared" si="771"/>
        <v>0</v>
      </c>
      <c r="I691" s="18">
        <f t="shared" si="771"/>
        <v>0</v>
      </c>
      <c r="J691" s="18">
        <f t="shared" si="771"/>
        <v>0</v>
      </c>
      <c r="K691" s="18">
        <f t="shared" si="771"/>
        <v>0</v>
      </c>
      <c r="L691" s="18">
        <f t="shared" si="771"/>
        <v>17</v>
      </c>
      <c r="M691" s="18">
        <f t="shared" si="771"/>
        <v>0</v>
      </c>
      <c r="N691" s="18">
        <f t="shared" si="771"/>
        <v>0</v>
      </c>
      <c r="O691" s="18">
        <f t="shared" si="771"/>
        <v>0</v>
      </c>
      <c r="P691" s="18">
        <f t="shared" si="771"/>
        <v>0</v>
      </c>
      <c r="Q691" s="18">
        <f t="shared" si="771"/>
        <v>0</v>
      </c>
      <c r="R691" s="18">
        <f t="shared" si="771"/>
        <v>0</v>
      </c>
      <c r="S691" s="18">
        <f t="shared" si="771"/>
        <v>0</v>
      </c>
      <c r="T691" s="18">
        <f t="shared" si="771"/>
        <v>0</v>
      </c>
      <c r="U691" s="18">
        <f t="shared" si="771"/>
        <v>0</v>
      </c>
      <c r="V691" s="18">
        <f t="shared" si="771"/>
        <v>0</v>
      </c>
      <c r="W691" s="18">
        <f t="shared" si="771"/>
        <v>0</v>
      </c>
      <c r="X691" s="18">
        <f t="shared" si="771"/>
        <v>0</v>
      </c>
      <c r="Y691" s="18">
        <f t="shared" si="771"/>
        <v>0</v>
      </c>
      <c r="Z691" s="18">
        <f t="shared" si="771"/>
        <v>3.5</v>
      </c>
      <c r="AA691" s="18">
        <f t="shared" si="771"/>
        <v>0</v>
      </c>
      <c r="AB691" s="18">
        <f t="shared" si="771"/>
        <v>0</v>
      </c>
      <c r="AC691" s="18">
        <f t="shared" si="771"/>
        <v>0</v>
      </c>
      <c r="AD691" s="18">
        <f t="shared" si="771"/>
        <v>0</v>
      </c>
      <c r="AE691" s="18">
        <f t="shared" si="771"/>
        <v>0</v>
      </c>
      <c r="AF691" s="18">
        <f t="shared" si="771"/>
        <v>0</v>
      </c>
      <c r="AG691" s="18">
        <f t="shared" si="771"/>
        <v>0</v>
      </c>
      <c r="AH691" s="18">
        <f t="shared" si="771"/>
        <v>0</v>
      </c>
      <c r="AI691" s="18">
        <f t="shared" si="771"/>
        <v>0</v>
      </c>
      <c r="AJ691" s="18">
        <f t="shared" si="771"/>
        <v>0</v>
      </c>
      <c r="AK691" s="18">
        <f t="shared" si="771"/>
        <v>0</v>
      </c>
      <c r="AL691" s="18">
        <f t="shared" si="771"/>
        <v>0</v>
      </c>
      <c r="AM691" s="18">
        <f t="shared" si="771"/>
        <v>0</v>
      </c>
      <c r="AN691" s="18">
        <f t="shared" si="771"/>
        <v>0</v>
      </c>
      <c r="AO691" s="18">
        <f t="shared" si="771"/>
        <v>0</v>
      </c>
      <c r="AP691" s="18">
        <f t="shared" si="771"/>
        <v>0</v>
      </c>
      <c r="AQ691" s="18">
        <f t="shared" si="771"/>
        <v>0</v>
      </c>
      <c r="AR691" s="18">
        <f t="shared" si="771"/>
        <v>0</v>
      </c>
      <c r="AS691" s="18">
        <f t="shared" si="771"/>
        <v>0</v>
      </c>
      <c r="AT691" s="18">
        <f t="shared" si="771"/>
        <v>0</v>
      </c>
      <c r="AU691" s="18">
        <f t="shared" si="771"/>
        <v>0</v>
      </c>
      <c r="AV691" s="18">
        <f t="shared" si="771"/>
        <v>0</v>
      </c>
      <c r="AW691" s="18">
        <f t="shared" si="771"/>
        <v>0</v>
      </c>
      <c r="AX691" s="18">
        <f t="shared" si="771"/>
        <v>0</v>
      </c>
      <c r="AY691" s="18">
        <f t="shared" si="771"/>
        <v>0</v>
      </c>
      <c r="AZ691" s="18">
        <f t="shared" si="771"/>
        <v>0</v>
      </c>
      <c r="BA691" s="18">
        <f t="shared" si="771"/>
        <v>0</v>
      </c>
      <c r="BB691" s="18">
        <f t="shared" si="771"/>
        <v>0</v>
      </c>
      <c r="BC691" s="18">
        <f t="shared" si="771"/>
        <v>0</v>
      </c>
      <c r="BD691" s="18">
        <f t="shared" si="771"/>
        <v>0</v>
      </c>
      <c r="BE691" s="18">
        <f t="shared" si="771"/>
        <v>0</v>
      </c>
      <c r="BF691" s="18">
        <f t="shared" si="771"/>
        <v>0</v>
      </c>
      <c r="BG691" s="18">
        <f t="shared" si="771"/>
        <v>0</v>
      </c>
      <c r="BH691" s="18">
        <f t="shared" si="771"/>
        <v>0</v>
      </c>
      <c r="BI691" s="18">
        <f t="shared" si="771"/>
        <v>0</v>
      </c>
      <c r="BJ691" s="18">
        <f t="shared" si="771"/>
        <v>0</v>
      </c>
      <c r="BK691" s="18">
        <f t="shared" si="771"/>
        <v>17.8</v>
      </c>
      <c r="BL691" s="18">
        <f t="shared" si="771"/>
        <v>0</v>
      </c>
      <c r="BM691" s="18">
        <f t="shared" si="771"/>
        <v>0</v>
      </c>
      <c r="BN691" s="18">
        <f t="shared" si="771"/>
        <v>0</v>
      </c>
      <c r="BO691" s="18">
        <f t="shared" si="771"/>
        <v>0</v>
      </c>
      <c r="BP691" s="18">
        <f t="shared" si="771"/>
        <v>0</v>
      </c>
      <c r="BQ691" s="18">
        <f t="shared" ref="BQ691:EB691" si="772">BQ321</f>
        <v>0</v>
      </c>
      <c r="BR691" s="18">
        <f t="shared" si="772"/>
        <v>0.7</v>
      </c>
      <c r="BS691" s="18">
        <f t="shared" si="772"/>
        <v>0.7</v>
      </c>
      <c r="BT691" s="18">
        <f t="shared" si="772"/>
        <v>0</v>
      </c>
      <c r="BU691" s="18">
        <f t="shared" si="772"/>
        <v>0</v>
      </c>
      <c r="BV691" s="18">
        <f t="shared" si="772"/>
        <v>0</v>
      </c>
      <c r="BW691" s="18">
        <f t="shared" si="772"/>
        <v>0</v>
      </c>
      <c r="BX691" s="18">
        <f t="shared" si="772"/>
        <v>0</v>
      </c>
      <c r="BY691" s="18">
        <f t="shared" si="772"/>
        <v>0</v>
      </c>
      <c r="BZ691" s="18">
        <f t="shared" si="772"/>
        <v>0</v>
      </c>
      <c r="CA691" s="18">
        <f t="shared" si="772"/>
        <v>0</v>
      </c>
      <c r="CB691" s="18">
        <f t="shared" si="772"/>
        <v>0</v>
      </c>
      <c r="CC691" s="18">
        <f t="shared" si="772"/>
        <v>0</v>
      </c>
      <c r="CD691" s="18">
        <f t="shared" si="772"/>
        <v>1.1100000000000001</v>
      </c>
      <c r="CE691" s="18">
        <f t="shared" si="772"/>
        <v>0</v>
      </c>
      <c r="CF691" s="18">
        <f t="shared" si="772"/>
        <v>0</v>
      </c>
      <c r="CG691" s="18">
        <f t="shared" si="772"/>
        <v>0</v>
      </c>
      <c r="CH691" s="18">
        <f t="shared" si="772"/>
        <v>0</v>
      </c>
      <c r="CI691" s="18">
        <f t="shared" si="772"/>
        <v>0</v>
      </c>
      <c r="CJ691" s="18">
        <f t="shared" si="772"/>
        <v>0</v>
      </c>
      <c r="CK691" s="18">
        <f t="shared" si="772"/>
        <v>0</v>
      </c>
      <c r="CL691" s="18">
        <f t="shared" si="772"/>
        <v>0</v>
      </c>
      <c r="CM691" s="18">
        <f t="shared" si="772"/>
        <v>0</v>
      </c>
      <c r="CN691" s="18">
        <f t="shared" si="772"/>
        <v>0</v>
      </c>
      <c r="CO691" s="18">
        <f t="shared" si="772"/>
        <v>0</v>
      </c>
      <c r="CP691" s="18">
        <f t="shared" si="772"/>
        <v>0</v>
      </c>
      <c r="CQ691" s="18">
        <f t="shared" si="772"/>
        <v>0</v>
      </c>
      <c r="CR691" s="18">
        <f t="shared" si="772"/>
        <v>0</v>
      </c>
      <c r="CS691" s="18">
        <f t="shared" si="772"/>
        <v>0</v>
      </c>
      <c r="CT691" s="18">
        <f t="shared" si="772"/>
        <v>0</v>
      </c>
      <c r="CU691" s="18">
        <f t="shared" si="772"/>
        <v>0</v>
      </c>
      <c r="CV691" s="18">
        <f t="shared" si="772"/>
        <v>0</v>
      </c>
      <c r="CW691" s="18">
        <f t="shared" si="772"/>
        <v>0</v>
      </c>
      <c r="CX691" s="18">
        <f t="shared" si="772"/>
        <v>0</v>
      </c>
      <c r="CY691" s="18">
        <f t="shared" si="772"/>
        <v>0</v>
      </c>
      <c r="CZ691" s="18">
        <f t="shared" si="772"/>
        <v>0</v>
      </c>
      <c r="DA691" s="18">
        <f t="shared" si="772"/>
        <v>0</v>
      </c>
      <c r="DB691" s="18">
        <f t="shared" si="772"/>
        <v>0</v>
      </c>
      <c r="DC691" s="18">
        <f t="shared" si="772"/>
        <v>0</v>
      </c>
      <c r="DD691" s="18">
        <f t="shared" si="772"/>
        <v>0</v>
      </c>
      <c r="DE691" s="18">
        <f t="shared" si="772"/>
        <v>0</v>
      </c>
      <c r="DF691" s="18">
        <f t="shared" si="772"/>
        <v>0</v>
      </c>
      <c r="DG691" s="18">
        <f t="shared" si="772"/>
        <v>0</v>
      </c>
      <c r="DH691" s="18">
        <f t="shared" si="772"/>
        <v>0</v>
      </c>
      <c r="DI691" s="18">
        <f t="shared" si="772"/>
        <v>0</v>
      </c>
      <c r="DJ691" s="18">
        <f t="shared" si="772"/>
        <v>0</v>
      </c>
      <c r="DK691" s="18">
        <f t="shared" si="772"/>
        <v>0</v>
      </c>
      <c r="DL691" s="18">
        <f t="shared" si="772"/>
        <v>0</v>
      </c>
      <c r="DM691" s="18">
        <f t="shared" si="772"/>
        <v>0</v>
      </c>
      <c r="DN691" s="18">
        <f t="shared" si="772"/>
        <v>0</v>
      </c>
      <c r="DO691" s="18">
        <f t="shared" si="772"/>
        <v>0</v>
      </c>
      <c r="DP691" s="18">
        <f t="shared" si="772"/>
        <v>0</v>
      </c>
      <c r="DQ691" s="18">
        <f t="shared" si="772"/>
        <v>0</v>
      </c>
      <c r="DR691" s="18">
        <f t="shared" si="772"/>
        <v>0</v>
      </c>
      <c r="DS691" s="18">
        <f t="shared" si="772"/>
        <v>0</v>
      </c>
      <c r="DT691" s="18">
        <f t="shared" si="772"/>
        <v>0</v>
      </c>
      <c r="DU691" s="18">
        <f t="shared" si="772"/>
        <v>0</v>
      </c>
      <c r="DV691" s="18">
        <f t="shared" si="772"/>
        <v>0</v>
      </c>
      <c r="DW691" s="18">
        <f t="shared" si="772"/>
        <v>0</v>
      </c>
      <c r="DX691" s="18">
        <f t="shared" si="772"/>
        <v>0</v>
      </c>
      <c r="DY691" s="18">
        <f t="shared" si="772"/>
        <v>0</v>
      </c>
      <c r="DZ691" s="18">
        <f t="shared" si="772"/>
        <v>0</v>
      </c>
      <c r="EA691" s="18">
        <f t="shared" si="772"/>
        <v>0</v>
      </c>
      <c r="EB691" s="18">
        <f t="shared" si="772"/>
        <v>0</v>
      </c>
      <c r="EC691" s="18">
        <f t="shared" ref="EC691:GN691" si="773">EC321</f>
        <v>0</v>
      </c>
      <c r="ED691" s="18">
        <f t="shared" si="773"/>
        <v>0</v>
      </c>
      <c r="EE691" s="18">
        <f t="shared" si="773"/>
        <v>0</v>
      </c>
      <c r="EF691" s="18">
        <f t="shared" si="773"/>
        <v>0</v>
      </c>
      <c r="EG691" s="18">
        <f t="shared" si="773"/>
        <v>0</v>
      </c>
      <c r="EH691" s="18">
        <f t="shared" si="773"/>
        <v>0</v>
      </c>
      <c r="EI691" s="18">
        <f t="shared" si="773"/>
        <v>0</v>
      </c>
      <c r="EJ691" s="18">
        <f t="shared" si="773"/>
        <v>0</v>
      </c>
      <c r="EK691" s="18">
        <f t="shared" si="773"/>
        <v>0</v>
      </c>
      <c r="EL691" s="18">
        <f t="shared" si="773"/>
        <v>0</v>
      </c>
      <c r="EM691" s="18">
        <f t="shared" si="773"/>
        <v>0</v>
      </c>
      <c r="EN691" s="18">
        <f t="shared" si="773"/>
        <v>0</v>
      </c>
      <c r="EO691" s="18">
        <f t="shared" si="773"/>
        <v>0</v>
      </c>
      <c r="EP691" s="18">
        <f t="shared" si="773"/>
        <v>0</v>
      </c>
      <c r="EQ691" s="18">
        <f t="shared" si="773"/>
        <v>0</v>
      </c>
      <c r="ER691" s="18">
        <f t="shared" si="773"/>
        <v>0</v>
      </c>
      <c r="ES691" s="18">
        <f t="shared" si="773"/>
        <v>0</v>
      </c>
      <c r="ET691" s="18">
        <f t="shared" si="773"/>
        <v>0</v>
      </c>
      <c r="EU691" s="18">
        <f t="shared" si="773"/>
        <v>0</v>
      </c>
      <c r="EV691" s="18">
        <f t="shared" si="773"/>
        <v>0</v>
      </c>
      <c r="EW691" s="18">
        <f t="shared" si="773"/>
        <v>0</v>
      </c>
      <c r="EX691" s="18">
        <f t="shared" si="773"/>
        <v>0</v>
      </c>
      <c r="EY691" s="18">
        <f t="shared" si="773"/>
        <v>0</v>
      </c>
      <c r="EZ691" s="18">
        <f t="shared" si="773"/>
        <v>0</v>
      </c>
      <c r="FA691" s="18">
        <f t="shared" si="773"/>
        <v>0</v>
      </c>
      <c r="FB691" s="18">
        <f t="shared" si="773"/>
        <v>0</v>
      </c>
      <c r="FC691" s="18">
        <f t="shared" si="773"/>
        <v>0</v>
      </c>
      <c r="FD691" s="18">
        <f t="shared" si="773"/>
        <v>0</v>
      </c>
      <c r="FE691" s="18">
        <f t="shared" si="773"/>
        <v>0</v>
      </c>
      <c r="FF691" s="18">
        <f t="shared" si="773"/>
        <v>0</v>
      </c>
      <c r="FG691" s="18">
        <f t="shared" si="773"/>
        <v>0</v>
      </c>
      <c r="FH691" s="18">
        <f t="shared" si="773"/>
        <v>0</v>
      </c>
      <c r="FI691" s="18">
        <f t="shared" si="773"/>
        <v>0</v>
      </c>
      <c r="FJ691" s="18">
        <f t="shared" si="773"/>
        <v>0</v>
      </c>
      <c r="FK691" s="18">
        <f t="shared" si="773"/>
        <v>0</v>
      </c>
      <c r="FL691" s="18">
        <f t="shared" si="773"/>
        <v>0</v>
      </c>
      <c r="FM691" s="18">
        <f t="shared" si="773"/>
        <v>0</v>
      </c>
      <c r="FN691" s="18">
        <f t="shared" si="773"/>
        <v>0</v>
      </c>
      <c r="FO691" s="18">
        <f t="shared" si="773"/>
        <v>0</v>
      </c>
      <c r="FP691" s="18">
        <f t="shared" si="773"/>
        <v>0</v>
      </c>
      <c r="FQ691" s="18">
        <f t="shared" si="773"/>
        <v>0</v>
      </c>
      <c r="FR691" s="18">
        <f t="shared" si="773"/>
        <v>0</v>
      </c>
      <c r="FS691" s="18">
        <f t="shared" si="773"/>
        <v>0</v>
      </c>
      <c r="FT691" s="18">
        <f t="shared" si="773"/>
        <v>0</v>
      </c>
      <c r="FU691" s="18">
        <f t="shared" si="773"/>
        <v>0</v>
      </c>
      <c r="FV691" s="18">
        <f t="shared" si="773"/>
        <v>0</v>
      </c>
      <c r="FW691" s="18">
        <f t="shared" si="773"/>
        <v>0</v>
      </c>
      <c r="FX691" s="18">
        <f t="shared" si="773"/>
        <v>0</v>
      </c>
      <c r="FY691" s="18">
        <f t="shared" si="773"/>
        <v>0</v>
      </c>
      <c r="FZ691" s="18">
        <f t="shared" si="773"/>
        <v>0</v>
      </c>
      <c r="GA691" s="18">
        <f t="shared" si="773"/>
        <v>0</v>
      </c>
      <c r="GB691" s="18">
        <f t="shared" si="773"/>
        <v>0</v>
      </c>
      <c r="GC691" s="18">
        <f t="shared" si="773"/>
        <v>0</v>
      </c>
      <c r="GD691" s="18">
        <f t="shared" si="773"/>
        <v>0</v>
      </c>
      <c r="GE691" s="18">
        <f t="shared" si="773"/>
        <v>0</v>
      </c>
      <c r="GF691" s="18">
        <f t="shared" si="773"/>
        <v>0</v>
      </c>
      <c r="GG691" s="18">
        <f t="shared" si="773"/>
        <v>0</v>
      </c>
      <c r="GH691" s="18">
        <f t="shared" si="773"/>
        <v>0</v>
      </c>
      <c r="GI691" s="18">
        <f t="shared" si="773"/>
        <v>0</v>
      </c>
      <c r="GJ691" s="18">
        <f t="shared" si="773"/>
        <v>0</v>
      </c>
      <c r="GK691" s="18">
        <f t="shared" si="773"/>
        <v>0</v>
      </c>
      <c r="GL691" s="18">
        <f t="shared" si="773"/>
        <v>0</v>
      </c>
      <c r="GM691" s="18">
        <f t="shared" si="773"/>
        <v>0</v>
      </c>
      <c r="GN691" s="18">
        <f t="shared" si="773"/>
        <v>0</v>
      </c>
      <c r="GO691" s="18">
        <f t="shared" ref="GO691:HT691" si="774">GO321</f>
        <v>0</v>
      </c>
      <c r="GP691" s="18">
        <f t="shared" si="774"/>
        <v>0</v>
      </c>
      <c r="GQ691" s="18">
        <f t="shared" si="774"/>
        <v>0</v>
      </c>
      <c r="GR691" s="18">
        <f t="shared" si="774"/>
        <v>0</v>
      </c>
      <c r="GS691" s="18">
        <f t="shared" si="774"/>
        <v>0</v>
      </c>
      <c r="GT691" s="18">
        <f t="shared" si="774"/>
        <v>0</v>
      </c>
      <c r="GU691" s="18">
        <f t="shared" si="774"/>
        <v>0</v>
      </c>
      <c r="GV691" s="18">
        <f t="shared" si="774"/>
        <v>0</v>
      </c>
      <c r="GW691" s="18">
        <f t="shared" si="774"/>
        <v>0</v>
      </c>
      <c r="GX691" s="18">
        <f t="shared" si="774"/>
        <v>0</v>
      </c>
      <c r="GY691" s="18">
        <f t="shared" si="774"/>
        <v>0</v>
      </c>
      <c r="GZ691" s="18">
        <f t="shared" si="774"/>
        <v>0</v>
      </c>
      <c r="HA691" s="18">
        <f t="shared" si="774"/>
        <v>0</v>
      </c>
      <c r="HB691" s="18">
        <f t="shared" si="774"/>
        <v>0</v>
      </c>
      <c r="HC691" s="18">
        <f t="shared" si="774"/>
        <v>0</v>
      </c>
      <c r="HD691" s="18">
        <f t="shared" si="774"/>
        <v>0</v>
      </c>
      <c r="HE691" s="18">
        <f t="shared" si="774"/>
        <v>0</v>
      </c>
      <c r="HF691" s="18">
        <f t="shared" si="774"/>
        <v>0</v>
      </c>
      <c r="HG691" s="18">
        <f t="shared" si="774"/>
        <v>0</v>
      </c>
      <c r="HH691" s="18">
        <f t="shared" si="774"/>
        <v>0</v>
      </c>
      <c r="HI691" s="18">
        <f t="shared" si="774"/>
        <v>0</v>
      </c>
      <c r="HJ691" s="18">
        <f t="shared" si="774"/>
        <v>0</v>
      </c>
      <c r="HK691" s="18">
        <f t="shared" si="774"/>
        <v>0</v>
      </c>
      <c r="HL691" s="18">
        <f t="shared" si="774"/>
        <v>0</v>
      </c>
      <c r="HM691" s="631">
        <f t="shared" si="774"/>
        <v>0</v>
      </c>
      <c r="HN691" s="631">
        <f t="shared" si="774"/>
        <v>0</v>
      </c>
      <c r="HO691" s="631">
        <f t="shared" si="774"/>
        <v>0</v>
      </c>
      <c r="HP691" s="631">
        <f t="shared" si="774"/>
        <v>0</v>
      </c>
      <c r="HQ691" s="631">
        <f t="shared" si="774"/>
        <v>0</v>
      </c>
      <c r="HR691" s="631">
        <f t="shared" si="774"/>
        <v>0</v>
      </c>
      <c r="HS691" s="631">
        <f t="shared" si="774"/>
        <v>0</v>
      </c>
      <c r="HT691" s="620">
        <f t="shared" si="774"/>
        <v>0</v>
      </c>
      <c r="HU691" s="620" t="s">
        <v>1811</v>
      </c>
      <c r="HV691" s="827" t="s">
        <v>2081</v>
      </c>
      <c r="IB691" s="11">
        <f t="shared" ref="IB691:II691" si="775">IB321</f>
        <v>0</v>
      </c>
      <c r="IC691" s="11">
        <f t="shared" si="775"/>
        <v>0</v>
      </c>
      <c r="ID691" s="11">
        <f t="shared" si="775"/>
        <v>0</v>
      </c>
      <c r="IE691" s="11">
        <f t="shared" si="775"/>
        <v>0</v>
      </c>
      <c r="IF691" s="11">
        <f t="shared" si="775"/>
        <v>0</v>
      </c>
      <c r="IG691" s="11">
        <f t="shared" si="775"/>
        <v>0</v>
      </c>
      <c r="IH691" s="11">
        <f t="shared" si="775"/>
        <v>0</v>
      </c>
      <c r="II691" s="11">
        <f t="shared" si="775"/>
        <v>0</v>
      </c>
    </row>
    <row r="692" spans="4:243" x14ac:dyDescent="0.25">
      <c r="D692" s="632" t="str">
        <f t="shared" si="765"/>
        <v>Vælg……………………………..</v>
      </c>
      <c r="E692" s="18" t="str">
        <f t="shared" ref="E692:BP692" si="776">E322</f>
        <v>slagtesvinefolde</v>
      </c>
      <c r="F692" s="18">
        <f t="shared" si="776"/>
        <v>0.11899999999999999</v>
      </c>
      <c r="G692" s="18">
        <f t="shared" si="776"/>
        <v>0.11899999999999999</v>
      </c>
      <c r="H692" s="18">
        <f t="shared" si="776"/>
        <v>0</v>
      </c>
      <c r="I692" s="18">
        <f t="shared" si="776"/>
        <v>0</v>
      </c>
      <c r="J692" s="18">
        <f t="shared" si="776"/>
        <v>0</v>
      </c>
      <c r="K692" s="18">
        <f t="shared" si="776"/>
        <v>0</v>
      </c>
      <c r="L692" s="18">
        <f t="shared" si="776"/>
        <v>17</v>
      </c>
      <c r="M692" s="18">
        <f t="shared" si="776"/>
        <v>0</v>
      </c>
      <c r="N692" s="18">
        <f t="shared" si="776"/>
        <v>0</v>
      </c>
      <c r="O692" s="18">
        <f t="shared" si="776"/>
        <v>0</v>
      </c>
      <c r="P692" s="18">
        <f t="shared" si="776"/>
        <v>0</v>
      </c>
      <c r="Q692" s="18">
        <f t="shared" si="776"/>
        <v>0</v>
      </c>
      <c r="R692" s="18">
        <f t="shared" si="776"/>
        <v>0</v>
      </c>
      <c r="S692" s="18">
        <f t="shared" si="776"/>
        <v>0</v>
      </c>
      <c r="T692" s="18">
        <f t="shared" si="776"/>
        <v>0</v>
      </c>
      <c r="U692" s="18">
        <f t="shared" si="776"/>
        <v>0</v>
      </c>
      <c r="V692" s="18">
        <f t="shared" si="776"/>
        <v>0</v>
      </c>
      <c r="W692" s="18">
        <f t="shared" si="776"/>
        <v>0</v>
      </c>
      <c r="X692" s="18">
        <f t="shared" si="776"/>
        <v>0</v>
      </c>
      <c r="Y692" s="18">
        <f t="shared" si="776"/>
        <v>0</v>
      </c>
      <c r="Z692" s="18">
        <f t="shared" si="776"/>
        <v>3.5</v>
      </c>
      <c r="AA692" s="18">
        <f t="shared" si="776"/>
        <v>0</v>
      </c>
      <c r="AB692" s="18">
        <f t="shared" si="776"/>
        <v>0</v>
      </c>
      <c r="AC692" s="18">
        <f t="shared" si="776"/>
        <v>0</v>
      </c>
      <c r="AD692" s="18">
        <f t="shared" si="776"/>
        <v>0</v>
      </c>
      <c r="AE692" s="18">
        <f t="shared" si="776"/>
        <v>0</v>
      </c>
      <c r="AF692" s="18">
        <f t="shared" si="776"/>
        <v>0</v>
      </c>
      <c r="AG692" s="18">
        <f t="shared" si="776"/>
        <v>0</v>
      </c>
      <c r="AH692" s="18">
        <f t="shared" si="776"/>
        <v>0</v>
      </c>
      <c r="AI692" s="18">
        <f t="shared" si="776"/>
        <v>0</v>
      </c>
      <c r="AJ692" s="18">
        <f t="shared" si="776"/>
        <v>0</v>
      </c>
      <c r="AK692" s="18">
        <f t="shared" si="776"/>
        <v>0</v>
      </c>
      <c r="AL692" s="18">
        <f t="shared" si="776"/>
        <v>0</v>
      </c>
      <c r="AM692" s="18">
        <f t="shared" si="776"/>
        <v>0</v>
      </c>
      <c r="AN692" s="18">
        <f t="shared" si="776"/>
        <v>0</v>
      </c>
      <c r="AO692" s="18">
        <f t="shared" si="776"/>
        <v>0</v>
      </c>
      <c r="AP692" s="18">
        <f t="shared" si="776"/>
        <v>0</v>
      </c>
      <c r="AQ692" s="18">
        <f t="shared" si="776"/>
        <v>0</v>
      </c>
      <c r="AR692" s="18">
        <f t="shared" si="776"/>
        <v>0</v>
      </c>
      <c r="AS692" s="18">
        <f t="shared" si="776"/>
        <v>0</v>
      </c>
      <c r="AT692" s="18">
        <f t="shared" si="776"/>
        <v>0</v>
      </c>
      <c r="AU692" s="18">
        <f t="shared" si="776"/>
        <v>0</v>
      </c>
      <c r="AV692" s="18">
        <f t="shared" si="776"/>
        <v>0</v>
      </c>
      <c r="AW692" s="18">
        <f t="shared" si="776"/>
        <v>0</v>
      </c>
      <c r="AX692" s="18">
        <f t="shared" si="776"/>
        <v>0</v>
      </c>
      <c r="AY692" s="18">
        <f t="shared" si="776"/>
        <v>0</v>
      </c>
      <c r="AZ692" s="18">
        <f t="shared" si="776"/>
        <v>0</v>
      </c>
      <c r="BA692" s="18">
        <f t="shared" si="776"/>
        <v>0</v>
      </c>
      <c r="BB692" s="18">
        <f t="shared" si="776"/>
        <v>0</v>
      </c>
      <c r="BC692" s="18">
        <f t="shared" si="776"/>
        <v>0</v>
      </c>
      <c r="BD692" s="18">
        <f t="shared" si="776"/>
        <v>0</v>
      </c>
      <c r="BE692" s="18">
        <f t="shared" si="776"/>
        <v>0</v>
      </c>
      <c r="BF692" s="18">
        <f t="shared" si="776"/>
        <v>0</v>
      </c>
      <c r="BG692" s="18">
        <f t="shared" si="776"/>
        <v>0</v>
      </c>
      <c r="BH692" s="18">
        <f t="shared" si="776"/>
        <v>0</v>
      </c>
      <c r="BI692" s="18">
        <f t="shared" si="776"/>
        <v>0</v>
      </c>
      <c r="BJ692" s="18">
        <f t="shared" si="776"/>
        <v>0</v>
      </c>
      <c r="BK692" s="18">
        <f t="shared" si="776"/>
        <v>17.8</v>
      </c>
      <c r="BL692" s="18">
        <f t="shared" si="776"/>
        <v>0</v>
      </c>
      <c r="BM692" s="18">
        <f t="shared" si="776"/>
        <v>0</v>
      </c>
      <c r="BN692" s="18">
        <f t="shared" si="776"/>
        <v>0</v>
      </c>
      <c r="BO692" s="18">
        <f t="shared" si="776"/>
        <v>0</v>
      </c>
      <c r="BP692" s="18">
        <f t="shared" si="776"/>
        <v>0</v>
      </c>
      <c r="BQ692" s="18">
        <f t="shared" ref="BQ692:EB692" si="777">BQ322</f>
        <v>0</v>
      </c>
      <c r="BR692" s="18">
        <f t="shared" si="777"/>
        <v>0.7</v>
      </c>
      <c r="BS692" s="18">
        <f t="shared" si="777"/>
        <v>0.7</v>
      </c>
      <c r="BT692" s="18">
        <f t="shared" si="777"/>
        <v>0</v>
      </c>
      <c r="BU692" s="18">
        <f t="shared" si="777"/>
        <v>0</v>
      </c>
      <c r="BV692" s="18">
        <f t="shared" si="777"/>
        <v>0</v>
      </c>
      <c r="BW692" s="18">
        <f t="shared" si="777"/>
        <v>0</v>
      </c>
      <c r="BX692" s="18">
        <f t="shared" si="777"/>
        <v>0</v>
      </c>
      <c r="BY692" s="18">
        <f t="shared" si="777"/>
        <v>0</v>
      </c>
      <c r="BZ692" s="18">
        <f t="shared" si="777"/>
        <v>0</v>
      </c>
      <c r="CA692" s="18">
        <f t="shared" si="777"/>
        <v>0</v>
      </c>
      <c r="CB692" s="18">
        <f t="shared" si="777"/>
        <v>0</v>
      </c>
      <c r="CC692" s="18">
        <f t="shared" si="777"/>
        <v>0</v>
      </c>
      <c r="CD692" s="18">
        <f t="shared" si="777"/>
        <v>1.1100000000000001</v>
      </c>
      <c r="CE692" s="18">
        <f t="shared" si="777"/>
        <v>0</v>
      </c>
      <c r="CF692" s="18">
        <f t="shared" si="777"/>
        <v>0</v>
      </c>
      <c r="CG692" s="18">
        <f t="shared" si="777"/>
        <v>0</v>
      </c>
      <c r="CH692" s="18">
        <f t="shared" si="777"/>
        <v>0</v>
      </c>
      <c r="CI692" s="18">
        <f t="shared" si="777"/>
        <v>0</v>
      </c>
      <c r="CJ692" s="18">
        <f t="shared" si="777"/>
        <v>0</v>
      </c>
      <c r="CK692" s="18">
        <f t="shared" si="777"/>
        <v>0</v>
      </c>
      <c r="CL692" s="18">
        <f t="shared" si="777"/>
        <v>0</v>
      </c>
      <c r="CM692" s="18">
        <f t="shared" si="777"/>
        <v>0</v>
      </c>
      <c r="CN692" s="18">
        <f t="shared" si="777"/>
        <v>0</v>
      </c>
      <c r="CO692" s="18">
        <f t="shared" si="777"/>
        <v>0</v>
      </c>
      <c r="CP692" s="18">
        <f t="shared" si="777"/>
        <v>0</v>
      </c>
      <c r="CQ692" s="18">
        <f t="shared" si="777"/>
        <v>0</v>
      </c>
      <c r="CR692" s="18">
        <f t="shared" si="777"/>
        <v>0</v>
      </c>
      <c r="CS692" s="18">
        <f t="shared" si="777"/>
        <v>0</v>
      </c>
      <c r="CT692" s="18">
        <f t="shared" si="777"/>
        <v>0</v>
      </c>
      <c r="CU692" s="18">
        <f t="shared" si="777"/>
        <v>0</v>
      </c>
      <c r="CV692" s="18">
        <f t="shared" si="777"/>
        <v>0</v>
      </c>
      <c r="CW692" s="18">
        <f t="shared" si="777"/>
        <v>0</v>
      </c>
      <c r="CX692" s="18">
        <f t="shared" si="777"/>
        <v>0</v>
      </c>
      <c r="CY692" s="18">
        <f t="shared" si="777"/>
        <v>0</v>
      </c>
      <c r="CZ692" s="18">
        <f t="shared" si="777"/>
        <v>0</v>
      </c>
      <c r="DA692" s="18">
        <f t="shared" si="777"/>
        <v>0</v>
      </c>
      <c r="DB692" s="18">
        <f t="shared" si="777"/>
        <v>0</v>
      </c>
      <c r="DC692" s="18">
        <f t="shared" si="777"/>
        <v>0</v>
      </c>
      <c r="DD692" s="18">
        <f t="shared" si="777"/>
        <v>0</v>
      </c>
      <c r="DE692" s="18">
        <f t="shared" si="777"/>
        <v>0</v>
      </c>
      <c r="DF692" s="18">
        <f t="shared" si="777"/>
        <v>0</v>
      </c>
      <c r="DG692" s="18">
        <f t="shared" si="777"/>
        <v>0</v>
      </c>
      <c r="DH692" s="18">
        <f t="shared" si="777"/>
        <v>0</v>
      </c>
      <c r="DI692" s="18">
        <f t="shared" si="777"/>
        <v>0</v>
      </c>
      <c r="DJ692" s="18">
        <f t="shared" si="777"/>
        <v>0</v>
      </c>
      <c r="DK692" s="18">
        <f t="shared" si="777"/>
        <v>0</v>
      </c>
      <c r="DL692" s="18">
        <f t="shared" si="777"/>
        <v>0</v>
      </c>
      <c r="DM692" s="18">
        <f t="shared" si="777"/>
        <v>0</v>
      </c>
      <c r="DN692" s="18">
        <f t="shared" si="777"/>
        <v>0</v>
      </c>
      <c r="DO692" s="18">
        <f t="shared" si="777"/>
        <v>0</v>
      </c>
      <c r="DP692" s="18">
        <f t="shared" si="777"/>
        <v>0</v>
      </c>
      <c r="DQ692" s="18">
        <f t="shared" si="777"/>
        <v>0</v>
      </c>
      <c r="DR692" s="18">
        <f t="shared" si="777"/>
        <v>0</v>
      </c>
      <c r="DS692" s="18">
        <f t="shared" si="777"/>
        <v>0</v>
      </c>
      <c r="DT692" s="18">
        <f t="shared" si="777"/>
        <v>0</v>
      </c>
      <c r="DU692" s="18">
        <f t="shared" si="777"/>
        <v>0</v>
      </c>
      <c r="DV692" s="18">
        <f t="shared" si="777"/>
        <v>0</v>
      </c>
      <c r="DW692" s="18">
        <f t="shared" si="777"/>
        <v>0</v>
      </c>
      <c r="DX692" s="18">
        <f t="shared" si="777"/>
        <v>0</v>
      </c>
      <c r="DY692" s="18">
        <f t="shared" si="777"/>
        <v>0</v>
      </c>
      <c r="DZ692" s="18">
        <f t="shared" si="777"/>
        <v>0</v>
      </c>
      <c r="EA692" s="18">
        <f t="shared" si="777"/>
        <v>0</v>
      </c>
      <c r="EB692" s="18">
        <f t="shared" si="777"/>
        <v>0</v>
      </c>
      <c r="EC692" s="18">
        <f t="shared" ref="EC692:GN692" si="778">EC322</f>
        <v>0</v>
      </c>
      <c r="ED692" s="18">
        <f t="shared" si="778"/>
        <v>0</v>
      </c>
      <c r="EE692" s="18">
        <f t="shared" si="778"/>
        <v>0</v>
      </c>
      <c r="EF692" s="18">
        <f t="shared" si="778"/>
        <v>0</v>
      </c>
      <c r="EG692" s="18">
        <f t="shared" si="778"/>
        <v>0</v>
      </c>
      <c r="EH692" s="18">
        <f t="shared" si="778"/>
        <v>0</v>
      </c>
      <c r="EI692" s="18">
        <f t="shared" si="778"/>
        <v>0</v>
      </c>
      <c r="EJ692" s="18">
        <f t="shared" si="778"/>
        <v>0</v>
      </c>
      <c r="EK692" s="18">
        <f t="shared" si="778"/>
        <v>0</v>
      </c>
      <c r="EL692" s="18">
        <f t="shared" si="778"/>
        <v>0</v>
      </c>
      <c r="EM692" s="18">
        <f t="shared" si="778"/>
        <v>0</v>
      </c>
      <c r="EN692" s="18">
        <f t="shared" si="778"/>
        <v>0</v>
      </c>
      <c r="EO692" s="18">
        <f t="shared" si="778"/>
        <v>0</v>
      </c>
      <c r="EP692" s="18">
        <f t="shared" si="778"/>
        <v>0</v>
      </c>
      <c r="EQ692" s="18">
        <f t="shared" si="778"/>
        <v>0</v>
      </c>
      <c r="ER692" s="18">
        <f t="shared" si="778"/>
        <v>0</v>
      </c>
      <c r="ES692" s="18">
        <f t="shared" si="778"/>
        <v>0</v>
      </c>
      <c r="ET692" s="18">
        <f t="shared" si="778"/>
        <v>0</v>
      </c>
      <c r="EU692" s="18">
        <f t="shared" si="778"/>
        <v>0</v>
      </c>
      <c r="EV692" s="18">
        <f t="shared" si="778"/>
        <v>0</v>
      </c>
      <c r="EW692" s="18">
        <f t="shared" si="778"/>
        <v>0</v>
      </c>
      <c r="EX692" s="18">
        <f t="shared" si="778"/>
        <v>0</v>
      </c>
      <c r="EY692" s="18">
        <f t="shared" si="778"/>
        <v>0</v>
      </c>
      <c r="EZ692" s="18">
        <f t="shared" si="778"/>
        <v>0</v>
      </c>
      <c r="FA692" s="18">
        <f t="shared" si="778"/>
        <v>0</v>
      </c>
      <c r="FB692" s="18">
        <f t="shared" si="778"/>
        <v>0</v>
      </c>
      <c r="FC692" s="18">
        <f t="shared" si="778"/>
        <v>0</v>
      </c>
      <c r="FD692" s="18">
        <f t="shared" si="778"/>
        <v>0</v>
      </c>
      <c r="FE692" s="18">
        <f t="shared" si="778"/>
        <v>0</v>
      </c>
      <c r="FF692" s="18">
        <f t="shared" si="778"/>
        <v>0</v>
      </c>
      <c r="FG692" s="18">
        <f t="shared" si="778"/>
        <v>0</v>
      </c>
      <c r="FH692" s="18">
        <f t="shared" si="778"/>
        <v>0</v>
      </c>
      <c r="FI692" s="18">
        <f t="shared" si="778"/>
        <v>0</v>
      </c>
      <c r="FJ692" s="18">
        <f t="shared" si="778"/>
        <v>0</v>
      </c>
      <c r="FK692" s="18">
        <f t="shared" si="778"/>
        <v>0</v>
      </c>
      <c r="FL692" s="18">
        <f t="shared" si="778"/>
        <v>0</v>
      </c>
      <c r="FM692" s="18">
        <f t="shared" si="778"/>
        <v>0</v>
      </c>
      <c r="FN692" s="18">
        <f t="shared" si="778"/>
        <v>0</v>
      </c>
      <c r="FO692" s="18">
        <f t="shared" si="778"/>
        <v>0</v>
      </c>
      <c r="FP692" s="18">
        <f t="shared" si="778"/>
        <v>0</v>
      </c>
      <c r="FQ692" s="18">
        <f t="shared" si="778"/>
        <v>0</v>
      </c>
      <c r="FR692" s="18">
        <f t="shared" si="778"/>
        <v>0</v>
      </c>
      <c r="FS692" s="18">
        <f t="shared" si="778"/>
        <v>0</v>
      </c>
      <c r="FT692" s="18">
        <f t="shared" si="778"/>
        <v>0</v>
      </c>
      <c r="FU692" s="18">
        <f t="shared" si="778"/>
        <v>0</v>
      </c>
      <c r="FV692" s="18">
        <f t="shared" si="778"/>
        <v>0</v>
      </c>
      <c r="FW692" s="18">
        <f t="shared" si="778"/>
        <v>0</v>
      </c>
      <c r="FX692" s="18">
        <f t="shared" si="778"/>
        <v>0</v>
      </c>
      <c r="FY692" s="18">
        <f t="shared" si="778"/>
        <v>0</v>
      </c>
      <c r="FZ692" s="18">
        <f t="shared" si="778"/>
        <v>0</v>
      </c>
      <c r="GA692" s="18">
        <f t="shared" si="778"/>
        <v>0</v>
      </c>
      <c r="GB692" s="18">
        <f t="shared" si="778"/>
        <v>0</v>
      </c>
      <c r="GC692" s="18">
        <f t="shared" si="778"/>
        <v>0</v>
      </c>
      <c r="GD692" s="18">
        <f t="shared" si="778"/>
        <v>0</v>
      </c>
      <c r="GE692" s="18">
        <f t="shared" si="778"/>
        <v>0</v>
      </c>
      <c r="GF692" s="18">
        <f t="shared" si="778"/>
        <v>0</v>
      </c>
      <c r="GG692" s="18">
        <f t="shared" si="778"/>
        <v>0</v>
      </c>
      <c r="GH692" s="18">
        <f t="shared" si="778"/>
        <v>0</v>
      </c>
      <c r="GI692" s="18">
        <f t="shared" si="778"/>
        <v>0</v>
      </c>
      <c r="GJ692" s="18">
        <f t="shared" si="778"/>
        <v>0</v>
      </c>
      <c r="GK692" s="18">
        <f t="shared" si="778"/>
        <v>0</v>
      </c>
      <c r="GL692" s="18">
        <f t="shared" si="778"/>
        <v>0</v>
      </c>
      <c r="GM692" s="18">
        <f t="shared" si="778"/>
        <v>0</v>
      </c>
      <c r="GN692" s="18">
        <f t="shared" si="778"/>
        <v>0</v>
      </c>
      <c r="GO692" s="18">
        <f t="shared" ref="GO692:HT692" si="779">GO322</f>
        <v>0</v>
      </c>
      <c r="GP692" s="18">
        <f t="shared" si="779"/>
        <v>0</v>
      </c>
      <c r="GQ692" s="18">
        <f t="shared" si="779"/>
        <v>0</v>
      </c>
      <c r="GR692" s="18">
        <f t="shared" si="779"/>
        <v>0</v>
      </c>
      <c r="GS692" s="18">
        <f t="shared" si="779"/>
        <v>0</v>
      </c>
      <c r="GT692" s="18">
        <f t="shared" si="779"/>
        <v>0</v>
      </c>
      <c r="GU692" s="18">
        <f t="shared" si="779"/>
        <v>0</v>
      </c>
      <c r="GV692" s="18">
        <f t="shared" si="779"/>
        <v>0</v>
      </c>
      <c r="GW692" s="18">
        <f t="shared" si="779"/>
        <v>0</v>
      </c>
      <c r="GX692" s="18">
        <f t="shared" si="779"/>
        <v>0</v>
      </c>
      <c r="GY692" s="18">
        <f t="shared" si="779"/>
        <v>0</v>
      </c>
      <c r="GZ692" s="18">
        <f t="shared" si="779"/>
        <v>0</v>
      </c>
      <c r="HA692" s="18">
        <f t="shared" si="779"/>
        <v>0</v>
      </c>
      <c r="HB692" s="18">
        <f t="shared" si="779"/>
        <v>0</v>
      </c>
      <c r="HC692" s="18">
        <f t="shared" si="779"/>
        <v>0</v>
      </c>
      <c r="HD692" s="18">
        <f t="shared" si="779"/>
        <v>0</v>
      </c>
      <c r="HE692" s="18">
        <f t="shared" si="779"/>
        <v>0</v>
      </c>
      <c r="HF692" s="18">
        <f t="shared" si="779"/>
        <v>0</v>
      </c>
      <c r="HG692" s="18">
        <f t="shared" si="779"/>
        <v>0</v>
      </c>
      <c r="HH692" s="18">
        <f t="shared" si="779"/>
        <v>0</v>
      </c>
      <c r="HI692" s="18">
        <f t="shared" si="779"/>
        <v>0</v>
      </c>
      <c r="HJ692" s="18">
        <f t="shared" si="779"/>
        <v>0</v>
      </c>
      <c r="HK692" s="18">
        <f t="shared" si="779"/>
        <v>0</v>
      </c>
      <c r="HL692" s="18">
        <f t="shared" si="779"/>
        <v>0</v>
      </c>
      <c r="HM692" s="631">
        <f t="shared" si="779"/>
        <v>0</v>
      </c>
      <c r="HN692" s="631">
        <f t="shared" si="779"/>
        <v>0</v>
      </c>
      <c r="HO692" s="631">
        <f t="shared" si="779"/>
        <v>0</v>
      </c>
      <c r="HP692" s="631">
        <f t="shared" si="779"/>
        <v>0</v>
      </c>
      <c r="HQ692" s="631">
        <f t="shared" si="779"/>
        <v>0</v>
      </c>
      <c r="HR692" s="631">
        <f t="shared" si="779"/>
        <v>0</v>
      </c>
      <c r="HS692" s="631">
        <f t="shared" si="779"/>
        <v>0</v>
      </c>
      <c r="HT692" s="620">
        <f t="shared" si="779"/>
        <v>0</v>
      </c>
      <c r="HU692" s="620" t="s">
        <v>1811</v>
      </c>
      <c r="HV692" s="827" t="s">
        <v>2081</v>
      </c>
      <c r="IB692" s="11">
        <f t="shared" ref="IB692:II692" si="780">IB322</f>
        <v>0</v>
      </c>
      <c r="IC692" s="11">
        <f t="shared" si="780"/>
        <v>0</v>
      </c>
      <c r="ID692" s="11">
        <f t="shared" si="780"/>
        <v>0</v>
      </c>
      <c r="IE692" s="11">
        <f t="shared" si="780"/>
        <v>0</v>
      </c>
      <c r="IF692" s="11">
        <f t="shared" si="780"/>
        <v>0</v>
      </c>
      <c r="IG692" s="11">
        <f t="shared" si="780"/>
        <v>0</v>
      </c>
      <c r="IH692" s="11">
        <f t="shared" si="780"/>
        <v>0</v>
      </c>
      <c r="II692" s="11">
        <f t="shared" si="780"/>
        <v>0</v>
      </c>
    </row>
    <row r="693" spans="4:243" x14ac:dyDescent="0.25">
      <c r="D693" s="27" t="str">
        <f>'Opstaldingsform-Housing '!B74</f>
        <v>……………………………………………………………………………………..</v>
      </c>
      <c r="E693" s="18">
        <f t="shared" ref="E693:BP693" si="781">E323</f>
        <v>0</v>
      </c>
      <c r="F693" s="18">
        <f t="shared" si="781"/>
        <v>0</v>
      </c>
      <c r="G693" s="18">
        <f t="shared" si="781"/>
        <v>0</v>
      </c>
      <c r="H693" s="18">
        <f t="shared" si="781"/>
        <v>0</v>
      </c>
      <c r="I693" s="18">
        <f t="shared" si="781"/>
        <v>0</v>
      </c>
      <c r="J693" s="18">
        <f t="shared" si="781"/>
        <v>0</v>
      </c>
      <c r="K693" s="18">
        <f t="shared" si="781"/>
        <v>0</v>
      </c>
      <c r="L693" s="18">
        <f t="shared" si="781"/>
        <v>0</v>
      </c>
      <c r="M693" s="18">
        <f t="shared" si="781"/>
        <v>0</v>
      </c>
      <c r="N693" s="18">
        <f t="shared" si="781"/>
        <v>0</v>
      </c>
      <c r="O693" s="18">
        <f t="shared" si="781"/>
        <v>0</v>
      </c>
      <c r="P693" s="18">
        <f t="shared" si="781"/>
        <v>0</v>
      </c>
      <c r="Q693" s="18">
        <f t="shared" si="781"/>
        <v>0</v>
      </c>
      <c r="R693" s="18">
        <f t="shared" si="781"/>
        <v>0</v>
      </c>
      <c r="S693" s="18">
        <f t="shared" si="781"/>
        <v>0</v>
      </c>
      <c r="T693" s="18">
        <f t="shared" si="781"/>
        <v>0</v>
      </c>
      <c r="U693" s="18">
        <f t="shared" si="781"/>
        <v>0</v>
      </c>
      <c r="V693" s="18">
        <f t="shared" si="781"/>
        <v>0</v>
      </c>
      <c r="W693" s="18">
        <f t="shared" si="781"/>
        <v>0</v>
      </c>
      <c r="X693" s="18">
        <f t="shared" si="781"/>
        <v>0</v>
      </c>
      <c r="Y693" s="18">
        <f t="shared" si="781"/>
        <v>0</v>
      </c>
      <c r="Z693" s="18">
        <f t="shared" si="781"/>
        <v>0</v>
      </c>
      <c r="AA693" s="18">
        <f t="shared" si="781"/>
        <v>0</v>
      </c>
      <c r="AB693" s="18">
        <f t="shared" si="781"/>
        <v>0</v>
      </c>
      <c r="AC693" s="18">
        <f t="shared" si="781"/>
        <v>0</v>
      </c>
      <c r="AD693" s="18">
        <f t="shared" si="781"/>
        <v>0</v>
      </c>
      <c r="AE693" s="18">
        <f t="shared" si="781"/>
        <v>0</v>
      </c>
      <c r="AF693" s="18">
        <f t="shared" si="781"/>
        <v>0</v>
      </c>
      <c r="AG693" s="18">
        <f t="shared" si="781"/>
        <v>0</v>
      </c>
      <c r="AH693" s="18">
        <f t="shared" si="781"/>
        <v>0</v>
      </c>
      <c r="AI693" s="18">
        <f t="shared" si="781"/>
        <v>0</v>
      </c>
      <c r="AJ693" s="18">
        <f t="shared" si="781"/>
        <v>0</v>
      </c>
      <c r="AK693" s="18">
        <f t="shared" si="781"/>
        <v>0</v>
      </c>
      <c r="AL693" s="18">
        <f t="shared" si="781"/>
        <v>0</v>
      </c>
      <c r="AM693" s="18">
        <f t="shared" si="781"/>
        <v>0</v>
      </c>
      <c r="AN693" s="18">
        <f t="shared" si="781"/>
        <v>0</v>
      </c>
      <c r="AO693" s="18">
        <f t="shared" si="781"/>
        <v>0</v>
      </c>
      <c r="AP693" s="18">
        <f t="shared" si="781"/>
        <v>0</v>
      </c>
      <c r="AQ693" s="18">
        <f t="shared" si="781"/>
        <v>0</v>
      </c>
      <c r="AR693" s="18">
        <f t="shared" si="781"/>
        <v>0</v>
      </c>
      <c r="AS693" s="18">
        <f t="shared" si="781"/>
        <v>0</v>
      </c>
      <c r="AT693" s="18">
        <f t="shared" si="781"/>
        <v>0</v>
      </c>
      <c r="AU693" s="18">
        <f t="shared" si="781"/>
        <v>0</v>
      </c>
      <c r="AV693" s="18">
        <f t="shared" si="781"/>
        <v>0</v>
      </c>
      <c r="AW693" s="18">
        <f t="shared" si="781"/>
        <v>0</v>
      </c>
      <c r="AX693" s="18">
        <f t="shared" si="781"/>
        <v>0</v>
      </c>
      <c r="AY693" s="18">
        <f t="shared" si="781"/>
        <v>0</v>
      </c>
      <c r="AZ693" s="18">
        <f t="shared" si="781"/>
        <v>0</v>
      </c>
      <c r="BA693" s="18">
        <f t="shared" si="781"/>
        <v>0</v>
      </c>
      <c r="BB693" s="18">
        <f t="shared" si="781"/>
        <v>0</v>
      </c>
      <c r="BC693" s="18">
        <f t="shared" si="781"/>
        <v>0</v>
      </c>
      <c r="BD693" s="18">
        <f t="shared" si="781"/>
        <v>0</v>
      </c>
      <c r="BE693" s="18">
        <f t="shared" si="781"/>
        <v>0</v>
      </c>
      <c r="BF693" s="18">
        <f t="shared" si="781"/>
        <v>0</v>
      </c>
      <c r="BG693" s="18">
        <f t="shared" si="781"/>
        <v>0</v>
      </c>
      <c r="BH693" s="18">
        <f t="shared" si="781"/>
        <v>0</v>
      </c>
      <c r="BI693" s="18">
        <f t="shared" si="781"/>
        <v>0</v>
      </c>
      <c r="BJ693" s="18">
        <f t="shared" si="781"/>
        <v>0</v>
      </c>
      <c r="BK693" s="18">
        <f t="shared" si="781"/>
        <v>0</v>
      </c>
      <c r="BL693" s="18">
        <f t="shared" si="781"/>
        <v>0</v>
      </c>
      <c r="BM693" s="18">
        <f t="shared" si="781"/>
        <v>0</v>
      </c>
      <c r="BN693" s="18">
        <f t="shared" si="781"/>
        <v>0</v>
      </c>
      <c r="BO693" s="18">
        <f t="shared" si="781"/>
        <v>0</v>
      </c>
      <c r="BP693" s="18">
        <f t="shared" si="781"/>
        <v>0</v>
      </c>
      <c r="BQ693" s="18">
        <f t="shared" ref="BQ693:EB693" si="782">BQ323</f>
        <v>0</v>
      </c>
      <c r="BR693" s="18">
        <f t="shared" si="782"/>
        <v>0</v>
      </c>
      <c r="BS693" s="18">
        <f t="shared" si="782"/>
        <v>0</v>
      </c>
      <c r="BT693" s="18">
        <f t="shared" si="782"/>
        <v>0</v>
      </c>
      <c r="BU693" s="18">
        <f t="shared" si="782"/>
        <v>0</v>
      </c>
      <c r="BV693" s="18">
        <f t="shared" si="782"/>
        <v>0</v>
      </c>
      <c r="BW693" s="18">
        <f t="shared" si="782"/>
        <v>0</v>
      </c>
      <c r="BX693" s="18">
        <f t="shared" si="782"/>
        <v>0</v>
      </c>
      <c r="BY693" s="18">
        <f t="shared" si="782"/>
        <v>0</v>
      </c>
      <c r="BZ693" s="18">
        <f t="shared" si="782"/>
        <v>0</v>
      </c>
      <c r="CA693" s="18">
        <f t="shared" si="782"/>
        <v>0</v>
      </c>
      <c r="CB693" s="18">
        <f t="shared" si="782"/>
        <v>0</v>
      </c>
      <c r="CC693" s="18">
        <f t="shared" si="782"/>
        <v>0</v>
      </c>
      <c r="CD693" s="18">
        <f t="shared" si="782"/>
        <v>0</v>
      </c>
      <c r="CE693" s="18">
        <f t="shared" si="782"/>
        <v>0</v>
      </c>
      <c r="CF693" s="18">
        <f t="shared" si="782"/>
        <v>0</v>
      </c>
      <c r="CG693" s="18">
        <f t="shared" si="782"/>
        <v>0</v>
      </c>
      <c r="CH693" s="18">
        <f t="shared" si="782"/>
        <v>0</v>
      </c>
      <c r="CI693" s="18">
        <f t="shared" si="782"/>
        <v>0</v>
      </c>
      <c r="CJ693" s="18">
        <f t="shared" si="782"/>
        <v>0</v>
      </c>
      <c r="CK693" s="18">
        <f t="shared" si="782"/>
        <v>0</v>
      </c>
      <c r="CL693" s="18">
        <f t="shared" si="782"/>
        <v>0</v>
      </c>
      <c r="CM693" s="18">
        <f t="shared" si="782"/>
        <v>0</v>
      </c>
      <c r="CN693" s="18">
        <f t="shared" si="782"/>
        <v>0</v>
      </c>
      <c r="CO693" s="18">
        <f t="shared" si="782"/>
        <v>0</v>
      </c>
      <c r="CP693" s="18">
        <f t="shared" si="782"/>
        <v>0</v>
      </c>
      <c r="CQ693" s="18">
        <f t="shared" si="782"/>
        <v>0</v>
      </c>
      <c r="CR693" s="18">
        <f t="shared" si="782"/>
        <v>0</v>
      </c>
      <c r="CS693" s="18">
        <f t="shared" si="782"/>
        <v>0</v>
      </c>
      <c r="CT693" s="18">
        <f t="shared" si="782"/>
        <v>0</v>
      </c>
      <c r="CU693" s="18">
        <f t="shared" si="782"/>
        <v>0</v>
      </c>
      <c r="CV693" s="18">
        <f t="shared" si="782"/>
        <v>0</v>
      </c>
      <c r="CW693" s="18">
        <f t="shared" si="782"/>
        <v>0</v>
      </c>
      <c r="CX693" s="18">
        <f t="shared" si="782"/>
        <v>0</v>
      </c>
      <c r="CY693" s="18">
        <f t="shared" si="782"/>
        <v>0</v>
      </c>
      <c r="CZ693" s="18">
        <f t="shared" si="782"/>
        <v>0</v>
      </c>
      <c r="DA693" s="18">
        <f t="shared" si="782"/>
        <v>0</v>
      </c>
      <c r="DB693" s="18">
        <f t="shared" si="782"/>
        <v>0</v>
      </c>
      <c r="DC693" s="18">
        <f t="shared" si="782"/>
        <v>0</v>
      </c>
      <c r="DD693" s="18">
        <f t="shared" si="782"/>
        <v>0</v>
      </c>
      <c r="DE693" s="18">
        <f t="shared" si="782"/>
        <v>0</v>
      </c>
      <c r="DF693" s="18">
        <f t="shared" si="782"/>
        <v>0</v>
      </c>
      <c r="DG693" s="18">
        <f t="shared" si="782"/>
        <v>0</v>
      </c>
      <c r="DH693" s="18">
        <f t="shared" si="782"/>
        <v>0</v>
      </c>
      <c r="DI693" s="18">
        <f t="shared" si="782"/>
        <v>0</v>
      </c>
      <c r="DJ693" s="18">
        <f t="shared" si="782"/>
        <v>0</v>
      </c>
      <c r="DK693" s="18">
        <f t="shared" si="782"/>
        <v>0</v>
      </c>
      <c r="DL693" s="18">
        <f t="shared" si="782"/>
        <v>0</v>
      </c>
      <c r="DM693" s="18">
        <f t="shared" si="782"/>
        <v>0</v>
      </c>
      <c r="DN693" s="18">
        <f t="shared" si="782"/>
        <v>0</v>
      </c>
      <c r="DO693" s="18">
        <f t="shared" si="782"/>
        <v>0</v>
      </c>
      <c r="DP693" s="18">
        <f t="shared" si="782"/>
        <v>0</v>
      </c>
      <c r="DQ693" s="18">
        <f t="shared" si="782"/>
        <v>0</v>
      </c>
      <c r="DR693" s="18">
        <f t="shared" si="782"/>
        <v>0</v>
      </c>
      <c r="DS693" s="18">
        <f t="shared" si="782"/>
        <v>0</v>
      </c>
      <c r="DT693" s="18">
        <f t="shared" si="782"/>
        <v>0</v>
      </c>
      <c r="DU693" s="18">
        <f t="shared" si="782"/>
        <v>0</v>
      </c>
      <c r="DV693" s="18">
        <f t="shared" si="782"/>
        <v>0</v>
      </c>
      <c r="DW693" s="18">
        <f t="shared" si="782"/>
        <v>0</v>
      </c>
      <c r="DX693" s="18">
        <f t="shared" si="782"/>
        <v>0</v>
      </c>
      <c r="DY693" s="18">
        <f t="shared" si="782"/>
        <v>0</v>
      </c>
      <c r="DZ693" s="18">
        <f t="shared" si="782"/>
        <v>0</v>
      </c>
      <c r="EA693" s="18">
        <f t="shared" si="782"/>
        <v>0</v>
      </c>
      <c r="EB693" s="18">
        <f t="shared" si="782"/>
        <v>0</v>
      </c>
      <c r="EC693" s="18">
        <f t="shared" ref="EC693:GN693" si="783">EC323</f>
        <v>0</v>
      </c>
      <c r="ED693" s="18">
        <f t="shared" si="783"/>
        <v>0</v>
      </c>
      <c r="EE693" s="18">
        <f t="shared" si="783"/>
        <v>0</v>
      </c>
      <c r="EF693" s="18">
        <f t="shared" si="783"/>
        <v>0</v>
      </c>
      <c r="EG693" s="18">
        <f t="shared" si="783"/>
        <v>0</v>
      </c>
      <c r="EH693" s="18">
        <f t="shared" si="783"/>
        <v>0</v>
      </c>
      <c r="EI693" s="18">
        <f t="shared" si="783"/>
        <v>0</v>
      </c>
      <c r="EJ693" s="18">
        <f t="shared" si="783"/>
        <v>0</v>
      </c>
      <c r="EK693" s="18">
        <f t="shared" si="783"/>
        <v>0</v>
      </c>
      <c r="EL693" s="18">
        <f t="shared" si="783"/>
        <v>0</v>
      </c>
      <c r="EM693" s="18">
        <f t="shared" si="783"/>
        <v>0</v>
      </c>
      <c r="EN693" s="18">
        <f t="shared" si="783"/>
        <v>0</v>
      </c>
      <c r="EO693" s="18">
        <f t="shared" si="783"/>
        <v>0</v>
      </c>
      <c r="EP693" s="18">
        <f t="shared" si="783"/>
        <v>0</v>
      </c>
      <c r="EQ693" s="18">
        <f t="shared" si="783"/>
        <v>0</v>
      </c>
      <c r="ER693" s="18">
        <f t="shared" si="783"/>
        <v>0</v>
      </c>
      <c r="ES693" s="18">
        <f t="shared" si="783"/>
        <v>0</v>
      </c>
      <c r="ET693" s="18">
        <f t="shared" si="783"/>
        <v>0</v>
      </c>
      <c r="EU693" s="18">
        <f t="shared" si="783"/>
        <v>0</v>
      </c>
      <c r="EV693" s="18">
        <f t="shared" si="783"/>
        <v>0</v>
      </c>
      <c r="EW693" s="18">
        <f t="shared" si="783"/>
        <v>0</v>
      </c>
      <c r="EX693" s="18">
        <f t="shared" si="783"/>
        <v>0</v>
      </c>
      <c r="EY693" s="18">
        <f t="shared" si="783"/>
        <v>0</v>
      </c>
      <c r="EZ693" s="18">
        <f t="shared" si="783"/>
        <v>0</v>
      </c>
      <c r="FA693" s="18">
        <f t="shared" si="783"/>
        <v>0</v>
      </c>
      <c r="FB693" s="18">
        <f t="shared" si="783"/>
        <v>0</v>
      </c>
      <c r="FC693" s="18">
        <f t="shared" si="783"/>
        <v>0</v>
      </c>
      <c r="FD693" s="18">
        <f t="shared" si="783"/>
        <v>0</v>
      </c>
      <c r="FE693" s="18">
        <f t="shared" si="783"/>
        <v>0</v>
      </c>
      <c r="FF693" s="18">
        <f t="shared" si="783"/>
        <v>0</v>
      </c>
      <c r="FG693" s="18">
        <f t="shared" si="783"/>
        <v>0</v>
      </c>
      <c r="FH693" s="18">
        <f t="shared" si="783"/>
        <v>0</v>
      </c>
      <c r="FI693" s="18">
        <f t="shared" si="783"/>
        <v>0</v>
      </c>
      <c r="FJ693" s="18">
        <f t="shared" si="783"/>
        <v>0</v>
      </c>
      <c r="FK693" s="18">
        <f t="shared" si="783"/>
        <v>0</v>
      </c>
      <c r="FL693" s="18">
        <f t="shared" si="783"/>
        <v>0</v>
      </c>
      <c r="FM693" s="18">
        <f t="shared" si="783"/>
        <v>0</v>
      </c>
      <c r="FN693" s="18">
        <f t="shared" si="783"/>
        <v>0</v>
      </c>
      <c r="FO693" s="18">
        <f t="shared" si="783"/>
        <v>0</v>
      </c>
      <c r="FP693" s="18">
        <f t="shared" si="783"/>
        <v>0</v>
      </c>
      <c r="FQ693" s="18">
        <f t="shared" si="783"/>
        <v>0</v>
      </c>
      <c r="FR693" s="18">
        <f t="shared" si="783"/>
        <v>0</v>
      </c>
      <c r="FS693" s="18">
        <f t="shared" si="783"/>
        <v>0</v>
      </c>
      <c r="FT693" s="18">
        <f t="shared" si="783"/>
        <v>0</v>
      </c>
      <c r="FU693" s="18">
        <f t="shared" si="783"/>
        <v>0</v>
      </c>
      <c r="FV693" s="18">
        <f t="shared" si="783"/>
        <v>0</v>
      </c>
      <c r="FW693" s="18">
        <f t="shared" si="783"/>
        <v>0</v>
      </c>
      <c r="FX693" s="18">
        <f t="shared" si="783"/>
        <v>0</v>
      </c>
      <c r="FY693" s="18">
        <f t="shared" si="783"/>
        <v>0</v>
      </c>
      <c r="FZ693" s="18">
        <f t="shared" si="783"/>
        <v>0</v>
      </c>
      <c r="GA693" s="18">
        <f t="shared" si="783"/>
        <v>0</v>
      </c>
      <c r="GB693" s="18">
        <f t="shared" si="783"/>
        <v>0</v>
      </c>
      <c r="GC693" s="18">
        <f t="shared" si="783"/>
        <v>0</v>
      </c>
      <c r="GD693" s="18">
        <f t="shared" si="783"/>
        <v>0</v>
      </c>
      <c r="GE693" s="18">
        <f t="shared" si="783"/>
        <v>0</v>
      </c>
      <c r="GF693" s="18">
        <f t="shared" si="783"/>
        <v>0</v>
      </c>
      <c r="GG693" s="18">
        <f t="shared" si="783"/>
        <v>0</v>
      </c>
      <c r="GH693" s="18">
        <f t="shared" si="783"/>
        <v>0</v>
      </c>
      <c r="GI693" s="18">
        <f t="shared" si="783"/>
        <v>0</v>
      </c>
      <c r="GJ693" s="18">
        <f t="shared" si="783"/>
        <v>0</v>
      </c>
      <c r="GK693" s="18">
        <f t="shared" si="783"/>
        <v>0</v>
      </c>
      <c r="GL693" s="18">
        <f t="shared" si="783"/>
        <v>0</v>
      </c>
      <c r="GM693" s="18">
        <f t="shared" si="783"/>
        <v>0</v>
      </c>
      <c r="GN693" s="18">
        <f t="shared" si="783"/>
        <v>0</v>
      </c>
      <c r="GO693" s="18">
        <f t="shared" ref="GO693:HT693" si="784">GO323</f>
        <v>0</v>
      </c>
      <c r="GP693" s="18">
        <f t="shared" si="784"/>
        <v>0</v>
      </c>
      <c r="GQ693" s="18">
        <f t="shared" si="784"/>
        <v>0</v>
      </c>
      <c r="GR693" s="18">
        <f t="shared" si="784"/>
        <v>0</v>
      </c>
      <c r="GS693" s="18">
        <f t="shared" si="784"/>
        <v>0</v>
      </c>
      <c r="GT693" s="18">
        <f t="shared" si="784"/>
        <v>0</v>
      </c>
      <c r="GU693" s="18">
        <f t="shared" si="784"/>
        <v>0</v>
      </c>
      <c r="GV693" s="18">
        <f t="shared" si="784"/>
        <v>0</v>
      </c>
      <c r="GW693" s="18">
        <f t="shared" si="784"/>
        <v>0</v>
      </c>
      <c r="GX693" s="18">
        <f t="shared" si="784"/>
        <v>0</v>
      </c>
      <c r="GY693" s="18">
        <f t="shared" si="784"/>
        <v>0</v>
      </c>
      <c r="GZ693" s="18">
        <f t="shared" si="784"/>
        <v>0</v>
      </c>
      <c r="HA693" s="18">
        <f t="shared" si="784"/>
        <v>0</v>
      </c>
      <c r="HB693" s="18">
        <f t="shared" si="784"/>
        <v>0</v>
      </c>
      <c r="HC693" s="18">
        <f t="shared" si="784"/>
        <v>0</v>
      </c>
      <c r="HD693" s="18">
        <f t="shared" si="784"/>
        <v>0</v>
      </c>
      <c r="HE693" s="18">
        <f t="shared" si="784"/>
        <v>0</v>
      </c>
      <c r="HF693" s="18">
        <f t="shared" si="784"/>
        <v>0</v>
      </c>
      <c r="HG693" s="18">
        <f t="shared" si="784"/>
        <v>0</v>
      </c>
      <c r="HH693" s="18">
        <f t="shared" si="784"/>
        <v>0</v>
      </c>
      <c r="HI693" s="18">
        <f t="shared" si="784"/>
        <v>0</v>
      </c>
      <c r="HJ693" s="18">
        <f t="shared" si="784"/>
        <v>0</v>
      </c>
      <c r="HK693" s="18">
        <f t="shared" si="784"/>
        <v>0</v>
      </c>
      <c r="HL693" s="18">
        <f t="shared" si="784"/>
        <v>0</v>
      </c>
      <c r="HM693" s="620">
        <f t="shared" si="784"/>
        <v>0</v>
      </c>
      <c r="HN693" s="620">
        <f t="shared" si="784"/>
        <v>0</v>
      </c>
      <c r="HO693" s="620">
        <f t="shared" si="784"/>
        <v>0</v>
      </c>
      <c r="HP693" s="620">
        <f t="shared" si="784"/>
        <v>0</v>
      </c>
      <c r="HQ693" s="620">
        <f t="shared" si="784"/>
        <v>0</v>
      </c>
      <c r="HR693" s="620">
        <f t="shared" si="784"/>
        <v>0</v>
      </c>
      <c r="HS693" s="620">
        <f t="shared" si="784"/>
        <v>0</v>
      </c>
      <c r="HT693" s="620">
        <f t="shared" si="784"/>
        <v>0</v>
      </c>
      <c r="HU693" s="620" t="s">
        <v>1811</v>
      </c>
      <c r="IB693" s="11">
        <f t="shared" ref="IB693:II693" si="785">IB323</f>
        <v>0</v>
      </c>
      <c r="IC693" s="11">
        <f t="shared" si="785"/>
        <v>0</v>
      </c>
      <c r="ID693" s="11">
        <f t="shared" si="785"/>
        <v>0</v>
      </c>
      <c r="IE693" s="11">
        <f t="shared" si="785"/>
        <v>0</v>
      </c>
      <c r="IF693" s="11">
        <f t="shared" si="785"/>
        <v>0</v>
      </c>
      <c r="IG693" s="11">
        <f t="shared" si="785"/>
        <v>0</v>
      </c>
      <c r="IH693" s="11">
        <f t="shared" si="785"/>
        <v>0</v>
      </c>
      <c r="II693" s="11">
        <f t="shared" si="785"/>
        <v>0</v>
      </c>
    </row>
    <row r="694" spans="4:243" x14ac:dyDescent="0.25">
      <c r="D694" s="27" t="str">
        <f>'Opstaldingsform-Housing '!B75</f>
        <v>……………………………………………………………………………………..</v>
      </c>
      <c r="E694" s="18">
        <f t="shared" ref="E694:BP694" si="786">E324</f>
        <v>0</v>
      </c>
      <c r="F694" s="18">
        <f t="shared" si="786"/>
        <v>0</v>
      </c>
      <c r="G694" s="18">
        <f t="shared" si="786"/>
        <v>0</v>
      </c>
      <c r="H694" s="18">
        <f t="shared" si="786"/>
        <v>0</v>
      </c>
      <c r="I694" s="18">
        <f t="shared" si="786"/>
        <v>0</v>
      </c>
      <c r="J694" s="18">
        <f t="shared" si="786"/>
        <v>0</v>
      </c>
      <c r="K694" s="18">
        <f t="shared" si="786"/>
        <v>0</v>
      </c>
      <c r="L694" s="18">
        <f t="shared" si="786"/>
        <v>0</v>
      </c>
      <c r="M694" s="18">
        <f t="shared" si="786"/>
        <v>0</v>
      </c>
      <c r="N694" s="18">
        <f t="shared" si="786"/>
        <v>0</v>
      </c>
      <c r="O694" s="18">
        <f t="shared" si="786"/>
        <v>0</v>
      </c>
      <c r="P694" s="18">
        <f t="shared" si="786"/>
        <v>0</v>
      </c>
      <c r="Q694" s="18">
        <f t="shared" si="786"/>
        <v>0</v>
      </c>
      <c r="R694" s="18">
        <f t="shared" si="786"/>
        <v>0</v>
      </c>
      <c r="S694" s="18">
        <f t="shared" si="786"/>
        <v>0</v>
      </c>
      <c r="T694" s="18">
        <f t="shared" si="786"/>
        <v>0</v>
      </c>
      <c r="U694" s="18">
        <f t="shared" si="786"/>
        <v>0</v>
      </c>
      <c r="V694" s="18">
        <f t="shared" si="786"/>
        <v>0</v>
      </c>
      <c r="W694" s="18">
        <f t="shared" si="786"/>
        <v>0</v>
      </c>
      <c r="X694" s="18">
        <f t="shared" si="786"/>
        <v>0</v>
      </c>
      <c r="Y694" s="18">
        <f t="shared" si="786"/>
        <v>0</v>
      </c>
      <c r="Z694" s="18">
        <f t="shared" si="786"/>
        <v>0</v>
      </c>
      <c r="AA694" s="18">
        <f t="shared" si="786"/>
        <v>0</v>
      </c>
      <c r="AB694" s="18">
        <f t="shared" si="786"/>
        <v>0</v>
      </c>
      <c r="AC694" s="18">
        <f t="shared" si="786"/>
        <v>0</v>
      </c>
      <c r="AD694" s="18">
        <f t="shared" si="786"/>
        <v>0</v>
      </c>
      <c r="AE694" s="18">
        <f t="shared" si="786"/>
        <v>0</v>
      </c>
      <c r="AF694" s="18">
        <f t="shared" si="786"/>
        <v>0</v>
      </c>
      <c r="AG694" s="18">
        <f t="shared" si="786"/>
        <v>0</v>
      </c>
      <c r="AH694" s="18">
        <f t="shared" si="786"/>
        <v>0</v>
      </c>
      <c r="AI694" s="18">
        <f t="shared" si="786"/>
        <v>0</v>
      </c>
      <c r="AJ694" s="18">
        <f t="shared" si="786"/>
        <v>0</v>
      </c>
      <c r="AK694" s="18">
        <f t="shared" si="786"/>
        <v>0</v>
      </c>
      <c r="AL694" s="18">
        <f t="shared" si="786"/>
        <v>0</v>
      </c>
      <c r="AM694" s="18">
        <f t="shared" si="786"/>
        <v>0</v>
      </c>
      <c r="AN694" s="18">
        <f t="shared" si="786"/>
        <v>0</v>
      </c>
      <c r="AO694" s="18">
        <f t="shared" si="786"/>
        <v>0</v>
      </c>
      <c r="AP694" s="18">
        <f t="shared" si="786"/>
        <v>0</v>
      </c>
      <c r="AQ694" s="18">
        <f t="shared" si="786"/>
        <v>0</v>
      </c>
      <c r="AR694" s="18">
        <f t="shared" si="786"/>
        <v>0</v>
      </c>
      <c r="AS694" s="18">
        <f t="shared" si="786"/>
        <v>0</v>
      </c>
      <c r="AT694" s="18">
        <f t="shared" si="786"/>
        <v>0</v>
      </c>
      <c r="AU694" s="18">
        <f t="shared" si="786"/>
        <v>0</v>
      </c>
      <c r="AV694" s="18">
        <f t="shared" si="786"/>
        <v>0</v>
      </c>
      <c r="AW694" s="18">
        <f t="shared" si="786"/>
        <v>0</v>
      </c>
      <c r="AX694" s="18">
        <f t="shared" si="786"/>
        <v>0</v>
      </c>
      <c r="AY694" s="18">
        <f t="shared" si="786"/>
        <v>0</v>
      </c>
      <c r="AZ694" s="18">
        <f t="shared" si="786"/>
        <v>0</v>
      </c>
      <c r="BA694" s="18">
        <f t="shared" si="786"/>
        <v>0</v>
      </c>
      <c r="BB694" s="18">
        <f t="shared" si="786"/>
        <v>0</v>
      </c>
      <c r="BC694" s="18">
        <f t="shared" si="786"/>
        <v>0</v>
      </c>
      <c r="BD694" s="18">
        <f t="shared" si="786"/>
        <v>0</v>
      </c>
      <c r="BE694" s="18">
        <f t="shared" si="786"/>
        <v>0</v>
      </c>
      <c r="BF694" s="18">
        <f t="shared" si="786"/>
        <v>0</v>
      </c>
      <c r="BG694" s="18">
        <f t="shared" si="786"/>
        <v>0</v>
      </c>
      <c r="BH694" s="18">
        <f t="shared" si="786"/>
        <v>0</v>
      </c>
      <c r="BI694" s="18">
        <f t="shared" si="786"/>
        <v>0</v>
      </c>
      <c r="BJ694" s="18">
        <f t="shared" si="786"/>
        <v>0</v>
      </c>
      <c r="BK694" s="18">
        <f t="shared" si="786"/>
        <v>0</v>
      </c>
      <c r="BL694" s="18">
        <f t="shared" si="786"/>
        <v>0</v>
      </c>
      <c r="BM694" s="18">
        <f t="shared" si="786"/>
        <v>0</v>
      </c>
      <c r="BN694" s="18">
        <f t="shared" si="786"/>
        <v>0</v>
      </c>
      <c r="BO694" s="18">
        <f t="shared" si="786"/>
        <v>0</v>
      </c>
      <c r="BP694" s="18">
        <f t="shared" si="786"/>
        <v>0</v>
      </c>
      <c r="BQ694" s="18">
        <f t="shared" ref="BQ694:EB694" si="787">BQ324</f>
        <v>0</v>
      </c>
      <c r="BR694" s="18">
        <f t="shared" si="787"/>
        <v>0</v>
      </c>
      <c r="BS694" s="18">
        <f t="shared" si="787"/>
        <v>0</v>
      </c>
      <c r="BT694" s="18">
        <f t="shared" si="787"/>
        <v>0</v>
      </c>
      <c r="BU694" s="18">
        <f t="shared" si="787"/>
        <v>0</v>
      </c>
      <c r="BV694" s="18">
        <f t="shared" si="787"/>
        <v>0</v>
      </c>
      <c r="BW694" s="18">
        <f t="shared" si="787"/>
        <v>0</v>
      </c>
      <c r="BX694" s="18">
        <f t="shared" si="787"/>
        <v>0</v>
      </c>
      <c r="BY694" s="18">
        <f t="shared" si="787"/>
        <v>0</v>
      </c>
      <c r="BZ694" s="18">
        <f t="shared" si="787"/>
        <v>0</v>
      </c>
      <c r="CA694" s="18">
        <f t="shared" si="787"/>
        <v>0</v>
      </c>
      <c r="CB694" s="18">
        <f t="shared" si="787"/>
        <v>0</v>
      </c>
      <c r="CC694" s="18">
        <f t="shared" si="787"/>
        <v>0</v>
      </c>
      <c r="CD694" s="18">
        <f t="shared" si="787"/>
        <v>0</v>
      </c>
      <c r="CE694" s="18">
        <f t="shared" si="787"/>
        <v>0</v>
      </c>
      <c r="CF694" s="18">
        <f t="shared" si="787"/>
        <v>0</v>
      </c>
      <c r="CG694" s="18">
        <f t="shared" si="787"/>
        <v>0</v>
      </c>
      <c r="CH694" s="18">
        <f t="shared" si="787"/>
        <v>0</v>
      </c>
      <c r="CI694" s="18">
        <f t="shared" si="787"/>
        <v>0</v>
      </c>
      <c r="CJ694" s="18">
        <f t="shared" si="787"/>
        <v>0</v>
      </c>
      <c r="CK694" s="18">
        <f t="shared" si="787"/>
        <v>0</v>
      </c>
      <c r="CL694" s="18">
        <f t="shared" si="787"/>
        <v>0</v>
      </c>
      <c r="CM694" s="18">
        <f t="shared" si="787"/>
        <v>0</v>
      </c>
      <c r="CN694" s="18">
        <f t="shared" si="787"/>
        <v>0</v>
      </c>
      <c r="CO694" s="18">
        <f t="shared" si="787"/>
        <v>0</v>
      </c>
      <c r="CP694" s="18">
        <f t="shared" si="787"/>
        <v>0</v>
      </c>
      <c r="CQ694" s="18">
        <f t="shared" si="787"/>
        <v>0</v>
      </c>
      <c r="CR694" s="18">
        <f t="shared" si="787"/>
        <v>0</v>
      </c>
      <c r="CS694" s="18">
        <f t="shared" si="787"/>
        <v>0</v>
      </c>
      <c r="CT694" s="18">
        <f t="shared" si="787"/>
        <v>0</v>
      </c>
      <c r="CU694" s="18">
        <f t="shared" si="787"/>
        <v>0</v>
      </c>
      <c r="CV694" s="18">
        <f t="shared" si="787"/>
        <v>0</v>
      </c>
      <c r="CW694" s="18">
        <f t="shared" si="787"/>
        <v>0</v>
      </c>
      <c r="CX694" s="18">
        <f t="shared" si="787"/>
        <v>0</v>
      </c>
      <c r="CY694" s="18">
        <f t="shared" si="787"/>
        <v>0</v>
      </c>
      <c r="CZ694" s="18">
        <f t="shared" si="787"/>
        <v>0</v>
      </c>
      <c r="DA694" s="18">
        <f t="shared" si="787"/>
        <v>0</v>
      </c>
      <c r="DB694" s="18">
        <f t="shared" si="787"/>
        <v>0</v>
      </c>
      <c r="DC694" s="18">
        <f t="shared" si="787"/>
        <v>0</v>
      </c>
      <c r="DD694" s="18">
        <f t="shared" si="787"/>
        <v>0</v>
      </c>
      <c r="DE694" s="18">
        <f t="shared" si="787"/>
        <v>0</v>
      </c>
      <c r="DF694" s="18">
        <f t="shared" si="787"/>
        <v>0</v>
      </c>
      <c r="DG694" s="18">
        <f t="shared" si="787"/>
        <v>0</v>
      </c>
      <c r="DH694" s="18">
        <f t="shared" si="787"/>
        <v>0</v>
      </c>
      <c r="DI694" s="18">
        <f t="shared" si="787"/>
        <v>0</v>
      </c>
      <c r="DJ694" s="18">
        <f t="shared" si="787"/>
        <v>0</v>
      </c>
      <c r="DK694" s="18">
        <f t="shared" si="787"/>
        <v>0</v>
      </c>
      <c r="DL694" s="18">
        <f t="shared" si="787"/>
        <v>0</v>
      </c>
      <c r="DM694" s="18">
        <f t="shared" si="787"/>
        <v>0</v>
      </c>
      <c r="DN694" s="18">
        <f t="shared" si="787"/>
        <v>0</v>
      </c>
      <c r="DO694" s="18">
        <f t="shared" si="787"/>
        <v>0</v>
      </c>
      <c r="DP694" s="18">
        <f t="shared" si="787"/>
        <v>0</v>
      </c>
      <c r="DQ694" s="18">
        <f t="shared" si="787"/>
        <v>0</v>
      </c>
      <c r="DR694" s="18">
        <f t="shared" si="787"/>
        <v>0</v>
      </c>
      <c r="DS694" s="18">
        <f t="shared" si="787"/>
        <v>0</v>
      </c>
      <c r="DT694" s="18">
        <f t="shared" si="787"/>
        <v>0</v>
      </c>
      <c r="DU694" s="18">
        <f t="shared" si="787"/>
        <v>0</v>
      </c>
      <c r="DV694" s="18">
        <f t="shared" si="787"/>
        <v>0</v>
      </c>
      <c r="DW694" s="18">
        <f t="shared" si="787"/>
        <v>0</v>
      </c>
      <c r="DX694" s="18">
        <f t="shared" si="787"/>
        <v>0</v>
      </c>
      <c r="DY694" s="18">
        <f t="shared" si="787"/>
        <v>0</v>
      </c>
      <c r="DZ694" s="18">
        <f t="shared" si="787"/>
        <v>0</v>
      </c>
      <c r="EA694" s="18">
        <f t="shared" si="787"/>
        <v>0</v>
      </c>
      <c r="EB694" s="18">
        <f t="shared" si="787"/>
        <v>0</v>
      </c>
      <c r="EC694" s="18">
        <f t="shared" ref="EC694:GN694" si="788">EC324</f>
        <v>0</v>
      </c>
      <c r="ED694" s="18">
        <f t="shared" si="788"/>
        <v>0</v>
      </c>
      <c r="EE694" s="18">
        <f t="shared" si="788"/>
        <v>0</v>
      </c>
      <c r="EF694" s="18">
        <f t="shared" si="788"/>
        <v>0</v>
      </c>
      <c r="EG694" s="18">
        <f t="shared" si="788"/>
        <v>0</v>
      </c>
      <c r="EH694" s="18">
        <f t="shared" si="788"/>
        <v>0</v>
      </c>
      <c r="EI694" s="18">
        <f t="shared" si="788"/>
        <v>0</v>
      </c>
      <c r="EJ694" s="18">
        <f t="shared" si="788"/>
        <v>0</v>
      </c>
      <c r="EK694" s="18">
        <f t="shared" si="788"/>
        <v>0</v>
      </c>
      <c r="EL694" s="18">
        <f t="shared" si="788"/>
        <v>0</v>
      </c>
      <c r="EM694" s="18">
        <f t="shared" si="788"/>
        <v>0</v>
      </c>
      <c r="EN694" s="18">
        <f t="shared" si="788"/>
        <v>0</v>
      </c>
      <c r="EO694" s="18">
        <f t="shared" si="788"/>
        <v>0</v>
      </c>
      <c r="EP694" s="18">
        <f t="shared" si="788"/>
        <v>0</v>
      </c>
      <c r="EQ694" s="18">
        <f t="shared" si="788"/>
        <v>0</v>
      </c>
      <c r="ER694" s="18">
        <f t="shared" si="788"/>
        <v>0</v>
      </c>
      <c r="ES694" s="18">
        <f t="shared" si="788"/>
        <v>0</v>
      </c>
      <c r="ET694" s="18">
        <f t="shared" si="788"/>
        <v>0</v>
      </c>
      <c r="EU694" s="18">
        <f t="shared" si="788"/>
        <v>0</v>
      </c>
      <c r="EV694" s="18">
        <f t="shared" si="788"/>
        <v>0</v>
      </c>
      <c r="EW694" s="18">
        <f t="shared" si="788"/>
        <v>0</v>
      </c>
      <c r="EX694" s="18">
        <f t="shared" si="788"/>
        <v>0</v>
      </c>
      <c r="EY694" s="18">
        <f t="shared" si="788"/>
        <v>0</v>
      </c>
      <c r="EZ694" s="18">
        <f t="shared" si="788"/>
        <v>0</v>
      </c>
      <c r="FA694" s="18">
        <f t="shared" si="788"/>
        <v>0</v>
      </c>
      <c r="FB694" s="18">
        <f t="shared" si="788"/>
        <v>0</v>
      </c>
      <c r="FC694" s="18">
        <f t="shared" si="788"/>
        <v>0</v>
      </c>
      <c r="FD694" s="18">
        <f t="shared" si="788"/>
        <v>0</v>
      </c>
      <c r="FE694" s="18">
        <f t="shared" si="788"/>
        <v>0</v>
      </c>
      <c r="FF694" s="18">
        <f t="shared" si="788"/>
        <v>0</v>
      </c>
      <c r="FG694" s="18">
        <f t="shared" si="788"/>
        <v>0</v>
      </c>
      <c r="FH694" s="18">
        <f t="shared" si="788"/>
        <v>0</v>
      </c>
      <c r="FI694" s="18">
        <f t="shared" si="788"/>
        <v>0</v>
      </c>
      <c r="FJ694" s="18">
        <f t="shared" si="788"/>
        <v>0</v>
      </c>
      <c r="FK694" s="18">
        <f t="shared" si="788"/>
        <v>0</v>
      </c>
      <c r="FL694" s="18">
        <f t="shared" si="788"/>
        <v>0</v>
      </c>
      <c r="FM694" s="18">
        <f t="shared" si="788"/>
        <v>0</v>
      </c>
      <c r="FN694" s="18">
        <f t="shared" si="788"/>
        <v>0</v>
      </c>
      <c r="FO694" s="18">
        <f t="shared" si="788"/>
        <v>0</v>
      </c>
      <c r="FP694" s="18">
        <f t="shared" si="788"/>
        <v>0</v>
      </c>
      <c r="FQ694" s="18">
        <f t="shared" si="788"/>
        <v>0</v>
      </c>
      <c r="FR694" s="18">
        <f t="shared" si="788"/>
        <v>0</v>
      </c>
      <c r="FS694" s="18">
        <f t="shared" si="788"/>
        <v>0</v>
      </c>
      <c r="FT694" s="18">
        <f t="shared" si="788"/>
        <v>0</v>
      </c>
      <c r="FU694" s="18">
        <f t="shared" si="788"/>
        <v>0</v>
      </c>
      <c r="FV694" s="18">
        <f t="shared" si="788"/>
        <v>0</v>
      </c>
      <c r="FW694" s="18">
        <f t="shared" si="788"/>
        <v>0</v>
      </c>
      <c r="FX694" s="18">
        <f t="shared" si="788"/>
        <v>0</v>
      </c>
      <c r="FY694" s="18">
        <f t="shared" si="788"/>
        <v>0</v>
      </c>
      <c r="FZ694" s="18">
        <f t="shared" si="788"/>
        <v>0</v>
      </c>
      <c r="GA694" s="18">
        <f t="shared" si="788"/>
        <v>0</v>
      </c>
      <c r="GB694" s="18">
        <f t="shared" si="788"/>
        <v>0</v>
      </c>
      <c r="GC694" s="18">
        <f t="shared" si="788"/>
        <v>0</v>
      </c>
      <c r="GD694" s="18">
        <f t="shared" si="788"/>
        <v>0</v>
      </c>
      <c r="GE694" s="18">
        <f t="shared" si="788"/>
        <v>0</v>
      </c>
      <c r="GF694" s="18">
        <f t="shared" si="788"/>
        <v>0</v>
      </c>
      <c r="GG694" s="18">
        <f t="shared" si="788"/>
        <v>0</v>
      </c>
      <c r="GH694" s="18">
        <f t="shared" si="788"/>
        <v>0</v>
      </c>
      <c r="GI694" s="18">
        <f t="shared" si="788"/>
        <v>0</v>
      </c>
      <c r="GJ694" s="18">
        <f t="shared" si="788"/>
        <v>0</v>
      </c>
      <c r="GK694" s="18">
        <f t="shared" si="788"/>
        <v>0</v>
      </c>
      <c r="GL694" s="18">
        <f t="shared" si="788"/>
        <v>0</v>
      </c>
      <c r="GM694" s="18">
        <f t="shared" si="788"/>
        <v>0</v>
      </c>
      <c r="GN694" s="18">
        <f t="shared" si="788"/>
        <v>0</v>
      </c>
      <c r="GO694" s="18">
        <f t="shared" ref="GO694:HT694" si="789">GO324</f>
        <v>0</v>
      </c>
      <c r="GP694" s="18">
        <f t="shared" si="789"/>
        <v>0</v>
      </c>
      <c r="GQ694" s="18">
        <f t="shared" si="789"/>
        <v>0</v>
      </c>
      <c r="GR694" s="18">
        <f t="shared" si="789"/>
        <v>0</v>
      </c>
      <c r="GS694" s="18">
        <f t="shared" si="789"/>
        <v>0</v>
      </c>
      <c r="GT694" s="18">
        <f t="shared" si="789"/>
        <v>0</v>
      </c>
      <c r="GU694" s="18">
        <f t="shared" si="789"/>
        <v>0</v>
      </c>
      <c r="GV694" s="18">
        <f t="shared" si="789"/>
        <v>0</v>
      </c>
      <c r="GW694" s="18">
        <f t="shared" si="789"/>
        <v>0</v>
      </c>
      <c r="GX694" s="18">
        <f t="shared" si="789"/>
        <v>0</v>
      </c>
      <c r="GY694" s="18">
        <f t="shared" si="789"/>
        <v>0</v>
      </c>
      <c r="GZ694" s="18">
        <f t="shared" si="789"/>
        <v>0</v>
      </c>
      <c r="HA694" s="18">
        <f t="shared" si="789"/>
        <v>0</v>
      </c>
      <c r="HB694" s="18">
        <f t="shared" si="789"/>
        <v>0</v>
      </c>
      <c r="HC694" s="18">
        <f t="shared" si="789"/>
        <v>0</v>
      </c>
      <c r="HD694" s="18">
        <f t="shared" si="789"/>
        <v>0</v>
      </c>
      <c r="HE694" s="18">
        <f t="shared" si="789"/>
        <v>0</v>
      </c>
      <c r="HF694" s="18">
        <f t="shared" si="789"/>
        <v>0</v>
      </c>
      <c r="HG694" s="18">
        <f t="shared" si="789"/>
        <v>0</v>
      </c>
      <c r="HH694" s="18">
        <f t="shared" si="789"/>
        <v>0</v>
      </c>
      <c r="HI694" s="18">
        <f t="shared" si="789"/>
        <v>0</v>
      </c>
      <c r="HJ694" s="18">
        <f t="shared" si="789"/>
        <v>0</v>
      </c>
      <c r="HK694" s="18">
        <f t="shared" si="789"/>
        <v>0</v>
      </c>
      <c r="HL694" s="18">
        <f t="shared" si="789"/>
        <v>0</v>
      </c>
      <c r="HM694" s="620">
        <f t="shared" si="789"/>
        <v>0</v>
      </c>
      <c r="HN694" s="620">
        <f t="shared" si="789"/>
        <v>0</v>
      </c>
      <c r="HO694" s="620">
        <f t="shared" si="789"/>
        <v>0</v>
      </c>
      <c r="HP694" s="620">
        <f t="shared" si="789"/>
        <v>0</v>
      </c>
      <c r="HQ694" s="620">
        <f t="shared" si="789"/>
        <v>0</v>
      </c>
      <c r="HR694" s="620">
        <f t="shared" si="789"/>
        <v>0</v>
      </c>
      <c r="HS694" s="620">
        <f t="shared" si="789"/>
        <v>0</v>
      </c>
      <c r="HT694" s="620">
        <f t="shared" si="789"/>
        <v>0</v>
      </c>
      <c r="HU694" s="620" t="s">
        <v>1811</v>
      </c>
      <c r="IB694" s="11">
        <f t="shared" ref="IB694:II694" si="790">IB324</f>
        <v>0</v>
      </c>
      <c r="IC694" s="11">
        <f t="shared" si="790"/>
        <v>0</v>
      </c>
      <c r="ID694" s="11">
        <f t="shared" si="790"/>
        <v>0</v>
      </c>
      <c r="IE694" s="11">
        <f t="shared" si="790"/>
        <v>0</v>
      </c>
      <c r="IF694" s="11">
        <f t="shared" si="790"/>
        <v>0</v>
      </c>
      <c r="IG694" s="11">
        <f t="shared" si="790"/>
        <v>0</v>
      </c>
      <c r="IH694" s="11">
        <f t="shared" si="790"/>
        <v>0</v>
      </c>
      <c r="II694" s="11">
        <f t="shared" si="790"/>
        <v>0</v>
      </c>
    </row>
    <row r="695" spans="4:243" x14ac:dyDescent="0.25">
      <c r="D695" s="27" t="str">
        <f>D325</f>
        <v>Vælg……………………………………</v>
      </c>
      <c r="E695" s="629">
        <f>E325</f>
        <v>0</v>
      </c>
      <c r="F695" s="629">
        <f t="shared" ref="F695:BQ695" si="791">F325</f>
        <v>0</v>
      </c>
      <c r="G695" s="629">
        <f t="shared" si="791"/>
        <v>0</v>
      </c>
      <c r="H695" s="629">
        <f t="shared" si="791"/>
        <v>0</v>
      </c>
      <c r="I695" s="629">
        <f t="shared" si="791"/>
        <v>0</v>
      </c>
      <c r="J695" s="629">
        <f t="shared" si="791"/>
        <v>0</v>
      </c>
      <c r="K695" s="629">
        <f t="shared" si="791"/>
        <v>0</v>
      </c>
      <c r="L695" s="629">
        <f t="shared" si="791"/>
        <v>0</v>
      </c>
      <c r="M695" s="629">
        <f t="shared" si="791"/>
        <v>0</v>
      </c>
      <c r="N695" s="629">
        <f t="shared" si="791"/>
        <v>0</v>
      </c>
      <c r="O695" s="629">
        <f t="shared" si="791"/>
        <v>0</v>
      </c>
      <c r="P695" s="629">
        <f t="shared" si="791"/>
        <v>0</v>
      </c>
      <c r="Q695" s="629">
        <f t="shared" si="791"/>
        <v>0</v>
      </c>
      <c r="R695" s="629">
        <f t="shared" si="791"/>
        <v>0</v>
      </c>
      <c r="S695" s="629">
        <f t="shared" si="791"/>
        <v>0</v>
      </c>
      <c r="T695" s="629">
        <f t="shared" si="791"/>
        <v>0</v>
      </c>
      <c r="U695" s="629">
        <f t="shared" si="791"/>
        <v>0</v>
      </c>
      <c r="V695" s="629">
        <f t="shared" si="791"/>
        <v>0</v>
      </c>
      <c r="W695" s="629">
        <f t="shared" si="791"/>
        <v>0</v>
      </c>
      <c r="X695" s="629">
        <f t="shared" si="791"/>
        <v>0</v>
      </c>
      <c r="Y695" s="629">
        <f t="shared" si="791"/>
        <v>0</v>
      </c>
      <c r="Z695" s="629">
        <f t="shared" si="791"/>
        <v>0</v>
      </c>
      <c r="AA695" s="629">
        <f t="shared" si="791"/>
        <v>0</v>
      </c>
      <c r="AB695" s="629">
        <f t="shared" si="791"/>
        <v>0</v>
      </c>
      <c r="AC695" s="629">
        <f t="shared" si="791"/>
        <v>0</v>
      </c>
      <c r="AD695" s="629">
        <f t="shared" si="791"/>
        <v>0</v>
      </c>
      <c r="AE695" s="629">
        <f t="shared" si="791"/>
        <v>0</v>
      </c>
      <c r="AF695" s="629">
        <f t="shared" si="791"/>
        <v>0</v>
      </c>
      <c r="AG695" s="629">
        <f t="shared" si="791"/>
        <v>0</v>
      </c>
      <c r="AH695" s="629">
        <f t="shared" si="791"/>
        <v>0</v>
      </c>
      <c r="AI695" s="629">
        <f t="shared" si="791"/>
        <v>0</v>
      </c>
      <c r="AJ695" s="629">
        <f t="shared" si="791"/>
        <v>0</v>
      </c>
      <c r="AK695" s="629">
        <f t="shared" si="791"/>
        <v>0</v>
      </c>
      <c r="AL695" s="629">
        <f t="shared" si="791"/>
        <v>0</v>
      </c>
      <c r="AM695" s="629">
        <f t="shared" si="791"/>
        <v>0</v>
      </c>
      <c r="AN695" s="629">
        <f t="shared" si="791"/>
        <v>0</v>
      </c>
      <c r="AO695" s="629">
        <f t="shared" si="791"/>
        <v>0</v>
      </c>
      <c r="AP695" s="629">
        <f t="shared" si="791"/>
        <v>0</v>
      </c>
      <c r="AQ695" s="629">
        <f t="shared" si="791"/>
        <v>0</v>
      </c>
      <c r="AR695" s="629">
        <f t="shared" si="791"/>
        <v>0</v>
      </c>
      <c r="AS695" s="629">
        <f t="shared" si="791"/>
        <v>0</v>
      </c>
      <c r="AT695" s="629">
        <f t="shared" si="791"/>
        <v>0</v>
      </c>
      <c r="AU695" s="629">
        <f t="shared" si="791"/>
        <v>0</v>
      </c>
      <c r="AV695" s="629">
        <f t="shared" si="791"/>
        <v>0</v>
      </c>
      <c r="AW695" s="629">
        <f t="shared" si="791"/>
        <v>0</v>
      </c>
      <c r="AX695" s="629">
        <f t="shared" si="791"/>
        <v>0</v>
      </c>
      <c r="AY695" s="629">
        <f t="shared" si="791"/>
        <v>0</v>
      </c>
      <c r="AZ695" s="629">
        <f t="shared" si="791"/>
        <v>0</v>
      </c>
      <c r="BA695" s="629">
        <f t="shared" si="791"/>
        <v>0</v>
      </c>
      <c r="BB695" s="629">
        <f t="shared" si="791"/>
        <v>0</v>
      </c>
      <c r="BC695" s="629">
        <f t="shared" si="791"/>
        <v>0</v>
      </c>
      <c r="BD695" s="629">
        <f t="shared" si="791"/>
        <v>0</v>
      </c>
      <c r="BE695" s="629">
        <f t="shared" si="791"/>
        <v>0</v>
      </c>
      <c r="BF695" s="629">
        <f t="shared" si="791"/>
        <v>0</v>
      </c>
      <c r="BG695" s="629">
        <f t="shared" si="791"/>
        <v>0</v>
      </c>
      <c r="BH695" s="629">
        <f t="shared" si="791"/>
        <v>0</v>
      </c>
      <c r="BI695" s="629">
        <f t="shared" si="791"/>
        <v>0</v>
      </c>
      <c r="BJ695" s="629">
        <f t="shared" si="791"/>
        <v>0</v>
      </c>
      <c r="BK695" s="629">
        <f t="shared" si="791"/>
        <v>0</v>
      </c>
      <c r="BL695" s="629">
        <f t="shared" si="791"/>
        <v>0</v>
      </c>
      <c r="BM695" s="629">
        <f t="shared" si="791"/>
        <v>0</v>
      </c>
      <c r="BN695" s="629">
        <f t="shared" si="791"/>
        <v>0</v>
      </c>
      <c r="BO695" s="629">
        <f t="shared" si="791"/>
        <v>0</v>
      </c>
      <c r="BP695" s="629">
        <f t="shared" si="791"/>
        <v>0</v>
      </c>
      <c r="BQ695" s="629">
        <f t="shared" si="791"/>
        <v>0</v>
      </c>
      <c r="BR695" s="629">
        <f t="shared" ref="BR695:EC695" si="792">BR325</f>
        <v>0</v>
      </c>
      <c r="BS695" s="629">
        <f t="shared" si="792"/>
        <v>0</v>
      </c>
      <c r="BT695" s="629">
        <f t="shared" si="792"/>
        <v>0</v>
      </c>
      <c r="BU695" s="629">
        <f t="shared" si="792"/>
        <v>0</v>
      </c>
      <c r="BV695" s="629">
        <f t="shared" si="792"/>
        <v>0</v>
      </c>
      <c r="BW695" s="629">
        <f t="shared" si="792"/>
        <v>0</v>
      </c>
      <c r="BX695" s="629">
        <f t="shared" si="792"/>
        <v>0</v>
      </c>
      <c r="BY695" s="629">
        <f t="shared" si="792"/>
        <v>0</v>
      </c>
      <c r="BZ695" s="629">
        <f t="shared" si="792"/>
        <v>0</v>
      </c>
      <c r="CA695" s="629">
        <f t="shared" si="792"/>
        <v>0</v>
      </c>
      <c r="CB695" s="629">
        <f t="shared" si="792"/>
        <v>0</v>
      </c>
      <c r="CC695" s="629">
        <f t="shared" si="792"/>
        <v>0</v>
      </c>
      <c r="CD695" s="629">
        <f t="shared" si="792"/>
        <v>0</v>
      </c>
      <c r="CE695" s="629">
        <f t="shared" si="792"/>
        <v>0</v>
      </c>
      <c r="CF695" s="629">
        <f t="shared" si="792"/>
        <v>0</v>
      </c>
      <c r="CG695" s="629">
        <f t="shared" si="792"/>
        <v>0</v>
      </c>
      <c r="CH695" s="629">
        <f t="shared" si="792"/>
        <v>0</v>
      </c>
      <c r="CI695" s="629">
        <f t="shared" si="792"/>
        <v>0</v>
      </c>
      <c r="CJ695" s="629">
        <f t="shared" si="792"/>
        <v>0</v>
      </c>
      <c r="CK695" s="629">
        <f t="shared" si="792"/>
        <v>0</v>
      </c>
      <c r="CL695" s="629">
        <f t="shared" si="792"/>
        <v>0</v>
      </c>
      <c r="CM695" s="629">
        <f t="shared" si="792"/>
        <v>0</v>
      </c>
      <c r="CN695" s="629">
        <f t="shared" si="792"/>
        <v>0</v>
      </c>
      <c r="CO695" s="629">
        <f t="shared" si="792"/>
        <v>0</v>
      </c>
      <c r="CP695" s="629">
        <f t="shared" si="792"/>
        <v>0</v>
      </c>
      <c r="CQ695" s="629">
        <f t="shared" si="792"/>
        <v>0</v>
      </c>
      <c r="CR695" s="629">
        <f t="shared" si="792"/>
        <v>0</v>
      </c>
      <c r="CS695" s="629">
        <f t="shared" si="792"/>
        <v>0</v>
      </c>
      <c r="CT695" s="629">
        <f t="shared" si="792"/>
        <v>0</v>
      </c>
      <c r="CU695" s="629">
        <f t="shared" si="792"/>
        <v>0</v>
      </c>
      <c r="CV695" s="629">
        <f t="shared" si="792"/>
        <v>0</v>
      </c>
      <c r="CW695" s="629">
        <f t="shared" si="792"/>
        <v>0</v>
      </c>
      <c r="CX695" s="629">
        <f t="shared" si="792"/>
        <v>0</v>
      </c>
      <c r="CY695" s="629">
        <f t="shared" si="792"/>
        <v>0</v>
      </c>
      <c r="CZ695" s="629">
        <f t="shared" si="792"/>
        <v>0</v>
      </c>
      <c r="DA695" s="629">
        <f t="shared" si="792"/>
        <v>0</v>
      </c>
      <c r="DB695" s="629">
        <f t="shared" si="792"/>
        <v>0</v>
      </c>
      <c r="DC695" s="629">
        <f t="shared" si="792"/>
        <v>0</v>
      </c>
      <c r="DD695" s="629">
        <f t="shared" si="792"/>
        <v>0</v>
      </c>
      <c r="DE695" s="629">
        <f t="shared" si="792"/>
        <v>0</v>
      </c>
      <c r="DF695" s="629">
        <f t="shared" si="792"/>
        <v>0</v>
      </c>
      <c r="DG695" s="629">
        <f t="shared" si="792"/>
        <v>0</v>
      </c>
      <c r="DH695" s="629">
        <f t="shared" si="792"/>
        <v>0</v>
      </c>
      <c r="DI695" s="629">
        <f t="shared" si="792"/>
        <v>0</v>
      </c>
      <c r="DJ695" s="629">
        <f t="shared" si="792"/>
        <v>0</v>
      </c>
      <c r="DK695" s="629">
        <f t="shared" si="792"/>
        <v>0</v>
      </c>
      <c r="DL695" s="629">
        <f t="shared" si="792"/>
        <v>0</v>
      </c>
      <c r="DM695" s="629">
        <f t="shared" si="792"/>
        <v>0</v>
      </c>
      <c r="DN695" s="629">
        <f t="shared" si="792"/>
        <v>0</v>
      </c>
      <c r="DO695" s="629">
        <f t="shared" si="792"/>
        <v>0</v>
      </c>
      <c r="DP695" s="629">
        <f t="shared" si="792"/>
        <v>0</v>
      </c>
      <c r="DQ695" s="629">
        <f t="shared" si="792"/>
        <v>0</v>
      </c>
      <c r="DR695" s="629">
        <f t="shared" si="792"/>
        <v>0</v>
      </c>
      <c r="DS695" s="629">
        <f t="shared" si="792"/>
        <v>0</v>
      </c>
      <c r="DT695" s="629">
        <f t="shared" si="792"/>
        <v>0</v>
      </c>
      <c r="DU695" s="629">
        <f t="shared" si="792"/>
        <v>0</v>
      </c>
      <c r="DV695" s="629">
        <f t="shared" si="792"/>
        <v>0</v>
      </c>
      <c r="DW695" s="629">
        <f t="shared" si="792"/>
        <v>0</v>
      </c>
      <c r="DX695" s="629">
        <f t="shared" si="792"/>
        <v>0</v>
      </c>
      <c r="DY695" s="629">
        <f t="shared" si="792"/>
        <v>0</v>
      </c>
      <c r="DZ695" s="629">
        <f t="shared" si="792"/>
        <v>0</v>
      </c>
      <c r="EA695" s="629">
        <f t="shared" si="792"/>
        <v>0</v>
      </c>
      <c r="EB695" s="629">
        <f t="shared" si="792"/>
        <v>0</v>
      </c>
      <c r="EC695" s="629">
        <f t="shared" si="792"/>
        <v>0</v>
      </c>
      <c r="ED695" s="629">
        <f t="shared" ref="ED695:GO695" si="793">ED325</f>
        <v>0</v>
      </c>
      <c r="EE695" s="629">
        <f t="shared" si="793"/>
        <v>0</v>
      </c>
      <c r="EF695" s="629">
        <f t="shared" si="793"/>
        <v>0</v>
      </c>
      <c r="EG695" s="629">
        <f t="shared" si="793"/>
        <v>0</v>
      </c>
      <c r="EH695" s="629">
        <f t="shared" si="793"/>
        <v>0</v>
      </c>
      <c r="EI695" s="629">
        <f t="shared" si="793"/>
        <v>0</v>
      </c>
      <c r="EJ695" s="629">
        <f t="shared" si="793"/>
        <v>0</v>
      </c>
      <c r="EK695" s="629">
        <f t="shared" si="793"/>
        <v>0</v>
      </c>
      <c r="EL695" s="629">
        <f t="shared" si="793"/>
        <v>0</v>
      </c>
      <c r="EM695" s="629">
        <f t="shared" si="793"/>
        <v>0</v>
      </c>
      <c r="EN695" s="629">
        <f t="shared" si="793"/>
        <v>0</v>
      </c>
      <c r="EO695" s="629">
        <f t="shared" si="793"/>
        <v>0</v>
      </c>
      <c r="EP695" s="629">
        <f t="shared" si="793"/>
        <v>0</v>
      </c>
      <c r="EQ695" s="629">
        <f t="shared" si="793"/>
        <v>0</v>
      </c>
      <c r="ER695" s="629">
        <f t="shared" si="793"/>
        <v>0</v>
      </c>
      <c r="ES695" s="629">
        <f t="shared" si="793"/>
        <v>0</v>
      </c>
      <c r="ET695" s="629">
        <f t="shared" si="793"/>
        <v>0</v>
      </c>
      <c r="EU695" s="629">
        <f t="shared" si="793"/>
        <v>0</v>
      </c>
      <c r="EV695" s="629">
        <f t="shared" si="793"/>
        <v>0</v>
      </c>
      <c r="EW695" s="629">
        <f t="shared" si="793"/>
        <v>0</v>
      </c>
      <c r="EX695" s="629">
        <f t="shared" si="793"/>
        <v>0</v>
      </c>
      <c r="EY695" s="629">
        <f t="shared" si="793"/>
        <v>0</v>
      </c>
      <c r="EZ695" s="629">
        <f t="shared" si="793"/>
        <v>0</v>
      </c>
      <c r="FA695" s="629">
        <f t="shared" si="793"/>
        <v>0</v>
      </c>
      <c r="FB695" s="629">
        <f t="shared" si="793"/>
        <v>0</v>
      </c>
      <c r="FC695" s="629">
        <f t="shared" si="793"/>
        <v>0</v>
      </c>
      <c r="FD695" s="629">
        <f t="shared" si="793"/>
        <v>0</v>
      </c>
      <c r="FE695" s="629">
        <f t="shared" si="793"/>
        <v>0</v>
      </c>
      <c r="FF695" s="629">
        <f t="shared" si="793"/>
        <v>0</v>
      </c>
      <c r="FG695" s="629">
        <f t="shared" si="793"/>
        <v>0</v>
      </c>
      <c r="FH695" s="629">
        <f t="shared" si="793"/>
        <v>0</v>
      </c>
      <c r="FI695" s="629">
        <f t="shared" si="793"/>
        <v>0</v>
      </c>
      <c r="FJ695" s="629">
        <f t="shared" si="793"/>
        <v>0</v>
      </c>
      <c r="FK695" s="629">
        <f t="shared" si="793"/>
        <v>0</v>
      </c>
      <c r="FL695" s="629">
        <f t="shared" si="793"/>
        <v>0</v>
      </c>
      <c r="FM695" s="629">
        <f t="shared" si="793"/>
        <v>0</v>
      </c>
      <c r="FN695" s="629">
        <f t="shared" si="793"/>
        <v>0</v>
      </c>
      <c r="FO695" s="629">
        <f t="shared" si="793"/>
        <v>0</v>
      </c>
      <c r="FP695" s="629">
        <f t="shared" si="793"/>
        <v>0</v>
      </c>
      <c r="FQ695" s="629">
        <f t="shared" si="793"/>
        <v>0</v>
      </c>
      <c r="FR695" s="629">
        <f t="shared" si="793"/>
        <v>0</v>
      </c>
      <c r="FS695" s="629">
        <f t="shared" si="793"/>
        <v>0</v>
      </c>
      <c r="FT695" s="629">
        <f t="shared" si="793"/>
        <v>0</v>
      </c>
      <c r="FU695" s="629">
        <f t="shared" si="793"/>
        <v>0</v>
      </c>
      <c r="FV695" s="629">
        <f t="shared" si="793"/>
        <v>0</v>
      </c>
      <c r="FW695" s="629">
        <f t="shared" si="793"/>
        <v>0</v>
      </c>
      <c r="FX695" s="629">
        <f t="shared" si="793"/>
        <v>0</v>
      </c>
      <c r="FY695" s="629">
        <f t="shared" si="793"/>
        <v>0</v>
      </c>
      <c r="FZ695" s="629">
        <f t="shared" si="793"/>
        <v>0</v>
      </c>
      <c r="GA695" s="629">
        <f t="shared" si="793"/>
        <v>0</v>
      </c>
      <c r="GB695" s="629">
        <f t="shared" si="793"/>
        <v>0</v>
      </c>
      <c r="GC695" s="629">
        <f t="shared" si="793"/>
        <v>0</v>
      </c>
      <c r="GD695" s="629">
        <f t="shared" si="793"/>
        <v>0</v>
      </c>
      <c r="GE695" s="629">
        <f t="shared" si="793"/>
        <v>0</v>
      </c>
      <c r="GF695" s="629">
        <f t="shared" si="793"/>
        <v>0</v>
      </c>
      <c r="GG695" s="629">
        <f t="shared" si="793"/>
        <v>0</v>
      </c>
      <c r="GH695" s="629">
        <f t="shared" si="793"/>
        <v>0</v>
      </c>
      <c r="GI695" s="629">
        <f t="shared" si="793"/>
        <v>0</v>
      </c>
      <c r="GJ695" s="629">
        <f t="shared" si="793"/>
        <v>0</v>
      </c>
      <c r="GK695" s="629">
        <f t="shared" si="793"/>
        <v>0</v>
      </c>
      <c r="GL695" s="629">
        <f t="shared" si="793"/>
        <v>0</v>
      </c>
      <c r="GM695" s="629">
        <f t="shared" si="793"/>
        <v>0</v>
      </c>
      <c r="GN695" s="629">
        <f t="shared" si="793"/>
        <v>0</v>
      </c>
      <c r="GO695" s="629">
        <f t="shared" si="793"/>
        <v>0</v>
      </c>
      <c r="GP695" s="629">
        <f t="shared" ref="GP695:HT695" si="794">GP325</f>
        <v>0</v>
      </c>
      <c r="GQ695" s="629">
        <f t="shared" si="794"/>
        <v>0</v>
      </c>
      <c r="GR695" s="629">
        <f t="shared" si="794"/>
        <v>0</v>
      </c>
      <c r="GS695" s="629">
        <f t="shared" si="794"/>
        <v>0</v>
      </c>
      <c r="GT695" s="629">
        <f t="shared" si="794"/>
        <v>0</v>
      </c>
      <c r="GU695" s="629">
        <f t="shared" si="794"/>
        <v>0</v>
      </c>
      <c r="GV695" s="629">
        <f t="shared" si="794"/>
        <v>0</v>
      </c>
      <c r="GW695" s="629">
        <f t="shared" si="794"/>
        <v>0</v>
      </c>
      <c r="GX695" s="629">
        <f t="shared" si="794"/>
        <v>0</v>
      </c>
      <c r="GY695" s="629">
        <f t="shared" si="794"/>
        <v>0</v>
      </c>
      <c r="GZ695" s="629">
        <f t="shared" si="794"/>
        <v>0</v>
      </c>
      <c r="HA695" s="629">
        <f t="shared" si="794"/>
        <v>0</v>
      </c>
      <c r="HB695" s="629">
        <f t="shared" si="794"/>
        <v>0</v>
      </c>
      <c r="HC695" s="629">
        <f t="shared" si="794"/>
        <v>0</v>
      </c>
      <c r="HD695" s="629">
        <f t="shared" si="794"/>
        <v>0</v>
      </c>
      <c r="HE695" s="629">
        <f t="shared" si="794"/>
        <v>0</v>
      </c>
      <c r="HF695" s="629">
        <f t="shared" si="794"/>
        <v>0</v>
      </c>
      <c r="HG695" s="629">
        <f t="shared" si="794"/>
        <v>0</v>
      </c>
      <c r="HH695" s="629">
        <f t="shared" si="794"/>
        <v>0</v>
      </c>
      <c r="HI695" s="629">
        <f t="shared" si="794"/>
        <v>0</v>
      </c>
      <c r="HJ695" s="629">
        <f t="shared" si="794"/>
        <v>0</v>
      </c>
      <c r="HK695" s="629">
        <f t="shared" si="794"/>
        <v>0</v>
      </c>
      <c r="HL695" s="629">
        <f t="shared" si="794"/>
        <v>0</v>
      </c>
      <c r="HM695" s="629">
        <f t="shared" si="794"/>
        <v>0</v>
      </c>
      <c r="HN695" s="629">
        <f t="shared" si="794"/>
        <v>0</v>
      </c>
      <c r="HO695" s="629">
        <f t="shared" si="794"/>
        <v>0</v>
      </c>
      <c r="HP695" s="629">
        <f t="shared" si="794"/>
        <v>0</v>
      </c>
      <c r="HQ695" s="629">
        <f t="shared" si="794"/>
        <v>0</v>
      </c>
      <c r="HR695" s="629">
        <f t="shared" si="794"/>
        <v>0</v>
      </c>
      <c r="HS695" s="629">
        <f t="shared" si="794"/>
        <v>0</v>
      </c>
      <c r="HT695" s="629">
        <f t="shared" si="794"/>
        <v>0</v>
      </c>
      <c r="HU695" s="620" t="s">
        <v>1810</v>
      </c>
      <c r="HV695" s="827" t="e">
        <f t="shared" ref="HV695:HV700" si="795">VLOOKUP(D695, cropsonfarm, 17, FALSE)</f>
        <v>#N/A</v>
      </c>
      <c r="IB695" s="11">
        <f t="shared" ref="IB695:II695" si="796">IB325</f>
        <v>0</v>
      </c>
      <c r="IC695" s="11">
        <f t="shared" si="796"/>
        <v>0</v>
      </c>
      <c r="ID695" s="11">
        <f t="shared" si="796"/>
        <v>0</v>
      </c>
      <c r="IE695" s="11">
        <f t="shared" si="796"/>
        <v>0</v>
      </c>
      <c r="IF695" s="11">
        <f t="shared" si="796"/>
        <v>0</v>
      </c>
      <c r="IG695" s="11">
        <f t="shared" si="796"/>
        <v>0</v>
      </c>
      <c r="IH695" s="11">
        <f t="shared" si="796"/>
        <v>0</v>
      </c>
      <c r="II695" s="11">
        <f t="shared" si="796"/>
        <v>0</v>
      </c>
    </row>
    <row r="696" spans="4:243" x14ac:dyDescent="0.25">
      <c r="D696" s="27" t="str">
        <f t="shared" ref="D696:E700" si="797">D326</f>
        <v>Vælg……………………………………</v>
      </c>
      <c r="E696" s="629">
        <f t="shared" si="797"/>
        <v>0</v>
      </c>
      <c r="F696" s="629">
        <f t="shared" ref="F696:BQ696" si="798">F326</f>
        <v>0</v>
      </c>
      <c r="G696" s="629">
        <f t="shared" si="798"/>
        <v>0</v>
      </c>
      <c r="H696" s="629">
        <f t="shared" si="798"/>
        <v>0</v>
      </c>
      <c r="I696" s="629">
        <f t="shared" si="798"/>
        <v>0</v>
      </c>
      <c r="J696" s="629">
        <f t="shared" si="798"/>
        <v>0</v>
      </c>
      <c r="K696" s="629">
        <f t="shared" si="798"/>
        <v>0</v>
      </c>
      <c r="L696" s="629">
        <f t="shared" si="798"/>
        <v>0</v>
      </c>
      <c r="M696" s="629">
        <f t="shared" si="798"/>
        <v>0</v>
      </c>
      <c r="N696" s="629">
        <f t="shared" si="798"/>
        <v>0</v>
      </c>
      <c r="O696" s="629">
        <f t="shared" si="798"/>
        <v>0</v>
      </c>
      <c r="P696" s="629">
        <f t="shared" si="798"/>
        <v>0</v>
      </c>
      <c r="Q696" s="629">
        <f t="shared" si="798"/>
        <v>0</v>
      </c>
      <c r="R696" s="629">
        <f t="shared" si="798"/>
        <v>0</v>
      </c>
      <c r="S696" s="629">
        <f t="shared" si="798"/>
        <v>0</v>
      </c>
      <c r="T696" s="629">
        <f t="shared" si="798"/>
        <v>0</v>
      </c>
      <c r="U696" s="629">
        <f t="shared" si="798"/>
        <v>0</v>
      </c>
      <c r="V696" s="629">
        <f t="shared" si="798"/>
        <v>0</v>
      </c>
      <c r="W696" s="629">
        <f t="shared" si="798"/>
        <v>0</v>
      </c>
      <c r="X696" s="629">
        <f t="shared" si="798"/>
        <v>0</v>
      </c>
      <c r="Y696" s="629">
        <f t="shared" si="798"/>
        <v>0</v>
      </c>
      <c r="Z696" s="629">
        <f t="shared" si="798"/>
        <v>0</v>
      </c>
      <c r="AA696" s="629">
        <f t="shared" si="798"/>
        <v>0</v>
      </c>
      <c r="AB696" s="629">
        <f t="shared" si="798"/>
        <v>0</v>
      </c>
      <c r="AC696" s="629">
        <f t="shared" si="798"/>
        <v>0</v>
      </c>
      <c r="AD696" s="629">
        <f t="shared" si="798"/>
        <v>0</v>
      </c>
      <c r="AE696" s="629">
        <f t="shared" si="798"/>
        <v>0</v>
      </c>
      <c r="AF696" s="629">
        <f t="shared" si="798"/>
        <v>0</v>
      </c>
      <c r="AG696" s="629">
        <f t="shared" si="798"/>
        <v>0</v>
      </c>
      <c r="AH696" s="629">
        <f t="shared" si="798"/>
        <v>0</v>
      </c>
      <c r="AI696" s="629">
        <f t="shared" si="798"/>
        <v>0</v>
      </c>
      <c r="AJ696" s="629">
        <f t="shared" si="798"/>
        <v>0</v>
      </c>
      <c r="AK696" s="629">
        <f t="shared" si="798"/>
        <v>0</v>
      </c>
      <c r="AL696" s="629">
        <f t="shared" si="798"/>
        <v>0</v>
      </c>
      <c r="AM696" s="629">
        <f t="shared" si="798"/>
        <v>0</v>
      </c>
      <c r="AN696" s="629">
        <f t="shared" si="798"/>
        <v>0</v>
      </c>
      <c r="AO696" s="629">
        <f t="shared" si="798"/>
        <v>0</v>
      </c>
      <c r="AP696" s="629">
        <f t="shared" si="798"/>
        <v>0</v>
      </c>
      <c r="AQ696" s="629">
        <f t="shared" si="798"/>
        <v>0</v>
      </c>
      <c r="AR696" s="629">
        <f t="shared" si="798"/>
        <v>0</v>
      </c>
      <c r="AS696" s="629">
        <f t="shared" si="798"/>
        <v>0</v>
      </c>
      <c r="AT696" s="629">
        <f t="shared" si="798"/>
        <v>0</v>
      </c>
      <c r="AU696" s="629">
        <f t="shared" si="798"/>
        <v>0</v>
      </c>
      <c r="AV696" s="629">
        <f t="shared" si="798"/>
        <v>0</v>
      </c>
      <c r="AW696" s="629">
        <f t="shared" si="798"/>
        <v>0</v>
      </c>
      <c r="AX696" s="629">
        <f t="shared" si="798"/>
        <v>0</v>
      </c>
      <c r="AY696" s="629">
        <f t="shared" si="798"/>
        <v>0</v>
      </c>
      <c r="AZ696" s="629">
        <f t="shared" si="798"/>
        <v>0</v>
      </c>
      <c r="BA696" s="629">
        <f t="shared" si="798"/>
        <v>0</v>
      </c>
      <c r="BB696" s="629">
        <f t="shared" si="798"/>
        <v>0</v>
      </c>
      <c r="BC696" s="629">
        <f t="shared" si="798"/>
        <v>0</v>
      </c>
      <c r="BD696" s="629">
        <f t="shared" si="798"/>
        <v>0</v>
      </c>
      <c r="BE696" s="629">
        <f t="shared" si="798"/>
        <v>0</v>
      </c>
      <c r="BF696" s="629">
        <f t="shared" si="798"/>
        <v>0</v>
      </c>
      <c r="BG696" s="629">
        <f t="shared" si="798"/>
        <v>0</v>
      </c>
      <c r="BH696" s="629">
        <f t="shared" si="798"/>
        <v>0</v>
      </c>
      <c r="BI696" s="629">
        <f t="shared" si="798"/>
        <v>0</v>
      </c>
      <c r="BJ696" s="629">
        <f t="shared" si="798"/>
        <v>0</v>
      </c>
      <c r="BK696" s="629">
        <f t="shared" si="798"/>
        <v>0</v>
      </c>
      <c r="BL696" s="629">
        <f t="shared" si="798"/>
        <v>0</v>
      </c>
      <c r="BM696" s="629">
        <f t="shared" si="798"/>
        <v>0</v>
      </c>
      <c r="BN696" s="629">
        <f t="shared" si="798"/>
        <v>0</v>
      </c>
      <c r="BO696" s="629">
        <f t="shared" si="798"/>
        <v>0</v>
      </c>
      <c r="BP696" s="629">
        <f t="shared" si="798"/>
        <v>0</v>
      </c>
      <c r="BQ696" s="629">
        <f t="shared" si="798"/>
        <v>0</v>
      </c>
      <c r="BR696" s="629">
        <f t="shared" ref="BR696:EC696" si="799">BR326</f>
        <v>0</v>
      </c>
      <c r="BS696" s="629">
        <f t="shared" si="799"/>
        <v>0</v>
      </c>
      <c r="BT696" s="629">
        <f t="shared" si="799"/>
        <v>0</v>
      </c>
      <c r="BU696" s="629">
        <f t="shared" si="799"/>
        <v>0</v>
      </c>
      <c r="BV696" s="629">
        <f t="shared" si="799"/>
        <v>0</v>
      </c>
      <c r="BW696" s="629">
        <f t="shared" si="799"/>
        <v>0</v>
      </c>
      <c r="BX696" s="629">
        <f t="shared" si="799"/>
        <v>0</v>
      </c>
      <c r="BY696" s="629">
        <f t="shared" si="799"/>
        <v>0</v>
      </c>
      <c r="BZ696" s="629">
        <f t="shared" si="799"/>
        <v>0</v>
      </c>
      <c r="CA696" s="629">
        <f t="shared" si="799"/>
        <v>0</v>
      </c>
      <c r="CB696" s="629">
        <f t="shared" si="799"/>
        <v>0</v>
      </c>
      <c r="CC696" s="629">
        <f t="shared" si="799"/>
        <v>0</v>
      </c>
      <c r="CD696" s="629">
        <f t="shared" si="799"/>
        <v>0</v>
      </c>
      <c r="CE696" s="629">
        <f t="shared" si="799"/>
        <v>0</v>
      </c>
      <c r="CF696" s="629">
        <f t="shared" si="799"/>
        <v>0</v>
      </c>
      <c r="CG696" s="629">
        <f t="shared" si="799"/>
        <v>0</v>
      </c>
      <c r="CH696" s="629">
        <f t="shared" si="799"/>
        <v>0</v>
      </c>
      <c r="CI696" s="629">
        <f t="shared" si="799"/>
        <v>0</v>
      </c>
      <c r="CJ696" s="629">
        <f t="shared" si="799"/>
        <v>0</v>
      </c>
      <c r="CK696" s="629">
        <f t="shared" si="799"/>
        <v>0</v>
      </c>
      <c r="CL696" s="629">
        <f t="shared" si="799"/>
        <v>0</v>
      </c>
      <c r="CM696" s="629">
        <f t="shared" si="799"/>
        <v>0</v>
      </c>
      <c r="CN696" s="629">
        <f t="shared" si="799"/>
        <v>0</v>
      </c>
      <c r="CO696" s="629">
        <f t="shared" si="799"/>
        <v>0</v>
      </c>
      <c r="CP696" s="629">
        <f t="shared" si="799"/>
        <v>0</v>
      </c>
      <c r="CQ696" s="629">
        <f t="shared" si="799"/>
        <v>0</v>
      </c>
      <c r="CR696" s="629">
        <f t="shared" si="799"/>
        <v>0</v>
      </c>
      <c r="CS696" s="629">
        <f t="shared" si="799"/>
        <v>0</v>
      </c>
      <c r="CT696" s="629">
        <f t="shared" si="799"/>
        <v>0</v>
      </c>
      <c r="CU696" s="629">
        <f t="shared" si="799"/>
        <v>0</v>
      </c>
      <c r="CV696" s="629">
        <f t="shared" si="799"/>
        <v>0</v>
      </c>
      <c r="CW696" s="629">
        <f t="shared" si="799"/>
        <v>0</v>
      </c>
      <c r="CX696" s="629">
        <f t="shared" si="799"/>
        <v>0</v>
      </c>
      <c r="CY696" s="629">
        <f t="shared" si="799"/>
        <v>0</v>
      </c>
      <c r="CZ696" s="629">
        <f t="shared" si="799"/>
        <v>0</v>
      </c>
      <c r="DA696" s="629">
        <f t="shared" si="799"/>
        <v>0</v>
      </c>
      <c r="DB696" s="629">
        <f t="shared" si="799"/>
        <v>0</v>
      </c>
      <c r="DC696" s="629">
        <f t="shared" si="799"/>
        <v>0</v>
      </c>
      <c r="DD696" s="629">
        <f t="shared" si="799"/>
        <v>0</v>
      </c>
      <c r="DE696" s="629">
        <f t="shared" si="799"/>
        <v>0</v>
      </c>
      <c r="DF696" s="629">
        <f t="shared" si="799"/>
        <v>0</v>
      </c>
      <c r="DG696" s="629">
        <f t="shared" si="799"/>
        <v>0</v>
      </c>
      <c r="DH696" s="629">
        <f t="shared" si="799"/>
        <v>0</v>
      </c>
      <c r="DI696" s="629">
        <f t="shared" si="799"/>
        <v>0</v>
      </c>
      <c r="DJ696" s="629">
        <f t="shared" si="799"/>
        <v>0</v>
      </c>
      <c r="DK696" s="629">
        <f t="shared" si="799"/>
        <v>0</v>
      </c>
      <c r="DL696" s="629">
        <f t="shared" si="799"/>
        <v>0</v>
      </c>
      <c r="DM696" s="629">
        <f t="shared" si="799"/>
        <v>0</v>
      </c>
      <c r="DN696" s="629">
        <f t="shared" si="799"/>
        <v>0</v>
      </c>
      <c r="DO696" s="629">
        <f t="shared" si="799"/>
        <v>0</v>
      </c>
      <c r="DP696" s="629">
        <f t="shared" si="799"/>
        <v>0</v>
      </c>
      <c r="DQ696" s="629">
        <f t="shared" si="799"/>
        <v>0</v>
      </c>
      <c r="DR696" s="629">
        <f t="shared" si="799"/>
        <v>0</v>
      </c>
      <c r="DS696" s="629">
        <f t="shared" si="799"/>
        <v>0</v>
      </c>
      <c r="DT696" s="629">
        <f t="shared" si="799"/>
        <v>0</v>
      </c>
      <c r="DU696" s="629">
        <f t="shared" si="799"/>
        <v>0</v>
      </c>
      <c r="DV696" s="629">
        <f t="shared" si="799"/>
        <v>0</v>
      </c>
      <c r="DW696" s="629">
        <f t="shared" si="799"/>
        <v>0</v>
      </c>
      <c r="DX696" s="629">
        <f t="shared" si="799"/>
        <v>0</v>
      </c>
      <c r="DY696" s="629">
        <f t="shared" si="799"/>
        <v>0</v>
      </c>
      <c r="DZ696" s="629">
        <f t="shared" si="799"/>
        <v>0</v>
      </c>
      <c r="EA696" s="629">
        <f t="shared" si="799"/>
        <v>0</v>
      </c>
      <c r="EB696" s="629">
        <f t="shared" si="799"/>
        <v>0</v>
      </c>
      <c r="EC696" s="629">
        <f t="shared" si="799"/>
        <v>0</v>
      </c>
      <c r="ED696" s="629">
        <f t="shared" ref="ED696:GO696" si="800">ED326</f>
        <v>0</v>
      </c>
      <c r="EE696" s="629">
        <f t="shared" si="800"/>
        <v>0</v>
      </c>
      <c r="EF696" s="629">
        <f t="shared" si="800"/>
        <v>0</v>
      </c>
      <c r="EG696" s="629">
        <f t="shared" si="800"/>
        <v>0</v>
      </c>
      <c r="EH696" s="629">
        <f t="shared" si="800"/>
        <v>0</v>
      </c>
      <c r="EI696" s="629">
        <f t="shared" si="800"/>
        <v>0</v>
      </c>
      <c r="EJ696" s="629">
        <f t="shared" si="800"/>
        <v>0</v>
      </c>
      <c r="EK696" s="629">
        <f t="shared" si="800"/>
        <v>0</v>
      </c>
      <c r="EL696" s="629">
        <f t="shared" si="800"/>
        <v>0</v>
      </c>
      <c r="EM696" s="629">
        <f t="shared" si="800"/>
        <v>0</v>
      </c>
      <c r="EN696" s="629">
        <f t="shared" si="800"/>
        <v>0</v>
      </c>
      <c r="EO696" s="629">
        <f t="shared" si="800"/>
        <v>0</v>
      </c>
      <c r="EP696" s="629">
        <f t="shared" si="800"/>
        <v>0</v>
      </c>
      <c r="EQ696" s="629">
        <f t="shared" si="800"/>
        <v>0</v>
      </c>
      <c r="ER696" s="629">
        <f t="shared" si="800"/>
        <v>0</v>
      </c>
      <c r="ES696" s="629">
        <f t="shared" si="800"/>
        <v>0</v>
      </c>
      <c r="ET696" s="629">
        <f t="shared" si="800"/>
        <v>0</v>
      </c>
      <c r="EU696" s="629">
        <f t="shared" si="800"/>
        <v>0</v>
      </c>
      <c r="EV696" s="629">
        <f t="shared" si="800"/>
        <v>0</v>
      </c>
      <c r="EW696" s="629">
        <f t="shared" si="800"/>
        <v>0</v>
      </c>
      <c r="EX696" s="629">
        <f t="shared" si="800"/>
        <v>0</v>
      </c>
      <c r="EY696" s="629">
        <f t="shared" si="800"/>
        <v>0</v>
      </c>
      <c r="EZ696" s="629">
        <f t="shared" si="800"/>
        <v>0</v>
      </c>
      <c r="FA696" s="629">
        <f t="shared" si="800"/>
        <v>0</v>
      </c>
      <c r="FB696" s="629">
        <f t="shared" si="800"/>
        <v>0</v>
      </c>
      <c r="FC696" s="629">
        <f t="shared" si="800"/>
        <v>0</v>
      </c>
      <c r="FD696" s="629">
        <f t="shared" si="800"/>
        <v>0</v>
      </c>
      <c r="FE696" s="629">
        <f t="shared" si="800"/>
        <v>0</v>
      </c>
      <c r="FF696" s="629">
        <f t="shared" si="800"/>
        <v>0</v>
      </c>
      <c r="FG696" s="629">
        <f t="shared" si="800"/>
        <v>0</v>
      </c>
      <c r="FH696" s="629">
        <f t="shared" si="800"/>
        <v>0</v>
      </c>
      <c r="FI696" s="629">
        <f t="shared" si="800"/>
        <v>0</v>
      </c>
      <c r="FJ696" s="629">
        <f t="shared" si="800"/>
        <v>0</v>
      </c>
      <c r="FK696" s="629">
        <f t="shared" si="800"/>
        <v>0</v>
      </c>
      <c r="FL696" s="629">
        <f t="shared" si="800"/>
        <v>0</v>
      </c>
      <c r="FM696" s="629">
        <f t="shared" si="800"/>
        <v>0</v>
      </c>
      <c r="FN696" s="629">
        <f t="shared" si="800"/>
        <v>0</v>
      </c>
      <c r="FO696" s="629">
        <f t="shared" si="800"/>
        <v>0</v>
      </c>
      <c r="FP696" s="629">
        <f t="shared" si="800"/>
        <v>0</v>
      </c>
      <c r="FQ696" s="629">
        <f t="shared" si="800"/>
        <v>0</v>
      </c>
      <c r="FR696" s="629">
        <f t="shared" si="800"/>
        <v>0</v>
      </c>
      <c r="FS696" s="629">
        <f t="shared" si="800"/>
        <v>0</v>
      </c>
      <c r="FT696" s="629">
        <f t="shared" si="800"/>
        <v>0</v>
      </c>
      <c r="FU696" s="629">
        <f t="shared" si="800"/>
        <v>0</v>
      </c>
      <c r="FV696" s="629">
        <f t="shared" si="800"/>
        <v>0</v>
      </c>
      <c r="FW696" s="629">
        <f t="shared" si="800"/>
        <v>0</v>
      </c>
      <c r="FX696" s="629">
        <f t="shared" si="800"/>
        <v>0</v>
      </c>
      <c r="FY696" s="629">
        <f t="shared" si="800"/>
        <v>0</v>
      </c>
      <c r="FZ696" s="629">
        <f t="shared" si="800"/>
        <v>0</v>
      </c>
      <c r="GA696" s="629">
        <f t="shared" si="800"/>
        <v>0</v>
      </c>
      <c r="GB696" s="629">
        <f t="shared" si="800"/>
        <v>0</v>
      </c>
      <c r="GC696" s="629">
        <f t="shared" si="800"/>
        <v>0</v>
      </c>
      <c r="GD696" s="629">
        <f t="shared" si="800"/>
        <v>0</v>
      </c>
      <c r="GE696" s="629">
        <f t="shared" si="800"/>
        <v>0</v>
      </c>
      <c r="GF696" s="629">
        <f t="shared" si="800"/>
        <v>0</v>
      </c>
      <c r="GG696" s="629">
        <f t="shared" si="800"/>
        <v>0</v>
      </c>
      <c r="GH696" s="629">
        <f t="shared" si="800"/>
        <v>0</v>
      </c>
      <c r="GI696" s="629">
        <f t="shared" si="800"/>
        <v>0</v>
      </c>
      <c r="GJ696" s="629">
        <f t="shared" si="800"/>
        <v>0</v>
      </c>
      <c r="GK696" s="629">
        <f t="shared" si="800"/>
        <v>0</v>
      </c>
      <c r="GL696" s="629">
        <f t="shared" si="800"/>
        <v>0</v>
      </c>
      <c r="GM696" s="629">
        <f t="shared" si="800"/>
        <v>0</v>
      </c>
      <c r="GN696" s="629">
        <f t="shared" si="800"/>
        <v>0</v>
      </c>
      <c r="GO696" s="629">
        <f t="shared" si="800"/>
        <v>0</v>
      </c>
      <c r="GP696" s="629">
        <f t="shared" ref="GP696:HT696" si="801">GP326</f>
        <v>0</v>
      </c>
      <c r="GQ696" s="629">
        <f t="shared" si="801"/>
        <v>0</v>
      </c>
      <c r="GR696" s="629">
        <f t="shared" si="801"/>
        <v>0</v>
      </c>
      <c r="GS696" s="629">
        <f t="shared" si="801"/>
        <v>0</v>
      </c>
      <c r="GT696" s="629">
        <f t="shared" si="801"/>
        <v>0</v>
      </c>
      <c r="GU696" s="629">
        <f t="shared" si="801"/>
        <v>0</v>
      </c>
      <c r="GV696" s="629">
        <f t="shared" si="801"/>
        <v>0</v>
      </c>
      <c r="GW696" s="629">
        <f t="shared" si="801"/>
        <v>0</v>
      </c>
      <c r="GX696" s="629">
        <f t="shared" si="801"/>
        <v>0</v>
      </c>
      <c r="GY696" s="629">
        <f t="shared" si="801"/>
        <v>0</v>
      </c>
      <c r="GZ696" s="629">
        <f t="shared" si="801"/>
        <v>0</v>
      </c>
      <c r="HA696" s="629">
        <f t="shared" si="801"/>
        <v>0</v>
      </c>
      <c r="HB696" s="629">
        <f t="shared" si="801"/>
        <v>0</v>
      </c>
      <c r="HC696" s="629">
        <f t="shared" si="801"/>
        <v>0</v>
      </c>
      <c r="HD696" s="629">
        <f t="shared" si="801"/>
        <v>0</v>
      </c>
      <c r="HE696" s="629">
        <f t="shared" si="801"/>
        <v>0</v>
      </c>
      <c r="HF696" s="629">
        <f t="shared" si="801"/>
        <v>0</v>
      </c>
      <c r="HG696" s="629">
        <f t="shared" si="801"/>
        <v>0</v>
      </c>
      <c r="HH696" s="629">
        <f t="shared" si="801"/>
        <v>0</v>
      </c>
      <c r="HI696" s="629">
        <f t="shared" si="801"/>
        <v>0</v>
      </c>
      <c r="HJ696" s="629">
        <f t="shared" si="801"/>
        <v>0</v>
      </c>
      <c r="HK696" s="629">
        <f t="shared" si="801"/>
        <v>0</v>
      </c>
      <c r="HL696" s="629">
        <f t="shared" si="801"/>
        <v>0</v>
      </c>
      <c r="HM696" s="629">
        <f t="shared" si="801"/>
        <v>0</v>
      </c>
      <c r="HN696" s="629">
        <f t="shared" si="801"/>
        <v>0</v>
      </c>
      <c r="HO696" s="629">
        <f t="shared" si="801"/>
        <v>0</v>
      </c>
      <c r="HP696" s="629">
        <f t="shared" si="801"/>
        <v>0</v>
      </c>
      <c r="HQ696" s="629">
        <f t="shared" si="801"/>
        <v>0</v>
      </c>
      <c r="HR696" s="629">
        <f t="shared" si="801"/>
        <v>0</v>
      </c>
      <c r="HS696" s="629">
        <f t="shared" si="801"/>
        <v>0</v>
      </c>
      <c r="HT696" s="629">
        <f t="shared" si="801"/>
        <v>0</v>
      </c>
      <c r="HU696" s="620" t="s">
        <v>1810</v>
      </c>
      <c r="HV696" s="827" t="e">
        <f t="shared" si="795"/>
        <v>#N/A</v>
      </c>
      <c r="IB696" s="11">
        <f t="shared" ref="IB696:II696" si="802">IB326</f>
        <v>0</v>
      </c>
      <c r="IC696" s="11">
        <f t="shared" si="802"/>
        <v>0</v>
      </c>
      <c r="ID696" s="11">
        <f t="shared" si="802"/>
        <v>0</v>
      </c>
      <c r="IE696" s="11">
        <f t="shared" si="802"/>
        <v>0</v>
      </c>
      <c r="IF696" s="11">
        <f t="shared" si="802"/>
        <v>0</v>
      </c>
      <c r="IG696" s="11">
        <f t="shared" si="802"/>
        <v>0</v>
      </c>
      <c r="IH696" s="11">
        <f t="shared" si="802"/>
        <v>0</v>
      </c>
      <c r="II696" s="11">
        <f t="shared" si="802"/>
        <v>0</v>
      </c>
    </row>
    <row r="697" spans="4:243" x14ac:dyDescent="0.25">
      <c r="D697" s="27" t="str">
        <f t="shared" si="797"/>
        <v>Vælg……………………………………</v>
      </c>
      <c r="E697" s="629">
        <f t="shared" si="797"/>
        <v>0</v>
      </c>
      <c r="F697" s="629">
        <f t="shared" ref="F697:BQ697" si="803">F327</f>
        <v>0</v>
      </c>
      <c r="G697" s="629">
        <f t="shared" si="803"/>
        <v>0</v>
      </c>
      <c r="H697" s="629">
        <f t="shared" si="803"/>
        <v>0</v>
      </c>
      <c r="I697" s="629">
        <f t="shared" si="803"/>
        <v>0</v>
      </c>
      <c r="J697" s="629">
        <f t="shared" si="803"/>
        <v>0</v>
      </c>
      <c r="K697" s="629">
        <f t="shared" si="803"/>
        <v>0</v>
      </c>
      <c r="L697" s="629">
        <f t="shared" si="803"/>
        <v>0</v>
      </c>
      <c r="M697" s="629">
        <f t="shared" si="803"/>
        <v>0</v>
      </c>
      <c r="N697" s="629">
        <f t="shared" si="803"/>
        <v>0</v>
      </c>
      <c r="O697" s="629">
        <f t="shared" si="803"/>
        <v>0</v>
      </c>
      <c r="P697" s="629">
        <f t="shared" si="803"/>
        <v>0</v>
      </c>
      <c r="Q697" s="629">
        <f t="shared" si="803"/>
        <v>0</v>
      </c>
      <c r="R697" s="629">
        <f t="shared" si="803"/>
        <v>0</v>
      </c>
      <c r="S697" s="629">
        <f t="shared" si="803"/>
        <v>0</v>
      </c>
      <c r="T697" s="629">
        <f t="shared" si="803"/>
        <v>0</v>
      </c>
      <c r="U697" s="629">
        <f t="shared" si="803"/>
        <v>0</v>
      </c>
      <c r="V697" s="629">
        <f t="shared" si="803"/>
        <v>0</v>
      </c>
      <c r="W697" s="629">
        <f t="shared" si="803"/>
        <v>0</v>
      </c>
      <c r="X697" s="629">
        <f t="shared" si="803"/>
        <v>0</v>
      </c>
      <c r="Y697" s="629">
        <f t="shared" si="803"/>
        <v>0</v>
      </c>
      <c r="Z697" s="629">
        <f t="shared" si="803"/>
        <v>0</v>
      </c>
      <c r="AA697" s="629">
        <f t="shared" si="803"/>
        <v>0</v>
      </c>
      <c r="AB697" s="629">
        <f t="shared" si="803"/>
        <v>0</v>
      </c>
      <c r="AC697" s="629">
        <f t="shared" si="803"/>
        <v>0</v>
      </c>
      <c r="AD697" s="629">
        <f t="shared" si="803"/>
        <v>0</v>
      </c>
      <c r="AE697" s="629">
        <f t="shared" si="803"/>
        <v>0</v>
      </c>
      <c r="AF697" s="629">
        <f t="shared" si="803"/>
        <v>0</v>
      </c>
      <c r="AG697" s="629">
        <f t="shared" si="803"/>
        <v>0</v>
      </c>
      <c r="AH697" s="629">
        <f t="shared" si="803"/>
        <v>0</v>
      </c>
      <c r="AI697" s="629">
        <f t="shared" si="803"/>
        <v>0</v>
      </c>
      <c r="AJ697" s="629">
        <f t="shared" si="803"/>
        <v>0</v>
      </c>
      <c r="AK697" s="629">
        <f t="shared" si="803"/>
        <v>0</v>
      </c>
      <c r="AL697" s="629">
        <f t="shared" si="803"/>
        <v>0</v>
      </c>
      <c r="AM697" s="629">
        <f t="shared" si="803"/>
        <v>0</v>
      </c>
      <c r="AN697" s="629">
        <f t="shared" si="803"/>
        <v>0</v>
      </c>
      <c r="AO697" s="629">
        <f t="shared" si="803"/>
        <v>0</v>
      </c>
      <c r="AP697" s="629">
        <f t="shared" si="803"/>
        <v>0</v>
      </c>
      <c r="AQ697" s="629">
        <f t="shared" si="803"/>
        <v>0</v>
      </c>
      <c r="AR697" s="629">
        <f t="shared" si="803"/>
        <v>0</v>
      </c>
      <c r="AS697" s="629">
        <f t="shared" si="803"/>
        <v>0</v>
      </c>
      <c r="AT697" s="629">
        <f t="shared" si="803"/>
        <v>0</v>
      </c>
      <c r="AU697" s="629">
        <f t="shared" si="803"/>
        <v>0</v>
      </c>
      <c r="AV697" s="629">
        <f t="shared" si="803"/>
        <v>0</v>
      </c>
      <c r="AW697" s="629">
        <f t="shared" si="803"/>
        <v>0</v>
      </c>
      <c r="AX697" s="629">
        <f t="shared" si="803"/>
        <v>0</v>
      </c>
      <c r="AY697" s="629">
        <f t="shared" si="803"/>
        <v>0</v>
      </c>
      <c r="AZ697" s="629">
        <f t="shared" si="803"/>
        <v>0</v>
      </c>
      <c r="BA697" s="629">
        <f t="shared" si="803"/>
        <v>0</v>
      </c>
      <c r="BB697" s="629">
        <f t="shared" si="803"/>
        <v>0</v>
      </c>
      <c r="BC697" s="629">
        <f t="shared" si="803"/>
        <v>0</v>
      </c>
      <c r="BD697" s="629">
        <f t="shared" si="803"/>
        <v>0</v>
      </c>
      <c r="BE697" s="629">
        <f t="shared" si="803"/>
        <v>0</v>
      </c>
      <c r="BF697" s="629">
        <f t="shared" si="803"/>
        <v>0</v>
      </c>
      <c r="BG697" s="629">
        <f t="shared" si="803"/>
        <v>0</v>
      </c>
      <c r="BH697" s="629">
        <f t="shared" si="803"/>
        <v>0</v>
      </c>
      <c r="BI697" s="629">
        <f t="shared" si="803"/>
        <v>0</v>
      </c>
      <c r="BJ697" s="629">
        <f t="shared" si="803"/>
        <v>0</v>
      </c>
      <c r="BK697" s="629">
        <f t="shared" si="803"/>
        <v>0</v>
      </c>
      <c r="BL697" s="629">
        <f t="shared" si="803"/>
        <v>0</v>
      </c>
      <c r="BM697" s="629">
        <f t="shared" si="803"/>
        <v>0</v>
      </c>
      <c r="BN697" s="629">
        <f t="shared" si="803"/>
        <v>0</v>
      </c>
      <c r="BO697" s="629">
        <f t="shared" si="803"/>
        <v>0</v>
      </c>
      <c r="BP697" s="629">
        <f t="shared" si="803"/>
        <v>0</v>
      </c>
      <c r="BQ697" s="629">
        <f t="shared" si="803"/>
        <v>0</v>
      </c>
      <c r="BR697" s="629">
        <f t="shared" ref="BR697:EC697" si="804">BR327</f>
        <v>0</v>
      </c>
      <c r="BS697" s="629">
        <f t="shared" si="804"/>
        <v>0</v>
      </c>
      <c r="BT697" s="629">
        <f t="shared" si="804"/>
        <v>0</v>
      </c>
      <c r="BU697" s="629">
        <f t="shared" si="804"/>
        <v>0</v>
      </c>
      <c r="BV697" s="629">
        <f t="shared" si="804"/>
        <v>0</v>
      </c>
      <c r="BW697" s="629">
        <f t="shared" si="804"/>
        <v>0</v>
      </c>
      <c r="BX697" s="629">
        <f t="shared" si="804"/>
        <v>0</v>
      </c>
      <c r="BY697" s="629">
        <f t="shared" si="804"/>
        <v>0</v>
      </c>
      <c r="BZ697" s="629">
        <f t="shared" si="804"/>
        <v>0</v>
      </c>
      <c r="CA697" s="629">
        <f t="shared" si="804"/>
        <v>0</v>
      </c>
      <c r="CB697" s="629">
        <f t="shared" si="804"/>
        <v>0</v>
      </c>
      <c r="CC697" s="629">
        <f t="shared" si="804"/>
        <v>0</v>
      </c>
      <c r="CD697" s="629">
        <f t="shared" si="804"/>
        <v>0</v>
      </c>
      <c r="CE697" s="629">
        <f t="shared" si="804"/>
        <v>0</v>
      </c>
      <c r="CF697" s="629">
        <f t="shared" si="804"/>
        <v>0</v>
      </c>
      <c r="CG697" s="629">
        <f t="shared" si="804"/>
        <v>0</v>
      </c>
      <c r="CH697" s="629">
        <f t="shared" si="804"/>
        <v>0</v>
      </c>
      <c r="CI697" s="629">
        <f t="shared" si="804"/>
        <v>0</v>
      </c>
      <c r="CJ697" s="629">
        <f t="shared" si="804"/>
        <v>0</v>
      </c>
      <c r="CK697" s="629">
        <f t="shared" si="804"/>
        <v>0</v>
      </c>
      <c r="CL697" s="629">
        <f t="shared" si="804"/>
        <v>0</v>
      </c>
      <c r="CM697" s="629">
        <f t="shared" si="804"/>
        <v>0</v>
      </c>
      <c r="CN697" s="629">
        <f t="shared" si="804"/>
        <v>0</v>
      </c>
      <c r="CO697" s="629">
        <f t="shared" si="804"/>
        <v>0</v>
      </c>
      <c r="CP697" s="629">
        <f t="shared" si="804"/>
        <v>0</v>
      </c>
      <c r="CQ697" s="629">
        <f t="shared" si="804"/>
        <v>0</v>
      </c>
      <c r="CR697" s="629">
        <f t="shared" si="804"/>
        <v>0</v>
      </c>
      <c r="CS697" s="629">
        <f t="shared" si="804"/>
        <v>0</v>
      </c>
      <c r="CT697" s="629">
        <f t="shared" si="804"/>
        <v>0</v>
      </c>
      <c r="CU697" s="629">
        <f t="shared" si="804"/>
        <v>0</v>
      </c>
      <c r="CV697" s="629">
        <f t="shared" si="804"/>
        <v>0</v>
      </c>
      <c r="CW697" s="629">
        <f t="shared" si="804"/>
        <v>0</v>
      </c>
      <c r="CX697" s="629">
        <f t="shared" si="804"/>
        <v>0</v>
      </c>
      <c r="CY697" s="629">
        <f t="shared" si="804"/>
        <v>0</v>
      </c>
      <c r="CZ697" s="629">
        <f t="shared" si="804"/>
        <v>0</v>
      </c>
      <c r="DA697" s="629">
        <f t="shared" si="804"/>
        <v>0</v>
      </c>
      <c r="DB697" s="629">
        <f t="shared" si="804"/>
        <v>0</v>
      </c>
      <c r="DC697" s="629">
        <f t="shared" si="804"/>
        <v>0</v>
      </c>
      <c r="DD697" s="629">
        <f t="shared" si="804"/>
        <v>0</v>
      </c>
      <c r="DE697" s="629">
        <f t="shared" si="804"/>
        <v>0</v>
      </c>
      <c r="DF697" s="629">
        <f t="shared" si="804"/>
        <v>0</v>
      </c>
      <c r="DG697" s="629">
        <f t="shared" si="804"/>
        <v>0</v>
      </c>
      <c r="DH697" s="629">
        <f t="shared" si="804"/>
        <v>0</v>
      </c>
      <c r="DI697" s="629">
        <f t="shared" si="804"/>
        <v>0</v>
      </c>
      <c r="DJ697" s="629">
        <f t="shared" si="804"/>
        <v>0</v>
      </c>
      <c r="DK697" s="629">
        <f t="shared" si="804"/>
        <v>0</v>
      </c>
      <c r="DL697" s="629">
        <f t="shared" si="804"/>
        <v>0</v>
      </c>
      <c r="DM697" s="629">
        <f t="shared" si="804"/>
        <v>0</v>
      </c>
      <c r="DN697" s="629">
        <f t="shared" si="804"/>
        <v>0</v>
      </c>
      <c r="DO697" s="629">
        <f t="shared" si="804"/>
        <v>0</v>
      </c>
      <c r="DP697" s="629">
        <f t="shared" si="804"/>
        <v>0</v>
      </c>
      <c r="DQ697" s="629">
        <f t="shared" si="804"/>
        <v>0</v>
      </c>
      <c r="DR697" s="629">
        <f t="shared" si="804"/>
        <v>0</v>
      </c>
      <c r="DS697" s="629">
        <f t="shared" si="804"/>
        <v>0</v>
      </c>
      <c r="DT697" s="629">
        <f t="shared" si="804"/>
        <v>0</v>
      </c>
      <c r="DU697" s="629">
        <f t="shared" si="804"/>
        <v>0</v>
      </c>
      <c r="DV697" s="629">
        <f t="shared" si="804"/>
        <v>0</v>
      </c>
      <c r="DW697" s="629">
        <f t="shared" si="804"/>
        <v>0</v>
      </c>
      <c r="DX697" s="629">
        <f t="shared" si="804"/>
        <v>0</v>
      </c>
      <c r="DY697" s="629">
        <f t="shared" si="804"/>
        <v>0</v>
      </c>
      <c r="DZ697" s="629">
        <f t="shared" si="804"/>
        <v>0</v>
      </c>
      <c r="EA697" s="629">
        <f t="shared" si="804"/>
        <v>0</v>
      </c>
      <c r="EB697" s="629">
        <f t="shared" si="804"/>
        <v>0</v>
      </c>
      <c r="EC697" s="629">
        <f t="shared" si="804"/>
        <v>0</v>
      </c>
      <c r="ED697" s="629">
        <f t="shared" ref="ED697:GO697" si="805">ED327</f>
        <v>0</v>
      </c>
      <c r="EE697" s="629">
        <f t="shared" si="805"/>
        <v>0</v>
      </c>
      <c r="EF697" s="629">
        <f t="shared" si="805"/>
        <v>0</v>
      </c>
      <c r="EG697" s="629">
        <f t="shared" si="805"/>
        <v>0</v>
      </c>
      <c r="EH697" s="629">
        <f t="shared" si="805"/>
        <v>0</v>
      </c>
      <c r="EI697" s="629">
        <f t="shared" si="805"/>
        <v>0</v>
      </c>
      <c r="EJ697" s="629">
        <f t="shared" si="805"/>
        <v>0</v>
      </c>
      <c r="EK697" s="629">
        <f t="shared" si="805"/>
        <v>0</v>
      </c>
      <c r="EL697" s="629">
        <f t="shared" si="805"/>
        <v>0</v>
      </c>
      <c r="EM697" s="629">
        <f t="shared" si="805"/>
        <v>0</v>
      </c>
      <c r="EN697" s="629">
        <f t="shared" si="805"/>
        <v>0</v>
      </c>
      <c r="EO697" s="629">
        <f t="shared" si="805"/>
        <v>0</v>
      </c>
      <c r="EP697" s="629">
        <f t="shared" si="805"/>
        <v>0</v>
      </c>
      <c r="EQ697" s="629">
        <f t="shared" si="805"/>
        <v>0</v>
      </c>
      <c r="ER697" s="629">
        <f t="shared" si="805"/>
        <v>0</v>
      </c>
      <c r="ES697" s="629">
        <f t="shared" si="805"/>
        <v>0</v>
      </c>
      <c r="ET697" s="629">
        <f t="shared" si="805"/>
        <v>0</v>
      </c>
      <c r="EU697" s="629">
        <f t="shared" si="805"/>
        <v>0</v>
      </c>
      <c r="EV697" s="629">
        <f t="shared" si="805"/>
        <v>0</v>
      </c>
      <c r="EW697" s="629">
        <f t="shared" si="805"/>
        <v>0</v>
      </c>
      <c r="EX697" s="629">
        <f t="shared" si="805"/>
        <v>0</v>
      </c>
      <c r="EY697" s="629">
        <f t="shared" si="805"/>
        <v>0</v>
      </c>
      <c r="EZ697" s="629">
        <f t="shared" si="805"/>
        <v>0</v>
      </c>
      <c r="FA697" s="629">
        <f t="shared" si="805"/>
        <v>0</v>
      </c>
      <c r="FB697" s="629">
        <f t="shared" si="805"/>
        <v>0</v>
      </c>
      <c r="FC697" s="629">
        <f t="shared" si="805"/>
        <v>0</v>
      </c>
      <c r="FD697" s="629">
        <f t="shared" si="805"/>
        <v>0</v>
      </c>
      <c r="FE697" s="629">
        <f t="shared" si="805"/>
        <v>0</v>
      </c>
      <c r="FF697" s="629">
        <f t="shared" si="805"/>
        <v>0</v>
      </c>
      <c r="FG697" s="629">
        <f t="shared" si="805"/>
        <v>0</v>
      </c>
      <c r="FH697" s="629">
        <f t="shared" si="805"/>
        <v>0</v>
      </c>
      <c r="FI697" s="629">
        <f t="shared" si="805"/>
        <v>0</v>
      </c>
      <c r="FJ697" s="629">
        <f t="shared" si="805"/>
        <v>0</v>
      </c>
      <c r="FK697" s="629">
        <f t="shared" si="805"/>
        <v>0</v>
      </c>
      <c r="FL697" s="629">
        <f t="shared" si="805"/>
        <v>0</v>
      </c>
      <c r="FM697" s="629">
        <f t="shared" si="805"/>
        <v>0</v>
      </c>
      <c r="FN697" s="629">
        <f t="shared" si="805"/>
        <v>0</v>
      </c>
      <c r="FO697" s="629">
        <f t="shared" si="805"/>
        <v>0</v>
      </c>
      <c r="FP697" s="629">
        <f t="shared" si="805"/>
        <v>0</v>
      </c>
      <c r="FQ697" s="629">
        <f t="shared" si="805"/>
        <v>0</v>
      </c>
      <c r="FR697" s="629">
        <f t="shared" si="805"/>
        <v>0</v>
      </c>
      <c r="FS697" s="629">
        <f t="shared" si="805"/>
        <v>0</v>
      </c>
      <c r="FT697" s="629">
        <f t="shared" si="805"/>
        <v>0</v>
      </c>
      <c r="FU697" s="629">
        <f t="shared" si="805"/>
        <v>0</v>
      </c>
      <c r="FV697" s="629">
        <f t="shared" si="805"/>
        <v>0</v>
      </c>
      <c r="FW697" s="629">
        <f t="shared" si="805"/>
        <v>0</v>
      </c>
      <c r="FX697" s="629">
        <f t="shared" si="805"/>
        <v>0</v>
      </c>
      <c r="FY697" s="629">
        <f t="shared" si="805"/>
        <v>0</v>
      </c>
      <c r="FZ697" s="629">
        <f t="shared" si="805"/>
        <v>0</v>
      </c>
      <c r="GA697" s="629">
        <f t="shared" si="805"/>
        <v>0</v>
      </c>
      <c r="GB697" s="629">
        <f t="shared" si="805"/>
        <v>0</v>
      </c>
      <c r="GC697" s="629">
        <f t="shared" si="805"/>
        <v>0</v>
      </c>
      <c r="GD697" s="629">
        <f t="shared" si="805"/>
        <v>0</v>
      </c>
      <c r="GE697" s="629">
        <f t="shared" si="805"/>
        <v>0</v>
      </c>
      <c r="GF697" s="629">
        <f t="shared" si="805"/>
        <v>0</v>
      </c>
      <c r="GG697" s="629">
        <f t="shared" si="805"/>
        <v>0</v>
      </c>
      <c r="GH697" s="629">
        <f t="shared" si="805"/>
        <v>0</v>
      </c>
      <c r="GI697" s="629">
        <f t="shared" si="805"/>
        <v>0</v>
      </c>
      <c r="GJ697" s="629">
        <f t="shared" si="805"/>
        <v>0</v>
      </c>
      <c r="GK697" s="629">
        <f t="shared" si="805"/>
        <v>0</v>
      </c>
      <c r="GL697" s="629">
        <f t="shared" si="805"/>
        <v>0</v>
      </c>
      <c r="GM697" s="629">
        <f t="shared" si="805"/>
        <v>0</v>
      </c>
      <c r="GN697" s="629">
        <f t="shared" si="805"/>
        <v>0</v>
      </c>
      <c r="GO697" s="629">
        <f t="shared" si="805"/>
        <v>0</v>
      </c>
      <c r="GP697" s="629">
        <f t="shared" ref="GP697:HT697" si="806">GP327</f>
        <v>0</v>
      </c>
      <c r="GQ697" s="629">
        <f t="shared" si="806"/>
        <v>0</v>
      </c>
      <c r="GR697" s="629">
        <f t="shared" si="806"/>
        <v>0</v>
      </c>
      <c r="GS697" s="629">
        <f t="shared" si="806"/>
        <v>0</v>
      </c>
      <c r="GT697" s="629">
        <f t="shared" si="806"/>
        <v>0</v>
      </c>
      <c r="GU697" s="629">
        <f t="shared" si="806"/>
        <v>0</v>
      </c>
      <c r="GV697" s="629">
        <f t="shared" si="806"/>
        <v>0</v>
      </c>
      <c r="GW697" s="629">
        <f t="shared" si="806"/>
        <v>0</v>
      </c>
      <c r="GX697" s="629">
        <f t="shared" si="806"/>
        <v>0</v>
      </c>
      <c r="GY697" s="629">
        <f t="shared" si="806"/>
        <v>0</v>
      </c>
      <c r="GZ697" s="629">
        <f t="shared" si="806"/>
        <v>0</v>
      </c>
      <c r="HA697" s="629">
        <f t="shared" si="806"/>
        <v>0</v>
      </c>
      <c r="HB697" s="629">
        <f t="shared" si="806"/>
        <v>0</v>
      </c>
      <c r="HC697" s="629">
        <f t="shared" si="806"/>
        <v>0</v>
      </c>
      <c r="HD697" s="629">
        <f t="shared" si="806"/>
        <v>0</v>
      </c>
      <c r="HE697" s="629">
        <f t="shared" si="806"/>
        <v>0</v>
      </c>
      <c r="HF697" s="629">
        <f t="shared" si="806"/>
        <v>0</v>
      </c>
      <c r="HG697" s="629">
        <f t="shared" si="806"/>
        <v>0</v>
      </c>
      <c r="HH697" s="629">
        <f t="shared" si="806"/>
        <v>0</v>
      </c>
      <c r="HI697" s="629">
        <f t="shared" si="806"/>
        <v>0</v>
      </c>
      <c r="HJ697" s="629">
        <f t="shared" si="806"/>
        <v>0</v>
      </c>
      <c r="HK697" s="629">
        <f t="shared" si="806"/>
        <v>0</v>
      </c>
      <c r="HL697" s="629">
        <f t="shared" si="806"/>
        <v>0</v>
      </c>
      <c r="HM697" s="629">
        <f t="shared" si="806"/>
        <v>0</v>
      </c>
      <c r="HN697" s="629">
        <f t="shared" si="806"/>
        <v>0</v>
      </c>
      <c r="HO697" s="629">
        <f t="shared" si="806"/>
        <v>0</v>
      </c>
      <c r="HP697" s="629">
        <f t="shared" si="806"/>
        <v>0</v>
      </c>
      <c r="HQ697" s="629">
        <f t="shared" si="806"/>
        <v>0</v>
      </c>
      <c r="HR697" s="629">
        <f t="shared" si="806"/>
        <v>0</v>
      </c>
      <c r="HS697" s="629">
        <f t="shared" si="806"/>
        <v>0</v>
      </c>
      <c r="HT697" s="629">
        <f t="shared" si="806"/>
        <v>0</v>
      </c>
      <c r="HU697" s="620" t="s">
        <v>1810</v>
      </c>
      <c r="HV697" s="827" t="e">
        <f t="shared" si="795"/>
        <v>#N/A</v>
      </c>
      <c r="IB697" s="11">
        <f t="shared" ref="IB697:II697" si="807">IB327</f>
        <v>0</v>
      </c>
      <c r="IC697" s="11">
        <f t="shared" si="807"/>
        <v>0</v>
      </c>
      <c r="ID697" s="11">
        <f t="shared" si="807"/>
        <v>0</v>
      </c>
      <c r="IE697" s="11">
        <f t="shared" si="807"/>
        <v>0</v>
      </c>
      <c r="IF697" s="11">
        <f t="shared" si="807"/>
        <v>0</v>
      </c>
      <c r="IG697" s="11">
        <f t="shared" si="807"/>
        <v>0</v>
      </c>
      <c r="IH697" s="11">
        <f t="shared" si="807"/>
        <v>0</v>
      </c>
      <c r="II697" s="11">
        <f t="shared" si="807"/>
        <v>0</v>
      </c>
    </row>
    <row r="698" spans="4:243" x14ac:dyDescent="0.25">
      <c r="D698" s="27" t="str">
        <f t="shared" si="797"/>
        <v>Vælg……………………………………</v>
      </c>
      <c r="E698" s="629">
        <f t="shared" si="797"/>
        <v>0</v>
      </c>
      <c r="F698" s="629">
        <f t="shared" ref="F698:BQ698" si="808">F328</f>
        <v>0</v>
      </c>
      <c r="G698" s="629">
        <f t="shared" si="808"/>
        <v>0</v>
      </c>
      <c r="H698" s="629">
        <f t="shared" si="808"/>
        <v>0</v>
      </c>
      <c r="I698" s="629">
        <f t="shared" si="808"/>
        <v>0</v>
      </c>
      <c r="J698" s="629">
        <f t="shared" si="808"/>
        <v>0</v>
      </c>
      <c r="K698" s="629">
        <f t="shared" si="808"/>
        <v>0</v>
      </c>
      <c r="L698" s="629">
        <f t="shared" si="808"/>
        <v>0</v>
      </c>
      <c r="M698" s="629">
        <f t="shared" si="808"/>
        <v>0</v>
      </c>
      <c r="N698" s="629">
        <f t="shared" si="808"/>
        <v>0</v>
      </c>
      <c r="O698" s="629">
        <f t="shared" si="808"/>
        <v>0</v>
      </c>
      <c r="P698" s="629">
        <f t="shared" si="808"/>
        <v>0</v>
      </c>
      <c r="Q698" s="629">
        <f t="shared" si="808"/>
        <v>0</v>
      </c>
      <c r="R698" s="629">
        <f t="shared" si="808"/>
        <v>0</v>
      </c>
      <c r="S698" s="629">
        <f t="shared" si="808"/>
        <v>0</v>
      </c>
      <c r="T698" s="629">
        <f t="shared" si="808"/>
        <v>0</v>
      </c>
      <c r="U698" s="629">
        <f t="shared" si="808"/>
        <v>0</v>
      </c>
      <c r="V698" s="629">
        <f t="shared" si="808"/>
        <v>0</v>
      </c>
      <c r="W698" s="629">
        <f t="shared" si="808"/>
        <v>0</v>
      </c>
      <c r="X698" s="629">
        <f t="shared" si="808"/>
        <v>0</v>
      </c>
      <c r="Y698" s="629">
        <f t="shared" si="808"/>
        <v>0</v>
      </c>
      <c r="Z698" s="629">
        <f t="shared" si="808"/>
        <v>0</v>
      </c>
      <c r="AA698" s="629">
        <f t="shared" si="808"/>
        <v>0</v>
      </c>
      <c r="AB698" s="629">
        <f t="shared" si="808"/>
        <v>0</v>
      </c>
      <c r="AC698" s="629">
        <f t="shared" si="808"/>
        <v>0</v>
      </c>
      <c r="AD698" s="629">
        <f t="shared" si="808"/>
        <v>0</v>
      </c>
      <c r="AE698" s="629">
        <f t="shared" si="808"/>
        <v>0</v>
      </c>
      <c r="AF698" s="629">
        <f t="shared" si="808"/>
        <v>0</v>
      </c>
      <c r="AG698" s="629">
        <f t="shared" si="808"/>
        <v>0</v>
      </c>
      <c r="AH698" s="629">
        <f t="shared" si="808"/>
        <v>0</v>
      </c>
      <c r="AI698" s="629">
        <f t="shared" si="808"/>
        <v>0</v>
      </c>
      <c r="AJ698" s="629">
        <f t="shared" si="808"/>
        <v>0</v>
      </c>
      <c r="AK698" s="629">
        <f t="shared" si="808"/>
        <v>0</v>
      </c>
      <c r="AL698" s="629">
        <f t="shared" si="808"/>
        <v>0</v>
      </c>
      <c r="AM698" s="629">
        <f t="shared" si="808"/>
        <v>0</v>
      </c>
      <c r="AN698" s="629">
        <f t="shared" si="808"/>
        <v>0</v>
      </c>
      <c r="AO698" s="629">
        <f t="shared" si="808"/>
        <v>0</v>
      </c>
      <c r="AP698" s="629">
        <f t="shared" si="808"/>
        <v>0</v>
      </c>
      <c r="AQ698" s="629">
        <f t="shared" si="808"/>
        <v>0</v>
      </c>
      <c r="AR698" s="629">
        <f t="shared" si="808"/>
        <v>0</v>
      </c>
      <c r="AS698" s="629">
        <f t="shared" si="808"/>
        <v>0</v>
      </c>
      <c r="AT698" s="629">
        <f t="shared" si="808"/>
        <v>0</v>
      </c>
      <c r="AU698" s="629">
        <f t="shared" si="808"/>
        <v>0</v>
      </c>
      <c r="AV698" s="629">
        <f t="shared" si="808"/>
        <v>0</v>
      </c>
      <c r="AW698" s="629">
        <f t="shared" si="808"/>
        <v>0</v>
      </c>
      <c r="AX698" s="629">
        <f t="shared" si="808"/>
        <v>0</v>
      </c>
      <c r="AY698" s="629">
        <f t="shared" si="808"/>
        <v>0</v>
      </c>
      <c r="AZ698" s="629">
        <f t="shared" si="808"/>
        <v>0</v>
      </c>
      <c r="BA698" s="629">
        <f t="shared" si="808"/>
        <v>0</v>
      </c>
      <c r="BB698" s="629">
        <f t="shared" si="808"/>
        <v>0</v>
      </c>
      <c r="BC698" s="629">
        <f t="shared" si="808"/>
        <v>0</v>
      </c>
      <c r="BD698" s="629">
        <f t="shared" si="808"/>
        <v>0</v>
      </c>
      <c r="BE698" s="629">
        <f t="shared" si="808"/>
        <v>0</v>
      </c>
      <c r="BF698" s="629">
        <f t="shared" si="808"/>
        <v>0</v>
      </c>
      <c r="BG698" s="629">
        <f t="shared" si="808"/>
        <v>0</v>
      </c>
      <c r="BH698" s="629">
        <f t="shared" si="808"/>
        <v>0</v>
      </c>
      <c r="BI698" s="629">
        <f t="shared" si="808"/>
        <v>0</v>
      </c>
      <c r="BJ698" s="629">
        <f t="shared" si="808"/>
        <v>0</v>
      </c>
      <c r="BK698" s="629">
        <f t="shared" si="808"/>
        <v>0</v>
      </c>
      <c r="BL698" s="629">
        <f t="shared" si="808"/>
        <v>0</v>
      </c>
      <c r="BM698" s="629">
        <f t="shared" si="808"/>
        <v>0</v>
      </c>
      <c r="BN698" s="629">
        <f t="shared" si="808"/>
        <v>0</v>
      </c>
      <c r="BO698" s="629">
        <f t="shared" si="808"/>
        <v>0</v>
      </c>
      <c r="BP698" s="629">
        <f t="shared" si="808"/>
        <v>0</v>
      </c>
      <c r="BQ698" s="629">
        <f t="shared" si="808"/>
        <v>0</v>
      </c>
      <c r="BR698" s="629">
        <f t="shared" ref="BR698:EC698" si="809">BR328</f>
        <v>0</v>
      </c>
      <c r="BS698" s="629">
        <f t="shared" si="809"/>
        <v>0</v>
      </c>
      <c r="BT698" s="629">
        <f t="shared" si="809"/>
        <v>0</v>
      </c>
      <c r="BU698" s="629">
        <f t="shared" si="809"/>
        <v>0</v>
      </c>
      <c r="BV698" s="629">
        <f t="shared" si="809"/>
        <v>0</v>
      </c>
      <c r="BW698" s="629">
        <f t="shared" si="809"/>
        <v>0</v>
      </c>
      <c r="BX698" s="629">
        <f t="shared" si="809"/>
        <v>0</v>
      </c>
      <c r="BY698" s="629">
        <f t="shared" si="809"/>
        <v>0</v>
      </c>
      <c r="BZ698" s="629">
        <f t="shared" si="809"/>
        <v>0</v>
      </c>
      <c r="CA698" s="629">
        <f t="shared" si="809"/>
        <v>0</v>
      </c>
      <c r="CB698" s="629">
        <f t="shared" si="809"/>
        <v>0</v>
      </c>
      <c r="CC698" s="629">
        <f t="shared" si="809"/>
        <v>0</v>
      </c>
      <c r="CD698" s="629">
        <f t="shared" si="809"/>
        <v>0</v>
      </c>
      <c r="CE698" s="629">
        <f t="shared" si="809"/>
        <v>0</v>
      </c>
      <c r="CF698" s="629">
        <f t="shared" si="809"/>
        <v>0</v>
      </c>
      <c r="CG698" s="629">
        <f t="shared" si="809"/>
        <v>0</v>
      </c>
      <c r="CH698" s="629">
        <f t="shared" si="809"/>
        <v>0</v>
      </c>
      <c r="CI698" s="629">
        <f t="shared" si="809"/>
        <v>0</v>
      </c>
      <c r="CJ698" s="629">
        <f t="shared" si="809"/>
        <v>0</v>
      </c>
      <c r="CK698" s="629">
        <f t="shared" si="809"/>
        <v>0</v>
      </c>
      <c r="CL698" s="629">
        <f t="shared" si="809"/>
        <v>0</v>
      </c>
      <c r="CM698" s="629">
        <f t="shared" si="809"/>
        <v>0</v>
      </c>
      <c r="CN698" s="629">
        <f t="shared" si="809"/>
        <v>0</v>
      </c>
      <c r="CO698" s="629">
        <f t="shared" si="809"/>
        <v>0</v>
      </c>
      <c r="CP698" s="629">
        <f t="shared" si="809"/>
        <v>0</v>
      </c>
      <c r="CQ698" s="629">
        <f t="shared" si="809"/>
        <v>0</v>
      </c>
      <c r="CR698" s="629">
        <f t="shared" si="809"/>
        <v>0</v>
      </c>
      <c r="CS698" s="629">
        <f t="shared" si="809"/>
        <v>0</v>
      </c>
      <c r="CT698" s="629">
        <f t="shared" si="809"/>
        <v>0</v>
      </c>
      <c r="CU698" s="629">
        <f t="shared" si="809"/>
        <v>0</v>
      </c>
      <c r="CV698" s="629">
        <f t="shared" si="809"/>
        <v>0</v>
      </c>
      <c r="CW698" s="629">
        <f t="shared" si="809"/>
        <v>0</v>
      </c>
      <c r="CX698" s="629">
        <f t="shared" si="809"/>
        <v>0</v>
      </c>
      <c r="CY698" s="629">
        <f t="shared" si="809"/>
        <v>0</v>
      </c>
      <c r="CZ698" s="629">
        <f t="shared" si="809"/>
        <v>0</v>
      </c>
      <c r="DA698" s="629">
        <f t="shared" si="809"/>
        <v>0</v>
      </c>
      <c r="DB698" s="629">
        <f t="shared" si="809"/>
        <v>0</v>
      </c>
      <c r="DC698" s="629">
        <f t="shared" si="809"/>
        <v>0</v>
      </c>
      <c r="DD698" s="629">
        <f t="shared" si="809"/>
        <v>0</v>
      </c>
      <c r="DE698" s="629">
        <f t="shared" si="809"/>
        <v>0</v>
      </c>
      <c r="DF698" s="629">
        <f t="shared" si="809"/>
        <v>0</v>
      </c>
      <c r="DG698" s="629">
        <f t="shared" si="809"/>
        <v>0</v>
      </c>
      <c r="DH698" s="629">
        <f t="shared" si="809"/>
        <v>0</v>
      </c>
      <c r="DI698" s="629">
        <f t="shared" si="809"/>
        <v>0</v>
      </c>
      <c r="DJ698" s="629">
        <f t="shared" si="809"/>
        <v>0</v>
      </c>
      <c r="DK698" s="629">
        <f t="shared" si="809"/>
        <v>0</v>
      </c>
      <c r="DL698" s="629">
        <f t="shared" si="809"/>
        <v>0</v>
      </c>
      <c r="DM698" s="629">
        <f t="shared" si="809"/>
        <v>0</v>
      </c>
      <c r="DN698" s="629">
        <f t="shared" si="809"/>
        <v>0</v>
      </c>
      <c r="DO698" s="629">
        <f t="shared" si="809"/>
        <v>0</v>
      </c>
      <c r="DP698" s="629">
        <f t="shared" si="809"/>
        <v>0</v>
      </c>
      <c r="DQ698" s="629">
        <f t="shared" si="809"/>
        <v>0</v>
      </c>
      <c r="DR698" s="629">
        <f t="shared" si="809"/>
        <v>0</v>
      </c>
      <c r="DS698" s="629">
        <f t="shared" si="809"/>
        <v>0</v>
      </c>
      <c r="DT698" s="629">
        <f t="shared" si="809"/>
        <v>0</v>
      </c>
      <c r="DU698" s="629">
        <f t="shared" si="809"/>
        <v>0</v>
      </c>
      <c r="DV698" s="629">
        <f t="shared" si="809"/>
        <v>0</v>
      </c>
      <c r="DW698" s="629">
        <f t="shared" si="809"/>
        <v>0</v>
      </c>
      <c r="DX698" s="629">
        <f t="shared" si="809"/>
        <v>0</v>
      </c>
      <c r="DY698" s="629">
        <f t="shared" si="809"/>
        <v>0</v>
      </c>
      <c r="DZ698" s="629">
        <f t="shared" si="809"/>
        <v>0</v>
      </c>
      <c r="EA698" s="629">
        <f t="shared" si="809"/>
        <v>0</v>
      </c>
      <c r="EB698" s="629">
        <f t="shared" si="809"/>
        <v>0</v>
      </c>
      <c r="EC698" s="629">
        <f t="shared" si="809"/>
        <v>0</v>
      </c>
      <c r="ED698" s="629">
        <f t="shared" ref="ED698:GO698" si="810">ED328</f>
        <v>0</v>
      </c>
      <c r="EE698" s="629">
        <f t="shared" si="810"/>
        <v>0</v>
      </c>
      <c r="EF698" s="629">
        <f t="shared" si="810"/>
        <v>0</v>
      </c>
      <c r="EG698" s="629">
        <f t="shared" si="810"/>
        <v>0</v>
      </c>
      <c r="EH698" s="629">
        <f t="shared" si="810"/>
        <v>0</v>
      </c>
      <c r="EI698" s="629">
        <f t="shared" si="810"/>
        <v>0</v>
      </c>
      <c r="EJ698" s="629">
        <f t="shared" si="810"/>
        <v>0</v>
      </c>
      <c r="EK698" s="629">
        <f t="shared" si="810"/>
        <v>0</v>
      </c>
      <c r="EL698" s="629">
        <f t="shared" si="810"/>
        <v>0</v>
      </c>
      <c r="EM698" s="629">
        <f t="shared" si="810"/>
        <v>0</v>
      </c>
      <c r="EN698" s="629">
        <f t="shared" si="810"/>
        <v>0</v>
      </c>
      <c r="EO698" s="629">
        <f t="shared" si="810"/>
        <v>0</v>
      </c>
      <c r="EP698" s="629">
        <f t="shared" si="810"/>
        <v>0</v>
      </c>
      <c r="EQ698" s="629">
        <f t="shared" si="810"/>
        <v>0</v>
      </c>
      <c r="ER698" s="629">
        <f t="shared" si="810"/>
        <v>0</v>
      </c>
      <c r="ES698" s="629">
        <f t="shared" si="810"/>
        <v>0</v>
      </c>
      <c r="ET698" s="629">
        <f t="shared" si="810"/>
        <v>0</v>
      </c>
      <c r="EU698" s="629">
        <f t="shared" si="810"/>
        <v>0</v>
      </c>
      <c r="EV698" s="629">
        <f t="shared" si="810"/>
        <v>0</v>
      </c>
      <c r="EW698" s="629">
        <f t="shared" si="810"/>
        <v>0</v>
      </c>
      <c r="EX698" s="629">
        <f t="shared" si="810"/>
        <v>0</v>
      </c>
      <c r="EY698" s="629">
        <f t="shared" si="810"/>
        <v>0</v>
      </c>
      <c r="EZ698" s="629">
        <f t="shared" si="810"/>
        <v>0</v>
      </c>
      <c r="FA698" s="629">
        <f t="shared" si="810"/>
        <v>0</v>
      </c>
      <c r="FB698" s="629">
        <f t="shared" si="810"/>
        <v>0</v>
      </c>
      <c r="FC698" s="629">
        <f t="shared" si="810"/>
        <v>0</v>
      </c>
      <c r="FD698" s="629">
        <f t="shared" si="810"/>
        <v>0</v>
      </c>
      <c r="FE698" s="629">
        <f t="shared" si="810"/>
        <v>0</v>
      </c>
      <c r="FF698" s="629">
        <f t="shared" si="810"/>
        <v>0</v>
      </c>
      <c r="FG698" s="629">
        <f t="shared" si="810"/>
        <v>0</v>
      </c>
      <c r="FH698" s="629">
        <f t="shared" si="810"/>
        <v>0</v>
      </c>
      <c r="FI698" s="629">
        <f t="shared" si="810"/>
        <v>0</v>
      </c>
      <c r="FJ698" s="629">
        <f t="shared" si="810"/>
        <v>0</v>
      </c>
      <c r="FK698" s="629">
        <f t="shared" si="810"/>
        <v>0</v>
      </c>
      <c r="FL698" s="629">
        <f t="shared" si="810"/>
        <v>0</v>
      </c>
      <c r="FM698" s="629">
        <f t="shared" si="810"/>
        <v>0</v>
      </c>
      <c r="FN698" s="629">
        <f t="shared" si="810"/>
        <v>0</v>
      </c>
      <c r="FO698" s="629">
        <f t="shared" si="810"/>
        <v>0</v>
      </c>
      <c r="FP698" s="629">
        <f t="shared" si="810"/>
        <v>0</v>
      </c>
      <c r="FQ698" s="629">
        <f t="shared" si="810"/>
        <v>0</v>
      </c>
      <c r="FR698" s="629">
        <f t="shared" si="810"/>
        <v>0</v>
      </c>
      <c r="FS698" s="629">
        <f t="shared" si="810"/>
        <v>0</v>
      </c>
      <c r="FT698" s="629">
        <f t="shared" si="810"/>
        <v>0</v>
      </c>
      <c r="FU698" s="629">
        <f t="shared" si="810"/>
        <v>0</v>
      </c>
      <c r="FV698" s="629">
        <f t="shared" si="810"/>
        <v>0</v>
      </c>
      <c r="FW698" s="629">
        <f t="shared" si="810"/>
        <v>0</v>
      </c>
      <c r="FX698" s="629">
        <f t="shared" si="810"/>
        <v>0</v>
      </c>
      <c r="FY698" s="629">
        <f t="shared" si="810"/>
        <v>0</v>
      </c>
      <c r="FZ698" s="629">
        <f t="shared" si="810"/>
        <v>0</v>
      </c>
      <c r="GA698" s="629">
        <f t="shared" si="810"/>
        <v>0</v>
      </c>
      <c r="GB698" s="629">
        <f t="shared" si="810"/>
        <v>0</v>
      </c>
      <c r="GC698" s="629">
        <f t="shared" si="810"/>
        <v>0</v>
      </c>
      <c r="GD698" s="629">
        <f t="shared" si="810"/>
        <v>0</v>
      </c>
      <c r="GE698" s="629">
        <f t="shared" si="810"/>
        <v>0</v>
      </c>
      <c r="GF698" s="629">
        <f t="shared" si="810"/>
        <v>0</v>
      </c>
      <c r="GG698" s="629">
        <f t="shared" si="810"/>
        <v>0</v>
      </c>
      <c r="GH698" s="629">
        <f t="shared" si="810"/>
        <v>0</v>
      </c>
      <c r="GI698" s="629">
        <f t="shared" si="810"/>
        <v>0</v>
      </c>
      <c r="GJ698" s="629">
        <f t="shared" si="810"/>
        <v>0</v>
      </c>
      <c r="GK698" s="629">
        <f t="shared" si="810"/>
        <v>0</v>
      </c>
      <c r="GL698" s="629">
        <f t="shared" si="810"/>
        <v>0</v>
      </c>
      <c r="GM698" s="629">
        <f t="shared" si="810"/>
        <v>0</v>
      </c>
      <c r="GN698" s="629">
        <f t="shared" si="810"/>
        <v>0</v>
      </c>
      <c r="GO698" s="629">
        <f t="shared" si="810"/>
        <v>0</v>
      </c>
      <c r="GP698" s="629">
        <f t="shared" ref="GP698:HT698" si="811">GP328</f>
        <v>0</v>
      </c>
      <c r="GQ698" s="629">
        <f t="shared" si="811"/>
        <v>0</v>
      </c>
      <c r="GR698" s="629">
        <f t="shared" si="811"/>
        <v>0</v>
      </c>
      <c r="GS698" s="629">
        <f t="shared" si="811"/>
        <v>0</v>
      </c>
      <c r="GT698" s="629">
        <f t="shared" si="811"/>
        <v>0</v>
      </c>
      <c r="GU698" s="629">
        <f t="shared" si="811"/>
        <v>0</v>
      </c>
      <c r="GV698" s="629">
        <f t="shared" si="811"/>
        <v>0</v>
      </c>
      <c r="GW698" s="629">
        <f t="shared" si="811"/>
        <v>0</v>
      </c>
      <c r="GX698" s="629">
        <f t="shared" si="811"/>
        <v>0</v>
      </c>
      <c r="GY698" s="629">
        <f t="shared" si="811"/>
        <v>0</v>
      </c>
      <c r="GZ698" s="629">
        <f t="shared" si="811"/>
        <v>0</v>
      </c>
      <c r="HA698" s="629">
        <f t="shared" si="811"/>
        <v>0</v>
      </c>
      <c r="HB698" s="629">
        <f t="shared" si="811"/>
        <v>0</v>
      </c>
      <c r="HC698" s="629">
        <f t="shared" si="811"/>
        <v>0</v>
      </c>
      <c r="HD698" s="629">
        <f t="shared" si="811"/>
        <v>0</v>
      </c>
      <c r="HE698" s="629">
        <f t="shared" si="811"/>
        <v>0</v>
      </c>
      <c r="HF698" s="629">
        <f t="shared" si="811"/>
        <v>0</v>
      </c>
      <c r="HG698" s="629">
        <f t="shared" si="811"/>
        <v>0</v>
      </c>
      <c r="HH698" s="629">
        <f t="shared" si="811"/>
        <v>0</v>
      </c>
      <c r="HI698" s="629">
        <f t="shared" si="811"/>
        <v>0</v>
      </c>
      <c r="HJ698" s="629">
        <f t="shared" si="811"/>
        <v>0</v>
      </c>
      <c r="HK698" s="629">
        <f t="shared" si="811"/>
        <v>0</v>
      </c>
      <c r="HL698" s="629">
        <f t="shared" si="811"/>
        <v>0</v>
      </c>
      <c r="HM698" s="629">
        <f t="shared" si="811"/>
        <v>0</v>
      </c>
      <c r="HN698" s="629">
        <f t="shared" si="811"/>
        <v>0</v>
      </c>
      <c r="HO698" s="629">
        <f t="shared" si="811"/>
        <v>0</v>
      </c>
      <c r="HP698" s="629">
        <f t="shared" si="811"/>
        <v>0</v>
      </c>
      <c r="HQ698" s="629">
        <f t="shared" si="811"/>
        <v>0</v>
      </c>
      <c r="HR698" s="629">
        <f t="shared" si="811"/>
        <v>0</v>
      </c>
      <c r="HS698" s="629">
        <f t="shared" si="811"/>
        <v>0</v>
      </c>
      <c r="HT698" s="629">
        <f t="shared" si="811"/>
        <v>0</v>
      </c>
      <c r="HU698" s="620" t="s">
        <v>1810</v>
      </c>
      <c r="HV698" s="827" t="e">
        <f t="shared" si="795"/>
        <v>#N/A</v>
      </c>
      <c r="IB698" s="11">
        <f t="shared" ref="IB698:II698" si="812">IB328</f>
        <v>0</v>
      </c>
      <c r="IC698" s="11">
        <f t="shared" si="812"/>
        <v>0</v>
      </c>
      <c r="ID698" s="11">
        <f t="shared" si="812"/>
        <v>0</v>
      </c>
      <c r="IE698" s="11">
        <f t="shared" si="812"/>
        <v>0</v>
      </c>
      <c r="IF698" s="11">
        <f t="shared" si="812"/>
        <v>0</v>
      </c>
      <c r="IG698" s="11">
        <f t="shared" si="812"/>
        <v>0</v>
      </c>
      <c r="IH698" s="11">
        <f t="shared" si="812"/>
        <v>0</v>
      </c>
      <c r="II698" s="11">
        <f t="shared" si="812"/>
        <v>0</v>
      </c>
    </row>
    <row r="699" spans="4:243" x14ac:dyDescent="0.25">
      <c r="D699" s="27" t="str">
        <f t="shared" si="797"/>
        <v>Vælg……………………………………</v>
      </c>
      <c r="E699" s="629">
        <f t="shared" si="797"/>
        <v>0</v>
      </c>
      <c r="F699" s="629">
        <f t="shared" ref="F699:BQ699" si="813">F329</f>
        <v>0</v>
      </c>
      <c r="G699" s="629">
        <f t="shared" si="813"/>
        <v>0</v>
      </c>
      <c r="H699" s="629">
        <f t="shared" si="813"/>
        <v>0</v>
      </c>
      <c r="I699" s="629">
        <f t="shared" si="813"/>
        <v>0</v>
      </c>
      <c r="J699" s="629">
        <f t="shared" si="813"/>
        <v>0</v>
      </c>
      <c r="K699" s="629">
        <f t="shared" si="813"/>
        <v>0</v>
      </c>
      <c r="L699" s="629">
        <f t="shared" si="813"/>
        <v>0</v>
      </c>
      <c r="M699" s="629">
        <f t="shared" si="813"/>
        <v>0</v>
      </c>
      <c r="N699" s="629">
        <f t="shared" si="813"/>
        <v>0</v>
      </c>
      <c r="O699" s="629">
        <f t="shared" si="813"/>
        <v>0</v>
      </c>
      <c r="P699" s="629">
        <f t="shared" si="813"/>
        <v>0</v>
      </c>
      <c r="Q699" s="629">
        <f t="shared" si="813"/>
        <v>0</v>
      </c>
      <c r="R699" s="629">
        <f t="shared" si="813"/>
        <v>0</v>
      </c>
      <c r="S699" s="629">
        <f t="shared" si="813"/>
        <v>0</v>
      </c>
      <c r="T699" s="629">
        <f t="shared" si="813"/>
        <v>0</v>
      </c>
      <c r="U699" s="629">
        <f t="shared" si="813"/>
        <v>0</v>
      </c>
      <c r="V699" s="629">
        <f t="shared" si="813"/>
        <v>0</v>
      </c>
      <c r="W699" s="629">
        <f t="shared" si="813"/>
        <v>0</v>
      </c>
      <c r="X699" s="629">
        <f t="shared" si="813"/>
        <v>0</v>
      </c>
      <c r="Y699" s="629">
        <f t="shared" si="813"/>
        <v>0</v>
      </c>
      <c r="Z699" s="629">
        <f t="shared" si="813"/>
        <v>0</v>
      </c>
      <c r="AA699" s="629">
        <f t="shared" si="813"/>
        <v>0</v>
      </c>
      <c r="AB699" s="629">
        <f t="shared" si="813"/>
        <v>0</v>
      </c>
      <c r="AC699" s="629">
        <f t="shared" si="813"/>
        <v>0</v>
      </c>
      <c r="AD699" s="629">
        <f t="shared" si="813"/>
        <v>0</v>
      </c>
      <c r="AE699" s="629">
        <f t="shared" si="813"/>
        <v>0</v>
      </c>
      <c r="AF699" s="629">
        <f t="shared" si="813"/>
        <v>0</v>
      </c>
      <c r="AG699" s="629">
        <f t="shared" si="813"/>
        <v>0</v>
      </c>
      <c r="AH699" s="629">
        <f t="shared" si="813"/>
        <v>0</v>
      </c>
      <c r="AI699" s="629">
        <f t="shared" si="813"/>
        <v>0</v>
      </c>
      <c r="AJ699" s="629">
        <f t="shared" si="813"/>
        <v>0</v>
      </c>
      <c r="AK699" s="629">
        <f t="shared" si="813"/>
        <v>0</v>
      </c>
      <c r="AL699" s="629">
        <f t="shared" si="813"/>
        <v>0</v>
      </c>
      <c r="AM699" s="629">
        <f t="shared" si="813"/>
        <v>0</v>
      </c>
      <c r="AN699" s="629">
        <f t="shared" si="813"/>
        <v>0</v>
      </c>
      <c r="AO699" s="629">
        <f t="shared" si="813"/>
        <v>0</v>
      </c>
      <c r="AP699" s="629">
        <f t="shared" si="813"/>
        <v>0</v>
      </c>
      <c r="AQ699" s="629">
        <f t="shared" si="813"/>
        <v>0</v>
      </c>
      <c r="AR699" s="629">
        <f t="shared" si="813"/>
        <v>0</v>
      </c>
      <c r="AS699" s="629">
        <f t="shared" si="813"/>
        <v>0</v>
      </c>
      <c r="AT699" s="629">
        <f t="shared" si="813"/>
        <v>0</v>
      </c>
      <c r="AU699" s="629">
        <f t="shared" si="813"/>
        <v>0</v>
      </c>
      <c r="AV699" s="629">
        <f t="shared" si="813"/>
        <v>0</v>
      </c>
      <c r="AW699" s="629">
        <f t="shared" si="813"/>
        <v>0</v>
      </c>
      <c r="AX699" s="629">
        <f t="shared" si="813"/>
        <v>0</v>
      </c>
      <c r="AY699" s="629">
        <f t="shared" si="813"/>
        <v>0</v>
      </c>
      <c r="AZ699" s="629">
        <f t="shared" si="813"/>
        <v>0</v>
      </c>
      <c r="BA699" s="629">
        <f t="shared" si="813"/>
        <v>0</v>
      </c>
      <c r="BB699" s="629">
        <f t="shared" si="813"/>
        <v>0</v>
      </c>
      <c r="BC699" s="629">
        <f t="shared" si="813"/>
        <v>0</v>
      </c>
      <c r="BD699" s="629">
        <f t="shared" si="813"/>
        <v>0</v>
      </c>
      <c r="BE699" s="629">
        <f t="shared" si="813"/>
        <v>0</v>
      </c>
      <c r="BF699" s="629">
        <f t="shared" si="813"/>
        <v>0</v>
      </c>
      <c r="BG699" s="629">
        <f t="shared" si="813"/>
        <v>0</v>
      </c>
      <c r="BH699" s="629">
        <f t="shared" si="813"/>
        <v>0</v>
      </c>
      <c r="BI699" s="629">
        <f t="shared" si="813"/>
        <v>0</v>
      </c>
      <c r="BJ699" s="629">
        <f t="shared" si="813"/>
        <v>0</v>
      </c>
      <c r="BK699" s="629">
        <f t="shared" si="813"/>
        <v>0</v>
      </c>
      <c r="BL699" s="629">
        <f t="shared" si="813"/>
        <v>0</v>
      </c>
      <c r="BM699" s="629">
        <f t="shared" si="813"/>
        <v>0</v>
      </c>
      <c r="BN699" s="629">
        <f t="shared" si="813"/>
        <v>0</v>
      </c>
      <c r="BO699" s="629">
        <f t="shared" si="813"/>
        <v>0</v>
      </c>
      <c r="BP699" s="629">
        <f t="shared" si="813"/>
        <v>0</v>
      </c>
      <c r="BQ699" s="629">
        <f t="shared" si="813"/>
        <v>0</v>
      </c>
      <c r="BR699" s="629">
        <f t="shared" ref="BR699:EC699" si="814">BR329</f>
        <v>0</v>
      </c>
      <c r="BS699" s="629">
        <f t="shared" si="814"/>
        <v>0</v>
      </c>
      <c r="BT699" s="629">
        <f t="shared" si="814"/>
        <v>0</v>
      </c>
      <c r="BU699" s="629">
        <f t="shared" si="814"/>
        <v>0</v>
      </c>
      <c r="BV699" s="629">
        <f t="shared" si="814"/>
        <v>0</v>
      </c>
      <c r="BW699" s="629">
        <f t="shared" si="814"/>
        <v>0</v>
      </c>
      <c r="BX699" s="629">
        <f t="shared" si="814"/>
        <v>0</v>
      </c>
      <c r="BY699" s="629">
        <f t="shared" si="814"/>
        <v>0</v>
      </c>
      <c r="BZ699" s="629">
        <f t="shared" si="814"/>
        <v>0</v>
      </c>
      <c r="CA699" s="629">
        <f t="shared" si="814"/>
        <v>0</v>
      </c>
      <c r="CB699" s="629">
        <f t="shared" si="814"/>
        <v>0</v>
      </c>
      <c r="CC699" s="629">
        <f t="shared" si="814"/>
        <v>0</v>
      </c>
      <c r="CD699" s="629">
        <f t="shared" si="814"/>
        <v>0</v>
      </c>
      <c r="CE699" s="629">
        <f t="shared" si="814"/>
        <v>0</v>
      </c>
      <c r="CF699" s="629">
        <f t="shared" si="814"/>
        <v>0</v>
      </c>
      <c r="CG699" s="629">
        <f t="shared" si="814"/>
        <v>0</v>
      </c>
      <c r="CH699" s="629">
        <f t="shared" si="814"/>
        <v>0</v>
      </c>
      <c r="CI699" s="629">
        <f t="shared" si="814"/>
        <v>0</v>
      </c>
      <c r="CJ699" s="629">
        <f t="shared" si="814"/>
        <v>0</v>
      </c>
      <c r="CK699" s="629">
        <f t="shared" si="814"/>
        <v>0</v>
      </c>
      <c r="CL699" s="629">
        <f t="shared" si="814"/>
        <v>0</v>
      </c>
      <c r="CM699" s="629">
        <f t="shared" si="814"/>
        <v>0</v>
      </c>
      <c r="CN699" s="629">
        <f t="shared" si="814"/>
        <v>0</v>
      </c>
      <c r="CO699" s="629">
        <f t="shared" si="814"/>
        <v>0</v>
      </c>
      <c r="CP699" s="629">
        <f t="shared" si="814"/>
        <v>0</v>
      </c>
      <c r="CQ699" s="629">
        <f t="shared" si="814"/>
        <v>0</v>
      </c>
      <c r="CR699" s="629">
        <f t="shared" si="814"/>
        <v>0</v>
      </c>
      <c r="CS699" s="629">
        <f t="shared" si="814"/>
        <v>0</v>
      </c>
      <c r="CT699" s="629">
        <f t="shared" si="814"/>
        <v>0</v>
      </c>
      <c r="CU699" s="629">
        <f t="shared" si="814"/>
        <v>0</v>
      </c>
      <c r="CV699" s="629">
        <f t="shared" si="814"/>
        <v>0</v>
      </c>
      <c r="CW699" s="629">
        <f t="shared" si="814"/>
        <v>0</v>
      </c>
      <c r="CX699" s="629">
        <f t="shared" si="814"/>
        <v>0</v>
      </c>
      <c r="CY699" s="629">
        <f t="shared" si="814"/>
        <v>0</v>
      </c>
      <c r="CZ699" s="629">
        <f t="shared" si="814"/>
        <v>0</v>
      </c>
      <c r="DA699" s="629">
        <f t="shared" si="814"/>
        <v>0</v>
      </c>
      <c r="DB699" s="629">
        <f t="shared" si="814"/>
        <v>0</v>
      </c>
      <c r="DC699" s="629">
        <f t="shared" si="814"/>
        <v>0</v>
      </c>
      <c r="DD699" s="629">
        <f t="shared" si="814"/>
        <v>0</v>
      </c>
      <c r="DE699" s="629">
        <f t="shared" si="814"/>
        <v>0</v>
      </c>
      <c r="DF699" s="629">
        <f t="shared" si="814"/>
        <v>0</v>
      </c>
      <c r="DG699" s="629">
        <f t="shared" si="814"/>
        <v>0</v>
      </c>
      <c r="DH699" s="629">
        <f t="shared" si="814"/>
        <v>0</v>
      </c>
      <c r="DI699" s="629">
        <f t="shared" si="814"/>
        <v>0</v>
      </c>
      <c r="DJ699" s="629">
        <f t="shared" si="814"/>
        <v>0</v>
      </c>
      <c r="DK699" s="629">
        <f t="shared" si="814"/>
        <v>0</v>
      </c>
      <c r="DL699" s="629">
        <f t="shared" si="814"/>
        <v>0</v>
      </c>
      <c r="DM699" s="629">
        <f t="shared" si="814"/>
        <v>0</v>
      </c>
      <c r="DN699" s="629">
        <f t="shared" si="814"/>
        <v>0</v>
      </c>
      <c r="DO699" s="629">
        <f t="shared" si="814"/>
        <v>0</v>
      </c>
      <c r="DP699" s="629">
        <f t="shared" si="814"/>
        <v>0</v>
      </c>
      <c r="DQ699" s="629">
        <f t="shared" si="814"/>
        <v>0</v>
      </c>
      <c r="DR699" s="629">
        <f t="shared" si="814"/>
        <v>0</v>
      </c>
      <c r="DS699" s="629">
        <f t="shared" si="814"/>
        <v>0</v>
      </c>
      <c r="DT699" s="629">
        <f t="shared" si="814"/>
        <v>0</v>
      </c>
      <c r="DU699" s="629">
        <f t="shared" si="814"/>
        <v>0</v>
      </c>
      <c r="DV699" s="629">
        <f t="shared" si="814"/>
        <v>0</v>
      </c>
      <c r="DW699" s="629">
        <f t="shared" si="814"/>
        <v>0</v>
      </c>
      <c r="DX699" s="629">
        <f t="shared" si="814"/>
        <v>0</v>
      </c>
      <c r="DY699" s="629">
        <f t="shared" si="814"/>
        <v>0</v>
      </c>
      <c r="DZ699" s="629">
        <f t="shared" si="814"/>
        <v>0</v>
      </c>
      <c r="EA699" s="629">
        <f t="shared" si="814"/>
        <v>0</v>
      </c>
      <c r="EB699" s="629">
        <f t="shared" si="814"/>
        <v>0</v>
      </c>
      <c r="EC699" s="629">
        <f t="shared" si="814"/>
        <v>0</v>
      </c>
      <c r="ED699" s="629">
        <f t="shared" ref="ED699:GO699" si="815">ED329</f>
        <v>0</v>
      </c>
      <c r="EE699" s="629">
        <f t="shared" si="815"/>
        <v>0</v>
      </c>
      <c r="EF699" s="629">
        <f t="shared" si="815"/>
        <v>0</v>
      </c>
      <c r="EG699" s="629">
        <f t="shared" si="815"/>
        <v>0</v>
      </c>
      <c r="EH699" s="629">
        <f t="shared" si="815"/>
        <v>0</v>
      </c>
      <c r="EI699" s="629">
        <f t="shared" si="815"/>
        <v>0</v>
      </c>
      <c r="EJ699" s="629">
        <f t="shared" si="815"/>
        <v>0</v>
      </c>
      <c r="EK699" s="629">
        <f t="shared" si="815"/>
        <v>0</v>
      </c>
      <c r="EL699" s="629">
        <f t="shared" si="815"/>
        <v>0</v>
      </c>
      <c r="EM699" s="629">
        <f t="shared" si="815"/>
        <v>0</v>
      </c>
      <c r="EN699" s="629">
        <f t="shared" si="815"/>
        <v>0</v>
      </c>
      <c r="EO699" s="629">
        <f t="shared" si="815"/>
        <v>0</v>
      </c>
      <c r="EP699" s="629">
        <f t="shared" si="815"/>
        <v>0</v>
      </c>
      <c r="EQ699" s="629">
        <f t="shared" si="815"/>
        <v>0</v>
      </c>
      <c r="ER699" s="629">
        <f t="shared" si="815"/>
        <v>0</v>
      </c>
      <c r="ES699" s="629">
        <f t="shared" si="815"/>
        <v>0</v>
      </c>
      <c r="ET699" s="629">
        <f t="shared" si="815"/>
        <v>0</v>
      </c>
      <c r="EU699" s="629">
        <f t="shared" si="815"/>
        <v>0</v>
      </c>
      <c r="EV699" s="629">
        <f t="shared" si="815"/>
        <v>0</v>
      </c>
      <c r="EW699" s="629">
        <f t="shared" si="815"/>
        <v>0</v>
      </c>
      <c r="EX699" s="629">
        <f t="shared" si="815"/>
        <v>0</v>
      </c>
      <c r="EY699" s="629">
        <f t="shared" si="815"/>
        <v>0</v>
      </c>
      <c r="EZ699" s="629">
        <f t="shared" si="815"/>
        <v>0</v>
      </c>
      <c r="FA699" s="629">
        <f t="shared" si="815"/>
        <v>0</v>
      </c>
      <c r="FB699" s="629">
        <f t="shared" si="815"/>
        <v>0</v>
      </c>
      <c r="FC699" s="629">
        <f t="shared" si="815"/>
        <v>0</v>
      </c>
      <c r="FD699" s="629">
        <f t="shared" si="815"/>
        <v>0</v>
      </c>
      <c r="FE699" s="629">
        <f t="shared" si="815"/>
        <v>0</v>
      </c>
      <c r="FF699" s="629">
        <f t="shared" si="815"/>
        <v>0</v>
      </c>
      <c r="FG699" s="629">
        <f t="shared" si="815"/>
        <v>0</v>
      </c>
      <c r="FH699" s="629">
        <f t="shared" si="815"/>
        <v>0</v>
      </c>
      <c r="FI699" s="629">
        <f t="shared" si="815"/>
        <v>0</v>
      </c>
      <c r="FJ699" s="629">
        <f t="shared" si="815"/>
        <v>0</v>
      </c>
      <c r="FK699" s="629">
        <f t="shared" si="815"/>
        <v>0</v>
      </c>
      <c r="FL699" s="629">
        <f t="shared" si="815"/>
        <v>0</v>
      </c>
      <c r="FM699" s="629">
        <f t="shared" si="815"/>
        <v>0</v>
      </c>
      <c r="FN699" s="629">
        <f t="shared" si="815"/>
        <v>0</v>
      </c>
      <c r="FO699" s="629">
        <f t="shared" si="815"/>
        <v>0</v>
      </c>
      <c r="FP699" s="629">
        <f t="shared" si="815"/>
        <v>0</v>
      </c>
      <c r="FQ699" s="629">
        <f t="shared" si="815"/>
        <v>0</v>
      </c>
      <c r="FR699" s="629">
        <f t="shared" si="815"/>
        <v>0</v>
      </c>
      <c r="FS699" s="629">
        <f t="shared" si="815"/>
        <v>0</v>
      </c>
      <c r="FT699" s="629">
        <f t="shared" si="815"/>
        <v>0</v>
      </c>
      <c r="FU699" s="629">
        <f t="shared" si="815"/>
        <v>0</v>
      </c>
      <c r="FV699" s="629">
        <f t="shared" si="815"/>
        <v>0</v>
      </c>
      <c r="FW699" s="629">
        <f t="shared" si="815"/>
        <v>0</v>
      </c>
      <c r="FX699" s="629">
        <f t="shared" si="815"/>
        <v>0</v>
      </c>
      <c r="FY699" s="629">
        <f t="shared" si="815"/>
        <v>0</v>
      </c>
      <c r="FZ699" s="629">
        <f t="shared" si="815"/>
        <v>0</v>
      </c>
      <c r="GA699" s="629">
        <f t="shared" si="815"/>
        <v>0</v>
      </c>
      <c r="GB699" s="629">
        <f t="shared" si="815"/>
        <v>0</v>
      </c>
      <c r="GC699" s="629">
        <f t="shared" si="815"/>
        <v>0</v>
      </c>
      <c r="GD699" s="629">
        <f t="shared" si="815"/>
        <v>0</v>
      </c>
      <c r="GE699" s="629">
        <f t="shared" si="815"/>
        <v>0</v>
      </c>
      <c r="GF699" s="629">
        <f t="shared" si="815"/>
        <v>0</v>
      </c>
      <c r="GG699" s="629">
        <f t="shared" si="815"/>
        <v>0</v>
      </c>
      <c r="GH699" s="629">
        <f t="shared" si="815"/>
        <v>0</v>
      </c>
      <c r="GI699" s="629">
        <f t="shared" si="815"/>
        <v>0</v>
      </c>
      <c r="GJ699" s="629">
        <f t="shared" si="815"/>
        <v>0</v>
      </c>
      <c r="GK699" s="629">
        <f t="shared" si="815"/>
        <v>0</v>
      </c>
      <c r="GL699" s="629">
        <f t="shared" si="815"/>
        <v>0</v>
      </c>
      <c r="GM699" s="629">
        <f t="shared" si="815"/>
        <v>0</v>
      </c>
      <c r="GN699" s="629">
        <f t="shared" si="815"/>
        <v>0</v>
      </c>
      <c r="GO699" s="629">
        <f t="shared" si="815"/>
        <v>0</v>
      </c>
      <c r="GP699" s="629">
        <f t="shared" ref="GP699:HT699" si="816">GP329</f>
        <v>0</v>
      </c>
      <c r="GQ699" s="629">
        <f t="shared" si="816"/>
        <v>0</v>
      </c>
      <c r="GR699" s="629">
        <f t="shared" si="816"/>
        <v>0</v>
      </c>
      <c r="GS699" s="629">
        <f t="shared" si="816"/>
        <v>0</v>
      </c>
      <c r="GT699" s="629">
        <f t="shared" si="816"/>
        <v>0</v>
      </c>
      <c r="GU699" s="629">
        <f t="shared" si="816"/>
        <v>0</v>
      </c>
      <c r="GV699" s="629">
        <f t="shared" si="816"/>
        <v>0</v>
      </c>
      <c r="GW699" s="629">
        <f t="shared" si="816"/>
        <v>0</v>
      </c>
      <c r="GX699" s="629">
        <f t="shared" si="816"/>
        <v>0</v>
      </c>
      <c r="GY699" s="629">
        <f t="shared" si="816"/>
        <v>0</v>
      </c>
      <c r="GZ699" s="629">
        <f t="shared" si="816"/>
        <v>0</v>
      </c>
      <c r="HA699" s="629">
        <f t="shared" si="816"/>
        <v>0</v>
      </c>
      <c r="HB699" s="629">
        <f t="shared" si="816"/>
        <v>0</v>
      </c>
      <c r="HC699" s="629">
        <f t="shared" si="816"/>
        <v>0</v>
      </c>
      <c r="HD699" s="629">
        <f t="shared" si="816"/>
        <v>0</v>
      </c>
      <c r="HE699" s="629">
        <f t="shared" si="816"/>
        <v>0</v>
      </c>
      <c r="HF699" s="629">
        <f t="shared" si="816"/>
        <v>0</v>
      </c>
      <c r="HG699" s="629">
        <f t="shared" si="816"/>
        <v>0</v>
      </c>
      <c r="HH699" s="629">
        <f t="shared" si="816"/>
        <v>0</v>
      </c>
      <c r="HI699" s="629">
        <f t="shared" si="816"/>
        <v>0</v>
      </c>
      <c r="HJ699" s="629">
        <f t="shared" si="816"/>
        <v>0</v>
      </c>
      <c r="HK699" s="629">
        <f t="shared" si="816"/>
        <v>0</v>
      </c>
      <c r="HL699" s="629">
        <f t="shared" si="816"/>
        <v>0</v>
      </c>
      <c r="HM699" s="629" t="str">
        <f t="shared" si="816"/>
        <v/>
      </c>
      <c r="HN699" s="629" t="str">
        <f t="shared" si="816"/>
        <v/>
      </c>
      <c r="HO699" s="629" t="str">
        <f t="shared" si="816"/>
        <v/>
      </c>
      <c r="HP699" s="629">
        <f t="shared" si="816"/>
        <v>0</v>
      </c>
      <c r="HQ699" s="629">
        <f t="shared" si="816"/>
        <v>0</v>
      </c>
      <c r="HR699" s="629">
        <f t="shared" si="816"/>
        <v>0</v>
      </c>
      <c r="HS699" s="629">
        <f t="shared" si="816"/>
        <v>0</v>
      </c>
      <c r="HT699" s="629">
        <f t="shared" si="816"/>
        <v>0</v>
      </c>
      <c r="HU699" s="620" t="s">
        <v>1810</v>
      </c>
      <c r="HV699" s="827" t="e">
        <f t="shared" si="795"/>
        <v>#N/A</v>
      </c>
      <c r="IB699" s="11">
        <f t="shared" ref="IB699:II699" si="817">IB329</f>
        <v>0</v>
      </c>
      <c r="IC699" s="11">
        <f t="shared" si="817"/>
        <v>0</v>
      </c>
      <c r="ID699" s="11">
        <f t="shared" si="817"/>
        <v>0</v>
      </c>
      <c r="IE699" s="11">
        <f t="shared" si="817"/>
        <v>0</v>
      </c>
      <c r="IF699" s="11">
        <f t="shared" si="817"/>
        <v>0</v>
      </c>
      <c r="IG699" s="11">
        <f t="shared" si="817"/>
        <v>0</v>
      </c>
      <c r="IH699" s="11">
        <f t="shared" si="817"/>
        <v>0</v>
      </c>
      <c r="II699" s="11">
        <f t="shared" si="817"/>
        <v>0</v>
      </c>
    </row>
    <row r="700" spans="4:243" x14ac:dyDescent="0.25">
      <c r="D700" s="27" t="str">
        <f t="shared" si="797"/>
        <v>Vælg……………………………………</v>
      </c>
      <c r="E700" s="629">
        <f t="shared" si="797"/>
        <v>0</v>
      </c>
      <c r="F700" s="629">
        <f t="shared" ref="F700:BQ700" si="818">F330</f>
        <v>0</v>
      </c>
      <c r="G700" s="629">
        <f t="shared" si="818"/>
        <v>0</v>
      </c>
      <c r="H700" s="629">
        <f t="shared" si="818"/>
        <v>0</v>
      </c>
      <c r="I700" s="629">
        <f t="shared" si="818"/>
        <v>0</v>
      </c>
      <c r="J700" s="629">
        <f t="shared" si="818"/>
        <v>0</v>
      </c>
      <c r="K700" s="629">
        <f t="shared" si="818"/>
        <v>0</v>
      </c>
      <c r="L700" s="629">
        <f t="shared" si="818"/>
        <v>0</v>
      </c>
      <c r="M700" s="629">
        <f t="shared" si="818"/>
        <v>0</v>
      </c>
      <c r="N700" s="629">
        <f t="shared" si="818"/>
        <v>0</v>
      </c>
      <c r="O700" s="629">
        <f t="shared" si="818"/>
        <v>0</v>
      </c>
      <c r="P700" s="629">
        <f t="shared" si="818"/>
        <v>0</v>
      </c>
      <c r="Q700" s="629">
        <f t="shared" si="818"/>
        <v>0</v>
      </c>
      <c r="R700" s="629">
        <f t="shared" si="818"/>
        <v>0</v>
      </c>
      <c r="S700" s="629">
        <f t="shared" si="818"/>
        <v>0</v>
      </c>
      <c r="T700" s="629">
        <f t="shared" si="818"/>
        <v>0</v>
      </c>
      <c r="U700" s="629">
        <f t="shared" si="818"/>
        <v>0</v>
      </c>
      <c r="V700" s="629">
        <f t="shared" si="818"/>
        <v>0</v>
      </c>
      <c r="W700" s="629">
        <f t="shared" si="818"/>
        <v>0</v>
      </c>
      <c r="X700" s="629">
        <f t="shared" si="818"/>
        <v>0</v>
      </c>
      <c r="Y700" s="629">
        <f t="shared" si="818"/>
        <v>0</v>
      </c>
      <c r="Z700" s="629">
        <f t="shared" si="818"/>
        <v>0</v>
      </c>
      <c r="AA700" s="629">
        <f t="shared" si="818"/>
        <v>0</v>
      </c>
      <c r="AB700" s="629">
        <f t="shared" si="818"/>
        <v>0</v>
      </c>
      <c r="AC700" s="629">
        <f t="shared" si="818"/>
        <v>0</v>
      </c>
      <c r="AD700" s="629">
        <f t="shared" si="818"/>
        <v>0</v>
      </c>
      <c r="AE700" s="629">
        <f t="shared" si="818"/>
        <v>0</v>
      </c>
      <c r="AF700" s="629">
        <f t="shared" si="818"/>
        <v>0</v>
      </c>
      <c r="AG700" s="629">
        <f t="shared" si="818"/>
        <v>0</v>
      </c>
      <c r="AH700" s="629">
        <f t="shared" si="818"/>
        <v>0</v>
      </c>
      <c r="AI700" s="629">
        <f t="shared" si="818"/>
        <v>0</v>
      </c>
      <c r="AJ700" s="629">
        <f t="shared" si="818"/>
        <v>0</v>
      </c>
      <c r="AK700" s="629">
        <f t="shared" si="818"/>
        <v>0</v>
      </c>
      <c r="AL700" s="629">
        <f t="shared" si="818"/>
        <v>0</v>
      </c>
      <c r="AM700" s="629">
        <f t="shared" si="818"/>
        <v>0</v>
      </c>
      <c r="AN700" s="629">
        <f t="shared" si="818"/>
        <v>0</v>
      </c>
      <c r="AO700" s="629">
        <f t="shared" si="818"/>
        <v>0</v>
      </c>
      <c r="AP700" s="629">
        <f t="shared" si="818"/>
        <v>0</v>
      </c>
      <c r="AQ700" s="629">
        <f t="shared" si="818"/>
        <v>0</v>
      </c>
      <c r="AR700" s="629">
        <f t="shared" si="818"/>
        <v>0</v>
      </c>
      <c r="AS700" s="629">
        <f t="shared" si="818"/>
        <v>0</v>
      </c>
      <c r="AT700" s="629">
        <f t="shared" si="818"/>
        <v>0</v>
      </c>
      <c r="AU700" s="629">
        <f t="shared" si="818"/>
        <v>0</v>
      </c>
      <c r="AV700" s="629">
        <f t="shared" si="818"/>
        <v>0</v>
      </c>
      <c r="AW700" s="629">
        <f t="shared" si="818"/>
        <v>0</v>
      </c>
      <c r="AX700" s="629">
        <f t="shared" si="818"/>
        <v>0</v>
      </c>
      <c r="AY700" s="629">
        <f t="shared" si="818"/>
        <v>0</v>
      </c>
      <c r="AZ700" s="629">
        <f t="shared" si="818"/>
        <v>0</v>
      </c>
      <c r="BA700" s="629">
        <f t="shared" si="818"/>
        <v>0</v>
      </c>
      <c r="BB700" s="629">
        <f t="shared" si="818"/>
        <v>0</v>
      </c>
      <c r="BC700" s="629">
        <f t="shared" si="818"/>
        <v>0</v>
      </c>
      <c r="BD700" s="629">
        <f t="shared" si="818"/>
        <v>0</v>
      </c>
      <c r="BE700" s="629">
        <f t="shared" si="818"/>
        <v>0</v>
      </c>
      <c r="BF700" s="629">
        <f t="shared" si="818"/>
        <v>0</v>
      </c>
      <c r="BG700" s="629">
        <f t="shared" si="818"/>
        <v>0</v>
      </c>
      <c r="BH700" s="629">
        <f t="shared" si="818"/>
        <v>0</v>
      </c>
      <c r="BI700" s="629">
        <f t="shared" si="818"/>
        <v>0</v>
      </c>
      <c r="BJ700" s="629">
        <f t="shared" si="818"/>
        <v>0</v>
      </c>
      <c r="BK700" s="629">
        <f t="shared" si="818"/>
        <v>0</v>
      </c>
      <c r="BL700" s="629">
        <f t="shared" si="818"/>
        <v>0</v>
      </c>
      <c r="BM700" s="629">
        <f t="shared" si="818"/>
        <v>0</v>
      </c>
      <c r="BN700" s="629">
        <f t="shared" si="818"/>
        <v>0</v>
      </c>
      <c r="BO700" s="629">
        <f t="shared" si="818"/>
        <v>0</v>
      </c>
      <c r="BP700" s="629">
        <f t="shared" si="818"/>
        <v>0</v>
      </c>
      <c r="BQ700" s="629">
        <f t="shared" si="818"/>
        <v>0</v>
      </c>
      <c r="BR700" s="629">
        <f t="shared" ref="BR700:EC700" si="819">BR330</f>
        <v>0</v>
      </c>
      <c r="BS700" s="629">
        <f t="shared" si="819"/>
        <v>0</v>
      </c>
      <c r="BT700" s="629">
        <f t="shared" si="819"/>
        <v>0</v>
      </c>
      <c r="BU700" s="629">
        <f t="shared" si="819"/>
        <v>0</v>
      </c>
      <c r="BV700" s="629">
        <f t="shared" si="819"/>
        <v>0</v>
      </c>
      <c r="BW700" s="629">
        <f t="shared" si="819"/>
        <v>0</v>
      </c>
      <c r="BX700" s="629">
        <f t="shared" si="819"/>
        <v>0</v>
      </c>
      <c r="BY700" s="629">
        <f t="shared" si="819"/>
        <v>0</v>
      </c>
      <c r="BZ700" s="629">
        <f t="shared" si="819"/>
        <v>0</v>
      </c>
      <c r="CA700" s="629">
        <f t="shared" si="819"/>
        <v>0</v>
      </c>
      <c r="CB700" s="629">
        <f t="shared" si="819"/>
        <v>0</v>
      </c>
      <c r="CC700" s="629">
        <f t="shared" si="819"/>
        <v>0</v>
      </c>
      <c r="CD700" s="629">
        <f t="shared" si="819"/>
        <v>0</v>
      </c>
      <c r="CE700" s="629">
        <f t="shared" si="819"/>
        <v>0</v>
      </c>
      <c r="CF700" s="629">
        <f t="shared" si="819"/>
        <v>0</v>
      </c>
      <c r="CG700" s="629">
        <f t="shared" si="819"/>
        <v>0</v>
      </c>
      <c r="CH700" s="629">
        <f t="shared" si="819"/>
        <v>0</v>
      </c>
      <c r="CI700" s="629">
        <f t="shared" si="819"/>
        <v>0</v>
      </c>
      <c r="CJ700" s="629">
        <f t="shared" si="819"/>
        <v>0</v>
      </c>
      <c r="CK700" s="629">
        <f t="shared" si="819"/>
        <v>0</v>
      </c>
      <c r="CL700" s="629">
        <f t="shared" si="819"/>
        <v>0</v>
      </c>
      <c r="CM700" s="629">
        <f t="shared" si="819"/>
        <v>0</v>
      </c>
      <c r="CN700" s="629">
        <f t="shared" si="819"/>
        <v>0</v>
      </c>
      <c r="CO700" s="629">
        <f t="shared" si="819"/>
        <v>0</v>
      </c>
      <c r="CP700" s="629">
        <f t="shared" si="819"/>
        <v>0</v>
      </c>
      <c r="CQ700" s="629">
        <f t="shared" si="819"/>
        <v>0</v>
      </c>
      <c r="CR700" s="629">
        <f t="shared" si="819"/>
        <v>0</v>
      </c>
      <c r="CS700" s="629">
        <f t="shared" si="819"/>
        <v>0</v>
      </c>
      <c r="CT700" s="629">
        <f t="shared" si="819"/>
        <v>0</v>
      </c>
      <c r="CU700" s="629">
        <f t="shared" si="819"/>
        <v>0</v>
      </c>
      <c r="CV700" s="629">
        <f t="shared" si="819"/>
        <v>0</v>
      </c>
      <c r="CW700" s="629">
        <f t="shared" si="819"/>
        <v>0</v>
      </c>
      <c r="CX700" s="629">
        <f t="shared" si="819"/>
        <v>0</v>
      </c>
      <c r="CY700" s="629">
        <f t="shared" si="819"/>
        <v>0</v>
      </c>
      <c r="CZ700" s="629">
        <f t="shared" si="819"/>
        <v>0</v>
      </c>
      <c r="DA700" s="629">
        <f t="shared" si="819"/>
        <v>0</v>
      </c>
      <c r="DB700" s="629">
        <f t="shared" si="819"/>
        <v>0</v>
      </c>
      <c r="DC700" s="629">
        <f t="shared" si="819"/>
        <v>0</v>
      </c>
      <c r="DD700" s="629">
        <f t="shared" si="819"/>
        <v>0</v>
      </c>
      <c r="DE700" s="629">
        <f t="shared" si="819"/>
        <v>0</v>
      </c>
      <c r="DF700" s="629">
        <f t="shared" si="819"/>
        <v>0</v>
      </c>
      <c r="DG700" s="629">
        <f t="shared" si="819"/>
        <v>0</v>
      </c>
      <c r="DH700" s="629">
        <f t="shared" si="819"/>
        <v>0</v>
      </c>
      <c r="DI700" s="629">
        <f t="shared" si="819"/>
        <v>0</v>
      </c>
      <c r="DJ700" s="629">
        <f t="shared" si="819"/>
        <v>0</v>
      </c>
      <c r="DK700" s="629">
        <f t="shared" si="819"/>
        <v>0</v>
      </c>
      <c r="DL700" s="629">
        <f t="shared" si="819"/>
        <v>0</v>
      </c>
      <c r="DM700" s="629">
        <f t="shared" si="819"/>
        <v>0</v>
      </c>
      <c r="DN700" s="629">
        <f t="shared" si="819"/>
        <v>0</v>
      </c>
      <c r="DO700" s="629">
        <f t="shared" si="819"/>
        <v>0</v>
      </c>
      <c r="DP700" s="629">
        <f t="shared" si="819"/>
        <v>0</v>
      </c>
      <c r="DQ700" s="629">
        <f t="shared" si="819"/>
        <v>0</v>
      </c>
      <c r="DR700" s="629">
        <f t="shared" si="819"/>
        <v>0</v>
      </c>
      <c r="DS700" s="629">
        <f t="shared" si="819"/>
        <v>0</v>
      </c>
      <c r="DT700" s="629">
        <f t="shared" si="819"/>
        <v>0</v>
      </c>
      <c r="DU700" s="629">
        <f t="shared" si="819"/>
        <v>0</v>
      </c>
      <c r="DV700" s="629">
        <f t="shared" si="819"/>
        <v>0</v>
      </c>
      <c r="DW700" s="629">
        <f t="shared" si="819"/>
        <v>0</v>
      </c>
      <c r="DX700" s="629">
        <f t="shared" si="819"/>
        <v>0</v>
      </c>
      <c r="DY700" s="629">
        <f t="shared" si="819"/>
        <v>0</v>
      </c>
      <c r="DZ700" s="629">
        <f t="shared" si="819"/>
        <v>0</v>
      </c>
      <c r="EA700" s="629">
        <f t="shared" si="819"/>
        <v>0</v>
      </c>
      <c r="EB700" s="629">
        <f t="shared" si="819"/>
        <v>0</v>
      </c>
      <c r="EC700" s="629">
        <f t="shared" si="819"/>
        <v>0</v>
      </c>
      <c r="ED700" s="629">
        <f t="shared" ref="ED700:GO700" si="820">ED330</f>
        <v>0</v>
      </c>
      <c r="EE700" s="629">
        <f t="shared" si="820"/>
        <v>0</v>
      </c>
      <c r="EF700" s="629">
        <f t="shared" si="820"/>
        <v>0</v>
      </c>
      <c r="EG700" s="629">
        <f t="shared" si="820"/>
        <v>0</v>
      </c>
      <c r="EH700" s="629">
        <f t="shared" si="820"/>
        <v>0</v>
      </c>
      <c r="EI700" s="629">
        <f t="shared" si="820"/>
        <v>0</v>
      </c>
      <c r="EJ700" s="629">
        <f t="shared" si="820"/>
        <v>0</v>
      </c>
      <c r="EK700" s="629">
        <f t="shared" si="820"/>
        <v>0</v>
      </c>
      <c r="EL700" s="629">
        <f t="shared" si="820"/>
        <v>0</v>
      </c>
      <c r="EM700" s="629">
        <f t="shared" si="820"/>
        <v>0</v>
      </c>
      <c r="EN700" s="629">
        <f t="shared" si="820"/>
        <v>0</v>
      </c>
      <c r="EO700" s="629">
        <f t="shared" si="820"/>
        <v>0</v>
      </c>
      <c r="EP700" s="629">
        <f t="shared" si="820"/>
        <v>0</v>
      </c>
      <c r="EQ700" s="629">
        <f t="shared" si="820"/>
        <v>0</v>
      </c>
      <c r="ER700" s="629">
        <f t="shared" si="820"/>
        <v>0</v>
      </c>
      <c r="ES700" s="629">
        <f t="shared" si="820"/>
        <v>0</v>
      </c>
      <c r="ET700" s="629">
        <f t="shared" si="820"/>
        <v>0</v>
      </c>
      <c r="EU700" s="629">
        <f t="shared" si="820"/>
        <v>0</v>
      </c>
      <c r="EV700" s="629">
        <f t="shared" si="820"/>
        <v>0</v>
      </c>
      <c r="EW700" s="629">
        <f t="shared" si="820"/>
        <v>0</v>
      </c>
      <c r="EX700" s="629">
        <f t="shared" si="820"/>
        <v>0</v>
      </c>
      <c r="EY700" s="629">
        <f t="shared" si="820"/>
        <v>0</v>
      </c>
      <c r="EZ700" s="629">
        <f t="shared" si="820"/>
        <v>0</v>
      </c>
      <c r="FA700" s="629">
        <f t="shared" si="820"/>
        <v>0</v>
      </c>
      <c r="FB700" s="629">
        <f t="shared" si="820"/>
        <v>0</v>
      </c>
      <c r="FC700" s="629">
        <f t="shared" si="820"/>
        <v>0</v>
      </c>
      <c r="FD700" s="629">
        <f t="shared" si="820"/>
        <v>0</v>
      </c>
      <c r="FE700" s="629">
        <f t="shared" si="820"/>
        <v>0</v>
      </c>
      <c r="FF700" s="629">
        <f t="shared" si="820"/>
        <v>0</v>
      </c>
      <c r="FG700" s="629">
        <f t="shared" si="820"/>
        <v>0</v>
      </c>
      <c r="FH700" s="629">
        <f t="shared" si="820"/>
        <v>0</v>
      </c>
      <c r="FI700" s="629">
        <f t="shared" si="820"/>
        <v>0</v>
      </c>
      <c r="FJ700" s="629">
        <f t="shared" si="820"/>
        <v>0</v>
      </c>
      <c r="FK700" s="629">
        <f t="shared" si="820"/>
        <v>0</v>
      </c>
      <c r="FL700" s="629">
        <f t="shared" si="820"/>
        <v>0</v>
      </c>
      <c r="FM700" s="629">
        <f t="shared" si="820"/>
        <v>0</v>
      </c>
      <c r="FN700" s="629">
        <f t="shared" si="820"/>
        <v>0</v>
      </c>
      <c r="FO700" s="629">
        <f t="shared" si="820"/>
        <v>0</v>
      </c>
      <c r="FP700" s="629">
        <f t="shared" si="820"/>
        <v>0</v>
      </c>
      <c r="FQ700" s="629">
        <f t="shared" si="820"/>
        <v>0</v>
      </c>
      <c r="FR700" s="629">
        <f t="shared" si="820"/>
        <v>0</v>
      </c>
      <c r="FS700" s="629">
        <f t="shared" si="820"/>
        <v>0</v>
      </c>
      <c r="FT700" s="629">
        <f t="shared" si="820"/>
        <v>0</v>
      </c>
      <c r="FU700" s="629">
        <f t="shared" si="820"/>
        <v>0</v>
      </c>
      <c r="FV700" s="629">
        <f t="shared" si="820"/>
        <v>0</v>
      </c>
      <c r="FW700" s="629">
        <f t="shared" si="820"/>
        <v>0</v>
      </c>
      <c r="FX700" s="629">
        <f t="shared" si="820"/>
        <v>0</v>
      </c>
      <c r="FY700" s="629">
        <f t="shared" si="820"/>
        <v>0</v>
      </c>
      <c r="FZ700" s="629">
        <f t="shared" si="820"/>
        <v>0</v>
      </c>
      <c r="GA700" s="629">
        <f t="shared" si="820"/>
        <v>0</v>
      </c>
      <c r="GB700" s="629">
        <f t="shared" si="820"/>
        <v>0</v>
      </c>
      <c r="GC700" s="629">
        <f t="shared" si="820"/>
        <v>0</v>
      </c>
      <c r="GD700" s="629">
        <f t="shared" si="820"/>
        <v>0</v>
      </c>
      <c r="GE700" s="629">
        <f t="shared" si="820"/>
        <v>0</v>
      </c>
      <c r="GF700" s="629">
        <f t="shared" si="820"/>
        <v>0</v>
      </c>
      <c r="GG700" s="629">
        <f t="shared" si="820"/>
        <v>0</v>
      </c>
      <c r="GH700" s="629">
        <f t="shared" si="820"/>
        <v>0</v>
      </c>
      <c r="GI700" s="629">
        <f t="shared" si="820"/>
        <v>0</v>
      </c>
      <c r="GJ700" s="629">
        <f t="shared" si="820"/>
        <v>0</v>
      </c>
      <c r="GK700" s="629">
        <f t="shared" si="820"/>
        <v>0</v>
      </c>
      <c r="GL700" s="629">
        <f t="shared" si="820"/>
        <v>0</v>
      </c>
      <c r="GM700" s="629">
        <f t="shared" si="820"/>
        <v>0</v>
      </c>
      <c r="GN700" s="629">
        <f t="shared" si="820"/>
        <v>0</v>
      </c>
      <c r="GO700" s="629">
        <f t="shared" si="820"/>
        <v>0</v>
      </c>
      <c r="GP700" s="629">
        <f t="shared" ref="GP700:HT700" si="821">GP330</f>
        <v>0</v>
      </c>
      <c r="GQ700" s="629">
        <f t="shared" si="821"/>
        <v>0</v>
      </c>
      <c r="GR700" s="629">
        <f t="shared" si="821"/>
        <v>0</v>
      </c>
      <c r="GS700" s="629">
        <f t="shared" si="821"/>
        <v>0</v>
      </c>
      <c r="GT700" s="629">
        <f t="shared" si="821"/>
        <v>0</v>
      </c>
      <c r="GU700" s="629">
        <f t="shared" si="821"/>
        <v>0</v>
      </c>
      <c r="GV700" s="629">
        <f t="shared" si="821"/>
        <v>0</v>
      </c>
      <c r="GW700" s="629">
        <f t="shared" si="821"/>
        <v>0</v>
      </c>
      <c r="GX700" s="629">
        <f t="shared" si="821"/>
        <v>0</v>
      </c>
      <c r="GY700" s="629">
        <f t="shared" si="821"/>
        <v>0</v>
      </c>
      <c r="GZ700" s="629">
        <f t="shared" si="821"/>
        <v>0</v>
      </c>
      <c r="HA700" s="629">
        <f t="shared" si="821"/>
        <v>0</v>
      </c>
      <c r="HB700" s="629">
        <f t="shared" si="821"/>
        <v>0</v>
      </c>
      <c r="HC700" s="629">
        <f t="shared" si="821"/>
        <v>0</v>
      </c>
      <c r="HD700" s="629">
        <f t="shared" si="821"/>
        <v>0</v>
      </c>
      <c r="HE700" s="629">
        <f t="shared" si="821"/>
        <v>0</v>
      </c>
      <c r="HF700" s="629">
        <f t="shared" si="821"/>
        <v>0</v>
      </c>
      <c r="HG700" s="629">
        <f t="shared" si="821"/>
        <v>0</v>
      </c>
      <c r="HH700" s="629">
        <f t="shared" si="821"/>
        <v>0</v>
      </c>
      <c r="HI700" s="629">
        <f t="shared" si="821"/>
        <v>0</v>
      </c>
      <c r="HJ700" s="629">
        <f t="shared" si="821"/>
        <v>0</v>
      </c>
      <c r="HK700" s="629">
        <f t="shared" si="821"/>
        <v>0</v>
      </c>
      <c r="HL700" s="629">
        <f t="shared" si="821"/>
        <v>0</v>
      </c>
      <c r="HM700" s="629" t="str">
        <f t="shared" si="821"/>
        <v/>
      </c>
      <c r="HN700" s="629" t="str">
        <f t="shared" si="821"/>
        <v/>
      </c>
      <c r="HO700" s="629">
        <f t="shared" si="821"/>
        <v>0</v>
      </c>
      <c r="HP700" s="629">
        <f t="shared" si="821"/>
        <v>0</v>
      </c>
      <c r="HQ700" s="629">
        <f t="shared" si="821"/>
        <v>0</v>
      </c>
      <c r="HR700" s="629">
        <f t="shared" si="821"/>
        <v>0</v>
      </c>
      <c r="HS700" s="629">
        <f t="shared" si="821"/>
        <v>0</v>
      </c>
      <c r="HT700" s="629">
        <f t="shared" si="821"/>
        <v>0</v>
      </c>
      <c r="HU700" s="620" t="s">
        <v>1810</v>
      </c>
      <c r="HV700" s="827" t="e">
        <f t="shared" si="795"/>
        <v>#N/A</v>
      </c>
      <c r="IB700" s="11">
        <f t="shared" ref="IB700:II700" si="822">IB330</f>
        <v>0</v>
      </c>
      <c r="IC700" s="11">
        <f t="shared" si="822"/>
        <v>0</v>
      </c>
      <c r="ID700" s="11">
        <f t="shared" si="822"/>
        <v>0</v>
      </c>
      <c r="IE700" s="11">
        <f t="shared" si="822"/>
        <v>0</v>
      </c>
      <c r="IF700" s="11">
        <f t="shared" si="822"/>
        <v>0</v>
      </c>
      <c r="IG700" s="11">
        <f t="shared" si="822"/>
        <v>0</v>
      </c>
      <c r="IH700" s="11">
        <f t="shared" si="822"/>
        <v>0</v>
      </c>
      <c r="II700" s="11">
        <f t="shared" si="822"/>
        <v>0</v>
      </c>
    </row>
    <row r="701" spans="4:243" x14ac:dyDescent="0.25">
      <c r="D701" s="27" t="s">
        <v>1251</v>
      </c>
      <c r="HM701" s="620">
        <f t="shared" ref="HM701:HT701" si="823">HM331</f>
        <v>0</v>
      </c>
      <c r="HN701" s="620">
        <f t="shared" si="823"/>
        <v>0</v>
      </c>
      <c r="HO701" s="620">
        <f t="shared" si="823"/>
        <v>0</v>
      </c>
      <c r="HP701" s="620">
        <f t="shared" si="823"/>
        <v>0</v>
      </c>
      <c r="HQ701" s="620">
        <f t="shared" si="823"/>
        <v>0</v>
      </c>
      <c r="HR701" s="620">
        <f t="shared" si="823"/>
        <v>0</v>
      </c>
      <c r="HS701" s="620">
        <f t="shared" si="823"/>
        <v>0</v>
      </c>
      <c r="HT701" s="620">
        <f t="shared" si="823"/>
        <v>0</v>
      </c>
      <c r="HU701" s="620"/>
      <c r="IB701" s="11">
        <f t="shared" ref="IB701:II701" si="824">IB331</f>
        <v>0</v>
      </c>
      <c r="IC701" s="11">
        <f t="shared" si="824"/>
        <v>0</v>
      </c>
      <c r="ID701" s="11">
        <f t="shared" si="824"/>
        <v>0</v>
      </c>
      <c r="IE701" s="11">
        <f t="shared" si="824"/>
        <v>0</v>
      </c>
      <c r="IF701" s="11">
        <f t="shared" si="824"/>
        <v>0</v>
      </c>
      <c r="IG701" s="11">
        <f t="shared" si="824"/>
        <v>0</v>
      </c>
      <c r="IH701" s="11">
        <f t="shared" si="824"/>
        <v>0</v>
      </c>
      <c r="II701" s="11">
        <f t="shared" si="824"/>
        <v>0</v>
      </c>
    </row>
    <row r="702" spans="4:243" x14ac:dyDescent="0.25">
      <c r="D702" s="27" t="s">
        <v>1252</v>
      </c>
      <c r="HM702" s="620">
        <f t="shared" ref="HM702:HT702" si="825">HM332</f>
        <v>0</v>
      </c>
      <c r="HN702" s="620">
        <f t="shared" si="825"/>
        <v>0</v>
      </c>
      <c r="HO702" s="620">
        <f t="shared" si="825"/>
        <v>0</v>
      </c>
      <c r="HP702" s="620">
        <f t="shared" si="825"/>
        <v>0</v>
      </c>
      <c r="HQ702" s="620">
        <f t="shared" si="825"/>
        <v>0</v>
      </c>
      <c r="HR702" s="620">
        <f t="shared" si="825"/>
        <v>0</v>
      </c>
      <c r="HS702" s="620">
        <f t="shared" si="825"/>
        <v>0</v>
      </c>
      <c r="HT702" s="620">
        <f t="shared" si="825"/>
        <v>0</v>
      </c>
      <c r="HU702" s="620"/>
      <c r="IB702" s="11">
        <f t="shared" ref="IB702:II702" si="826">IB332</f>
        <v>0</v>
      </c>
      <c r="IC702" s="11">
        <f t="shared" si="826"/>
        <v>0</v>
      </c>
      <c r="ID702" s="11">
        <f t="shared" si="826"/>
        <v>0</v>
      </c>
      <c r="IE702" s="11">
        <f t="shared" si="826"/>
        <v>0</v>
      </c>
      <c r="IF702" s="11">
        <f t="shared" si="826"/>
        <v>0</v>
      </c>
      <c r="IG702" s="11">
        <f t="shared" si="826"/>
        <v>0</v>
      </c>
      <c r="IH702" s="11">
        <f t="shared" si="826"/>
        <v>0</v>
      </c>
      <c r="II702" s="11">
        <f t="shared" si="826"/>
        <v>0</v>
      </c>
    </row>
    <row r="703" spans="4:243" x14ac:dyDescent="0.25">
      <c r="D703" s="27" t="s">
        <v>1253</v>
      </c>
      <c r="HM703" s="620">
        <f t="shared" ref="HM703:HT703" si="827">HM333</f>
        <v>0</v>
      </c>
      <c r="HN703" s="620">
        <f t="shared" si="827"/>
        <v>0</v>
      </c>
      <c r="HO703" s="620">
        <f t="shared" si="827"/>
        <v>0</v>
      </c>
      <c r="HP703" s="620">
        <f t="shared" si="827"/>
        <v>0</v>
      </c>
      <c r="HQ703" s="620">
        <f t="shared" si="827"/>
        <v>0</v>
      </c>
      <c r="HR703" s="620">
        <f t="shared" si="827"/>
        <v>0</v>
      </c>
      <c r="HS703" s="620">
        <f t="shared" si="827"/>
        <v>0</v>
      </c>
      <c r="HT703" s="620">
        <f t="shared" si="827"/>
        <v>0</v>
      </c>
      <c r="HU703" s="620"/>
      <c r="IB703" s="11">
        <f t="shared" ref="IB703:II703" si="828">IB333</f>
        <v>0</v>
      </c>
      <c r="IC703" s="11">
        <f t="shared" si="828"/>
        <v>0</v>
      </c>
      <c r="ID703" s="11">
        <f t="shared" si="828"/>
        <v>0</v>
      </c>
      <c r="IE703" s="11">
        <f t="shared" si="828"/>
        <v>0</v>
      </c>
      <c r="IF703" s="11">
        <f t="shared" si="828"/>
        <v>0</v>
      </c>
      <c r="IG703" s="11">
        <f t="shared" si="828"/>
        <v>0</v>
      </c>
      <c r="IH703" s="11">
        <f t="shared" si="828"/>
        <v>0</v>
      </c>
      <c r="II703" s="11">
        <f t="shared" si="828"/>
        <v>0</v>
      </c>
    </row>
    <row r="704" spans="4:243" x14ac:dyDescent="0.25">
      <c r="D704" s="27" t="s">
        <v>1254</v>
      </c>
      <c r="HM704" s="620">
        <f t="shared" ref="HM704:HT704" si="829">HM334</f>
        <v>0</v>
      </c>
      <c r="HN704" s="620">
        <f t="shared" si="829"/>
        <v>0</v>
      </c>
      <c r="HO704" s="620">
        <f t="shared" si="829"/>
        <v>0</v>
      </c>
      <c r="HP704" s="620">
        <f t="shared" si="829"/>
        <v>0</v>
      </c>
      <c r="HQ704" s="620">
        <f t="shared" si="829"/>
        <v>0</v>
      </c>
      <c r="HR704" s="620">
        <f t="shared" si="829"/>
        <v>0</v>
      </c>
      <c r="HS704" s="620">
        <f t="shared" si="829"/>
        <v>0</v>
      </c>
      <c r="HT704" s="620">
        <f t="shared" si="829"/>
        <v>0</v>
      </c>
      <c r="HU704" s="620"/>
      <c r="IB704" s="11">
        <f t="shared" ref="IB704:II704" si="830">IB334</f>
        <v>0</v>
      </c>
      <c r="IC704" s="11">
        <f t="shared" si="830"/>
        <v>0</v>
      </c>
      <c r="ID704" s="11">
        <f t="shared" si="830"/>
        <v>0</v>
      </c>
      <c r="IE704" s="11">
        <f t="shared" si="830"/>
        <v>0</v>
      </c>
      <c r="IF704" s="11">
        <f t="shared" si="830"/>
        <v>0</v>
      </c>
      <c r="IG704" s="11">
        <f t="shared" si="830"/>
        <v>0</v>
      </c>
      <c r="IH704" s="11">
        <f t="shared" si="830"/>
        <v>0</v>
      </c>
      <c r="II704" s="11">
        <f t="shared" si="830"/>
        <v>0</v>
      </c>
    </row>
    <row r="705" spans="4:243" x14ac:dyDescent="0.25">
      <c r="D705" s="27" t="s">
        <v>1255</v>
      </c>
      <c r="HM705" s="620">
        <f t="shared" ref="HM705:HT705" si="831">HM335</f>
        <v>0</v>
      </c>
      <c r="HN705" s="620">
        <f t="shared" si="831"/>
        <v>0</v>
      </c>
      <c r="HO705" s="620">
        <f t="shared" si="831"/>
        <v>0</v>
      </c>
      <c r="HP705" s="620">
        <f t="shared" si="831"/>
        <v>0</v>
      </c>
      <c r="HQ705" s="620">
        <f t="shared" si="831"/>
        <v>0</v>
      </c>
      <c r="HR705" s="620">
        <f t="shared" si="831"/>
        <v>0</v>
      </c>
      <c r="HS705" s="620">
        <f t="shared" si="831"/>
        <v>0</v>
      </c>
      <c r="HT705" s="620">
        <f t="shared" si="831"/>
        <v>0</v>
      </c>
      <c r="HU705" s="620"/>
      <c r="IB705" s="11">
        <f t="shared" ref="IB705:II705" si="832">IB335</f>
        <v>0</v>
      </c>
      <c r="IC705" s="11">
        <f t="shared" si="832"/>
        <v>0</v>
      </c>
      <c r="ID705" s="11">
        <f t="shared" si="832"/>
        <v>0</v>
      </c>
      <c r="IE705" s="11">
        <f t="shared" si="832"/>
        <v>0</v>
      </c>
      <c r="IF705" s="11">
        <f t="shared" si="832"/>
        <v>0</v>
      </c>
      <c r="IG705" s="11">
        <f t="shared" si="832"/>
        <v>0</v>
      </c>
      <c r="IH705" s="11">
        <f t="shared" si="832"/>
        <v>0</v>
      </c>
      <c r="II705" s="11">
        <f t="shared" si="832"/>
        <v>0</v>
      </c>
    </row>
    <row r="706" spans="4:243" x14ac:dyDescent="0.25">
      <c r="D706" s="27" t="s">
        <v>1256</v>
      </c>
      <c r="HM706" s="620">
        <f t="shared" ref="HM706:HT706" si="833">HM336</f>
        <v>0</v>
      </c>
      <c r="HN706" s="620">
        <f t="shared" si="833"/>
        <v>0</v>
      </c>
      <c r="HO706" s="620">
        <f t="shared" si="833"/>
        <v>0</v>
      </c>
      <c r="HP706" s="620">
        <f t="shared" si="833"/>
        <v>0</v>
      </c>
      <c r="HQ706" s="620">
        <f t="shared" si="833"/>
        <v>0</v>
      </c>
      <c r="HR706" s="620">
        <f t="shared" si="833"/>
        <v>0</v>
      </c>
      <c r="HS706" s="620">
        <f t="shared" si="833"/>
        <v>0</v>
      </c>
      <c r="HT706" s="620">
        <f t="shared" si="833"/>
        <v>0</v>
      </c>
      <c r="HU706" s="620"/>
      <c r="IB706" s="11">
        <f t="shared" ref="IB706:II706" si="834">IB336</f>
        <v>0</v>
      </c>
      <c r="IC706" s="11">
        <f t="shared" si="834"/>
        <v>0</v>
      </c>
      <c r="ID706" s="11">
        <f t="shared" si="834"/>
        <v>0</v>
      </c>
      <c r="IE706" s="11">
        <f t="shared" si="834"/>
        <v>0</v>
      </c>
      <c r="IF706" s="11">
        <f t="shared" si="834"/>
        <v>0</v>
      </c>
      <c r="IG706" s="11">
        <f t="shared" si="834"/>
        <v>0</v>
      </c>
      <c r="IH706" s="11">
        <f t="shared" si="834"/>
        <v>0</v>
      </c>
      <c r="II706" s="11">
        <f t="shared" si="834"/>
        <v>0</v>
      </c>
    </row>
    <row r="707" spans="4:243" x14ac:dyDescent="0.25">
      <c r="D707" s="27" t="s">
        <v>1257</v>
      </c>
      <c r="HM707" s="620">
        <f t="shared" ref="HM707:HT707" si="835">HM337</f>
        <v>0</v>
      </c>
      <c r="HN707" s="620">
        <f t="shared" si="835"/>
        <v>0</v>
      </c>
      <c r="HO707" s="620">
        <f t="shared" si="835"/>
        <v>0</v>
      </c>
      <c r="HP707" s="620">
        <f t="shared" si="835"/>
        <v>0</v>
      </c>
      <c r="HQ707" s="620">
        <f t="shared" si="835"/>
        <v>0</v>
      </c>
      <c r="HR707" s="620">
        <f t="shared" si="835"/>
        <v>0</v>
      </c>
      <c r="HS707" s="620">
        <f t="shared" si="835"/>
        <v>0</v>
      </c>
      <c r="HT707" s="620">
        <f t="shared" si="835"/>
        <v>0</v>
      </c>
      <c r="HU707" s="620"/>
      <c r="IB707" s="11">
        <f t="shared" ref="IB707:II707" si="836">IB337</f>
        <v>0</v>
      </c>
      <c r="IC707" s="11">
        <f t="shared" si="836"/>
        <v>0</v>
      </c>
      <c r="ID707" s="11">
        <f t="shared" si="836"/>
        <v>0</v>
      </c>
      <c r="IE707" s="11">
        <f t="shared" si="836"/>
        <v>0</v>
      </c>
      <c r="IF707" s="11">
        <f t="shared" si="836"/>
        <v>0</v>
      </c>
      <c r="IG707" s="11">
        <f t="shared" si="836"/>
        <v>0</v>
      </c>
      <c r="IH707" s="11">
        <f t="shared" si="836"/>
        <v>0</v>
      </c>
      <c r="II707" s="11">
        <f t="shared" si="836"/>
        <v>0</v>
      </c>
    </row>
    <row r="708" spans="4:243" x14ac:dyDescent="0.25">
      <c r="D708" s="27" t="s">
        <v>1258</v>
      </c>
      <c r="HM708" s="620">
        <f t="shared" ref="HM708:HT708" si="837">HM338</f>
        <v>0</v>
      </c>
      <c r="HN708" s="620">
        <f t="shared" si="837"/>
        <v>0</v>
      </c>
      <c r="HO708" s="620">
        <f t="shared" si="837"/>
        <v>0</v>
      </c>
      <c r="HP708" s="620">
        <f t="shared" si="837"/>
        <v>0</v>
      </c>
      <c r="HQ708" s="620">
        <f t="shared" si="837"/>
        <v>0</v>
      </c>
      <c r="HR708" s="620">
        <f t="shared" si="837"/>
        <v>0</v>
      </c>
      <c r="HS708" s="620">
        <f t="shared" si="837"/>
        <v>0</v>
      </c>
      <c r="HT708" s="620">
        <f t="shared" si="837"/>
        <v>0</v>
      </c>
      <c r="HU708" s="620"/>
      <c r="IB708" s="11">
        <f t="shared" ref="IB708:II708" si="838">IB338</f>
        <v>0</v>
      </c>
      <c r="IC708" s="11">
        <f t="shared" si="838"/>
        <v>0</v>
      </c>
      <c r="ID708" s="11">
        <f t="shared" si="838"/>
        <v>0</v>
      </c>
      <c r="IE708" s="11">
        <f t="shared" si="838"/>
        <v>0</v>
      </c>
      <c r="IF708" s="11">
        <f t="shared" si="838"/>
        <v>0</v>
      </c>
      <c r="IG708" s="11">
        <f t="shared" si="838"/>
        <v>0</v>
      </c>
      <c r="IH708" s="11">
        <f t="shared" si="838"/>
        <v>0</v>
      </c>
      <c r="II708" s="11">
        <f t="shared" si="838"/>
        <v>0</v>
      </c>
    </row>
    <row r="709" spans="4:243" x14ac:dyDescent="0.25">
      <c r="D709" s="27" t="s">
        <v>1259</v>
      </c>
      <c r="HM709" s="620">
        <f t="shared" ref="HM709:HT709" si="839">HM339</f>
        <v>0</v>
      </c>
      <c r="HN709" s="620">
        <f t="shared" si="839"/>
        <v>0</v>
      </c>
      <c r="HO709" s="620">
        <f t="shared" si="839"/>
        <v>0</v>
      </c>
      <c r="HP709" s="620">
        <f t="shared" si="839"/>
        <v>0</v>
      </c>
      <c r="HQ709" s="620">
        <f t="shared" si="839"/>
        <v>0</v>
      </c>
      <c r="HR709" s="620">
        <f t="shared" si="839"/>
        <v>0</v>
      </c>
      <c r="HS709" s="620">
        <f t="shared" si="839"/>
        <v>0</v>
      </c>
      <c r="HT709" s="620">
        <f t="shared" si="839"/>
        <v>0</v>
      </c>
      <c r="HU709" s="620"/>
      <c r="IB709" s="11">
        <f t="shared" ref="IB709:II709" si="840">IB339</f>
        <v>0</v>
      </c>
      <c r="IC709" s="11">
        <f t="shared" si="840"/>
        <v>0</v>
      </c>
      <c r="ID709" s="11">
        <f t="shared" si="840"/>
        <v>0</v>
      </c>
      <c r="IE709" s="11">
        <f t="shared" si="840"/>
        <v>0</v>
      </c>
      <c r="IF709" s="11">
        <f t="shared" si="840"/>
        <v>0</v>
      </c>
      <c r="IG709" s="11">
        <f t="shared" si="840"/>
        <v>0</v>
      </c>
      <c r="IH709" s="11">
        <f t="shared" si="840"/>
        <v>0</v>
      </c>
      <c r="II709" s="11">
        <f t="shared" si="840"/>
        <v>0</v>
      </c>
    </row>
    <row r="710" spans="4:243" x14ac:dyDescent="0.25">
      <c r="D710" s="27" t="s">
        <v>1260</v>
      </c>
      <c r="HM710" s="620">
        <f t="shared" ref="HM710:HT710" si="841">HM340</f>
        <v>0</v>
      </c>
      <c r="HN710" s="620">
        <f t="shared" si="841"/>
        <v>0</v>
      </c>
      <c r="HO710" s="620">
        <f t="shared" si="841"/>
        <v>0</v>
      </c>
      <c r="HP710" s="620">
        <f t="shared" si="841"/>
        <v>0</v>
      </c>
      <c r="HQ710" s="620">
        <f t="shared" si="841"/>
        <v>0</v>
      </c>
      <c r="HR710" s="620">
        <f t="shared" si="841"/>
        <v>0</v>
      </c>
      <c r="HS710" s="620">
        <f t="shared" si="841"/>
        <v>0</v>
      </c>
      <c r="HT710" s="620">
        <f t="shared" si="841"/>
        <v>0</v>
      </c>
      <c r="HU710" s="620"/>
      <c r="IB710" s="11">
        <f t="shared" ref="IB710:II710" si="842">IB340</f>
        <v>0</v>
      </c>
      <c r="IC710" s="11">
        <f t="shared" si="842"/>
        <v>0</v>
      </c>
      <c r="ID710" s="11">
        <f t="shared" si="842"/>
        <v>0</v>
      </c>
      <c r="IE710" s="11">
        <f t="shared" si="842"/>
        <v>0</v>
      </c>
      <c r="IF710" s="11">
        <f t="shared" si="842"/>
        <v>0</v>
      </c>
      <c r="IG710" s="11">
        <f t="shared" si="842"/>
        <v>0</v>
      </c>
      <c r="IH710" s="11">
        <f t="shared" si="842"/>
        <v>0</v>
      </c>
      <c r="II710" s="11">
        <f t="shared" si="842"/>
        <v>0</v>
      </c>
    </row>
    <row r="711" spans="4:243" x14ac:dyDescent="0.25">
      <c r="D711" s="27" t="s">
        <v>1261</v>
      </c>
      <c r="HM711" s="620">
        <f t="shared" ref="HM711:HT711" si="843">HM341</f>
        <v>0</v>
      </c>
      <c r="HN711" s="620">
        <f t="shared" si="843"/>
        <v>0</v>
      </c>
      <c r="HO711" s="620">
        <f t="shared" si="843"/>
        <v>0</v>
      </c>
      <c r="HP711" s="620">
        <f t="shared" si="843"/>
        <v>0</v>
      </c>
      <c r="HQ711" s="620">
        <f t="shared" si="843"/>
        <v>0</v>
      </c>
      <c r="HR711" s="620">
        <f t="shared" si="843"/>
        <v>0</v>
      </c>
      <c r="HS711" s="620">
        <f t="shared" si="843"/>
        <v>0</v>
      </c>
      <c r="HT711" s="620">
        <f t="shared" si="843"/>
        <v>0</v>
      </c>
      <c r="HU711" s="620"/>
      <c r="IB711" s="11">
        <f t="shared" ref="IB711:II711" si="844">IB341</f>
        <v>0</v>
      </c>
      <c r="IC711" s="11">
        <f t="shared" si="844"/>
        <v>0</v>
      </c>
      <c r="ID711" s="11">
        <f t="shared" si="844"/>
        <v>0</v>
      </c>
      <c r="IE711" s="11">
        <f t="shared" si="844"/>
        <v>0</v>
      </c>
      <c r="IF711" s="11">
        <f t="shared" si="844"/>
        <v>0</v>
      </c>
      <c r="IG711" s="11">
        <f t="shared" si="844"/>
        <v>0</v>
      </c>
      <c r="IH711" s="11">
        <f t="shared" si="844"/>
        <v>0</v>
      </c>
      <c r="II711" s="11">
        <f t="shared" si="844"/>
        <v>0</v>
      </c>
    </row>
    <row r="712" spans="4:243" x14ac:dyDescent="0.25">
      <c r="D712" s="27" t="s">
        <v>1262</v>
      </c>
      <c r="HM712" s="620">
        <f t="shared" ref="HM712:HT712" si="845">HM342</f>
        <v>0</v>
      </c>
      <c r="HN712" s="620">
        <f t="shared" si="845"/>
        <v>0</v>
      </c>
      <c r="HO712" s="620">
        <f t="shared" si="845"/>
        <v>0</v>
      </c>
      <c r="HP712" s="620">
        <f t="shared" si="845"/>
        <v>0</v>
      </c>
      <c r="HQ712" s="620">
        <f t="shared" si="845"/>
        <v>0</v>
      </c>
      <c r="HR712" s="620">
        <f t="shared" si="845"/>
        <v>0</v>
      </c>
      <c r="HS712" s="620">
        <f t="shared" si="845"/>
        <v>0</v>
      </c>
      <c r="HT712" s="620">
        <f t="shared" si="845"/>
        <v>0</v>
      </c>
      <c r="HU712" s="620"/>
      <c r="IB712" s="11">
        <f t="shared" ref="IB712:II712" si="846">IB342</f>
        <v>0</v>
      </c>
      <c r="IC712" s="11">
        <f t="shared" si="846"/>
        <v>0</v>
      </c>
      <c r="ID712" s="11">
        <f t="shared" si="846"/>
        <v>0</v>
      </c>
      <c r="IE712" s="11">
        <f t="shared" si="846"/>
        <v>0</v>
      </c>
      <c r="IF712" s="11">
        <f t="shared" si="846"/>
        <v>0</v>
      </c>
      <c r="IG712" s="11">
        <f t="shared" si="846"/>
        <v>0</v>
      </c>
      <c r="IH712" s="11">
        <f t="shared" si="846"/>
        <v>0</v>
      </c>
      <c r="II712" s="11">
        <f t="shared" si="846"/>
        <v>0</v>
      </c>
    </row>
    <row r="713" spans="4:243" x14ac:dyDescent="0.25">
      <c r="D713" s="27" t="s">
        <v>1263</v>
      </c>
      <c r="HM713" s="620">
        <f t="shared" ref="HM713:HT713" si="847">HM343</f>
        <v>0</v>
      </c>
      <c r="HN713" s="620">
        <f t="shared" si="847"/>
        <v>0</v>
      </c>
      <c r="HO713" s="620">
        <f t="shared" si="847"/>
        <v>0</v>
      </c>
      <c r="HP713" s="620">
        <f t="shared" si="847"/>
        <v>0</v>
      </c>
      <c r="HQ713" s="620">
        <f t="shared" si="847"/>
        <v>0</v>
      </c>
      <c r="HR713" s="620">
        <f t="shared" si="847"/>
        <v>0</v>
      </c>
      <c r="HS713" s="620">
        <f t="shared" si="847"/>
        <v>0</v>
      </c>
      <c r="HT713" s="620">
        <f t="shared" si="847"/>
        <v>0</v>
      </c>
      <c r="HU713" s="620"/>
      <c r="IB713" s="11">
        <f t="shared" ref="IB713:II713" si="848">IB343</f>
        <v>0</v>
      </c>
      <c r="IC713" s="11">
        <f t="shared" si="848"/>
        <v>0</v>
      </c>
      <c r="ID713" s="11">
        <f t="shared" si="848"/>
        <v>0</v>
      </c>
      <c r="IE713" s="11">
        <f t="shared" si="848"/>
        <v>0</v>
      </c>
      <c r="IF713" s="11">
        <f t="shared" si="848"/>
        <v>0</v>
      </c>
      <c r="IG713" s="11">
        <f t="shared" si="848"/>
        <v>0</v>
      </c>
      <c r="IH713" s="11">
        <f t="shared" si="848"/>
        <v>0</v>
      </c>
      <c r="II713" s="11">
        <f t="shared" si="848"/>
        <v>0</v>
      </c>
    </row>
    <row r="714" spans="4:243" x14ac:dyDescent="0.25">
      <c r="D714" s="27" t="s">
        <v>1264</v>
      </c>
      <c r="HM714" s="620">
        <f t="shared" ref="HM714:HT714" si="849">HM344</f>
        <v>0</v>
      </c>
      <c r="HN714" s="620">
        <f t="shared" si="849"/>
        <v>0</v>
      </c>
      <c r="HO714" s="620">
        <f t="shared" si="849"/>
        <v>0</v>
      </c>
      <c r="HP714" s="620">
        <f t="shared" si="849"/>
        <v>0</v>
      </c>
      <c r="HQ714" s="620">
        <f t="shared" si="849"/>
        <v>0</v>
      </c>
      <c r="HR714" s="620">
        <f t="shared" si="849"/>
        <v>0</v>
      </c>
      <c r="HS714" s="620">
        <f t="shared" si="849"/>
        <v>0</v>
      </c>
      <c r="HT714" s="620">
        <f t="shared" si="849"/>
        <v>0</v>
      </c>
      <c r="HU714" s="620"/>
      <c r="IB714" s="11">
        <f t="shared" ref="IB714:II714" si="850">IB344</f>
        <v>0</v>
      </c>
      <c r="IC714" s="11">
        <f t="shared" si="850"/>
        <v>0</v>
      </c>
      <c r="ID714" s="11">
        <f t="shared" si="850"/>
        <v>0</v>
      </c>
      <c r="IE714" s="11">
        <f t="shared" si="850"/>
        <v>0</v>
      </c>
      <c r="IF714" s="11">
        <f t="shared" si="850"/>
        <v>0</v>
      </c>
      <c r="IG714" s="11">
        <f t="shared" si="850"/>
        <v>0</v>
      </c>
      <c r="IH714" s="11">
        <f t="shared" si="850"/>
        <v>0</v>
      </c>
      <c r="II714" s="11">
        <f t="shared" si="850"/>
        <v>0</v>
      </c>
    </row>
    <row r="715" spans="4:243" x14ac:dyDescent="0.25">
      <c r="D715" s="27" t="s">
        <v>1265</v>
      </c>
      <c r="HM715" s="620">
        <f t="shared" ref="HM715:HT715" si="851">HM345</f>
        <v>0</v>
      </c>
      <c r="HN715" s="620">
        <f t="shared" si="851"/>
        <v>0</v>
      </c>
      <c r="HO715" s="620">
        <f t="shared" si="851"/>
        <v>0</v>
      </c>
      <c r="HP715" s="620">
        <f t="shared" si="851"/>
        <v>0</v>
      </c>
      <c r="HQ715" s="620">
        <f t="shared" si="851"/>
        <v>0</v>
      </c>
      <c r="HR715" s="620">
        <f t="shared" si="851"/>
        <v>0</v>
      </c>
      <c r="HS715" s="620">
        <f t="shared" si="851"/>
        <v>0</v>
      </c>
      <c r="HT715" s="620">
        <f t="shared" si="851"/>
        <v>0</v>
      </c>
      <c r="HU715" s="620"/>
      <c r="IB715" s="11">
        <f t="shared" ref="IB715:II715" si="852">IB345</f>
        <v>0</v>
      </c>
      <c r="IC715" s="11">
        <f t="shared" si="852"/>
        <v>0</v>
      </c>
      <c r="ID715" s="11">
        <f t="shared" si="852"/>
        <v>0</v>
      </c>
      <c r="IE715" s="11">
        <f t="shared" si="852"/>
        <v>0</v>
      </c>
      <c r="IF715" s="11">
        <f t="shared" si="852"/>
        <v>0</v>
      </c>
      <c r="IG715" s="11">
        <f t="shared" si="852"/>
        <v>0</v>
      </c>
      <c r="IH715" s="11">
        <f t="shared" si="852"/>
        <v>0</v>
      </c>
      <c r="II715" s="11">
        <f t="shared" si="852"/>
        <v>0</v>
      </c>
    </row>
    <row r="716" spans="4:243" x14ac:dyDescent="0.25">
      <c r="D716" s="27" t="s">
        <v>1266</v>
      </c>
      <c r="HM716" s="620">
        <f t="shared" ref="HM716:HT716" si="853">HM346</f>
        <v>0</v>
      </c>
      <c r="HN716" s="620">
        <f t="shared" si="853"/>
        <v>0</v>
      </c>
      <c r="HO716" s="620">
        <f t="shared" si="853"/>
        <v>0</v>
      </c>
      <c r="HP716" s="620">
        <f t="shared" si="853"/>
        <v>0</v>
      </c>
      <c r="HQ716" s="620">
        <f t="shared" si="853"/>
        <v>0</v>
      </c>
      <c r="HR716" s="620">
        <f t="shared" si="853"/>
        <v>0</v>
      </c>
      <c r="HS716" s="620">
        <f t="shared" si="853"/>
        <v>0</v>
      </c>
      <c r="HT716" s="620">
        <f t="shared" si="853"/>
        <v>0</v>
      </c>
      <c r="HU716" s="620"/>
      <c r="IB716" s="11">
        <f t="shared" ref="IB716:II716" si="854">IB346</f>
        <v>0</v>
      </c>
      <c r="IC716" s="11">
        <f t="shared" si="854"/>
        <v>0</v>
      </c>
      <c r="ID716" s="11">
        <f t="shared" si="854"/>
        <v>0</v>
      </c>
      <c r="IE716" s="11">
        <f t="shared" si="854"/>
        <v>0</v>
      </c>
      <c r="IF716" s="11">
        <f t="shared" si="854"/>
        <v>0</v>
      </c>
      <c r="IG716" s="11">
        <f t="shared" si="854"/>
        <v>0</v>
      </c>
      <c r="IH716" s="11">
        <f t="shared" si="854"/>
        <v>0</v>
      </c>
      <c r="II716" s="11">
        <f t="shared" si="854"/>
        <v>0</v>
      </c>
    </row>
    <row r="717" spans="4:243" x14ac:dyDescent="0.25">
      <c r="D717" s="27" t="s">
        <v>1267</v>
      </c>
      <c r="HM717" s="620">
        <f t="shared" ref="HM717:HT717" si="855">HM347</f>
        <v>0</v>
      </c>
      <c r="HN717" s="620">
        <f t="shared" si="855"/>
        <v>0</v>
      </c>
      <c r="HO717" s="620">
        <f t="shared" si="855"/>
        <v>0</v>
      </c>
      <c r="HP717" s="620">
        <f t="shared" si="855"/>
        <v>0</v>
      </c>
      <c r="HQ717" s="620">
        <f t="shared" si="855"/>
        <v>0</v>
      </c>
      <c r="HR717" s="620">
        <f t="shared" si="855"/>
        <v>0</v>
      </c>
      <c r="HS717" s="620">
        <f t="shared" si="855"/>
        <v>0</v>
      </c>
      <c r="HT717" s="620">
        <f t="shared" si="855"/>
        <v>0</v>
      </c>
      <c r="HU717" s="620"/>
      <c r="IB717" s="11">
        <f t="shared" ref="IB717:II717" si="856">IB347</f>
        <v>0</v>
      </c>
      <c r="IC717" s="11">
        <f t="shared" si="856"/>
        <v>0</v>
      </c>
      <c r="ID717" s="11">
        <f t="shared" si="856"/>
        <v>0</v>
      </c>
      <c r="IE717" s="11">
        <f t="shared" si="856"/>
        <v>0</v>
      </c>
      <c r="IF717" s="11">
        <f t="shared" si="856"/>
        <v>0</v>
      </c>
      <c r="IG717" s="11">
        <f t="shared" si="856"/>
        <v>0</v>
      </c>
      <c r="IH717" s="11">
        <f t="shared" si="856"/>
        <v>0</v>
      </c>
      <c r="II717" s="11">
        <f t="shared" si="856"/>
        <v>0</v>
      </c>
    </row>
    <row r="718" spans="4:243" x14ac:dyDescent="0.25">
      <c r="D718" s="27" t="s">
        <v>1268</v>
      </c>
      <c r="HM718" s="620">
        <f t="shared" ref="HM718:HT718" si="857">HM348</f>
        <v>0</v>
      </c>
      <c r="HN718" s="620">
        <f t="shared" si="857"/>
        <v>0</v>
      </c>
      <c r="HO718" s="620">
        <f t="shared" si="857"/>
        <v>0</v>
      </c>
      <c r="HP718" s="620">
        <f t="shared" si="857"/>
        <v>0</v>
      </c>
      <c r="HQ718" s="620">
        <f t="shared" si="857"/>
        <v>0</v>
      </c>
      <c r="HR718" s="620">
        <f t="shared" si="857"/>
        <v>0</v>
      </c>
      <c r="HS718" s="620">
        <f t="shared" si="857"/>
        <v>0</v>
      </c>
      <c r="HT718" s="620">
        <f t="shared" si="857"/>
        <v>0</v>
      </c>
      <c r="HU718" s="620"/>
      <c r="IB718" s="11">
        <f t="shared" ref="IB718:II718" si="858">IB348</f>
        <v>0</v>
      </c>
      <c r="IC718" s="11">
        <f t="shared" si="858"/>
        <v>0</v>
      </c>
      <c r="ID718" s="11">
        <f t="shared" si="858"/>
        <v>0</v>
      </c>
      <c r="IE718" s="11">
        <f t="shared" si="858"/>
        <v>0</v>
      </c>
      <c r="IF718" s="11">
        <f t="shared" si="858"/>
        <v>0</v>
      </c>
      <c r="IG718" s="11">
        <f t="shared" si="858"/>
        <v>0</v>
      </c>
      <c r="IH718" s="11">
        <f t="shared" si="858"/>
        <v>0</v>
      </c>
      <c r="II718" s="11">
        <f t="shared" si="858"/>
        <v>0</v>
      </c>
    </row>
    <row r="726" spans="7:7" x14ac:dyDescent="0.25">
      <c r="G726" s="293"/>
    </row>
  </sheetData>
  <sheetProtection algorithmName="SHA-512" hashValue="4IJ98MmVeDwMtkcHwGLFRsHu7OyoIpiclX79txJ/u1jTspDCvGwvMY1AhrOO90Wq1zweg0MiCKGSe8HtCGUBMQ==" saltValue="eVIGRj9+msJj1Qxuvpjo1Q==" spinCount="100000" sheet="1" objects="1" scenarios="1"/>
  <protectedRanges>
    <protectedRange sqref="A1:XFD1048576" name="all"/>
    <protectedRange sqref="D331:HU348" name="homeproduced feed"/>
    <protectedRange sqref="D701:HU718" name="homefeed"/>
  </protectedRanges>
  <mergeCells count="9">
    <mergeCell ref="B2:C2"/>
    <mergeCell ref="D2:E2"/>
    <mergeCell ref="D372:E372"/>
    <mergeCell ref="II2:IJ2"/>
    <mergeCell ref="IK2:IL2"/>
    <mergeCell ref="II372:IJ372"/>
    <mergeCell ref="IK372:IL372"/>
    <mergeCell ref="HT2:HU2"/>
    <mergeCell ref="HT372:HU372"/>
  </mergeCells>
  <conditionalFormatting sqref="Q4 Y4:AX4 BJ4:HL4 DW5:HL318 HV4:IA318 HV319:HV322 HV325:HV330">
    <cfRule type="cellIs" dxfId="103" priority="101" stopIfTrue="1" operator="greaterThan">
      <formula>999.9</formula>
    </cfRule>
    <cfRule type="cellIs" dxfId="102" priority="102" stopIfTrue="1" operator="greaterThan">
      <formula>99.9</formula>
    </cfRule>
  </conditionalFormatting>
  <conditionalFormatting sqref="L4:P4">
    <cfRule type="cellIs" dxfId="101" priority="99" stopIfTrue="1" operator="greaterThan">
      <formula>999.9</formula>
    </cfRule>
    <cfRule type="cellIs" dxfId="100" priority="100" stopIfTrue="1" operator="greaterThan">
      <formula>99.9</formula>
    </cfRule>
  </conditionalFormatting>
  <conditionalFormatting sqref="R4">
    <cfRule type="cellIs" dxfId="99" priority="97" stopIfTrue="1" operator="greaterThan">
      <formula>999.9</formula>
    </cfRule>
    <cfRule type="cellIs" dxfId="98" priority="98" stopIfTrue="1" operator="greaterThan">
      <formula>99.9</formula>
    </cfRule>
  </conditionalFormatting>
  <conditionalFormatting sqref="S4">
    <cfRule type="cellIs" dxfId="97" priority="95" stopIfTrue="1" operator="greaterThan">
      <formula>999.9</formula>
    </cfRule>
    <cfRule type="cellIs" dxfId="96" priority="96" stopIfTrue="1" operator="greaterThan">
      <formula>99.9</formula>
    </cfRule>
  </conditionalFormatting>
  <conditionalFormatting sqref="T4:W4">
    <cfRule type="cellIs" dxfId="95" priority="93" stopIfTrue="1" operator="greaterThan">
      <formula>999.9</formula>
    </cfRule>
    <cfRule type="cellIs" dxfId="94" priority="94" stopIfTrue="1" operator="greaterThan">
      <formula>99.9</formula>
    </cfRule>
  </conditionalFormatting>
  <conditionalFormatting sqref="X4">
    <cfRule type="cellIs" dxfId="93" priority="91" stopIfTrue="1" operator="greaterThan">
      <formula>999.9</formula>
    </cfRule>
    <cfRule type="cellIs" dxfId="92" priority="92" stopIfTrue="1" operator="greaterThan">
      <formula>99.9</formula>
    </cfRule>
  </conditionalFormatting>
  <conditionalFormatting sqref="Y5:AX37 BJ5:CB37 Q5:Q318 CR5:DV318 CC4:CP318 Y38:CB318 BK319 BR319:BS319 Z319 CD319">
    <cfRule type="cellIs" dxfId="91" priority="89" stopIfTrue="1" operator="greaterThan">
      <formula>999.9</formula>
    </cfRule>
    <cfRule type="cellIs" dxfId="90" priority="90" stopIfTrue="1" operator="greaterThan">
      <formula>99.9</formula>
    </cfRule>
  </conditionalFormatting>
  <conditionalFormatting sqref="L5:P318 L319">
    <cfRule type="cellIs" dxfId="89" priority="87" stopIfTrue="1" operator="greaterThan">
      <formula>999.9</formula>
    </cfRule>
    <cfRule type="cellIs" dxfId="88" priority="88" stopIfTrue="1" operator="greaterThan">
      <formula>99.9</formula>
    </cfRule>
  </conditionalFormatting>
  <conditionalFormatting sqref="R5:R318">
    <cfRule type="cellIs" dxfId="87" priority="85" stopIfTrue="1" operator="greaterThan">
      <formula>999.9</formula>
    </cfRule>
    <cfRule type="cellIs" dxfId="86" priority="86" stopIfTrue="1" operator="greaterThan">
      <formula>99.9</formula>
    </cfRule>
  </conditionalFormatting>
  <conditionalFormatting sqref="S5:S318">
    <cfRule type="cellIs" dxfId="85" priority="83" stopIfTrue="1" operator="greaterThan">
      <formula>999.9</formula>
    </cfRule>
    <cfRule type="cellIs" dxfId="84" priority="84" stopIfTrue="1" operator="greaterThan">
      <formula>99.9</formula>
    </cfRule>
  </conditionalFormatting>
  <conditionalFormatting sqref="T5:W318">
    <cfRule type="cellIs" dxfId="83" priority="81" stopIfTrue="1" operator="greaterThan">
      <formula>999.9</formula>
    </cfRule>
    <cfRule type="cellIs" dxfId="82" priority="82" stopIfTrue="1" operator="greaterThan">
      <formula>99.9</formula>
    </cfRule>
  </conditionalFormatting>
  <conditionalFormatting sqref="X5:X318">
    <cfRule type="cellIs" dxfId="81" priority="79" stopIfTrue="1" operator="greaterThan">
      <formula>999.9</formula>
    </cfRule>
    <cfRule type="cellIs" dxfId="80" priority="80" stopIfTrue="1" operator="greaterThan">
      <formula>99.9</formula>
    </cfRule>
  </conditionalFormatting>
  <conditionalFormatting sqref="AY4:BI37">
    <cfRule type="cellIs" dxfId="79" priority="77" stopIfTrue="1" operator="greaterThan">
      <formula>999.9</formula>
    </cfRule>
    <cfRule type="cellIs" dxfId="78" priority="78" stopIfTrue="1" operator="greaterThan">
      <formula>99.9</formula>
    </cfRule>
  </conditionalFormatting>
  <conditionalFormatting sqref="CQ3">
    <cfRule type="cellIs" dxfId="77" priority="75" stopIfTrue="1" operator="greaterThan">
      <formula>999.9</formula>
    </cfRule>
    <cfRule type="cellIs" dxfId="76" priority="76" stopIfTrue="1" operator="greaterThan">
      <formula>99.9</formula>
    </cfRule>
  </conditionalFormatting>
  <conditionalFormatting sqref="CQ5:CQ318">
    <cfRule type="cellIs" dxfId="75" priority="73" stopIfTrue="1" operator="greaterThan">
      <formula>999.9</formula>
    </cfRule>
    <cfRule type="cellIs" dxfId="74" priority="74" stopIfTrue="1" operator="greaterThan">
      <formula>99.9</formula>
    </cfRule>
  </conditionalFormatting>
  <conditionalFormatting sqref="CR3:DE3">
    <cfRule type="cellIs" dxfId="73" priority="71" stopIfTrue="1" operator="greaterThan">
      <formula>999.9</formula>
    </cfRule>
    <cfRule type="cellIs" dxfId="72" priority="72" stopIfTrue="1" operator="greaterThan">
      <formula>99.9</formula>
    </cfRule>
  </conditionalFormatting>
  <conditionalFormatting sqref="Q374 Y374:AX374 BJ374:CR374">
    <cfRule type="cellIs" dxfId="71" priority="69" stopIfTrue="1" operator="greaterThan">
      <formula>999.9</formula>
    </cfRule>
    <cfRule type="cellIs" dxfId="70" priority="70" stopIfTrue="1" operator="greaterThan">
      <formula>99.9</formula>
    </cfRule>
  </conditionalFormatting>
  <conditionalFormatting sqref="L374:P374">
    <cfRule type="cellIs" dxfId="69" priority="67" stopIfTrue="1" operator="greaterThan">
      <formula>999.9</formula>
    </cfRule>
    <cfRule type="cellIs" dxfId="68" priority="68" stopIfTrue="1" operator="greaterThan">
      <formula>99.9</formula>
    </cfRule>
  </conditionalFormatting>
  <conditionalFormatting sqref="R374">
    <cfRule type="cellIs" dxfId="67" priority="65" stopIfTrue="1" operator="greaterThan">
      <formula>999.9</formula>
    </cfRule>
    <cfRule type="cellIs" dxfId="66" priority="66" stopIfTrue="1" operator="greaterThan">
      <formula>99.9</formula>
    </cfRule>
  </conditionalFormatting>
  <conditionalFormatting sqref="S374">
    <cfRule type="cellIs" dxfId="65" priority="63" stopIfTrue="1" operator="greaterThan">
      <formula>999.9</formula>
    </cfRule>
    <cfRule type="cellIs" dxfId="64" priority="64" stopIfTrue="1" operator="greaterThan">
      <formula>99.9</formula>
    </cfRule>
  </conditionalFormatting>
  <conditionalFormatting sqref="T374:W374">
    <cfRule type="cellIs" dxfId="63" priority="61" stopIfTrue="1" operator="greaterThan">
      <formula>999.9</formula>
    </cfRule>
    <cfRule type="cellIs" dxfId="62" priority="62" stopIfTrue="1" operator="greaterThan">
      <formula>99.9</formula>
    </cfRule>
  </conditionalFormatting>
  <conditionalFormatting sqref="X374">
    <cfRule type="cellIs" dxfId="61" priority="59" stopIfTrue="1" operator="greaterThan">
      <formula>999.9</formula>
    </cfRule>
    <cfRule type="cellIs" dxfId="60" priority="60" stopIfTrue="1" operator="greaterThan">
      <formula>99.9</formula>
    </cfRule>
  </conditionalFormatting>
  <conditionalFormatting sqref="Y375:AX407 BJ375:CB407 Q375:Q688 CR375:CR688 CC374:CP688 Y408:CB688">
    <cfRule type="cellIs" dxfId="59" priority="57" stopIfTrue="1" operator="greaterThan">
      <formula>999.9</formula>
    </cfRule>
    <cfRule type="cellIs" dxfId="58" priority="58" stopIfTrue="1" operator="greaterThan">
      <formula>99.9</formula>
    </cfRule>
  </conditionalFormatting>
  <conditionalFormatting sqref="L375:P688">
    <cfRule type="cellIs" dxfId="57" priority="55" stopIfTrue="1" operator="greaterThan">
      <formula>999.9</formula>
    </cfRule>
    <cfRule type="cellIs" dxfId="56" priority="56" stopIfTrue="1" operator="greaterThan">
      <formula>99.9</formula>
    </cfRule>
  </conditionalFormatting>
  <conditionalFormatting sqref="R375:R688">
    <cfRule type="cellIs" dxfId="55" priority="53" stopIfTrue="1" operator="greaterThan">
      <formula>999.9</formula>
    </cfRule>
    <cfRule type="cellIs" dxfId="54" priority="54" stopIfTrue="1" operator="greaterThan">
      <formula>99.9</formula>
    </cfRule>
  </conditionalFormatting>
  <conditionalFormatting sqref="S375:S688">
    <cfRule type="cellIs" dxfId="53" priority="51" stopIfTrue="1" operator="greaterThan">
      <formula>999.9</formula>
    </cfRule>
    <cfRule type="cellIs" dxfId="52" priority="52" stopIfTrue="1" operator="greaterThan">
      <formula>99.9</formula>
    </cfRule>
  </conditionalFormatting>
  <conditionalFormatting sqref="T375:W688">
    <cfRule type="cellIs" dxfId="51" priority="49" stopIfTrue="1" operator="greaterThan">
      <formula>999.9</formula>
    </cfRule>
    <cfRule type="cellIs" dxfId="50" priority="50" stopIfTrue="1" operator="greaterThan">
      <formula>99.9</formula>
    </cfRule>
  </conditionalFormatting>
  <conditionalFormatting sqref="X375:X688">
    <cfRule type="cellIs" dxfId="49" priority="47" stopIfTrue="1" operator="greaterThan">
      <formula>999.9</formula>
    </cfRule>
    <cfRule type="cellIs" dxfId="48" priority="48" stopIfTrue="1" operator="greaterThan">
      <formula>99.9</formula>
    </cfRule>
  </conditionalFormatting>
  <conditionalFormatting sqref="AY374:BI407">
    <cfRule type="cellIs" dxfId="47" priority="45" stopIfTrue="1" operator="greaterThan">
      <formula>999.9</formula>
    </cfRule>
    <cfRule type="cellIs" dxfId="46" priority="46" stopIfTrue="1" operator="greaterThan">
      <formula>99.9</formula>
    </cfRule>
  </conditionalFormatting>
  <conditionalFormatting sqref="CQ375:CQ688">
    <cfRule type="cellIs" dxfId="45" priority="43" stopIfTrue="1" operator="greaterThan">
      <formula>999.9</formula>
    </cfRule>
    <cfRule type="cellIs" dxfId="44" priority="44" stopIfTrue="1" operator="greaterThan">
      <formula>99.9</formula>
    </cfRule>
  </conditionalFormatting>
  <conditionalFormatting sqref="CQ373">
    <cfRule type="cellIs" dxfId="43" priority="41" stopIfTrue="1" operator="greaterThan">
      <formula>999.9</formula>
    </cfRule>
    <cfRule type="cellIs" dxfId="42" priority="42" stopIfTrue="1" operator="greaterThan">
      <formula>99.9</formula>
    </cfRule>
  </conditionalFormatting>
  <conditionalFormatting sqref="CR373:DE373">
    <cfRule type="cellIs" dxfId="41" priority="39" stopIfTrue="1" operator="greaterThan">
      <formula>999.9</formula>
    </cfRule>
    <cfRule type="cellIs" dxfId="40" priority="40" stopIfTrue="1" operator="greaterThan">
      <formula>99.9</formula>
    </cfRule>
  </conditionalFormatting>
  <conditionalFormatting sqref="IB3:IH3">
    <cfRule type="cellIs" dxfId="39" priority="35" stopIfTrue="1" operator="greaterThan">
      <formula>999.9</formula>
    </cfRule>
    <cfRule type="cellIs" dxfId="38" priority="36" stopIfTrue="1" operator="greaterThan">
      <formula>99.9</formula>
    </cfRule>
  </conditionalFormatting>
  <conditionalFormatting sqref="IB373:IH373">
    <cfRule type="cellIs" dxfId="37" priority="33" stopIfTrue="1" operator="greaterThan">
      <formula>999.9</formula>
    </cfRule>
    <cfRule type="cellIs" dxfId="36" priority="34" stopIfTrue="1" operator="greaterThan">
      <formula>99.9</formula>
    </cfRule>
  </conditionalFormatting>
  <conditionalFormatting sqref="II3:IM3">
    <cfRule type="cellIs" dxfId="35" priority="31" stopIfTrue="1" operator="greaterThan">
      <formula>999.9</formula>
    </cfRule>
    <cfRule type="cellIs" dxfId="34" priority="32" stopIfTrue="1" operator="greaterThan">
      <formula>99.9</formula>
    </cfRule>
  </conditionalFormatting>
  <conditionalFormatting sqref="II373:IM373">
    <cfRule type="cellIs" dxfId="33" priority="29" stopIfTrue="1" operator="greaterThan">
      <formula>999.9</formula>
    </cfRule>
    <cfRule type="cellIs" dxfId="32" priority="30" stopIfTrue="1" operator="greaterThan">
      <formula>99.9</formula>
    </cfRule>
  </conditionalFormatting>
  <conditionalFormatting sqref="HM3:HS3">
    <cfRule type="cellIs" dxfId="31" priority="27" stopIfTrue="1" operator="greaterThan">
      <formula>999.9</formula>
    </cfRule>
    <cfRule type="cellIs" dxfId="30" priority="28" stopIfTrue="1" operator="greaterThan">
      <formula>99.9</formula>
    </cfRule>
  </conditionalFormatting>
  <conditionalFormatting sqref="HM373:HS373">
    <cfRule type="cellIs" dxfId="29" priority="25" stopIfTrue="1" operator="greaterThan">
      <formula>999.9</formula>
    </cfRule>
    <cfRule type="cellIs" dxfId="28" priority="26" stopIfTrue="1" operator="greaterThan">
      <formula>99.9</formula>
    </cfRule>
  </conditionalFormatting>
  <conditionalFormatting sqref="HT3:HU3">
    <cfRule type="cellIs" dxfId="27" priority="23" stopIfTrue="1" operator="greaterThan">
      <formula>999.9</formula>
    </cfRule>
    <cfRule type="cellIs" dxfId="26" priority="24" stopIfTrue="1" operator="greaterThan">
      <formula>99.9</formula>
    </cfRule>
  </conditionalFormatting>
  <conditionalFormatting sqref="HT373:HU373">
    <cfRule type="cellIs" dxfId="25" priority="21" stopIfTrue="1" operator="greaterThan">
      <formula>999.9</formula>
    </cfRule>
    <cfRule type="cellIs" dxfId="24" priority="22" stopIfTrue="1" operator="greaterThan">
      <formula>99.9</formula>
    </cfRule>
  </conditionalFormatting>
  <conditionalFormatting sqref="HV3">
    <cfRule type="cellIs" dxfId="23" priority="19" stopIfTrue="1" operator="greaterThan">
      <formula>999.9</formula>
    </cfRule>
    <cfRule type="cellIs" dxfId="22" priority="20" stopIfTrue="1" operator="greaterThan">
      <formula>99.9</formula>
    </cfRule>
  </conditionalFormatting>
  <conditionalFormatting sqref="L325:L330">
    <cfRule type="cellIs" dxfId="21" priority="17" stopIfTrue="1" operator="greaterThan">
      <formula>999.9</formula>
    </cfRule>
    <cfRule type="cellIs" dxfId="20" priority="18" stopIfTrue="1" operator="greaterThan">
      <formula>99.9</formula>
    </cfRule>
  </conditionalFormatting>
  <conditionalFormatting sqref="BK325:BK330">
    <cfRule type="cellIs" dxfId="19" priority="15" stopIfTrue="1" operator="greaterThan">
      <formula>999.9</formula>
    </cfRule>
    <cfRule type="cellIs" dxfId="18" priority="16" stopIfTrue="1" operator="greaterThan">
      <formula>99.9</formula>
    </cfRule>
  </conditionalFormatting>
  <conditionalFormatting sqref="Z325:Z330">
    <cfRule type="cellIs" dxfId="17" priority="13" stopIfTrue="1" operator="greaterThan">
      <formula>999.9</formula>
    </cfRule>
    <cfRule type="cellIs" dxfId="16" priority="14" stopIfTrue="1" operator="greaterThan">
      <formula>99.9</formula>
    </cfRule>
  </conditionalFormatting>
  <conditionalFormatting sqref="M325:M330">
    <cfRule type="cellIs" dxfId="15" priority="11" stopIfTrue="1" operator="greaterThan">
      <formula>999.9</formula>
    </cfRule>
    <cfRule type="cellIs" dxfId="14" priority="12" stopIfTrue="1" operator="greaterThan">
      <formula>99.9</formula>
    </cfRule>
  </conditionalFormatting>
  <conditionalFormatting sqref="CD325:CD330">
    <cfRule type="cellIs" dxfId="13" priority="9" stopIfTrue="1" operator="greaterThan">
      <formula>999.9</formula>
    </cfRule>
    <cfRule type="cellIs" dxfId="12" priority="10" stopIfTrue="1" operator="greaterThan">
      <formula>99.9</formula>
    </cfRule>
  </conditionalFormatting>
  <conditionalFormatting sqref="BK353 BR353:BS353">
    <cfRule type="cellIs" dxfId="11" priority="7" stopIfTrue="1" operator="greaterThan">
      <formula>999.9</formula>
    </cfRule>
    <cfRule type="cellIs" dxfId="10" priority="8" stopIfTrue="1" operator="greaterThan">
      <formula>99.9</formula>
    </cfRule>
  </conditionalFormatting>
  <conditionalFormatting sqref="L353">
    <cfRule type="cellIs" dxfId="9" priority="5" stopIfTrue="1" operator="greaterThan">
      <formula>999.9</formula>
    </cfRule>
    <cfRule type="cellIs" dxfId="8" priority="6" stopIfTrue="1" operator="greaterThan">
      <formula>99.9</formula>
    </cfRule>
  </conditionalFormatting>
  <conditionalFormatting sqref="M353">
    <cfRule type="cellIs" dxfId="7" priority="3" stopIfTrue="1" operator="greaterThan">
      <formula>999.9</formula>
    </cfRule>
    <cfRule type="cellIs" dxfId="6" priority="4" stopIfTrue="1" operator="greaterThan">
      <formula>99.9</formula>
    </cfRule>
  </conditionalFormatting>
  <conditionalFormatting sqref="HV695:HV700 HV374:HV692">
    <cfRule type="cellIs" dxfId="5" priority="1" stopIfTrue="1" operator="greaterThan">
      <formula>999.9</formula>
    </cfRule>
    <cfRule type="cellIs" dxfId="4" priority="2" stopIfTrue="1" operator="greaterThan">
      <formula>99.9</formula>
    </cfRule>
  </conditionalFormatting>
  <hyperlinks>
    <hyperlink ref="D319" location="'1_Indholdsfortegnelse'!A1" display="(Link: Retur til Indholdsfortegnelsen)"/>
    <hyperlink ref="D331" location="'1_Indholdsfortegnelse'!A1" display="(Link: Retur til Indholdsfortegnelsen)"/>
    <hyperlink ref="D333" location="'1_Indholdsfortegnelse'!A1" display="(Link: Retur til Indholdsfortegnelsen)"/>
    <hyperlink ref="D335" location="'1_Indholdsfortegnelse'!A1" display="(Link: Retur til Indholdsfortegnelsen)"/>
    <hyperlink ref="D337" location="'1_Indholdsfortegnelse'!A1" display="(Link: Retur til Indholdsfortegnelsen)"/>
    <hyperlink ref="D325" location="'1_Indholdsfortegnelse'!A1" display="(Link: Retur til Indholdsfortegnelsen)"/>
    <hyperlink ref="D326" location="'1_Indholdsfortegnelse'!A1" display="(Link: Retur til Indholdsfortegnelsen)"/>
    <hyperlink ref="D327" location="'1_Indholdsfortegnelse'!A1" display="(Link: Retur til Indholdsfortegnelsen)"/>
    <hyperlink ref="D329" location="'1_Indholdsfortegnelse'!A1" display="(Link: Retur til Indholdsfortegnelsen)"/>
    <hyperlink ref="D328" location="'1_Indholdsfortegnelse'!A1" display="(Link: Retur til Indholdsfortegnelsen)"/>
    <hyperlink ref="D330" location="'1_Indholdsfortegnelse'!A1" display="(Link: Retur til Indholdsfortegnelsen)"/>
    <hyperlink ref="D320" location="'1_Indholdsfortegnelse'!A1" display="(Link: Retur til Indholdsfortegnelsen)"/>
    <hyperlink ref="E319" location="'1_Indholdsfortegnelse'!A1" display="(Link: Retur til Indholdsfortegnelsen)"/>
    <hyperlink ref="E320:E322" location="'1_Indholdsfortegnelse'!A1" display="(Link: Retur til Indholdsfortegnelsen)"/>
  </hyperlinks>
  <pageMargins left="0.7" right="0.7" top="0.75" bottom="0.75" header="0.3" footer="0.3"/>
  <pageSetup paperSize="9" orientation="portrait" horizontalDpi="1200" verticalDpi="1200" r:id="rId1"/>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2" tint="-0.249977111117893"/>
  </sheetPr>
  <dimension ref="A1:CM209"/>
  <sheetViews>
    <sheetView topLeftCell="B1" workbookViewId="0">
      <selection activeCell="D17" sqref="D17"/>
    </sheetView>
  </sheetViews>
  <sheetFormatPr defaultColWidth="9.140625" defaultRowHeight="15" x14ac:dyDescent="0.25"/>
  <cols>
    <col min="1" max="1" width="4.42578125" style="13" customWidth="1"/>
    <col min="2" max="2" width="42.28515625" style="37" customWidth="1"/>
    <col min="3" max="3" width="11" style="107" customWidth="1"/>
    <col min="4" max="4" width="9.7109375" style="107" customWidth="1"/>
    <col min="5" max="5" width="10.42578125" style="107" customWidth="1"/>
    <col min="6" max="6" width="10.140625" style="107" customWidth="1"/>
    <col min="7" max="7" width="10.42578125" style="108" customWidth="1"/>
    <col min="8" max="8" width="10.42578125" style="107" customWidth="1"/>
    <col min="9" max="9" width="10.42578125" style="108" customWidth="1"/>
    <col min="10" max="10" width="10.42578125" style="107" customWidth="1"/>
    <col min="11" max="11" width="10.42578125" style="108" customWidth="1"/>
    <col min="12" max="12" width="15.42578125" style="107" bestFit="1" customWidth="1"/>
    <col min="13" max="15" width="15.85546875" style="107" customWidth="1"/>
    <col min="16" max="16" width="16.28515625" style="37" bestFit="1" customWidth="1"/>
    <col min="17" max="17" width="23.42578125" style="37" bestFit="1" customWidth="1"/>
    <col min="18" max="18" width="173.140625" style="13" customWidth="1"/>
    <col min="19" max="91" width="9.140625" style="13"/>
    <col min="92" max="16384" width="9.140625" style="37"/>
  </cols>
  <sheetData>
    <row r="1" spans="2:17" s="13" customFormat="1" x14ac:dyDescent="0.25">
      <c r="C1" s="29"/>
      <c r="D1" s="29"/>
      <c r="E1" s="29"/>
      <c r="F1" s="29"/>
      <c r="G1" s="30"/>
      <c r="H1" s="29"/>
      <c r="I1" s="30"/>
      <c r="J1" s="29"/>
      <c r="K1" s="30"/>
      <c r="L1" s="29"/>
      <c r="M1" s="29"/>
      <c r="N1" s="29"/>
      <c r="O1" s="29"/>
    </row>
    <row r="2" spans="2:17" s="13" customFormat="1" ht="18" x14ac:dyDescent="0.25">
      <c r="B2" s="109" t="s">
        <v>900</v>
      </c>
      <c r="C2" s="29"/>
      <c r="D2" s="29"/>
      <c r="E2" s="29"/>
      <c r="F2" s="29"/>
      <c r="G2" s="30"/>
      <c r="H2" s="29"/>
      <c r="I2" s="30"/>
      <c r="J2" s="29"/>
      <c r="K2" s="30"/>
      <c r="L2" s="29"/>
      <c r="M2" s="29"/>
      <c r="N2" s="29"/>
      <c r="O2" s="29"/>
    </row>
    <row r="3" spans="2:17" s="13" customFormat="1" ht="15.75" thickBot="1" x14ac:dyDescent="0.3">
      <c r="C3" s="29"/>
      <c r="D3" s="29"/>
      <c r="E3" s="29"/>
      <c r="F3" s="29"/>
      <c r="G3" s="30"/>
      <c r="H3" s="29"/>
      <c r="I3" s="30"/>
      <c r="J3" s="29"/>
      <c r="K3" s="30"/>
      <c r="L3" s="29"/>
      <c r="M3" s="29"/>
      <c r="N3" s="29"/>
      <c r="O3" s="29"/>
    </row>
    <row r="4" spans="2:17" ht="15.75" thickTop="1" x14ac:dyDescent="0.25">
      <c r="B4" s="31"/>
      <c r="C4" s="32"/>
      <c r="D4" s="33"/>
      <c r="E4" s="34"/>
      <c r="F4" s="34"/>
      <c r="G4" s="35"/>
      <c r="H4" s="34"/>
      <c r="I4" s="35"/>
      <c r="J4" s="34"/>
      <c r="K4" s="35"/>
      <c r="L4" s="32"/>
      <c r="M4" s="32"/>
      <c r="N4" s="32"/>
      <c r="O4" s="32"/>
      <c r="P4" s="32"/>
      <c r="Q4" s="36"/>
    </row>
    <row r="5" spans="2:17" x14ac:dyDescent="0.25">
      <c r="B5" s="38" t="s">
        <v>823</v>
      </c>
      <c r="C5" s="39" t="s">
        <v>824</v>
      </c>
      <c r="D5" s="40" t="s">
        <v>825</v>
      </c>
      <c r="E5" s="41"/>
      <c r="F5" s="41"/>
      <c r="G5" s="42"/>
      <c r="H5" s="41"/>
      <c r="I5" s="42"/>
      <c r="J5" s="41"/>
      <c r="K5" s="42"/>
      <c r="L5" s="39" t="s">
        <v>1779</v>
      </c>
      <c r="M5" s="39" t="s">
        <v>826</v>
      </c>
      <c r="N5" s="39" t="s">
        <v>1795</v>
      </c>
      <c r="O5" s="39" t="s">
        <v>827</v>
      </c>
      <c r="P5" s="39" t="s">
        <v>828</v>
      </c>
      <c r="Q5" s="43" t="s">
        <v>829</v>
      </c>
    </row>
    <row r="6" spans="2:17" x14ac:dyDescent="0.25">
      <c r="B6" s="38"/>
      <c r="C6" s="39"/>
      <c r="D6" s="44" t="s">
        <v>830</v>
      </c>
      <c r="E6" s="45" t="s">
        <v>831</v>
      </c>
      <c r="F6" s="45" t="s">
        <v>832</v>
      </c>
      <c r="G6" s="46" t="s">
        <v>833</v>
      </c>
      <c r="H6" s="45" t="s">
        <v>1781</v>
      </c>
      <c r="I6" s="46" t="s">
        <v>833</v>
      </c>
      <c r="J6" s="45" t="s">
        <v>834</v>
      </c>
      <c r="K6" s="46" t="s">
        <v>822</v>
      </c>
      <c r="L6" s="39"/>
      <c r="M6" s="39"/>
      <c r="N6" s="39"/>
      <c r="O6" s="39"/>
      <c r="P6" s="39"/>
      <c r="Q6" s="43"/>
    </row>
    <row r="7" spans="2:17" x14ac:dyDescent="0.25">
      <c r="B7" s="47"/>
      <c r="C7" s="48"/>
      <c r="D7" s="44"/>
      <c r="E7" s="45"/>
      <c r="F7" s="45"/>
      <c r="G7" s="46"/>
      <c r="H7" s="45"/>
      <c r="I7" s="46"/>
      <c r="J7" s="45"/>
      <c r="K7" s="46"/>
      <c r="L7" s="48"/>
      <c r="M7" s="48"/>
      <c r="N7" s="48"/>
      <c r="O7" s="48"/>
      <c r="P7" s="48"/>
      <c r="Q7" s="49"/>
    </row>
    <row r="8" spans="2:17" x14ac:dyDescent="0.25">
      <c r="B8" s="50" t="s">
        <v>815</v>
      </c>
      <c r="C8" s="51"/>
      <c r="D8" s="52"/>
      <c r="E8" s="53"/>
      <c r="F8" s="53"/>
      <c r="G8" s="54"/>
      <c r="H8" s="53"/>
      <c r="I8" s="54"/>
      <c r="J8" s="53"/>
      <c r="K8" s="54"/>
      <c r="L8" s="51"/>
      <c r="M8" s="51"/>
      <c r="N8" s="51"/>
      <c r="O8" s="51"/>
      <c r="P8" s="51"/>
      <c r="Q8" s="55"/>
    </row>
    <row r="9" spans="2:17" x14ac:dyDescent="0.25">
      <c r="B9" s="56"/>
      <c r="C9" s="57"/>
      <c r="D9" s="58"/>
      <c r="E9" s="59"/>
      <c r="F9" s="59"/>
      <c r="G9" s="60"/>
      <c r="H9" s="59"/>
      <c r="I9" s="60"/>
      <c r="J9" s="59"/>
      <c r="K9" s="60"/>
      <c r="L9" s="57"/>
      <c r="M9" s="57"/>
      <c r="N9" s="57"/>
      <c r="O9" s="57"/>
      <c r="P9" s="57"/>
      <c r="Q9" s="61"/>
    </row>
    <row r="10" spans="2:17" s="13" customFormat="1" x14ac:dyDescent="0.25">
      <c r="B10" s="62" t="s">
        <v>817</v>
      </c>
      <c r="C10" s="63" t="s">
        <v>835</v>
      </c>
      <c r="D10" s="64">
        <f>444/1000</f>
        <v>0.44400000000000001</v>
      </c>
      <c r="E10" s="65">
        <f>11/1000</f>
        <v>1.0999999999999999E-2</v>
      </c>
      <c r="F10" s="65">
        <f>18/1000</f>
        <v>1.7999999999999999E-2</v>
      </c>
      <c r="G10" s="66">
        <f>D10+E10+F10</f>
        <v>0.47300000000000003</v>
      </c>
      <c r="H10" s="65">
        <f>130/1000</f>
        <v>0.13</v>
      </c>
      <c r="I10" s="66">
        <f t="shared" ref="I10:I18" si="0">G10+H10</f>
        <v>0.60299999999999998</v>
      </c>
      <c r="J10" s="65">
        <f>391/1000</f>
        <v>0.39100000000000001</v>
      </c>
      <c r="K10" s="66">
        <f>I10+J10</f>
        <v>0.99399999999999999</v>
      </c>
      <c r="L10" s="65">
        <f>55/1000</f>
        <v>5.5E-2</v>
      </c>
      <c r="M10" s="65">
        <v>3.97</v>
      </c>
      <c r="N10" s="65">
        <f>4.6/1000</f>
        <v>4.5999999999999999E-3</v>
      </c>
      <c r="O10" s="65">
        <v>2.73</v>
      </c>
      <c r="P10" s="67">
        <f t="shared" ref="P10:P20" si="1">O10*$P$44</f>
        <v>0.79169999999999996</v>
      </c>
      <c r="Q10" s="68" t="s">
        <v>836</v>
      </c>
    </row>
    <row r="11" spans="2:17" s="13" customFormat="1" x14ac:dyDescent="0.25">
      <c r="B11" s="62" t="s">
        <v>837</v>
      </c>
      <c r="C11" s="63" t="s">
        <v>835</v>
      </c>
      <c r="D11" s="64">
        <f>42/1000</f>
        <v>4.2000000000000003E-2</v>
      </c>
      <c r="E11" s="65">
        <f>1/1000</f>
        <v>1E-3</v>
      </c>
      <c r="F11" s="65">
        <f>18/1000</f>
        <v>1.7999999999999999E-2</v>
      </c>
      <c r="G11" s="66">
        <f t="shared" ref="G11:G18" si="2">D11+E11+F11</f>
        <v>6.0999999999999999E-2</v>
      </c>
      <c r="H11" s="65">
        <f>12/1000</f>
        <v>1.2E-2</v>
      </c>
      <c r="I11" s="66">
        <f t="shared" si="0"/>
        <v>7.2999999999999995E-2</v>
      </c>
      <c r="J11" s="65">
        <f>37/1000</f>
        <v>3.6999999999999998E-2</v>
      </c>
      <c r="K11" s="66">
        <f t="shared" ref="K11:K18" si="3">I11+J11</f>
        <v>0.10999999999999999</v>
      </c>
      <c r="L11" s="65">
        <f>5/1000</f>
        <v>5.0000000000000001E-3</v>
      </c>
      <c r="M11" s="65">
        <v>0.3</v>
      </c>
      <c r="N11" s="65">
        <f>0.4/1000</f>
        <v>4.0000000000000002E-4</v>
      </c>
      <c r="O11" s="65">
        <v>0.26</v>
      </c>
      <c r="P11" s="67">
        <f t="shared" si="1"/>
        <v>7.5399999999999995E-2</v>
      </c>
      <c r="Q11" s="68" t="s">
        <v>836</v>
      </c>
    </row>
    <row r="12" spans="2:17" s="13" customFormat="1" x14ac:dyDescent="0.25">
      <c r="B12" s="62" t="s">
        <v>838</v>
      </c>
      <c r="C12" s="63" t="s">
        <v>835</v>
      </c>
      <c r="D12" s="64">
        <f>410/1000</f>
        <v>0.41</v>
      </c>
      <c r="E12" s="65">
        <f>28/1000</f>
        <v>2.8000000000000001E-2</v>
      </c>
      <c r="F12" s="65">
        <f>75/1000</f>
        <v>7.4999999999999997E-2</v>
      </c>
      <c r="G12" s="66">
        <f t="shared" si="2"/>
        <v>0.51300000000000001</v>
      </c>
      <c r="H12" s="65">
        <f>9/1000</f>
        <v>8.9999999999999993E-3</v>
      </c>
      <c r="I12" s="66">
        <f t="shared" si="0"/>
        <v>0.52200000000000002</v>
      </c>
      <c r="J12" s="65">
        <f>326/1000</f>
        <v>0.32600000000000001</v>
      </c>
      <c r="K12" s="66">
        <f t="shared" si="3"/>
        <v>0.84800000000000009</v>
      </c>
      <c r="L12" s="65">
        <f>50/1000</f>
        <v>0.05</v>
      </c>
      <c r="M12" s="65">
        <v>4</v>
      </c>
      <c r="N12" s="65">
        <f>3.9/1000</f>
        <v>3.8999999999999998E-3</v>
      </c>
      <c r="O12" s="65">
        <v>2.2799999999999998</v>
      </c>
      <c r="P12" s="67">
        <f t="shared" si="1"/>
        <v>0.6611999999999999</v>
      </c>
      <c r="Q12" s="68" t="s">
        <v>836</v>
      </c>
    </row>
    <row r="13" spans="2:17" s="13" customFormat="1" x14ac:dyDescent="0.25">
      <c r="B13" s="62" t="s">
        <v>839</v>
      </c>
      <c r="C13" s="63" t="s">
        <v>835</v>
      </c>
      <c r="D13" s="64">
        <f>252/1000</f>
        <v>0.252</v>
      </c>
      <c r="E13" s="65">
        <v>0</v>
      </c>
      <c r="F13" s="65">
        <v>0</v>
      </c>
      <c r="G13" s="66">
        <f t="shared" si="2"/>
        <v>0.252</v>
      </c>
      <c r="H13" s="65">
        <f>-46/1000</f>
        <v>-4.5999999999999999E-2</v>
      </c>
      <c r="I13" s="66">
        <f t="shared" si="0"/>
        <v>0.20600000000000002</v>
      </c>
      <c r="J13" s="65">
        <f>219/1000</f>
        <v>0.219</v>
      </c>
      <c r="K13" s="66">
        <f t="shared" si="3"/>
        <v>0.42500000000000004</v>
      </c>
      <c r="L13" s="65">
        <f>11/1000</f>
        <v>1.0999999999999999E-2</v>
      </c>
      <c r="M13" s="65">
        <v>1.65</v>
      </c>
      <c r="N13" s="65">
        <f>1.9/1000</f>
        <v>1.9E-3</v>
      </c>
      <c r="O13" s="65">
        <v>1.53</v>
      </c>
      <c r="P13" s="67">
        <f t="shared" si="1"/>
        <v>0.44369999999999998</v>
      </c>
      <c r="Q13" s="68" t="s">
        <v>836</v>
      </c>
    </row>
    <row r="14" spans="2:17" s="13" customFormat="1" x14ac:dyDescent="0.25">
      <c r="B14" s="62" t="s">
        <v>840</v>
      </c>
      <c r="C14" s="63" t="s">
        <v>835</v>
      </c>
      <c r="D14" s="64">
        <f>473/1000</f>
        <v>0.47299999999999998</v>
      </c>
      <c r="E14" s="65">
        <v>0</v>
      </c>
      <c r="F14" s="65">
        <v>0</v>
      </c>
      <c r="G14" s="66">
        <f t="shared" si="2"/>
        <v>0.47299999999999998</v>
      </c>
      <c r="H14" s="65">
        <f>-208/1000</f>
        <v>-0.20799999999999999</v>
      </c>
      <c r="I14" s="66">
        <f t="shared" si="0"/>
        <v>0.26500000000000001</v>
      </c>
      <c r="J14" s="65">
        <f>256/1000</f>
        <v>0.25600000000000001</v>
      </c>
      <c r="K14" s="66">
        <f t="shared" si="3"/>
        <v>0.52100000000000002</v>
      </c>
      <c r="L14" s="65">
        <f>55/1000</f>
        <v>5.5E-2</v>
      </c>
      <c r="M14" s="65">
        <v>2.4</v>
      </c>
      <c r="N14" s="65">
        <f>4/1000</f>
        <v>4.0000000000000001E-3</v>
      </c>
      <c r="O14" s="65">
        <v>1.79</v>
      </c>
      <c r="P14" s="67">
        <f t="shared" si="1"/>
        <v>0.51910000000000001</v>
      </c>
      <c r="Q14" s="68" t="s">
        <v>836</v>
      </c>
    </row>
    <row r="15" spans="2:17" s="13" customFormat="1" x14ac:dyDescent="0.25">
      <c r="B15" s="62" t="s">
        <v>841</v>
      </c>
      <c r="C15" s="63" t="s">
        <v>835</v>
      </c>
      <c r="D15" s="64">
        <f>221/1000</f>
        <v>0.221</v>
      </c>
      <c r="E15" s="65">
        <v>0</v>
      </c>
      <c r="F15" s="65">
        <v>0</v>
      </c>
      <c r="G15" s="66">
        <f t="shared" si="2"/>
        <v>0.221</v>
      </c>
      <c r="H15" s="65">
        <f>67/1000</f>
        <v>6.7000000000000004E-2</v>
      </c>
      <c r="I15" s="66">
        <f t="shared" si="0"/>
        <v>0.28800000000000003</v>
      </c>
      <c r="J15" s="65">
        <f>201/1000</f>
        <v>0.20100000000000001</v>
      </c>
      <c r="K15" s="66">
        <f t="shared" si="3"/>
        <v>0.48900000000000005</v>
      </c>
      <c r="L15" s="65">
        <f>15/1000</f>
        <v>1.4999999999999999E-2</v>
      </c>
      <c r="M15" s="65">
        <v>1.74</v>
      </c>
      <c r="N15" s="65">
        <f>2.4/1000</f>
        <v>2.3999999999999998E-3</v>
      </c>
      <c r="O15" s="65">
        <v>1.41</v>
      </c>
      <c r="P15" s="67">
        <f t="shared" si="1"/>
        <v>0.40889999999999993</v>
      </c>
      <c r="Q15" s="69" t="s">
        <v>836</v>
      </c>
    </row>
    <row r="16" spans="2:17" s="13" customFormat="1" x14ac:dyDescent="0.25">
      <c r="B16" s="62" t="s">
        <v>842</v>
      </c>
      <c r="C16" s="63" t="s">
        <v>835</v>
      </c>
      <c r="D16" s="64">
        <f>301/1000</f>
        <v>0.30099999999999999</v>
      </c>
      <c r="E16" s="65">
        <v>0</v>
      </c>
      <c r="F16" s="65">
        <v>0</v>
      </c>
      <c r="G16" s="66">
        <f t="shared" si="2"/>
        <v>0.30099999999999999</v>
      </c>
      <c r="H16" s="65">
        <f>94/1000</f>
        <v>9.4E-2</v>
      </c>
      <c r="I16" s="66">
        <f t="shared" si="0"/>
        <v>0.39500000000000002</v>
      </c>
      <c r="J16" s="65">
        <f>272/1000</f>
        <v>0.27200000000000002</v>
      </c>
      <c r="K16" s="66">
        <f t="shared" si="3"/>
        <v>0.66700000000000004</v>
      </c>
      <c r="L16" s="65">
        <f>28/1000</f>
        <v>2.8000000000000001E-2</v>
      </c>
      <c r="M16" s="65">
        <v>2.2999999999999998</v>
      </c>
      <c r="N16" s="65">
        <f>3.2/1000</f>
        <v>3.2000000000000002E-3</v>
      </c>
      <c r="O16" s="65">
        <v>1.91</v>
      </c>
      <c r="P16" s="67">
        <f t="shared" si="1"/>
        <v>0.55389999999999995</v>
      </c>
      <c r="Q16" s="69" t="s">
        <v>836</v>
      </c>
    </row>
    <row r="17" spans="2:17" s="13" customFormat="1" x14ac:dyDescent="0.25">
      <c r="B17" s="62" t="s">
        <v>843</v>
      </c>
      <c r="C17" s="63" t="s">
        <v>835</v>
      </c>
      <c r="D17" s="64">
        <f>184/1000</f>
        <v>0.184</v>
      </c>
      <c r="E17" s="65">
        <v>0</v>
      </c>
      <c r="F17" s="65">
        <f>359/1000</f>
        <v>0.35899999999999999</v>
      </c>
      <c r="G17" s="66">
        <f t="shared" si="2"/>
        <v>0.54299999999999993</v>
      </c>
      <c r="H17" s="65">
        <f>144/1000</f>
        <v>0.14399999999999999</v>
      </c>
      <c r="I17" s="66">
        <f t="shared" si="0"/>
        <v>0.68699999999999994</v>
      </c>
      <c r="J17" s="65">
        <f>311/1000</f>
        <v>0.311</v>
      </c>
      <c r="K17" s="66">
        <f t="shared" si="3"/>
        <v>0.998</v>
      </c>
      <c r="L17" s="65">
        <f>8/1000</f>
        <v>8.0000000000000002E-3</v>
      </c>
      <c r="M17" s="65">
        <v>1.1200000000000001</v>
      </c>
      <c r="N17" s="65">
        <f>3/1000</f>
        <v>3.0000000000000001E-3</v>
      </c>
      <c r="O17" s="65">
        <v>2.17</v>
      </c>
      <c r="P17" s="67">
        <f t="shared" si="1"/>
        <v>0.62929999999999997</v>
      </c>
      <c r="Q17" s="69" t="s">
        <v>836</v>
      </c>
    </row>
    <row r="18" spans="2:17" s="13" customFormat="1" x14ac:dyDescent="0.25">
      <c r="B18" s="62" t="s">
        <v>844</v>
      </c>
      <c r="C18" s="63" t="s">
        <v>835</v>
      </c>
      <c r="D18" s="64">
        <f>148/1000</f>
        <v>0.14799999999999999</v>
      </c>
      <c r="E18" s="65">
        <f>34/1000</f>
        <v>3.4000000000000002E-2</v>
      </c>
      <c r="F18" s="65">
        <f>359/1000</f>
        <v>0.35899999999999999</v>
      </c>
      <c r="G18" s="66">
        <f t="shared" si="2"/>
        <v>0.54099999999999993</v>
      </c>
      <c r="H18" s="65">
        <f>116/1000</f>
        <v>0.11600000000000001</v>
      </c>
      <c r="I18" s="66">
        <f t="shared" si="0"/>
        <v>0.65699999999999992</v>
      </c>
      <c r="J18" s="65">
        <f>250/1000</f>
        <v>0.25</v>
      </c>
      <c r="K18" s="66">
        <f t="shared" si="3"/>
        <v>0.90699999999999992</v>
      </c>
      <c r="L18" s="65">
        <f>13/1000</f>
        <v>1.2999999999999999E-2</v>
      </c>
      <c r="M18" s="65">
        <v>8.86</v>
      </c>
      <c r="N18" s="65">
        <f>6.93/1000</f>
        <v>6.9299999999999995E-3</v>
      </c>
      <c r="O18" s="65">
        <v>1.75</v>
      </c>
      <c r="P18" s="67">
        <f t="shared" si="1"/>
        <v>0.50749999999999995</v>
      </c>
      <c r="Q18" s="69" t="s">
        <v>836</v>
      </c>
    </row>
    <row r="19" spans="2:17" s="13" customFormat="1" x14ac:dyDescent="0.25">
      <c r="B19" s="62" t="s">
        <v>819</v>
      </c>
      <c r="C19" s="63" t="s">
        <v>835</v>
      </c>
      <c r="D19" s="64"/>
      <c r="E19" s="65"/>
      <c r="F19" s="65"/>
      <c r="G19" s="66">
        <v>0.38400000000000001</v>
      </c>
      <c r="H19" s="65">
        <v>0.16300000000000001</v>
      </c>
      <c r="I19" s="66"/>
      <c r="J19" s="623">
        <f>O19*0.149</f>
        <v>0.79118999999999995</v>
      </c>
      <c r="K19" s="66"/>
      <c r="L19" s="65">
        <v>5.2999999999999999E-2</v>
      </c>
      <c r="M19" s="65">
        <v>0.97</v>
      </c>
      <c r="N19" s="65">
        <f>1.7/1000</f>
        <v>1.6999999999999999E-3</v>
      </c>
      <c r="O19" s="65">
        <v>5.31</v>
      </c>
      <c r="P19" s="67">
        <f t="shared" si="1"/>
        <v>1.5398999999999998</v>
      </c>
      <c r="Q19" s="69" t="s">
        <v>879</v>
      </c>
    </row>
    <row r="20" spans="2:17" s="13" customFormat="1" x14ac:dyDescent="0.25">
      <c r="B20" s="62" t="s">
        <v>1418</v>
      </c>
      <c r="C20" s="63" t="s">
        <v>835</v>
      </c>
      <c r="D20" s="64"/>
      <c r="E20" s="65"/>
      <c r="F20" s="65"/>
      <c r="G20" s="66">
        <v>0.14000000000000001</v>
      </c>
      <c r="H20" s="65">
        <v>7.0000000000000007E-2</v>
      </c>
      <c r="I20" s="66"/>
      <c r="J20" s="623">
        <f>O20*0.149</f>
        <v>0.51702999999999999</v>
      </c>
      <c r="K20" s="66"/>
      <c r="L20" s="65">
        <v>2.1999999999999999E-2</v>
      </c>
      <c r="M20" s="65">
        <v>0.72</v>
      </c>
      <c r="N20" s="65">
        <f>1.29/1000</f>
        <v>1.2900000000000001E-3</v>
      </c>
      <c r="O20" s="65">
        <v>3.47</v>
      </c>
      <c r="P20" s="67">
        <f t="shared" si="1"/>
        <v>1.0063</v>
      </c>
      <c r="Q20" s="69" t="s">
        <v>879</v>
      </c>
    </row>
    <row r="21" spans="2:17" x14ac:dyDescent="0.25">
      <c r="B21" s="50" t="s">
        <v>845</v>
      </c>
      <c r="C21" s="51"/>
      <c r="D21" s="52"/>
      <c r="E21" s="53"/>
      <c r="F21" s="53"/>
      <c r="G21" s="54"/>
      <c r="H21" s="53"/>
      <c r="I21" s="54"/>
      <c r="J21" s="53"/>
      <c r="K21" s="54"/>
      <c r="L21" s="53"/>
      <c r="M21" s="53"/>
      <c r="N21" s="53"/>
      <c r="O21" s="53"/>
      <c r="P21" s="53"/>
      <c r="Q21" s="55"/>
    </row>
    <row r="22" spans="2:17" x14ac:dyDescent="0.25">
      <c r="B22" s="56"/>
      <c r="C22" s="57"/>
      <c r="D22" s="58"/>
      <c r="E22" s="59"/>
      <c r="F22" s="59"/>
      <c r="G22" s="60"/>
      <c r="H22" s="59"/>
      <c r="I22" s="60"/>
      <c r="J22" s="59"/>
      <c r="K22" s="60"/>
      <c r="L22" s="59"/>
      <c r="M22" s="59"/>
      <c r="N22" s="59"/>
      <c r="O22" s="59"/>
      <c r="P22" s="59"/>
      <c r="Q22" s="61"/>
    </row>
    <row r="23" spans="2:17" s="13" customFormat="1" x14ac:dyDescent="0.25">
      <c r="B23" s="62" t="s">
        <v>846</v>
      </c>
      <c r="C23" s="63" t="s">
        <v>3</v>
      </c>
      <c r="D23" s="64"/>
      <c r="E23" s="65"/>
      <c r="F23" s="65"/>
      <c r="G23" s="66"/>
      <c r="H23" s="65"/>
      <c r="I23" s="66"/>
      <c r="J23" s="65"/>
      <c r="K23" s="70">
        <v>6.6159999999999997</v>
      </c>
      <c r="L23" s="65">
        <f>224/1000</f>
        <v>0.224</v>
      </c>
      <c r="M23" s="65">
        <v>43.61</v>
      </c>
      <c r="N23" s="65">
        <f>37.3/1000</f>
        <v>3.73E-2</v>
      </c>
      <c r="O23" s="65"/>
      <c r="P23" s="65"/>
      <c r="Q23" s="68" t="s">
        <v>847</v>
      </c>
    </row>
    <row r="24" spans="2:17" s="13" customFormat="1" x14ac:dyDescent="0.25">
      <c r="B24" s="71" t="s">
        <v>848</v>
      </c>
      <c r="C24" s="72" t="s">
        <v>3</v>
      </c>
      <c r="D24" s="73"/>
      <c r="E24" s="74"/>
      <c r="F24" s="74"/>
      <c r="G24" s="66"/>
      <c r="H24" s="74"/>
      <c r="I24" s="66"/>
      <c r="J24" s="74"/>
      <c r="K24" s="75">
        <v>2.96</v>
      </c>
      <c r="L24" s="74">
        <f>192/1000</f>
        <v>0.192</v>
      </c>
      <c r="M24" s="74">
        <v>38.700000000000003</v>
      </c>
      <c r="N24" s="74">
        <f>68.6/1000</f>
        <v>6.8599999999999994E-2</v>
      </c>
      <c r="O24" s="74"/>
      <c r="P24" s="74"/>
      <c r="Q24" s="76" t="s">
        <v>849</v>
      </c>
    </row>
    <row r="25" spans="2:17" s="13" customFormat="1" x14ac:dyDescent="0.25">
      <c r="B25" s="62" t="s">
        <v>850</v>
      </c>
      <c r="C25" s="63" t="s">
        <v>851</v>
      </c>
      <c r="D25" s="64"/>
      <c r="E25" s="65"/>
      <c r="F25" s="65"/>
      <c r="G25" s="66"/>
      <c r="H25" s="65"/>
      <c r="I25" s="66"/>
      <c r="J25" s="65"/>
      <c r="K25" s="70">
        <v>3.5960000000000001</v>
      </c>
      <c r="L25" s="65">
        <f>289/1000</f>
        <v>0.28899999999999998</v>
      </c>
      <c r="M25" s="65">
        <v>55.65</v>
      </c>
      <c r="N25" s="65">
        <f>41/1000</f>
        <v>4.1000000000000002E-2</v>
      </c>
      <c r="O25" s="65"/>
      <c r="P25" s="65"/>
      <c r="Q25" s="68" t="s">
        <v>852</v>
      </c>
    </row>
    <row r="26" spans="2:17" s="13" customFormat="1" x14ac:dyDescent="0.25">
      <c r="B26" s="62" t="s">
        <v>853</v>
      </c>
      <c r="C26" s="63" t="s">
        <v>854</v>
      </c>
      <c r="D26" s="64"/>
      <c r="E26" s="65"/>
      <c r="F26" s="65"/>
      <c r="G26" s="66"/>
      <c r="H26" s="65"/>
      <c r="I26" s="66"/>
      <c r="J26" s="65"/>
      <c r="K26" s="70">
        <v>0.71</v>
      </c>
      <c r="L26" s="65">
        <f>13/1000</f>
        <v>1.2999999999999999E-2</v>
      </c>
      <c r="M26" s="65">
        <v>8.0619999999999994</v>
      </c>
      <c r="N26" s="65">
        <f>1.4/1000</f>
        <v>1.4E-3</v>
      </c>
      <c r="O26" s="65"/>
      <c r="P26" s="65"/>
      <c r="Q26" s="68" t="s">
        <v>852</v>
      </c>
    </row>
    <row r="27" spans="2:17" s="13" customFormat="1" x14ac:dyDescent="0.25">
      <c r="B27" s="62" t="s">
        <v>855</v>
      </c>
      <c r="C27" s="63" t="s">
        <v>856</v>
      </c>
      <c r="D27" s="64"/>
      <c r="E27" s="65"/>
      <c r="F27" s="65"/>
      <c r="G27" s="66"/>
      <c r="H27" s="65"/>
      <c r="I27" s="66"/>
      <c r="J27" s="65"/>
      <c r="K27" s="70">
        <v>3.2000000000000001E-2</v>
      </c>
      <c r="L27" s="65">
        <f>0.001/1000</f>
        <v>9.9999999999999995E-7</v>
      </c>
      <c r="M27" s="65">
        <v>0.66500000000000004</v>
      </c>
      <c r="N27" s="65"/>
      <c r="O27" s="65"/>
      <c r="P27" s="65"/>
      <c r="Q27" s="68" t="s">
        <v>847</v>
      </c>
    </row>
    <row r="28" spans="2:17" s="13" customFormat="1" x14ac:dyDescent="0.25">
      <c r="B28" s="77" t="s">
        <v>857</v>
      </c>
      <c r="C28" s="78" t="s">
        <v>858</v>
      </c>
      <c r="D28" s="79"/>
      <c r="E28" s="80"/>
      <c r="F28" s="80"/>
      <c r="G28" s="66"/>
      <c r="H28" s="80"/>
      <c r="I28" s="66"/>
      <c r="J28" s="80"/>
      <c r="K28" s="70"/>
      <c r="L28" s="81">
        <f>0.033/10.45*1000</f>
        <v>3.1578947368421058</v>
      </c>
      <c r="M28" s="80">
        <v>196</v>
      </c>
      <c r="N28" s="80">
        <f>0.0881*1000</f>
        <v>88.1</v>
      </c>
      <c r="O28" s="80"/>
      <c r="P28" s="80"/>
      <c r="Q28" s="82" t="s">
        <v>852</v>
      </c>
    </row>
    <row r="29" spans="2:17" x14ac:dyDescent="0.25">
      <c r="B29" s="56"/>
      <c r="C29" s="57"/>
      <c r="D29" s="58"/>
      <c r="E29" s="59"/>
      <c r="F29" s="59"/>
      <c r="G29" s="60"/>
      <c r="H29" s="59"/>
      <c r="I29" s="60"/>
      <c r="J29" s="59"/>
      <c r="K29" s="60"/>
      <c r="L29" s="83"/>
      <c r="M29" s="59"/>
      <c r="N29" s="59"/>
      <c r="O29" s="59"/>
      <c r="P29" s="59"/>
      <c r="Q29" s="61"/>
    </row>
    <row r="30" spans="2:17" x14ac:dyDescent="0.25">
      <c r="B30" s="50" t="s">
        <v>859</v>
      </c>
      <c r="C30" s="84"/>
      <c r="D30" s="85"/>
      <c r="E30" s="86"/>
      <c r="F30" s="86"/>
      <c r="G30" s="87"/>
      <c r="H30" s="86"/>
      <c r="I30" s="87"/>
      <c r="J30" s="86"/>
      <c r="K30" s="87"/>
      <c r="L30" s="86"/>
      <c r="M30" s="86"/>
      <c r="N30" s="86"/>
      <c r="O30" s="86"/>
      <c r="P30" s="86"/>
      <c r="Q30" s="88"/>
    </row>
    <row r="31" spans="2:17" s="13" customFormat="1" x14ac:dyDescent="0.25">
      <c r="B31" s="62" t="s">
        <v>860</v>
      </c>
      <c r="C31" s="63" t="s">
        <v>858</v>
      </c>
      <c r="D31" s="64"/>
      <c r="E31" s="65"/>
      <c r="F31" s="65"/>
      <c r="G31" s="66"/>
      <c r="H31" s="65"/>
      <c r="I31" s="66"/>
      <c r="J31" s="65"/>
      <c r="K31" s="70">
        <v>0.37824999999999998</v>
      </c>
      <c r="L31" s="65">
        <f>46.75/1000</f>
        <v>4.675E-2</v>
      </c>
      <c r="M31" s="65">
        <v>2.38</v>
      </c>
      <c r="N31" s="65"/>
      <c r="O31" s="65"/>
      <c r="P31" s="65"/>
      <c r="Q31" s="68" t="s">
        <v>861</v>
      </c>
    </row>
    <row r="32" spans="2:17" x14ac:dyDescent="0.25">
      <c r="B32" s="50" t="s">
        <v>862</v>
      </c>
      <c r="C32" s="51"/>
      <c r="D32" s="52"/>
      <c r="E32" s="53"/>
      <c r="F32" s="53"/>
      <c r="G32" s="54"/>
      <c r="H32" s="53"/>
      <c r="I32" s="54"/>
      <c r="J32" s="53"/>
      <c r="K32" s="54"/>
      <c r="L32" s="53"/>
      <c r="M32" s="53"/>
      <c r="N32" s="53"/>
      <c r="O32" s="53"/>
      <c r="P32" s="53"/>
      <c r="Q32" s="55"/>
    </row>
    <row r="33" spans="2:17" x14ac:dyDescent="0.25">
      <c r="B33" s="56"/>
      <c r="C33" s="57"/>
      <c r="D33" s="58"/>
      <c r="E33" s="59"/>
      <c r="F33" s="59"/>
      <c r="G33" s="60"/>
      <c r="H33" s="59"/>
      <c r="I33" s="60"/>
      <c r="J33" s="59"/>
      <c r="K33" s="60"/>
      <c r="L33" s="59"/>
      <c r="M33" s="59"/>
      <c r="N33" s="59"/>
      <c r="O33" s="59"/>
      <c r="P33" s="59"/>
      <c r="Q33" s="61"/>
    </row>
    <row r="34" spans="2:17" s="13" customFormat="1" x14ac:dyDescent="0.25">
      <c r="B34" s="62" t="s">
        <v>863</v>
      </c>
      <c r="C34" s="63" t="s">
        <v>864</v>
      </c>
      <c r="D34" s="64"/>
      <c r="E34" s="65"/>
      <c r="F34" s="65"/>
      <c r="G34" s="66"/>
      <c r="H34" s="65"/>
      <c r="I34" s="66"/>
      <c r="J34" s="65"/>
      <c r="K34" s="89">
        <v>2.8195199999999998</v>
      </c>
      <c r="L34" s="90">
        <f>33.84128/1000</f>
        <v>3.3841279999999994E-2</v>
      </c>
      <c r="M34" s="90">
        <v>39.776000000000003</v>
      </c>
      <c r="N34" s="90">
        <f>18.4448/1000</f>
        <v>1.8444800000000001E-2</v>
      </c>
      <c r="O34" s="65"/>
      <c r="P34" s="65"/>
      <c r="Q34" s="68" t="s">
        <v>847</v>
      </c>
    </row>
    <row r="35" spans="2:17" s="13" customFormat="1" x14ac:dyDescent="0.25">
      <c r="B35" s="62" t="s">
        <v>865</v>
      </c>
      <c r="C35" s="63" t="s">
        <v>864</v>
      </c>
      <c r="D35" s="64"/>
      <c r="E35" s="65"/>
      <c r="F35" s="65"/>
      <c r="G35" s="66"/>
      <c r="H35" s="65"/>
      <c r="I35" s="66"/>
      <c r="J35" s="65"/>
      <c r="K35" s="89">
        <f>K34</f>
        <v>2.8195199999999998</v>
      </c>
      <c r="L35" s="90">
        <f>L34</f>
        <v>3.3841279999999994E-2</v>
      </c>
      <c r="M35" s="90">
        <f>M34</f>
        <v>39.776000000000003</v>
      </c>
      <c r="N35" s="90">
        <f>N34</f>
        <v>1.8444800000000001E-2</v>
      </c>
      <c r="O35" s="65"/>
      <c r="P35" s="65"/>
      <c r="Q35" s="68" t="s">
        <v>847</v>
      </c>
    </row>
    <row r="36" spans="2:17" s="13" customFormat="1" x14ac:dyDescent="0.25">
      <c r="B36" s="62" t="s">
        <v>866</v>
      </c>
      <c r="C36" s="63" t="s">
        <v>867</v>
      </c>
      <c r="D36" s="64"/>
      <c r="E36" s="65"/>
      <c r="F36" s="65"/>
      <c r="G36" s="66"/>
      <c r="H36" s="65"/>
      <c r="I36" s="66"/>
      <c r="J36" s="65"/>
      <c r="K36" s="70">
        <v>9.2999999999999999E-2</v>
      </c>
      <c r="L36" s="65">
        <f>0.199/1000</f>
        <v>1.9900000000000001E-4</v>
      </c>
      <c r="M36" s="65">
        <v>1.43</v>
      </c>
      <c r="N36" s="65">
        <f>0.175/1000</f>
        <v>1.75E-4</v>
      </c>
      <c r="O36" s="65"/>
      <c r="P36" s="65"/>
      <c r="Q36" s="68" t="s">
        <v>868</v>
      </c>
    </row>
    <row r="37" spans="2:17" s="13" customFormat="1" x14ac:dyDescent="0.25">
      <c r="B37" s="62" t="s">
        <v>869</v>
      </c>
      <c r="C37" s="63" t="s">
        <v>867</v>
      </c>
      <c r="D37" s="64"/>
      <c r="E37" s="65"/>
      <c r="F37" s="65"/>
      <c r="G37" s="66"/>
      <c r="H37" s="65"/>
      <c r="I37" s="66"/>
      <c r="J37" s="65"/>
      <c r="K37" s="70">
        <v>6.6000000000000003E-2</v>
      </c>
      <c r="L37" s="65"/>
      <c r="M37" s="65"/>
      <c r="N37" s="65"/>
      <c r="O37" s="65"/>
      <c r="P37" s="65"/>
      <c r="Q37" s="68" t="s">
        <v>868</v>
      </c>
    </row>
    <row r="38" spans="2:17" s="13" customFormat="1" x14ac:dyDescent="0.25">
      <c r="B38" s="62" t="s">
        <v>870</v>
      </c>
      <c r="C38" s="63" t="s">
        <v>871</v>
      </c>
      <c r="D38" s="64"/>
      <c r="E38" s="65"/>
      <c r="F38" s="65"/>
      <c r="G38" s="66"/>
      <c r="H38" s="65"/>
      <c r="I38" s="66"/>
      <c r="J38" s="65"/>
      <c r="K38" s="70">
        <v>0.56100000000000005</v>
      </c>
      <c r="L38" s="65">
        <f>6.422/1000</f>
        <v>6.4219999999999998E-3</v>
      </c>
      <c r="M38" s="65">
        <v>7.9550000000000001</v>
      </c>
      <c r="N38" s="65">
        <v>0.432</v>
      </c>
      <c r="O38" s="65"/>
      <c r="P38" s="65"/>
      <c r="Q38" s="68" t="s">
        <v>868</v>
      </c>
    </row>
    <row r="39" spans="2:17" s="13" customFormat="1" x14ac:dyDescent="0.25">
      <c r="B39" s="62" t="s">
        <v>872</v>
      </c>
      <c r="C39" s="63" t="s">
        <v>871</v>
      </c>
      <c r="D39" s="64"/>
      <c r="E39" s="65"/>
      <c r="F39" s="65"/>
      <c r="G39" s="66"/>
      <c r="H39" s="65"/>
      <c r="I39" s="66"/>
      <c r="J39" s="65"/>
      <c r="K39" s="70">
        <v>0.64100000000000001</v>
      </c>
      <c r="L39" s="65">
        <f>26.585/1000</f>
        <v>2.6585000000000001E-2</v>
      </c>
      <c r="M39" s="65">
        <v>10.74</v>
      </c>
      <c r="N39" s="65"/>
      <c r="O39" s="65"/>
      <c r="P39" s="65"/>
      <c r="Q39" s="68" t="s">
        <v>868</v>
      </c>
    </row>
    <row r="40" spans="2:17" s="13" customFormat="1" x14ac:dyDescent="0.25">
      <c r="B40" s="62" t="s">
        <v>873</v>
      </c>
      <c r="C40" s="63" t="s">
        <v>871</v>
      </c>
      <c r="D40" s="64"/>
      <c r="E40" s="65"/>
      <c r="F40" s="65"/>
      <c r="G40" s="66"/>
      <c r="H40" s="65"/>
      <c r="I40" s="66"/>
      <c r="J40" s="65"/>
      <c r="K40" s="70">
        <v>0.21199999999999999</v>
      </c>
      <c r="L40" s="65">
        <f>0.663/1000</f>
        <v>6.6300000000000007E-4</v>
      </c>
      <c r="M40" s="65">
        <v>1.46</v>
      </c>
      <c r="N40" s="65"/>
      <c r="O40" s="65"/>
      <c r="P40" s="65"/>
      <c r="Q40" s="68" t="s">
        <v>868</v>
      </c>
    </row>
    <row r="41" spans="2:17" s="13" customFormat="1" x14ac:dyDescent="0.25">
      <c r="B41" s="91" t="s">
        <v>874</v>
      </c>
      <c r="C41" s="57"/>
      <c r="D41" s="58"/>
      <c r="E41" s="59"/>
      <c r="F41" s="59"/>
      <c r="G41" s="60"/>
      <c r="H41" s="59"/>
      <c r="I41" s="60"/>
      <c r="J41" s="59"/>
      <c r="K41" s="60"/>
      <c r="L41" s="59"/>
      <c r="M41" s="59"/>
      <c r="N41" s="59"/>
      <c r="O41" s="59"/>
      <c r="P41" s="59"/>
      <c r="Q41" s="61"/>
    </row>
    <row r="42" spans="2:17" s="13" customFormat="1" x14ac:dyDescent="0.25">
      <c r="B42" s="62" t="s">
        <v>875</v>
      </c>
      <c r="C42" s="63" t="s">
        <v>876</v>
      </c>
      <c r="D42" s="64"/>
      <c r="E42" s="65"/>
      <c r="F42" s="65"/>
      <c r="G42" s="66"/>
      <c r="H42" s="65"/>
      <c r="I42" s="66"/>
      <c r="J42" s="65"/>
      <c r="K42" s="70">
        <v>1430</v>
      </c>
      <c r="L42" s="65"/>
      <c r="M42" s="65"/>
      <c r="N42" s="65"/>
      <c r="O42" s="65"/>
      <c r="P42" s="65"/>
      <c r="Q42" s="68" t="s">
        <v>877</v>
      </c>
    </row>
    <row r="43" spans="2:17" s="13" customFormat="1" x14ac:dyDescent="0.25">
      <c r="B43" s="92" t="s">
        <v>878</v>
      </c>
      <c r="C43" s="93" t="s">
        <v>10</v>
      </c>
      <c r="D43" s="94"/>
      <c r="E43" s="95"/>
      <c r="F43" s="95"/>
      <c r="G43" s="66"/>
      <c r="H43" s="95"/>
      <c r="I43" s="66"/>
      <c r="J43" s="95"/>
      <c r="K43" s="96">
        <f>K42/10000</f>
        <v>0.14299999999999999</v>
      </c>
      <c r="L43" s="95"/>
      <c r="M43" s="95"/>
      <c r="N43" s="95"/>
      <c r="O43" s="95"/>
      <c r="P43" s="97">
        <v>0.68</v>
      </c>
      <c r="Q43" s="98" t="s">
        <v>879</v>
      </c>
    </row>
    <row r="44" spans="2:17" s="13" customFormat="1" x14ac:dyDescent="0.25">
      <c r="B44" s="92" t="s">
        <v>880</v>
      </c>
      <c r="C44" s="93" t="s">
        <v>10</v>
      </c>
      <c r="D44" s="94"/>
      <c r="E44" s="95"/>
      <c r="F44" s="95"/>
      <c r="G44" s="66"/>
      <c r="H44" s="95"/>
      <c r="I44" s="66"/>
      <c r="J44" s="95"/>
      <c r="K44" s="96">
        <f>K42/10000</f>
        <v>0.14299999999999999</v>
      </c>
      <c r="L44" s="95"/>
      <c r="M44" s="95"/>
      <c r="N44" s="95"/>
      <c r="O44" s="95"/>
      <c r="P44" s="97">
        <v>0.28999999999999998</v>
      </c>
      <c r="Q44" s="98" t="s">
        <v>879</v>
      </c>
    </row>
    <row r="45" spans="2:17" s="13" customFormat="1" x14ac:dyDescent="0.25">
      <c r="B45" s="92" t="s">
        <v>881</v>
      </c>
      <c r="C45" s="93" t="s">
        <v>10</v>
      </c>
      <c r="D45" s="94"/>
      <c r="E45" s="95"/>
      <c r="F45" s="95"/>
      <c r="G45" s="66"/>
      <c r="H45" s="95"/>
      <c r="I45" s="66"/>
      <c r="J45" s="95"/>
      <c r="K45" s="96">
        <f>K42/10000</f>
        <v>0.14299999999999999</v>
      </c>
      <c r="L45" s="95"/>
      <c r="M45" s="95"/>
      <c r="N45" s="95"/>
      <c r="O45" s="95"/>
      <c r="P45" s="97">
        <v>0.09</v>
      </c>
      <c r="Q45" s="98" t="s">
        <v>879</v>
      </c>
    </row>
    <row r="46" spans="2:17" s="13" customFormat="1" x14ac:dyDescent="0.25">
      <c r="B46" s="92" t="s">
        <v>882</v>
      </c>
      <c r="C46" s="93" t="s">
        <v>10</v>
      </c>
      <c r="D46" s="94"/>
      <c r="E46" s="95"/>
      <c r="F46" s="95"/>
      <c r="G46" s="66"/>
      <c r="H46" s="95"/>
      <c r="I46" s="66"/>
      <c r="J46" s="95"/>
      <c r="K46" s="96">
        <f>K42/10000</f>
        <v>0.14299999999999999</v>
      </c>
      <c r="L46" s="95"/>
      <c r="M46" s="95"/>
      <c r="N46" s="95"/>
      <c r="O46" s="95"/>
      <c r="P46" s="97">
        <v>-0.12</v>
      </c>
      <c r="Q46" s="98" t="s">
        <v>879</v>
      </c>
    </row>
    <row r="47" spans="2:17" s="13" customFormat="1" x14ac:dyDescent="0.25">
      <c r="B47" s="62" t="s">
        <v>883</v>
      </c>
      <c r="C47" s="63" t="s">
        <v>876</v>
      </c>
      <c r="D47" s="64"/>
      <c r="E47" s="65"/>
      <c r="F47" s="65"/>
      <c r="G47" s="66"/>
      <c r="H47" s="65"/>
      <c r="I47" s="66"/>
      <c r="J47" s="65"/>
      <c r="K47" s="70">
        <v>0</v>
      </c>
      <c r="L47" s="65"/>
      <c r="M47" s="65"/>
      <c r="N47" s="65"/>
      <c r="O47" s="65"/>
      <c r="P47" s="97"/>
      <c r="Q47" s="98" t="s">
        <v>877</v>
      </c>
    </row>
    <row r="48" spans="2:17" s="13" customFormat="1" x14ac:dyDescent="0.25">
      <c r="B48" s="92" t="s">
        <v>884</v>
      </c>
      <c r="C48" s="93" t="s">
        <v>10</v>
      </c>
      <c r="D48" s="94"/>
      <c r="E48" s="95"/>
      <c r="F48" s="95"/>
      <c r="G48" s="66"/>
      <c r="H48" s="95"/>
      <c r="I48" s="66"/>
      <c r="J48" s="95"/>
      <c r="K48" s="96">
        <f>K47/10000</f>
        <v>0</v>
      </c>
      <c r="L48" s="95"/>
      <c r="M48" s="95"/>
      <c r="N48" s="95"/>
      <c r="O48" s="95"/>
      <c r="P48" s="97">
        <v>-0.23</v>
      </c>
      <c r="Q48" s="98" t="s">
        <v>879</v>
      </c>
    </row>
    <row r="49" spans="2:17" s="13" customFormat="1" x14ac:dyDescent="0.25">
      <c r="B49" s="92" t="s">
        <v>885</v>
      </c>
      <c r="C49" s="93" t="s">
        <v>10</v>
      </c>
      <c r="D49" s="94"/>
      <c r="E49" s="95"/>
      <c r="F49" s="95"/>
      <c r="G49" s="66"/>
      <c r="H49" s="95"/>
      <c r="I49" s="66"/>
      <c r="J49" s="95"/>
      <c r="K49" s="96">
        <f>K48/10000</f>
        <v>0</v>
      </c>
      <c r="L49" s="95"/>
      <c r="M49" s="95"/>
      <c r="N49" s="95"/>
      <c r="O49" s="95"/>
      <c r="P49" s="97">
        <v>-0.34</v>
      </c>
      <c r="Q49" s="98" t="s">
        <v>879</v>
      </c>
    </row>
    <row r="50" spans="2:17" s="13" customFormat="1" x14ac:dyDescent="0.25">
      <c r="B50" s="50" t="s">
        <v>886</v>
      </c>
      <c r="C50" s="57"/>
      <c r="D50" s="58"/>
      <c r="E50" s="59"/>
      <c r="F50" s="59"/>
      <c r="G50" s="60"/>
      <c r="H50" s="59"/>
      <c r="I50" s="60"/>
      <c r="J50" s="59"/>
      <c r="K50" s="60"/>
      <c r="L50" s="59"/>
      <c r="M50" s="59"/>
      <c r="N50" s="59"/>
      <c r="O50" s="59"/>
      <c r="P50" s="59"/>
      <c r="Q50" s="61"/>
    </row>
    <row r="51" spans="2:17" s="13" customFormat="1" x14ac:dyDescent="0.25">
      <c r="B51" s="62" t="s">
        <v>887</v>
      </c>
      <c r="C51" s="63" t="s">
        <v>876</v>
      </c>
      <c r="D51" s="64"/>
      <c r="E51" s="65"/>
      <c r="F51" s="65"/>
      <c r="G51" s="66"/>
      <c r="H51" s="65"/>
      <c r="I51" s="66"/>
      <c r="J51" s="65"/>
      <c r="K51" s="70">
        <f>5-733</f>
        <v>-728</v>
      </c>
      <c r="L51" s="65"/>
      <c r="M51" s="65"/>
      <c r="N51" s="65"/>
      <c r="O51" s="65"/>
      <c r="P51" s="65"/>
      <c r="Q51" s="68" t="s">
        <v>888</v>
      </c>
    </row>
    <row r="52" spans="2:17" s="13" customFormat="1" x14ac:dyDescent="0.25">
      <c r="B52" s="62" t="s">
        <v>889</v>
      </c>
      <c r="C52" s="63" t="s">
        <v>876</v>
      </c>
      <c r="D52" s="64"/>
      <c r="E52" s="65"/>
      <c r="F52" s="65"/>
      <c r="G52" s="66"/>
      <c r="H52" s="65"/>
      <c r="I52" s="66"/>
      <c r="J52" s="65"/>
      <c r="K52" s="70">
        <f>113-733</f>
        <v>-620</v>
      </c>
      <c r="L52" s="65"/>
      <c r="M52" s="65"/>
      <c r="N52" s="65"/>
      <c r="O52" s="65"/>
      <c r="P52" s="65"/>
      <c r="Q52" s="68" t="s">
        <v>888</v>
      </c>
    </row>
    <row r="53" spans="2:17" s="13" customFormat="1" x14ac:dyDescent="0.25">
      <c r="B53" s="50" t="s">
        <v>890</v>
      </c>
      <c r="C53" s="51"/>
      <c r="D53" s="52"/>
      <c r="E53" s="53"/>
      <c r="F53" s="53"/>
      <c r="G53" s="54"/>
      <c r="H53" s="53"/>
      <c r="I53" s="54"/>
      <c r="J53" s="53"/>
      <c r="K53" s="54"/>
      <c r="L53" s="51"/>
      <c r="M53" s="51"/>
      <c r="N53" s="51"/>
      <c r="O53" s="51"/>
      <c r="P53" s="51"/>
      <c r="Q53" s="55"/>
    </row>
    <row r="54" spans="2:17" s="13" customFormat="1" x14ac:dyDescent="0.25">
      <c r="B54" s="56"/>
      <c r="C54" s="57"/>
      <c r="D54" s="58"/>
      <c r="E54" s="59"/>
      <c r="F54" s="59"/>
      <c r="G54" s="60"/>
      <c r="H54" s="59"/>
      <c r="I54" s="60"/>
      <c r="J54" s="59"/>
      <c r="K54" s="60"/>
      <c r="L54" s="57"/>
      <c r="M54" s="57"/>
      <c r="N54" s="57"/>
      <c r="O54" s="57"/>
      <c r="P54" s="57"/>
      <c r="Q54" s="61"/>
    </row>
    <row r="55" spans="2:17" s="13" customFormat="1" x14ac:dyDescent="0.25">
      <c r="B55" s="62" t="s">
        <v>891</v>
      </c>
      <c r="C55" s="63" t="s">
        <v>892</v>
      </c>
      <c r="D55" s="64"/>
      <c r="E55" s="65"/>
      <c r="F55" s="65"/>
      <c r="G55" s="66"/>
      <c r="H55" s="65"/>
      <c r="I55" s="66"/>
      <c r="J55" s="65"/>
      <c r="K55" s="70">
        <v>1.0999999999999999E-2</v>
      </c>
      <c r="L55" s="65">
        <f>0.19/1000</f>
        <v>1.9000000000000001E-4</v>
      </c>
      <c r="M55" s="65">
        <v>0.152</v>
      </c>
      <c r="N55" s="65">
        <f>0.24/1000</f>
        <v>2.3999999999999998E-4</v>
      </c>
      <c r="O55" s="65"/>
      <c r="P55" s="65"/>
      <c r="Q55" s="68" t="s">
        <v>847</v>
      </c>
    </row>
    <row r="56" spans="2:17" s="13" customFormat="1" x14ac:dyDescent="0.25">
      <c r="B56" s="62" t="s">
        <v>893</v>
      </c>
      <c r="C56" s="63" t="s">
        <v>892</v>
      </c>
      <c r="D56" s="64"/>
      <c r="E56" s="65"/>
      <c r="F56" s="65"/>
      <c r="G56" s="66"/>
      <c r="H56" s="65"/>
      <c r="I56" s="66"/>
      <c r="J56" s="65"/>
      <c r="K56" s="70">
        <v>4.1000000000000002E-2</v>
      </c>
      <c r="L56" s="65"/>
      <c r="M56" s="65"/>
      <c r="N56" s="65"/>
      <c r="O56" s="65"/>
      <c r="P56" s="65"/>
      <c r="Q56" s="68"/>
    </row>
    <row r="57" spans="2:17" s="13" customFormat="1" x14ac:dyDescent="0.25">
      <c r="B57" s="62" t="s">
        <v>894</v>
      </c>
      <c r="C57" s="63" t="s">
        <v>892</v>
      </c>
      <c r="D57" s="64"/>
      <c r="E57" s="65"/>
      <c r="F57" s="65"/>
      <c r="G57" s="66"/>
      <c r="H57" s="65"/>
      <c r="I57" s="66"/>
      <c r="J57" s="65"/>
      <c r="K57" s="70">
        <v>4.4999999999999998E-2</v>
      </c>
      <c r="L57" s="65">
        <f>0.785/1000</f>
        <v>7.85E-4</v>
      </c>
      <c r="M57" s="65">
        <v>0.63600000000000001</v>
      </c>
      <c r="N57" s="65"/>
      <c r="O57" s="65"/>
      <c r="P57" s="65"/>
      <c r="Q57" s="68" t="s">
        <v>847</v>
      </c>
    </row>
    <row r="58" spans="2:17" s="13" customFormat="1" x14ac:dyDescent="0.25">
      <c r="B58" s="62" t="s">
        <v>895</v>
      </c>
      <c r="C58" s="63" t="s">
        <v>892</v>
      </c>
      <c r="D58" s="64"/>
      <c r="E58" s="65"/>
      <c r="F58" s="65"/>
      <c r="G58" s="66"/>
      <c r="H58" s="65"/>
      <c r="I58" s="66"/>
      <c r="J58" s="65"/>
      <c r="K58" s="70">
        <v>0.1</v>
      </c>
      <c r="L58" s="65">
        <f>1.136/1000</f>
        <v>1.1359999999999999E-3</v>
      </c>
      <c r="M58" s="65">
        <v>1.427</v>
      </c>
      <c r="N58" s="65">
        <f>1.26/1000</f>
        <v>1.2600000000000001E-3</v>
      </c>
      <c r="O58" s="65"/>
      <c r="P58" s="65"/>
      <c r="Q58" s="68" t="s">
        <v>847</v>
      </c>
    </row>
    <row r="59" spans="2:17" s="13" customFormat="1" x14ac:dyDescent="0.25">
      <c r="B59" s="62" t="s">
        <v>896</v>
      </c>
      <c r="C59" s="63" t="s">
        <v>892</v>
      </c>
      <c r="D59" s="64"/>
      <c r="E59" s="65"/>
      <c r="F59" s="65"/>
      <c r="G59" s="66"/>
      <c r="H59" s="65"/>
      <c r="I59" s="66"/>
      <c r="J59" s="65"/>
      <c r="K59" s="70">
        <v>0.254</v>
      </c>
      <c r="L59" s="65">
        <f>3.386/1000</f>
        <v>3.3860000000000001E-3</v>
      </c>
      <c r="M59" s="65">
        <v>3.62</v>
      </c>
      <c r="N59" s="65">
        <f>1.9/1000</f>
        <v>1.9E-3</v>
      </c>
      <c r="O59" s="65"/>
      <c r="P59" s="65"/>
      <c r="Q59" s="69" t="s">
        <v>847</v>
      </c>
    </row>
    <row r="60" spans="2:17" s="13" customFormat="1" x14ac:dyDescent="0.25">
      <c r="B60" s="99" t="s">
        <v>897</v>
      </c>
      <c r="C60" s="63" t="s">
        <v>892</v>
      </c>
      <c r="D60" s="64"/>
      <c r="E60" s="65"/>
      <c r="F60" s="65"/>
      <c r="G60" s="66"/>
      <c r="H60" s="65"/>
      <c r="I60" s="66"/>
      <c r="J60" s="65"/>
      <c r="K60" s="70">
        <v>0.37</v>
      </c>
      <c r="L60" s="65">
        <f>4.408/1000</f>
        <v>4.4080000000000005E-3</v>
      </c>
      <c r="M60" s="65">
        <v>5.298</v>
      </c>
      <c r="N60" s="65">
        <f>2.5/1000</f>
        <v>2.5000000000000001E-3</v>
      </c>
      <c r="O60" s="65"/>
      <c r="P60" s="65"/>
      <c r="Q60" s="69" t="s">
        <v>847</v>
      </c>
    </row>
    <row r="61" spans="2:17" s="13" customFormat="1" x14ac:dyDescent="0.25">
      <c r="B61" s="62" t="s">
        <v>898</v>
      </c>
      <c r="C61" s="63" t="s">
        <v>892</v>
      </c>
      <c r="D61" s="64"/>
      <c r="E61" s="65"/>
      <c r="F61" s="65"/>
      <c r="G61" s="66"/>
      <c r="H61" s="65"/>
      <c r="I61" s="66"/>
      <c r="J61" s="65"/>
      <c r="K61" s="70">
        <v>5.1999999999999998E-2</v>
      </c>
      <c r="L61" s="65">
        <f>2.403/1000</f>
        <v>2.4030000000000002E-3</v>
      </c>
      <c r="M61" s="65">
        <v>0.85099999999999998</v>
      </c>
      <c r="N61" s="65">
        <f>1.07/1000</f>
        <v>1.07E-3</v>
      </c>
      <c r="O61" s="65"/>
      <c r="P61" s="65"/>
      <c r="Q61" s="68" t="s">
        <v>852</v>
      </c>
    </row>
    <row r="62" spans="2:17" s="13" customFormat="1" ht="15.75" thickBot="1" x14ac:dyDescent="0.3">
      <c r="B62" s="100" t="s">
        <v>899</v>
      </c>
      <c r="C62" s="101" t="s">
        <v>892</v>
      </c>
      <c r="D62" s="102"/>
      <c r="E62" s="103"/>
      <c r="F62" s="103"/>
      <c r="G62" s="104"/>
      <c r="H62" s="103"/>
      <c r="I62" s="104"/>
      <c r="J62" s="103"/>
      <c r="K62" s="105">
        <v>4.7E-2</v>
      </c>
      <c r="L62" s="103">
        <f>1.042/1000</f>
        <v>1.042E-3</v>
      </c>
      <c r="M62" s="103">
        <v>0.64800000000000002</v>
      </c>
      <c r="N62" s="103"/>
      <c r="O62" s="103"/>
      <c r="P62" s="103"/>
      <c r="Q62" s="106" t="s">
        <v>852</v>
      </c>
    </row>
    <row r="63" spans="2:17" s="13" customFormat="1" ht="15.75" thickTop="1" x14ac:dyDescent="0.25">
      <c r="C63" s="29"/>
      <c r="D63" s="29"/>
      <c r="E63" s="29"/>
      <c r="F63" s="29"/>
      <c r="G63" s="30"/>
      <c r="H63" s="29"/>
      <c r="I63" s="30"/>
      <c r="J63" s="29"/>
      <c r="K63" s="30"/>
      <c r="L63" s="29"/>
      <c r="M63" s="29"/>
      <c r="N63" s="29"/>
      <c r="O63" s="29"/>
    </row>
    <row r="64" spans="2:17" s="13" customFormat="1" x14ac:dyDescent="0.25">
      <c r="C64" s="29"/>
      <c r="D64" s="29"/>
      <c r="E64" s="29"/>
      <c r="F64" s="29"/>
      <c r="G64" s="30"/>
      <c r="H64" s="29"/>
      <c r="I64" s="30"/>
      <c r="J64" s="29"/>
      <c r="K64" s="30"/>
      <c r="L64" s="29"/>
      <c r="M64" s="29"/>
      <c r="N64" s="29"/>
      <c r="O64" s="29"/>
    </row>
    <row r="65" spans="3:15" s="13" customFormat="1" x14ac:dyDescent="0.25">
      <c r="C65" s="29"/>
      <c r="D65" s="29"/>
      <c r="E65" s="29"/>
      <c r="F65" s="29"/>
      <c r="G65" s="30"/>
      <c r="H65" s="29"/>
      <c r="I65" s="30"/>
      <c r="J65" s="29"/>
      <c r="K65" s="30"/>
      <c r="L65" s="29"/>
      <c r="M65" s="29"/>
      <c r="N65" s="29"/>
      <c r="O65" s="29"/>
    </row>
    <row r="66" spans="3:15" s="13" customFormat="1" x14ac:dyDescent="0.25">
      <c r="C66" s="29"/>
      <c r="D66" s="29"/>
      <c r="E66" s="29"/>
      <c r="F66" s="29"/>
      <c r="G66" s="30"/>
      <c r="H66" s="29"/>
      <c r="I66" s="30"/>
      <c r="J66" s="29"/>
      <c r="K66" s="30"/>
      <c r="L66" s="29"/>
      <c r="M66" s="29"/>
      <c r="N66" s="29"/>
      <c r="O66" s="29"/>
    </row>
    <row r="67" spans="3:15" s="13" customFormat="1" x14ac:dyDescent="0.25">
      <c r="C67" s="29"/>
      <c r="D67" s="29"/>
      <c r="E67" s="29"/>
      <c r="F67" s="29"/>
      <c r="G67" s="30"/>
      <c r="H67" s="29"/>
      <c r="I67" s="30"/>
      <c r="J67" s="29"/>
      <c r="K67" s="30"/>
      <c r="L67" s="29"/>
      <c r="M67" s="29"/>
      <c r="N67" s="29"/>
      <c r="O67" s="29"/>
    </row>
    <row r="68" spans="3:15" s="13" customFormat="1" x14ac:dyDescent="0.25">
      <c r="C68" s="29"/>
      <c r="D68" s="29"/>
      <c r="E68" s="29"/>
      <c r="F68" s="29"/>
      <c r="G68" s="30"/>
      <c r="H68" s="29"/>
      <c r="I68" s="30"/>
      <c r="J68" s="29"/>
      <c r="K68" s="30"/>
      <c r="L68" s="29"/>
      <c r="M68" s="29"/>
      <c r="N68" s="29"/>
      <c r="O68" s="29"/>
    </row>
    <row r="69" spans="3:15" s="13" customFormat="1" x14ac:dyDescent="0.25">
      <c r="C69" s="29"/>
      <c r="D69" s="29"/>
      <c r="E69" s="29"/>
      <c r="F69" s="29"/>
      <c r="G69" s="30"/>
      <c r="H69" s="29"/>
      <c r="I69" s="30"/>
      <c r="J69" s="29"/>
      <c r="K69" s="30"/>
      <c r="L69" s="29"/>
      <c r="M69" s="29"/>
      <c r="N69" s="29"/>
      <c r="O69" s="29"/>
    </row>
    <row r="70" spans="3:15" s="13" customFormat="1" x14ac:dyDescent="0.25">
      <c r="C70" s="29"/>
      <c r="D70" s="29"/>
      <c r="E70" s="29"/>
      <c r="F70" s="29"/>
      <c r="G70" s="30"/>
      <c r="H70" s="29"/>
      <c r="I70" s="30"/>
      <c r="J70" s="29"/>
      <c r="K70" s="30"/>
      <c r="L70" s="29"/>
      <c r="M70" s="29"/>
      <c r="N70" s="29"/>
      <c r="O70" s="29"/>
    </row>
    <row r="71" spans="3:15" s="13" customFormat="1" x14ac:dyDescent="0.25">
      <c r="C71" s="29"/>
      <c r="D71" s="29"/>
      <c r="E71" s="29"/>
      <c r="F71" s="29"/>
      <c r="G71" s="30"/>
      <c r="H71" s="29"/>
      <c r="I71" s="30"/>
      <c r="J71" s="29"/>
      <c r="K71" s="30"/>
      <c r="L71" s="29"/>
      <c r="M71" s="29"/>
      <c r="N71" s="29"/>
      <c r="O71" s="29"/>
    </row>
    <row r="72" spans="3:15" s="13" customFormat="1" x14ac:dyDescent="0.25">
      <c r="C72" s="29"/>
      <c r="D72" s="29"/>
      <c r="E72" s="29"/>
      <c r="F72" s="29"/>
      <c r="G72" s="30"/>
      <c r="H72" s="29"/>
      <c r="I72" s="30"/>
      <c r="J72" s="29"/>
      <c r="K72" s="30"/>
      <c r="L72" s="29"/>
      <c r="M72" s="29"/>
      <c r="N72" s="29"/>
      <c r="O72" s="29"/>
    </row>
    <row r="73" spans="3:15" s="13" customFormat="1" x14ac:dyDescent="0.25">
      <c r="C73" s="29"/>
      <c r="D73" s="29"/>
      <c r="E73" s="29"/>
      <c r="F73" s="29"/>
      <c r="G73" s="30"/>
      <c r="H73" s="29"/>
      <c r="I73" s="30"/>
      <c r="J73" s="29"/>
      <c r="K73" s="30"/>
      <c r="L73" s="29"/>
      <c r="M73" s="29"/>
      <c r="N73" s="29"/>
      <c r="O73" s="29"/>
    </row>
    <row r="74" spans="3:15" s="13" customFormat="1" x14ac:dyDescent="0.25">
      <c r="C74" s="29"/>
      <c r="D74" s="29"/>
      <c r="E74" s="29"/>
      <c r="F74" s="29"/>
      <c r="G74" s="30"/>
      <c r="H74" s="29"/>
      <c r="I74" s="30"/>
      <c r="J74" s="29"/>
      <c r="K74" s="30"/>
      <c r="L74" s="29"/>
      <c r="M74" s="29"/>
      <c r="N74" s="29"/>
      <c r="O74" s="29"/>
    </row>
    <row r="75" spans="3:15" s="13" customFormat="1" x14ac:dyDescent="0.25">
      <c r="C75" s="29"/>
      <c r="D75" s="29"/>
      <c r="E75" s="29"/>
      <c r="F75" s="29"/>
      <c r="G75" s="30"/>
      <c r="H75" s="29"/>
      <c r="I75" s="30"/>
      <c r="J75" s="29"/>
      <c r="K75" s="30"/>
      <c r="L75" s="29"/>
      <c r="M75" s="29"/>
      <c r="N75" s="29"/>
      <c r="O75" s="29"/>
    </row>
    <row r="76" spans="3:15" s="13" customFormat="1" x14ac:dyDescent="0.25">
      <c r="C76" s="29"/>
      <c r="D76" s="29"/>
      <c r="E76" s="29"/>
      <c r="F76" s="29"/>
      <c r="G76" s="30"/>
      <c r="H76" s="29"/>
      <c r="I76" s="30"/>
      <c r="J76" s="29"/>
      <c r="K76" s="30"/>
      <c r="L76" s="29"/>
      <c r="M76" s="29"/>
      <c r="N76" s="29"/>
      <c r="O76" s="29"/>
    </row>
    <row r="77" spans="3:15" s="13" customFormat="1" x14ac:dyDescent="0.25">
      <c r="C77" s="29"/>
      <c r="D77" s="29"/>
      <c r="E77" s="29"/>
      <c r="F77" s="29"/>
      <c r="G77" s="30"/>
      <c r="H77" s="29"/>
      <c r="I77" s="30"/>
      <c r="J77" s="29"/>
      <c r="K77" s="30"/>
      <c r="L77" s="29"/>
      <c r="M77" s="29"/>
      <c r="N77" s="29"/>
      <c r="O77" s="29"/>
    </row>
    <row r="78" spans="3:15" s="13" customFormat="1" x14ac:dyDescent="0.25">
      <c r="C78" s="29"/>
      <c r="D78" s="29"/>
      <c r="E78" s="29"/>
      <c r="F78" s="29"/>
      <c r="G78" s="30"/>
      <c r="H78" s="29"/>
      <c r="I78" s="30"/>
      <c r="J78" s="29"/>
      <c r="K78" s="30"/>
      <c r="L78" s="29"/>
      <c r="M78" s="29"/>
      <c r="N78" s="29"/>
      <c r="O78" s="29"/>
    </row>
    <row r="79" spans="3:15" s="13" customFormat="1" x14ac:dyDescent="0.25">
      <c r="C79" s="29"/>
      <c r="D79" s="29"/>
      <c r="E79" s="29"/>
      <c r="F79" s="29"/>
      <c r="G79" s="30"/>
      <c r="H79" s="29"/>
      <c r="I79" s="30"/>
      <c r="J79" s="29"/>
      <c r="K79" s="30"/>
      <c r="L79" s="29"/>
      <c r="M79" s="29"/>
      <c r="N79" s="29"/>
      <c r="O79" s="29"/>
    </row>
    <row r="80" spans="3:15" s="13" customFormat="1" x14ac:dyDescent="0.25">
      <c r="C80" s="29"/>
      <c r="D80" s="29"/>
      <c r="E80" s="29"/>
      <c r="F80" s="29"/>
      <c r="G80" s="30"/>
      <c r="H80" s="29"/>
      <c r="I80" s="30"/>
      <c r="J80" s="29"/>
      <c r="K80" s="30"/>
      <c r="L80" s="29"/>
      <c r="M80" s="29"/>
      <c r="N80" s="29"/>
      <c r="O80" s="29"/>
    </row>
    <row r="81" spans="3:15" s="13" customFormat="1" x14ac:dyDescent="0.25">
      <c r="C81" s="29"/>
      <c r="D81" s="29"/>
      <c r="E81" s="29"/>
      <c r="F81" s="29"/>
      <c r="G81" s="30"/>
      <c r="H81" s="29"/>
      <c r="I81" s="30"/>
      <c r="J81" s="29"/>
      <c r="K81" s="30"/>
      <c r="L81" s="29"/>
      <c r="M81" s="29"/>
      <c r="N81" s="29"/>
      <c r="O81" s="29"/>
    </row>
    <row r="82" spans="3:15" s="13" customFormat="1" x14ac:dyDescent="0.25">
      <c r="C82" s="29"/>
      <c r="D82" s="29"/>
      <c r="E82" s="29"/>
      <c r="F82" s="29"/>
      <c r="G82" s="30"/>
      <c r="H82" s="29"/>
      <c r="I82" s="30"/>
      <c r="J82" s="29"/>
      <c r="K82" s="30"/>
      <c r="L82" s="29"/>
      <c r="M82" s="29"/>
      <c r="N82" s="29"/>
      <c r="O82" s="29"/>
    </row>
    <row r="83" spans="3:15" s="13" customFormat="1" x14ac:dyDescent="0.25">
      <c r="C83" s="29"/>
      <c r="D83" s="29"/>
      <c r="E83" s="29"/>
      <c r="F83" s="29"/>
      <c r="G83" s="30"/>
      <c r="H83" s="29"/>
      <c r="I83" s="30"/>
      <c r="J83" s="29"/>
      <c r="K83" s="30"/>
      <c r="L83" s="29"/>
      <c r="M83" s="29"/>
      <c r="N83" s="29"/>
      <c r="O83" s="29"/>
    </row>
    <row r="84" spans="3:15" s="13" customFormat="1" x14ac:dyDescent="0.25">
      <c r="C84" s="29"/>
      <c r="D84" s="29"/>
      <c r="E84" s="29"/>
      <c r="F84" s="29"/>
      <c r="G84" s="30"/>
      <c r="H84" s="29"/>
      <c r="I84" s="30"/>
      <c r="J84" s="29"/>
      <c r="K84" s="30"/>
      <c r="L84" s="29"/>
      <c r="M84" s="29"/>
      <c r="N84" s="29"/>
      <c r="O84" s="29"/>
    </row>
    <row r="85" spans="3:15" s="13" customFormat="1" x14ac:dyDescent="0.25">
      <c r="C85" s="29"/>
      <c r="D85" s="29"/>
      <c r="E85" s="29"/>
      <c r="F85" s="29"/>
      <c r="G85" s="30"/>
      <c r="H85" s="29"/>
      <c r="I85" s="30"/>
      <c r="J85" s="29"/>
      <c r="K85" s="30"/>
      <c r="L85" s="29"/>
      <c r="M85" s="29"/>
      <c r="N85" s="29"/>
      <c r="O85" s="29"/>
    </row>
    <row r="86" spans="3:15" s="13" customFormat="1" x14ac:dyDescent="0.25">
      <c r="C86" s="29"/>
      <c r="D86" s="29"/>
      <c r="E86" s="29"/>
      <c r="F86" s="29"/>
      <c r="G86" s="30"/>
      <c r="H86" s="29"/>
      <c r="I86" s="30"/>
      <c r="J86" s="29"/>
      <c r="K86" s="30"/>
      <c r="L86" s="29"/>
      <c r="M86" s="29"/>
      <c r="N86" s="29"/>
      <c r="O86" s="29"/>
    </row>
    <row r="87" spans="3:15" s="13" customFormat="1" x14ac:dyDescent="0.25">
      <c r="C87" s="29"/>
      <c r="D87" s="29"/>
      <c r="E87" s="29"/>
      <c r="F87" s="29"/>
      <c r="G87" s="30"/>
      <c r="H87" s="29"/>
      <c r="I87" s="30"/>
      <c r="J87" s="29"/>
      <c r="K87" s="30"/>
      <c r="L87" s="29"/>
      <c r="M87" s="29"/>
      <c r="N87" s="29"/>
      <c r="O87" s="29"/>
    </row>
    <row r="88" spans="3:15" s="13" customFormat="1" x14ac:dyDescent="0.25">
      <c r="C88" s="29"/>
      <c r="D88" s="29"/>
      <c r="E88" s="29"/>
      <c r="F88" s="29"/>
      <c r="G88" s="30"/>
      <c r="H88" s="29"/>
      <c r="I88" s="30"/>
      <c r="J88" s="29"/>
      <c r="K88" s="30"/>
      <c r="L88" s="29"/>
      <c r="M88" s="29"/>
      <c r="N88" s="29"/>
      <c r="O88" s="29"/>
    </row>
    <row r="89" spans="3:15" s="13" customFormat="1" x14ac:dyDescent="0.25">
      <c r="C89" s="29"/>
      <c r="D89" s="29"/>
      <c r="E89" s="29"/>
      <c r="F89" s="29"/>
      <c r="G89" s="30"/>
      <c r="H89" s="29"/>
      <c r="I89" s="30"/>
      <c r="J89" s="29"/>
      <c r="K89" s="30"/>
      <c r="L89" s="29"/>
      <c r="M89" s="29"/>
      <c r="N89" s="29"/>
      <c r="O89" s="29"/>
    </row>
    <row r="90" spans="3:15" s="13" customFormat="1" x14ac:dyDescent="0.25">
      <c r="C90" s="29"/>
      <c r="D90" s="29"/>
      <c r="E90" s="29"/>
      <c r="F90" s="29"/>
      <c r="G90" s="30"/>
      <c r="H90" s="29"/>
      <c r="I90" s="30"/>
      <c r="J90" s="29"/>
      <c r="K90" s="30"/>
      <c r="L90" s="29"/>
      <c r="M90" s="29"/>
      <c r="N90" s="29"/>
      <c r="O90" s="29"/>
    </row>
    <row r="91" spans="3:15" s="13" customFormat="1" x14ac:dyDescent="0.25">
      <c r="C91" s="29"/>
      <c r="D91" s="29"/>
      <c r="E91" s="29"/>
      <c r="F91" s="29"/>
      <c r="G91" s="30"/>
      <c r="H91" s="29"/>
      <c r="I91" s="30"/>
      <c r="J91" s="29"/>
      <c r="K91" s="30"/>
      <c r="L91" s="29"/>
      <c r="M91" s="29"/>
      <c r="N91" s="29"/>
      <c r="O91" s="29"/>
    </row>
    <row r="92" spans="3:15" s="13" customFormat="1" x14ac:dyDescent="0.25">
      <c r="C92" s="29"/>
      <c r="D92" s="29"/>
      <c r="E92" s="29"/>
      <c r="F92" s="29"/>
      <c r="G92" s="30"/>
      <c r="H92" s="29"/>
      <c r="I92" s="30"/>
      <c r="J92" s="29"/>
      <c r="K92" s="30"/>
      <c r="L92" s="29"/>
      <c r="M92" s="29"/>
      <c r="N92" s="29"/>
      <c r="O92" s="29"/>
    </row>
    <row r="93" spans="3:15" s="13" customFormat="1" x14ac:dyDescent="0.25">
      <c r="C93" s="29"/>
      <c r="D93" s="29"/>
      <c r="E93" s="29"/>
      <c r="F93" s="29"/>
      <c r="G93" s="30"/>
      <c r="H93" s="29"/>
      <c r="I93" s="30"/>
      <c r="J93" s="29"/>
      <c r="K93" s="30"/>
      <c r="L93" s="29"/>
      <c r="M93" s="29"/>
      <c r="N93" s="29"/>
      <c r="O93" s="29"/>
    </row>
    <row r="94" spans="3:15" s="13" customFormat="1" x14ac:dyDescent="0.25">
      <c r="C94" s="29"/>
      <c r="D94" s="29"/>
      <c r="E94" s="29"/>
      <c r="F94" s="29"/>
      <c r="G94" s="30"/>
      <c r="H94" s="29"/>
      <c r="I94" s="30"/>
      <c r="J94" s="29"/>
      <c r="K94" s="30"/>
      <c r="L94" s="29"/>
      <c r="M94" s="29"/>
      <c r="N94" s="29"/>
      <c r="O94" s="29"/>
    </row>
    <row r="95" spans="3:15" s="13" customFormat="1" x14ac:dyDescent="0.25">
      <c r="C95" s="29"/>
      <c r="D95" s="29"/>
      <c r="E95" s="29"/>
      <c r="F95" s="29"/>
      <c r="G95" s="30"/>
      <c r="H95" s="29"/>
      <c r="I95" s="30"/>
      <c r="J95" s="29"/>
      <c r="K95" s="30"/>
      <c r="L95" s="29"/>
      <c r="M95" s="29"/>
      <c r="N95" s="29"/>
      <c r="O95" s="29"/>
    </row>
    <row r="96" spans="3:15" s="13" customFormat="1" x14ac:dyDescent="0.25">
      <c r="C96" s="29"/>
      <c r="D96" s="29"/>
      <c r="E96" s="29"/>
      <c r="F96" s="29"/>
      <c r="G96" s="30"/>
      <c r="H96" s="29"/>
      <c r="I96" s="30"/>
      <c r="J96" s="29"/>
      <c r="K96" s="30"/>
      <c r="L96" s="29"/>
      <c r="M96" s="29"/>
      <c r="N96" s="29"/>
      <c r="O96" s="29"/>
    </row>
    <row r="97" spans="3:15" s="13" customFormat="1" x14ac:dyDescent="0.25">
      <c r="C97" s="29"/>
      <c r="D97" s="29"/>
      <c r="E97" s="29"/>
      <c r="F97" s="29"/>
      <c r="G97" s="30"/>
      <c r="H97" s="29"/>
      <c r="I97" s="30"/>
      <c r="J97" s="29"/>
      <c r="K97" s="30"/>
      <c r="L97" s="29"/>
      <c r="M97" s="29"/>
      <c r="N97" s="29"/>
      <c r="O97" s="29"/>
    </row>
    <row r="98" spans="3:15" s="13" customFormat="1" x14ac:dyDescent="0.25">
      <c r="C98" s="29"/>
      <c r="D98" s="29"/>
      <c r="E98" s="29"/>
      <c r="F98" s="29"/>
      <c r="G98" s="30"/>
      <c r="H98" s="29"/>
      <c r="I98" s="30"/>
      <c r="J98" s="29"/>
      <c r="K98" s="30"/>
      <c r="L98" s="29"/>
      <c r="M98" s="29"/>
      <c r="N98" s="29"/>
      <c r="O98" s="29"/>
    </row>
    <row r="99" spans="3:15" s="13" customFormat="1" x14ac:dyDescent="0.25">
      <c r="C99" s="29"/>
      <c r="D99" s="29"/>
      <c r="E99" s="29"/>
      <c r="F99" s="29"/>
      <c r="G99" s="30"/>
      <c r="H99" s="29"/>
      <c r="I99" s="30"/>
      <c r="J99" s="29"/>
      <c r="K99" s="30"/>
      <c r="L99" s="29"/>
      <c r="M99" s="29"/>
      <c r="N99" s="29"/>
      <c r="O99" s="29"/>
    </row>
    <row r="100" spans="3:15" s="13" customFormat="1" x14ac:dyDescent="0.25">
      <c r="C100" s="29"/>
      <c r="D100" s="29"/>
      <c r="E100" s="29"/>
      <c r="F100" s="29"/>
      <c r="G100" s="30"/>
      <c r="H100" s="29"/>
      <c r="I100" s="30"/>
      <c r="J100" s="29"/>
      <c r="K100" s="30"/>
      <c r="L100" s="29"/>
      <c r="M100" s="29"/>
      <c r="N100" s="29"/>
      <c r="O100" s="29"/>
    </row>
    <row r="101" spans="3:15" s="13" customFormat="1" x14ac:dyDescent="0.25">
      <c r="C101" s="29"/>
      <c r="D101" s="29"/>
      <c r="E101" s="29"/>
      <c r="F101" s="29"/>
      <c r="G101" s="30"/>
      <c r="H101" s="29"/>
      <c r="I101" s="30"/>
      <c r="J101" s="29"/>
      <c r="K101" s="30"/>
      <c r="L101" s="29"/>
      <c r="M101" s="29"/>
      <c r="N101" s="29"/>
      <c r="O101" s="29"/>
    </row>
    <row r="102" spans="3:15" s="13" customFormat="1" x14ac:dyDescent="0.25">
      <c r="C102" s="29"/>
      <c r="D102" s="29"/>
      <c r="E102" s="29"/>
      <c r="F102" s="29"/>
      <c r="G102" s="30"/>
      <c r="H102" s="29"/>
      <c r="I102" s="30"/>
      <c r="J102" s="29"/>
      <c r="K102" s="30"/>
      <c r="L102" s="29"/>
      <c r="M102" s="29"/>
      <c r="N102" s="29"/>
      <c r="O102" s="29"/>
    </row>
    <row r="103" spans="3:15" s="13" customFormat="1" x14ac:dyDescent="0.25">
      <c r="C103" s="29"/>
      <c r="D103" s="29"/>
      <c r="E103" s="29"/>
      <c r="F103" s="29"/>
      <c r="G103" s="30"/>
      <c r="H103" s="29"/>
      <c r="I103" s="30"/>
      <c r="J103" s="29"/>
      <c r="K103" s="30"/>
      <c r="L103" s="29"/>
      <c r="M103" s="29"/>
      <c r="N103" s="29"/>
      <c r="O103" s="29"/>
    </row>
    <row r="104" spans="3:15" s="13" customFormat="1" x14ac:dyDescent="0.25">
      <c r="C104" s="29"/>
      <c r="D104" s="29"/>
      <c r="E104" s="29"/>
      <c r="F104" s="29"/>
      <c r="G104" s="30"/>
      <c r="H104" s="29"/>
      <c r="I104" s="30"/>
      <c r="J104" s="29"/>
      <c r="K104" s="30"/>
      <c r="L104" s="29"/>
      <c r="M104" s="29"/>
      <c r="N104" s="29"/>
      <c r="O104" s="29"/>
    </row>
    <row r="105" spans="3:15" s="13" customFormat="1" x14ac:dyDescent="0.25">
      <c r="C105" s="29"/>
      <c r="D105" s="29"/>
      <c r="E105" s="29"/>
      <c r="F105" s="29"/>
      <c r="G105" s="30"/>
      <c r="H105" s="29"/>
      <c r="I105" s="30"/>
      <c r="J105" s="29"/>
      <c r="K105" s="30"/>
      <c r="L105" s="29"/>
      <c r="M105" s="29"/>
      <c r="N105" s="29"/>
      <c r="O105" s="29"/>
    </row>
    <row r="106" spans="3:15" s="13" customFormat="1" x14ac:dyDescent="0.25">
      <c r="C106" s="29"/>
      <c r="D106" s="29"/>
      <c r="E106" s="29"/>
      <c r="F106" s="29"/>
      <c r="G106" s="30"/>
      <c r="H106" s="29"/>
      <c r="I106" s="30"/>
      <c r="J106" s="29"/>
      <c r="K106" s="30"/>
      <c r="L106" s="29"/>
      <c r="M106" s="29"/>
      <c r="N106" s="29"/>
      <c r="O106" s="29"/>
    </row>
    <row r="107" spans="3:15" s="13" customFormat="1" x14ac:dyDescent="0.25">
      <c r="C107" s="29"/>
      <c r="D107" s="29"/>
      <c r="E107" s="29"/>
      <c r="F107" s="29"/>
      <c r="G107" s="30"/>
      <c r="H107" s="29"/>
      <c r="I107" s="30"/>
      <c r="J107" s="29"/>
      <c r="K107" s="30"/>
      <c r="L107" s="29"/>
      <c r="M107" s="29"/>
      <c r="N107" s="29"/>
      <c r="O107" s="29"/>
    </row>
    <row r="108" spans="3:15" s="13" customFormat="1" x14ac:dyDescent="0.25">
      <c r="C108" s="29"/>
      <c r="D108" s="29"/>
      <c r="E108" s="29"/>
      <c r="F108" s="29"/>
      <c r="G108" s="30"/>
      <c r="H108" s="29"/>
      <c r="I108" s="30"/>
      <c r="J108" s="29"/>
      <c r="K108" s="30"/>
      <c r="L108" s="29"/>
      <c r="M108" s="29"/>
      <c r="N108" s="29"/>
      <c r="O108" s="29"/>
    </row>
    <row r="109" spans="3:15" s="13" customFormat="1" x14ac:dyDescent="0.25">
      <c r="C109" s="29"/>
      <c r="D109" s="29"/>
      <c r="E109" s="29"/>
      <c r="F109" s="29"/>
      <c r="G109" s="30"/>
      <c r="H109" s="29"/>
      <c r="I109" s="30"/>
      <c r="J109" s="29"/>
      <c r="K109" s="30"/>
      <c r="L109" s="29"/>
      <c r="M109" s="29"/>
      <c r="N109" s="29"/>
      <c r="O109" s="29"/>
    </row>
    <row r="110" spans="3:15" s="13" customFormat="1" x14ac:dyDescent="0.25">
      <c r="C110" s="29"/>
      <c r="D110" s="29"/>
      <c r="E110" s="29"/>
      <c r="F110" s="29"/>
      <c r="G110" s="30"/>
      <c r="H110" s="29"/>
      <c r="I110" s="30"/>
      <c r="J110" s="29"/>
      <c r="K110" s="30"/>
      <c r="L110" s="29"/>
      <c r="M110" s="29"/>
      <c r="N110" s="29"/>
      <c r="O110" s="29"/>
    </row>
    <row r="111" spans="3:15" s="13" customFormat="1" x14ac:dyDescent="0.25">
      <c r="C111" s="29"/>
      <c r="D111" s="29"/>
      <c r="E111" s="29"/>
      <c r="F111" s="29"/>
      <c r="G111" s="30"/>
      <c r="H111" s="29"/>
      <c r="I111" s="30"/>
      <c r="J111" s="29"/>
      <c r="K111" s="30"/>
      <c r="L111" s="29"/>
      <c r="M111" s="29"/>
      <c r="N111" s="29"/>
      <c r="O111" s="29"/>
    </row>
    <row r="112" spans="3:15" s="13" customFormat="1" x14ac:dyDescent="0.25">
      <c r="C112" s="29"/>
      <c r="D112" s="29"/>
      <c r="E112" s="29"/>
      <c r="F112" s="29"/>
      <c r="G112" s="30"/>
      <c r="H112" s="29"/>
      <c r="I112" s="30"/>
      <c r="J112" s="29"/>
      <c r="K112" s="30"/>
      <c r="L112" s="29"/>
      <c r="M112" s="29"/>
      <c r="N112" s="29"/>
      <c r="O112" s="29"/>
    </row>
    <row r="113" spans="3:15" s="13" customFormat="1" x14ac:dyDescent="0.25">
      <c r="C113" s="29"/>
      <c r="D113" s="29"/>
      <c r="E113" s="29"/>
      <c r="F113" s="29"/>
      <c r="G113" s="30"/>
      <c r="H113" s="29"/>
      <c r="I113" s="30"/>
      <c r="J113" s="29"/>
      <c r="K113" s="30"/>
      <c r="L113" s="29"/>
      <c r="M113" s="29"/>
      <c r="N113" s="29"/>
      <c r="O113" s="29"/>
    </row>
    <row r="114" spans="3:15" s="13" customFormat="1" x14ac:dyDescent="0.25">
      <c r="C114" s="29"/>
      <c r="D114" s="29"/>
      <c r="E114" s="29"/>
      <c r="F114" s="29"/>
      <c r="G114" s="30"/>
      <c r="H114" s="29"/>
      <c r="I114" s="30"/>
      <c r="J114" s="29"/>
      <c r="K114" s="30"/>
      <c r="L114" s="29"/>
      <c r="M114" s="29"/>
      <c r="N114" s="29"/>
      <c r="O114" s="29"/>
    </row>
    <row r="115" spans="3:15" s="13" customFormat="1" x14ac:dyDescent="0.25">
      <c r="C115" s="29"/>
      <c r="D115" s="29"/>
      <c r="E115" s="29"/>
      <c r="F115" s="29"/>
      <c r="G115" s="30"/>
      <c r="H115" s="29"/>
      <c r="I115" s="30"/>
      <c r="J115" s="29"/>
      <c r="K115" s="30"/>
      <c r="L115" s="29"/>
      <c r="M115" s="29"/>
      <c r="N115" s="29"/>
      <c r="O115" s="29"/>
    </row>
    <row r="116" spans="3:15" s="13" customFormat="1" x14ac:dyDescent="0.25">
      <c r="C116" s="29"/>
      <c r="D116" s="29"/>
      <c r="E116" s="29"/>
      <c r="F116" s="29"/>
      <c r="G116" s="30"/>
      <c r="H116" s="29"/>
      <c r="I116" s="30"/>
      <c r="J116" s="29"/>
      <c r="K116" s="30"/>
      <c r="L116" s="29"/>
      <c r="M116" s="29"/>
      <c r="N116" s="29"/>
      <c r="O116" s="29"/>
    </row>
    <row r="117" spans="3:15" s="13" customFormat="1" x14ac:dyDescent="0.25">
      <c r="C117" s="29"/>
      <c r="D117" s="29"/>
      <c r="E117" s="29"/>
      <c r="F117" s="29"/>
      <c r="G117" s="30"/>
      <c r="H117" s="29"/>
      <c r="I117" s="30"/>
      <c r="J117" s="29"/>
      <c r="K117" s="30"/>
      <c r="L117" s="29"/>
      <c r="M117" s="29"/>
      <c r="N117" s="29"/>
      <c r="O117" s="29"/>
    </row>
    <row r="118" spans="3:15" s="13" customFormat="1" x14ac:dyDescent="0.25">
      <c r="C118" s="29"/>
      <c r="D118" s="29"/>
      <c r="E118" s="29"/>
      <c r="F118" s="29"/>
      <c r="G118" s="30"/>
      <c r="H118" s="29"/>
      <c r="I118" s="30"/>
      <c r="J118" s="29"/>
      <c r="K118" s="30"/>
      <c r="L118" s="29"/>
      <c r="M118" s="29"/>
      <c r="N118" s="29"/>
      <c r="O118" s="29"/>
    </row>
    <row r="119" spans="3:15" s="13" customFormat="1" x14ac:dyDescent="0.25">
      <c r="C119" s="29"/>
      <c r="D119" s="29"/>
      <c r="E119" s="29"/>
      <c r="F119" s="29"/>
      <c r="G119" s="30"/>
      <c r="H119" s="29"/>
      <c r="I119" s="30"/>
      <c r="J119" s="29"/>
      <c r="K119" s="30"/>
      <c r="L119" s="29"/>
      <c r="M119" s="29"/>
      <c r="N119" s="29"/>
      <c r="O119" s="29"/>
    </row>
    <row r="120" spans="3:15" s="13" customFormat="1" x14ac:dyDescent="0.25">
      <c r="C120" s="29"/>
      <c r="D120" s="29"/>
      <c r="E120" s="29"/>
      <c r="F120" s="29"/>
      <c r="G120" s="30"/>
      <c r="H120" s="29"/>
      <c r="I120" s="30"/>
      <c r="J120" s="29"/>
      <c r="K120" s="30"/>
      <c r="L120" s="29"/>
      <c r="M120" s="29"/>
      <c r="N120" s="29"/>
      <c r="O120" s="29"/>
    </row>
    <row r="121" spans="3:15" s="13" customFormat="1" x14ac:dyDescent="0.25">
      <c r="C121" s="29"/>
      <c r="D121" s="29"/>
      <c r="E121" s="29"/>
      <c r="F121" s="29"/>
      <c r="G121" s="30"/>
      <c r="H121" s="29"/>
      <c r="I121" s="30"/>
      <c r="J121" s="29"/>
      <c r="K121" s="30"/>
      <c r="L121" s="29"/>
      <c r="M121" s="29"/>
      <c r="N121" s="29"/>
      <c r="O121" s="29"/>
    </row>
    <row r="122" spans="3:15" s="13" customFormat="1" x14ac:dyDescent="0.25">
      <c r="C122" s="29"/>
      <c r="D122" s="29"/>
      <c r="E122" s="29"/>
      <c r="F122" s="29"/>
      <c r="G122" s="30"/>
      <c r="H122" s="29"/>
      <c r="I122" s="30"/>
      <c r="J122" s="29"/>
      <c r="K122" s="30"/>
      <c r="L122" s="29"/>
      <c r="M122" s="29"/>
      <c r="N122" s="29"/>
      <c r="O122" s="29"/>
    </row>
    <row r="123" spans="3:15" s="13" customFormat="1" x14ac:dyDescent="0.25">
      <c r="C123" s="29"/>
      <c r="D123" s="29"/>
      <c r="E123" s="29"/>
      <c r="F123" s="29"/>
      <c r="G123" s="30"/>
      <c r="H123" s="29"/>
      <c r="I123" s="30"/>
      <c r="J123" s="29"/>
      <c r="K123" s="30"/>
      <c r="L123" s="29"/>
      <c r="M123" s="29"/>
      <c r="N123" s="29"/>
      <c r="O123" s="29"/>
    </row>
    <row r="124" spans="3:15" s="13" customFormat="1" x14ac:dyDescent="0.25">
      <c r="C124" s="29"/>
      <c r="D124" s="29"/>
      <c r="E124" s="29"/>
      <c r="F124" s="29"/>
      <c r="G124" s="30"/>
      <c r="H124" s="29"/>
      <c r="I124" s="30"/>
      <c r="J124" s="29"/>
      <c r="K124" s="30"/>
      <c r="L124" s="29"/>
      <c r="M124" s="29"/>
      <c r="N124" s="29"/>
      <c r="O124" s="29"/>
    </row>
    <row r="125" spans="3:15" s="13" customFormat="1" x14ac:dyDescent="0.25">
      <c r="C125" s="29"/>
      <c r="D125" s="29"/>
      <c r="E125" s="29"/>
      <c r="F125" s="29"/>
      <c r="G125" s="30"/>
      <c r="H125" s="29"/>
      <c r="I125" s="30"/>
      <c r="J125" s="29"/>
      <c r="K125" s="30"/>
      <c r="L125" s="29"/>
      <c r="M125" s="29"/>
      <c r="N125" s="29"/>
      <c r="O125" s="29"/>
    </row>
    <row r="126" spans="3:15" s="13" customFormat="1" x14ac:dyDescent="0.25">
      <c r="C126" s="29"/>
      <c r="D126" s="29"/>
      <c r="E126" s="29"/>
      <c r="F126" s="29"/>
      <c r="G126" s="30"/>
      <c r="H126" s="29"/>
      <c r="I126" s="30"/>
      <c r="J126" s="29"/>
      <c r="K126" s="30"/>
      <c r="L126" s="29"/>
      <c r="M126" s="29"/>
      <c r="N126" s="29"/>
      <c r="O126" s="29"/>
    </row>
    <row r="127" spans="3:15" s="13" customFormat="1" x14ac:dyDescent="0.25">
      <c r="C127" s="29"/>
      <c r="D127" s="29"/>
      <c r="E127" s="29"/>
      <c r="F127" s="29"/>
      <c r="G127" s="30"/>
      <c r="H127" s="29"/>
      <c r="I127" s="30"/>
      <c r="J127" s="29"/>
      <c r="K127" s="30"/>
      <c r="L127" s="29"/>
      <c r="M127" s="29"/>
      <c r="N127" s="29"/>
      <c r="O127" s="29"/>
    </row>
    <row r="128" spans="3:15" s="13" customFormat="1" x14ac:dyDescent="0.25">
      <c r="C128" s="29"/>
      <c r="D128" s="29"/>
      <c r="E128" s="29"/>
      <c r="F128" s="29"/>
      <c r="G128" s="30"/>
      <c r="H128" s="29"/>
      <c r="I128" s="30"/>
      <c r="J128" s="29"/>
      <c r="K128" s="30"/>
      <c r="L128" s="29"/>
      <c r="M128" s="29"/>
      <c r="N128" s="29"/>
      <c r="O128" s="29"/>
    </row>
    <row r="129" spans="3:15" s="13" customFormat="1" x14ac:dyDescent="0.25">
      <c r="C129" s="29"/>
      <c r="D129" s="29"/>
      <c r="E129" s="29"/>
      <c r="F129" s="29"/>
      <c r="G129" s="30"/>
      <c r="H129" s="29"/>
      <c r="I129" s="30"/>
      <c r="J129" s="29"/>
      <c r="K129" s="30"/>
      <c r="L129" s="29"/>
      <c r="M129" s="29"/>
      <c r="N129" s="29"/>
      <c r="O129" s="29"/>
    </row>
    <row r="130" spans="3:15" s="13" customFormat="1" x14ac:dyDescent="0.25">
      <c r="C130" s="29"/>
      <c r="D130" s="29"/>
      <c r="E130" s="29"/>
      <c r="F130" s="29"/>
      <c r="G130" s="30"/>
      <c r="H130" s="29"/>
      <c r="I130" s="30"/>
      <c r="J130" s="29"/>
      <c r="K130" s="30"/>
      <c r="L130" s="29"/>
      <c r="M130" s="29"/>
      <c r="N130" s="29"/>
      <c r="O130" s="29"/>
    </row>
    <row r="131" spans="3:15" s="13" customFormat="1" x14ac:dyDescent="0.25">
      <c r="C131" s="29"/>
      <c r="D131" s="29"/>
      <c r="E131" s="29"/>
      <c r="F131" s="29"/>
      <c r="G131" s="30"/>
      <c r="H131" s="29"/>
      <c r="I131" s="30"/>
      <c r="J131" s="29"/>
      <c r="K131" s="30"/>
      <c r="L131" s="29"/>
      <c r="M131" s="29"/>
      <c r="N131" s="29"/>
      <c r="O131" s="29"/>
    </row>
    <row r="132" spans="3:15" s="13" customFormat="1" x14ac:dyDescent="0.25">
      <c r="C132" s="29"/>
      <c r="D132" s="29"/>
      <c r="E132" s="29"/>
      <c r="F132" s="29"/>
      <c r="G132" s="30"/>
      <c r="H132" s="29"/>
      <c r="I132" s="30"/>
      <c r="J132" s="29"/>
      <c r="K132" s="30"/>
      <c r="L132" s="29"/>
      <c r="M132" s="29"/>
      <c r="N132" s="29"/>
      <c r="O132" s="29"/>
    </row>
    <row r="133" spans="3:15" s="13" customFormat="1" x14ac:dyDescent="0.25">
      <c r="C133" s="29"/>
      <c r="D133" s="29"/>
      <c r="E133" s="29"/>
      <c r="F133" s="29"/>
      <c r="G133" s="30"/>
      <c r="H133" s="29"/>
      <c r="I133" s="30"/>
      <c r="J133" s="29"/>
      <c r="K133" s="30"/>
      <c r="L133" s="29"/>
      <c r="M133" s="29"/>
      <c r="N133" s="29"/>
      <c r="O133" s="29"/>
    </row>
    <row r="134" spans="3:15" s="13" customFormat="1" x14ac:dyDescent="0.25">
      <c r="C134" s="29"/>
      <c r="D134" s="29"/>
      <c r="E134" s="29"/>
      <c r="F134" s="29"/>
      <c r="G134" s="30"/>
      <c r="H134" s="29"/>
      <c r="I134" s="30"/>
      <c r="J134" s="29"/>
      <c r="K134" s="30"/>
      <c r="L134" s="29"/>
      <c r="M134" s="29"/>
      <c r="N134" s="29"/>
      <c r="O134" s="29"/>
    </row>
    <row r="135" spans="3:15" s="13" customFormat="1" x14ac:dyDescent="0.25">
      <c r="C135" s="29"/>
      <c r="D135" s="29"/>
      <c r="E135" s="29"/>
      <c r="F135" s="29"/>
      <c r="G135" s="30"/>
      <c r="H135" s="29"/>
      <c r="I135" s="30"/>
      <c r="J135" s="29"/>
      <c r="K135" s="30"/>
      <c r="L135" s="29"/>
      <c r="M135" s="29"/>
      <c r="N135" s="29"/>
      <c r="O135" s="29"/>
    </row>
    <row r="136" spans="3:15" s="13" customFormat="1" x14ac:dyDescent="0.25">
      <c r="C136" s="29"/>
      <c r="D136" s="29"/>
      <c r="E136" s="29"/>
      <c r="F136" s="29"/>
      <c r="G136" s="30"/>
      <c r="H136" s="29"/>
      <c r="I136" s="30"/>
      <c r="J136" s="29"/>
      <c r="K136" s="30"/>
      <c r="L136" s="29"/>
      <c r="M136" s="29"/>
      <c r="N136" s="29"/>
      <c r="O136" s="29"/>
    </row>
    <row r="137" spans="3:15" s="13" customFormat="1" x14ac:dyDescent="0.25">
      <c r="C137" s="29"/>
      <c r="D137" s="29"/>
      <c r="E137" s="29"/>
      <c r="F137" s="29"/>
      <c r="G137" s="30"/>
      <c r="H137" s="29"/>
      <c r="I137" s="30"/>
      <c r="J137" s="29"/>
      <c r="K137" s="30"/>
      <c r="L137" s="29"/>
      <c r="M137" s="29"/>
      <c r="N137" s="29"/>
      <c r="O137" s="29"/>
    </row>
    <row r="138" spans="3:15" s="13" customFormat="1" x14ac:dyDescent="0.25">
      <c r="C138" s="29"/>
      <c r="D138" s="29"/>
      <c r="E138" s="29"/>
      <c r="F138" s="29"/>
      <c r="G138" s="30"/>
      <c r="H138" s="29"/>
      <c r="I138" s="30"/>
      <c r="J138" s="29"/>
      <c r="K138" s="30"/>
      <c r="L138" s="29"/>
      <c r="M138" s="29"/>
      <c r="N138" s="29"/>
      <c r="O138" s="29"/>
    </row>
    <row r="139" spans="3:15" s="13" customFormat="1" x14ac:dyDescent="0.25">
      <c r="C139" s="29"/>
      <c r="D139" s="29"/>
      <c r="E139" s="29"/>
      <c r="F139" s="29"/>
      <c r="G139" s="30"/>
      <c r="H139" s="29"/>
      <c r="I139" s="30"/>
      <c r="J139" s="29"/>
      <c r="K139" s="30"/>
      <c r="L139" s="29"/>
      <c r="M139" s="29"/>
      <c r="N139" s="29"/>
      <c r="O139" s="29"/>
    </row>
    <row r="140" spans="3:15" s="13" customFormat="1" x14ac:dyDescent="0.25">
      <c r="C140" s="29"/>
      <c r="D140" s="29"/>
      <c r="E140" s="29"/>
      <c r="F140" s="29"/>
      <c r="G140" s="30"/>
      <c r="H140" s="29"/>
      <c r="I140" s="30"/>
      <c r="J140" s="29"/>
      <c r="K140" s="30"/>
      <c r="L140" s="29"/>
      <c r="M140" s="29"/>
      <c r="N140" s="29"/>
      <c r="O140" s="29"/>
    </row>
    <row r="141" spans="3:15" s="13" customFormat="1" x14ac:dyDescent="0.25">
      <c r="C141" s="29"/>
      <c r="D141" s="29"/>
      <c r="E141" s="29"/>
      <c r="F141" s="29"/>
      <c r="G141" s="30"/>
      <c r="H141" s="29"/>
      <c r="I141" s="30"/>
      <c r="J141" s="29"/>
      <c r="K141" s="30"/>
      <c r="L141" s="29"/>
      <c r="M141" s="29"/>
      <c r="N141" s="29"/>
      <c r="O141" s="29"/>
    </row>
    <row r="142" spans="3:15" s="13" customFormat="1" x14ac:dyDescent="0.25">
      <c r="C142" s="29"/>
      <c r="D142" s="29"/>
      <c r="E142" s="29"/>
      <c r="F142" s="29"/>
      <c r="G142" s="30"/>
      <c r="H142" s="29"/>
      <c r="I142" s="30"/>
      <c r="J142" s="29"/>
      <c r="K142" s="30"/>
      <c r="L142" s="29"/>
      <c r="M142" s="29"/>
      <c r="N142" s="29"/>
      <c r="O142" s="29"/>
    </row>
    <row r="143" spans="3:15" s="13" customFormat="1" x14ac:dyDescent="0.25">
      <c r="C143" s="29"/>
      <c r="D143" s="29"/>
      <c r="E143" s="29"/>
      <c r="F143" s="29"/>
      <c r="G143" s="30"/>
      <c r="H143" s="29"/>
      <c r="I143" s="30"/>
      <c r="J143" s="29"/>
      <c r="K143" s="30"/>
      <c r="L143" s="29"/>
      <c r="M143" s="29"/>
      <c r="N143" s="29"/>
      <c r="O143" s="29"/>
    </row>
    <row r="144" spans="3:15" s="13" customFormat="1" x14ac:dyDescent="0.25">
      <c r="C144" s="29"/>
      <c r="D144" s="29"/>
      <c r="E144" s="29"/>
      <c r="F144" s="29"/>
      <c r="G144" s="30"/>
      <c r="H144" s="29"/>
      <c r="I144" s="30"/>
      <c r="J144" s="29"/>
      <c r="K144" s="30"/>
      <c r="L144" s="29"/>
      <c r="M144" s="29"/>
      <c r="N144" s="29"/>
      <c r="O144" s="29"/>
    </row>
    <row r="145" spans="3:15" s="13" customFormat="1" x14ac:dyDescent="0.25">
      <c r="C145" s="29"/>
      <c r="D145" s="29"/>
      <c r="E145" s="29"/>
      <c r="F145" s="29"/>
      <c r="G145" s="30"/>
      <c r="H145" s="29"/>
      <c r="I145" s="30"/>
      <c r="J145" s="29"/>
      <c r="K145" s="30"/>
      <c r="L145" s="29"/>
      <c r="M145" s="29"/>
      <c r="N145" s="29"/>
      <c r="O145" s="29"/>
    </row>
    <row r="146" spans="3:15" s="13" customFormat="1" x14ac:dyDescent="0.25">
      <c r="C146" s="29"/>
      <c r="D146" s="29"/>
      <c r="E146" s="29"/>
      <c r="F146" s="29"/>
      <c r="G146" s="30"/>
      <c r="H146" s="29"/>
      <c r="I146" s="30"/>
      <c r="J146" s="29"/>
      <c r="K146" s="30"/>
      <c r="L146" s="29"/>
      <c r="M146" s="29"/>
      <c r="N146" s="29"/>
      <c r="O146" s="29"/>
    </row>
    <row r="147" spans="3:15" s="13" customFormat="1" x14ac:dyDescent="0.25">
      <c r="C147" s="29"/>
      <c r="D147" s="29"/>
      <c r="E147" s="29"/>
      <c r="F147" s="29"/>
      <c r="G147" s="30"/>
      <c r="H147" s="29"/>
      <c r="I147" s="30"/>
      <c r="J147" s="29"/>
      <c r="K147" s="30"/>
      <c r="L147" s="29"/>
      <c r="M147" s="29"/>
      <c r="N147" s="29"/>
      <c r="O147" s="29"/>
    </row>
    <row r="148" spans="3:15" s="13" customFormat="1" x14ac:dyDescent="0.25">
      <c r="C148" s="29"/>
      <c r="D148" s="29"/>
      <c r="E148" s="29"/>
      <c r="F148" s="29"/>
      <c r="G148" s="30"/>
      <c r="H148" s="29"/>
      <c r="I148" s="30"/>
      <c r="J148" s="29"/>
      <c r="K148" s="30"/>
      <c r="L148" s="29"/>
      <c r="M148" s="29"/>
      <c r="N148" s="29"/>
      <c r="O148" s="29"/>
    </row>
    <row r="149" spans="3:15" s="13" customFormat="1" x14ac:dyDescent="0.25">
      <c r="C149" s="29"/>
      <c r="D149" s="29"/>
      <c r="E149" s="29"/>
      <c r="F149" s="29"/>
      <c r="G149" s="30"/>
      <c r="H149" s="29"/>
      <c r="I149" s="30"/>
      <c r="J149" s="29"/>
      <c r="K149" s="30"/>
      <c r="L149" s="29"/>
      <c r="M149" s="29"/>
      <c r="N149" s="29"/>
      <c r="O149" s="29"/>
    </row>
    <row r="150" spans="3:15" s="13" customFormat="1" x14ac:dyDescent="0.25">
      <c r="C150" s="29"/>
      <c r="D150" s="29"/>
      <c r="E150" s="29"/>
      <c r="F150" s="29"/>
      <c r="G150" s="30"/>
      <c r="H150" s="29"/>
      <c r="I150" s="30"/>
      <c r="J150" s="29"/>
      <c r="K150" s="30"/>
      <c r="L150" s="29"/>
      <c r="M150" s="29"/>
      <c r="N150" s="29"/>
      <c r="O150" s="29"/>
    </row>
    <row r="151" spans="3:15" s="13" customFormat="1" x14ac:dyDescent="0.25">
      <c r="C151" s="29"/>
      <c r="D151" s="29"/>
      <c r="E151" s="29"/>
      <c r="F151" s="29"/>
      <c r="G151" s="30"/>
      <c r="H151" s="29"/>
      <c r="I151" s="30"/>
      <c r="J151" s="29"/>
      <c r="K151" s="30"/>
      <c r="L151" s="29"/>
      <c r="M151" s="29"/>
      <c r="N151" s="29"/>
      <c r="O151" s="29"/>
    </row>
    <row r="152" spans="3:15" s="13" customFormat="1" x14ac:dyDescent="0.25">
      <c r="C152" s="29"/>
      <c r="D152" s="29"/>
      <c r="E152" s="29"/>
      <c r="F152" s="29"/>
      <c r="G152" s="30"/>
      <c r="H152" s="29"/>
      <c r="I152" s="30"/>
      <c r="J152" s="29"/>
      <c r="K152" s="30"/>
      <c r="L152" s="29"/>
      <c r="M152" s="29"/>
      <c r="N152" s="29"/>
      <c r="O152" s="29"/>
    </row>
    <row r="153" spans="3:15" s="13" customFormat="1" x14ac:dyDescent="0.25">
      <c r="C153" s="29"/>
      <c r="D153" s="29"/>
      <c r="E153" s="29"/>
      <c r="F153" s="29"/>
      <c r="G153" s="30"/>
      <c r="H153" s="29"/>
      <c r="I153" s="30"/>
      <c r="J153" s="29"/>
      <c r="K153" s="30"/>
      <c r="L153" s="29"/>
      <c r="M153" s="29"/>
      <c r="N153" s="29"/>
      <c r="O153" s="29"/>
    </row>
    <row r="154" spans="3:15" s="13" customFormat="1" x14ac:dyDescent="0.25">
      <c r="C154" s="29"/>
      <c r="D154" s="29"/>
      <c r="E154" s="29"/>
      <c r="F154" s="29"/>
      <c r="G154" s="30"/>
      <c r="H154" s="29"/>
      <c r="I154" s="30"/>
      <c r="J154" s="29"/>
      <c r="K154" s="30"/>
      <c r="L154" s="29"/>
      <c r="M154" s="29"/>
      <c r="N154" s="29"/>
      <c r="O154" s="29"/>
    </row>
    <row r="155" spans="3:15" s="13" customFormat="1" x14ac:dyDescent="0.25">
      <c r="C155" s="29"/>
      <c r="D155" s="29"/>
      <c r="E155" s="29"/>
      <c r="F155" s="29"/>
      <c r="G155" s="30"/>
      <c r="H155" s="29"/>
      <c r="I155" s="30"/>
      <c r="J155" s="29"/>
      <c r="K155" s="30"/>
      <c r="L155" s="29"/>
      <c r="M155" s="29"/>
      <c r="N155" s="29"/>
      <c r="O155" s="29"/>
    </row>
    <row r="156" spans="3:15" s="13" customFormat="1" x14ac:dyDescent="0.25">
      <c r="C156" s="29"/>
      <c r="D156" s="29"/>
      <c r="E156" s="29"/>
      <c r="F156" s="29"/>
      <c r="G156" s="30"/>
      <c r="H156" s="29"/>
      <c r="I156" s="30"/>
      <c r="J156" s="29"/>
      <c r="K156" s="30"/>
      <c r="L156" s="29"/>
      <c r="M156" s="29"/>
      <c r="N156" s="29"/>
      <c r="O156" s="29"/>
    </row>
    <row r="157" spans="3:15" s="13" customFormat="1" x14ac:dyDescent="0.25">
      <c r="C157" s="29"/>
      <c r="D157" s="29"/>
      <c r="E157" s="29"/>
      <c r="F157" s="29"/>
      <c r="G157" s="30"/>
      <c r="H157" s="29"/>
      <c r="I157" s="30"/>
      <c r="J157" s="29"/>
      <c r="K157" s="30"/>
      <c r="L157" s="29"/>
      <c r="M157" s="29"/>
      <c r="N157" s="29"/>
      <c r="O157" s="29"/>
    </row>
    <row r="158" spans="3:15" s="13" customFormat="1" x14ac:dyDescent="0.25">
      <c r="C158" s="29"/>
      <c r="D158" s="29"/>
      <c r="E158" s="29"/>
      <c r="F158" s="29"/>
      <c r="G158" s="30"/>
      <c r="H158" s="29"/>
      <c r="I158" s="30"/>
      <c r="J158" s="29"/>
      <c r="K158" s="30"/>
      <c r="L158" s="29"/>
      <c r="M158" s="29"/>
      <c r="N158" s="29"/>
      <c r="O158" s="29"/>
    </row>
    <row r="159" spans="3:15" s="13" customFormat="1" x14ac:dyDescent="0.25">
      <c r="C159" s="29"/>
      <c r="D159" s="29"/>
      <c r="E159" s="29"/>
      <c r="F159" s="29"/>
      <c r="G159" s="30"/>
      <c r="H159" s="29"/>
      <c r="I159" s="30"/>
      <c r="J159" s="29"/>
      <c r="K159" s="30"/>
      <c r="L159" s="29"/>
      <c r="M159" s="29"/>
      <c r="N159" s="29"/>
      <c r="O159" s="29"/>
    </row>
    <row r="160" spans="3:15" s="13" customFormat="1" x14ac:dyDescent="0.25">
      <c r="C160" s="29"/>
      <c r="D160" s="29"/>
      <c r="E160" s="29"/>
      <c r="F160" s="29"/>
      <c r="G160" s="30"/>
      <c r="H160" s="29"/>
      <c r="I160" s="30"/>
      <c r="J160" s="29"/>
      <c r="K160" s="30"/>
      <c r="L160" s="29"/>
      <c r="M160" s="29"/>
      <c r="N160" s="29"/>
      <c r="O160" s="29"/>
    </row>
    <row r="161" spans="3:15" s="13" customFormat="1" x14ac:dyDescent="0.25">
      <c r="C161" s="29"/>
      <c r="D161" s="29"/>
      <c r="E161" s="29"/>
      <c r="F161" s="29"/>
      <c r="G161" s="30"/>
      <c r="H161" s="29"/>
      <c r="I161" s="30"/>
      <c r="J161" s="29"/>
      <c r="K161" s="30"/>
      <c r="L161" s="29"/>
      <c r="M161" s="29"/>
      <c r="N161" s="29"/>
      <c r="O161" s="29"/>
    </row>
    <row r="162" spans="3:15" s="13" customFormat="1" x14ac:dyDescent="0.25">
      <c r="C162" s="29"/>
      <c r="D162" s="29"/>
      <c r="E162" s="29"/>
      <c r="F162" s="29"/>
      <c r="G162" s="30"/>
      <c r="H162" s="29"/>
      <c r="I162" s="30"/>
      <c r="J162" s="29"/>
      <c r="K162" s="30"/>
      <c r="L162" s="29"/>
      <c r="M162" s="29"/>
      <c r="N162" s="29"/>
      <c r="O162" s="29"/>
    </row>
    <row r="163" spans="3:15" s="13" customFormat="1" x14ac:dyDescent="0.25">
      <c r="C163" s="29"/>
      <c r="D163" s="29"/>
      <c r="E163" s="29"/>
      <c r="F163" s="29"/>
      <c r="G163" s="30"/>
      <c r="H163" s="29"/>
      <c r="I163" s="30"/>
      <c r="J163" s="29"/>
      <c r="K163" s="30"/>
      <c r="L163" s="29"/>
      <c r="M163" s="29"/>
      <c r="N163" s="29"/>
      <c r="O163" s="29"/>
    </row>
    <row r="164" spans="3:15" s="13" customFormat="1" x14ac:dyDescent="0.25">
      <c r="C164" s="29"/>
      <c r="D164" s="29"/>
      <c r="E164" s="29"/>
      <c r="F164" s="29"/>
      <c r="G164" s="30"/>
      <c r="H164" s="29"/>
      <c r="I164" s="30"/>
      <c r="J164" s="29"/>
      <c r="K164" s="30"/>
      <c r="L164" s="29"/>
      <c r="M164" s="29"/>
      <c r="N164" s="29"/>
      <c r="O164" s="29"/>
    </row>
    <row r="165" spans="3:15" s="13" customFormat="1" x14ac:dyDescent="0.25">
      <c r="C165" s="29"/>
      <c r="D165" s="29"/>
      <c r="E165" s="29"/>
      <c r="F165" s="29"/>
      <c r="G165" s="30"/>
      <c r="H165" s="29"/>
      <c r="I165" s="30"/>
      <c r="J165" s="29"/>
      <c r="K165" s="30"/>
      <c r="L165" s="29"/>
      <c r="M165" s="29"/>
      <c r="N165" s="29"/>
      <c r="O165" s="29"/>
    </row>
    <row r="166" spans="3:15" s="13" customFormat="1" x14ac:dyDescent="0.25">
      <c r="C166" s="29"/>
      <c r="D166" s="29"/>
      <c r="E166" s="29"/>
      <c r="F166" s="29"/>
      <c r="G166" s="30"/>
      <c r="H166" s="29"/>
      <c r="I166" s="30"/>
      <c r="J166" s="29"/>
      <c r="K166" s="30"/>
      <c r="L166" s="29"/>
      <c r="M166" s="29"/>
      <c r="N166" s="29"/>
      <c r="O166" s="29"/>
    </row>
    <row r="167" spans="3:15" s="13" customFormat="1" x14ac:dyDescent="0.25">
      <c r="C167" s="29"/>
      <c r="D167" s="29"/>
      <c r="E167" s="29"/>
      <c r="F167" s="29"/>
      <c r="G167" s="30"/>
      <c r="H167" s="29"/>
      <c r="I167" s="30"/>
      <c r="J167" s="29"/>
      <c r="K167" s="30"/>
      <c r="L167" s="29"/>
      <c r="M167" s="29"/>
      <c r="N167" s="29"/>
      <c r="O167" s="29"/>
    </row>
    <row r="168" spans="3:15" s="13" customFormat="1" x14ac:dyDescent="0.25">
      <c r="C168" s="29"/>
      <c r="D168" s="29"/>
      <c r="E168" s="29"/>
      <c r="F168" s="29"/>
      <c r="G168" s="30"/>
      <c r="H168" s="29"/>
      <c r="I168" s="30"/>
      <c r="J168" s="29"/>
      <c r="K168" s="30"/>
      <c r="L168" s="29"/>
      <c r="M168" s="29"/>
      <c r="N168" s="29"/>
      <c r="O168" s="29"/>
    </row>
    <row r="169" spans="3:15" s="13" customFormat="1" x14ac:dyDescent="0.25">
      <c r="C169" s="29"/>
      <c r="D169" s="29"/>
      <c r="E169" s="29"/>
      <c r="F169" s="29"/>
      <c r="G169" s="30"/>
      <c r="H169" s="29"/>
      <c r="I169" s="30"/>
      <c r="J169" s="29"/>
      <c r="K169" s="30"/>
      <c r="L169" s="29"/>
      <c r="M169" s="29"/>
      <c r="N169" s="29"/>
      <c r="O169" s="29"/>
    </row>
    <row r="170" spans="3:15" s="13" customFormat="1" x14ac:dyDescent="0.25">
      <c r="C170" s="29"/>
      <c r="D170" s="29"/>
      <c r="E170" s="29"/>
      <c r="F170" s="29"/>
      <c r="G170" s="30"/>
      <c r="H170" s="29"/>
      <c r="I170" s="30"/>
      <c r="J170" s="29"/>
      <c r="K170" s="30"/>
      <c r="L170" s="29"/>
      <c r="M170" s="29"/>
      <c r="N170" s="29"/>
      <c r="O170" s="29"/>
    </row>
    <row r="171" spans="3:15" s="13" customFormat="1" x14ac:dyDescent="0.25">
      <c r="C171" s="29"/>
      <c r="D171" s="29"/>
      <c r="E171" s="29"/>
      <c r="F171" s="29"/>
      <c r="G171" s="30"/>
      <c r="H171" s="29"/>
      <c r="I171" s="30"/>
      <c r="J171" s="29"/>
      <c r="K171" s="30"/>
      <c r="L171" s="29"/>
      <c r="M171" s="29"/>
      <c r="N171" s="29"/>
      <c r="O171" s="29"/>
    </row>
    <row r="172" spans="3:15" s="13" customFormat="1" x14ac:dyDescent="0.25">
      <c r="C172" s="29"/>
      <c r="D172" s="29"/>
      <c r="E172" s="29"/>
      <c r="F172" s="29"/>
      <c r="G172" s="30"/>
      <c r="H172" s="29"/>
      <c r="I172" s="30"/>
      <c r="J172" s="29"/>
      <c r="K172" s="30"/>
      <c r="L172" s="29"/>
      <c r="M172" s="29"/>
      <c r="N172" s="29"/>
      <c r="O172" s="29"/>
    </row>
    <row r="173" spans="3:15" s="13" customFormat="1" x14ac:dyDescent="0.25">
      <c r="C173" s="29"/>
      <c r="D173" s="29"/>
      <c r="E173" s="29"/>
      <c r="F173" s="29"/>
      <c r="G173" s="30"/>
      <c r="H173" s="29"/>
      <c r="I173" s="30"/>
      <c r="J173" s="29"/>
      <c r="K173" s="30"/>
      <c r="L173" s="29"/>
      <c r="M173" s="29"/>
      <c r="N173" s="29"/>
      <c r="O173" s="29"/>
    </row>
    <row r="174" spans="3:15" s="13" customFormat="1" x14ac:dyDescent="0.25">
      <c r="C174" s="29"/>
      <c r="D174" s="29"/>
      <c r="E174" s="29"/>
      <c r="F174" s="29"/>
      <c r="G174" s="30"/>
      <c r="H174" s="29"/>
      <c r="I174" s="30"/>
      <c r="J174" s="29"/>
      <c r="K174" s="30"/>
      <c r="L174" s="29"/>
      <c r="M174" s="29"/>
      <c r="N174" s="29"/>
      <c r="O174" s="29"/>
    </row>
    <row r="175" spans="3:15" s="13" customFormat="1" x14ac:dyDescent="0.25">
      <c r="C175" s="29"/>
      <c r="D175" s="29"/>
      <c r="E175" s="29"/>
      <c r="F175" s="29"/>
      <c r="G175" s="30"/>
      <c r="H175" s="29"/>
      <c r="I175" s="30"/>
      <c r="J175" s="29"/>
      <c r="K175" s="30"/>
      <c r="L175" s="29"/>
      <c r="M175" s="29"/>
      <c r="N175" s="29"/>
      <c r="O175" s="29"/>
    </row>
    <row r="176" spans="3:15" s="13" customFormat="1" x14ac:dyDescent="0.25">
      <c r="C176" s="29"/>
      <c r="D176" s="29"/>
      <c r="E176" s="29"/>
      <c r="F176" s="29"/>
      <c r="G176" s="30"/>
      <c r="H176" s="29"/>
      <c r="I176" s="30"/>
      <c r="J176" s="29"/>
      <c r="K176" s="30"/>
      <c r="L176" s="29"/>
      <c r="M176" s="29"/>
      <c r="N176" s="29"/>
      <c r="O176" s="29"/>
    </row>
    <row r="177" spans="3:15" s="13" customFormat="1" x14ac:dyDescent="0.25">
      <c r="C177" s="29"/>
      <c r="D177" s="29"/>
      <c r="E177" s="29"/>
      <c r="F177" s="29"/>
      <c r="G177" s="30"/>
      <c r="H177" s="29"/>
      <c r="I177" s="30"/>
      <c r="J177" s="29"/>
      <c r="K177" s="30"/>
      <c r="L177" s="29"/>
      <c r="M177" s="29"/>
      <c r="N177" s="29"/>
      <c r="O177" s="29"/>
    </row>
    <row r="178" spans="3:15" s="13" customFormat="1" x14ac:dyDescent="0.25">
      <c r="C178" s="29"/>
      <c r="D178" s="29"/>
      <c r="E178" s="29"/>
      <c r="F178" s="29"/>
      <c r="G178" s="30"/>
      <c r="H178" s="29"/>
      <c r="I178" s="30"/>
      <c r="J178" s="29"/>
      <c r="K178" s="30"/>
      <c r="L178" s="29"/>
      <c r="M178" s="29"/>
      <c r="N178" s="29"/>
      <c r="O178" s="29"/>
    </row>
    <row r="179" spans="3:15" s="13" customFormat="1" x14ac:dyDescent="0.25">
      <c r="C179" s="29"/>
      <c r="D179" s="29"/>
      <c r="E179" s="29"/>
      <c r="F179" s="29"/>
      <c r="G179" s="30"/>
      <c r="H179" s="29"/>
      <c r="I179" s="30"/>
      <c r="J179" s="29"/>
      <c r="K179" s="30"/>
      <c r="L179" s="29"/>
      <c r="M179" s="29"/>
      <c r="N179" s="29"/>
      <c r="O179" s="29"/>
    </row>
    <row r="180" spans="3:15" s="13" customFormat="1" x14ac:dyDescent="0.25">
      <c r="C180" s="29"/>
      <c r="D180" s="29"/>
      <c r="E180" s="29"/>
      <c r="F180" s="29"/>
      <c r="G180" s="30"/>
      <c r="H180" s="29"/>
      <c r="I180" s="30"/>
      <c r="J180" s="29"/>
      <c r="K180" s="30"/>
      <c r="L180" s="29"/>
      <c r="M180" s="29"/>
      <c r="N180" s="29"/>
      <c r="O180" s="29"/>
    </row>
    <row r="181" spans="3:15" s="13" customFormat="1" x14ac:dyDescent="0.25">
      <c r="C181" s="29"/>
      <c r="D181" s="29"/>
      <c r="E181" s="29"/>
      <c r="F181" s="29"/>
      <c r="G181" s="30"/>
      <c r="H181" s="29"/>
      <c r="I181" s="30"/>
      <c r="J181" s="29"/>
      <c r="K181" s="30"/>
      <c r="L181" s="29"/>
      <c r="M181" s="29"/>
      <c r="N181" s="29"/>
      <c r="O181" s="29"/>
    </row>
    <row r="182" spans="3:15" s="13" customFormat="1" x14ac:dyDescent="0.25">
      <c r="C182" s="29"/>
      <c r="D182" s="29"/>
      <c r="E182" s="29"/>
      <c r="F182" s="29"/>
      <c r="G182" s="30"/>
      <c r="H182" s="29"/>
      <c r="I182" s="30"/>
      <c r="J182" s="29"/>
      <c r="K182" s="30"/>
      <c r="L182" s="29"/>
      <c r="M182" s="29"/>
      <c r="N182" s="29"/>
      <c r="O182" s="29"/>
    </row>
    <row r="183" spans="3:15" s="13" customFormat="1" x14ac:dyDescent="0.25">
      <c r="C183" s="29"/>
      <c r="D183" s="29"/>
      <c r="E183" s="29"/>
      <c r="F183" s="29"/>
      <c r="G183" s="30"/>
      <c r="H183" s="29"/>
      <c r="I183" s="30"/>
      <c r="J183" s="29"/>
      <c r="K183" s="30"/>
      <c r="L183" s="29"/>
      <c r="M183" s="29"/>
      <c r="N183" s="29"/>
      <c r="O183" s="29"/>
    </row>
    <row r="184" spans="3:15" s="13" customFormat="1" x14ac:dyDescent="0.25">
      <c r="C184" s="29"/>
      <c r="D184" s="29"/>
      <c r="E184" s="29"/>
      <c r="F184" s="29"/>
      <c r="G184" s="30"/>
      <c r="H184" s="29"/>
      <c r="I184" s="30"/>
      <c r="J184" s="29"/>
      <c r="K184" s="30"/>
      <c r="L184" s="29"/>
      <c r="M184" s="29"/>
      <c r="N184" s="29"/>
      <c r="O184" s="29"/>
    </row>
    <row r="185" spans="3:15" s="13" customFormat="1" x14ac:dyDescent="0.25">
      <c r="C185" s="29"/>
      <c r="D185" s="29"/>
      <c r="E185" s="29"/>
      <c r="F185" s="29"/>
      <c r="G185" s="30"/>
      <c r="H185" s="29"/>
      <c r="I185" s="30"/>
      <c r="J185" s="29"/>
      <c r="K185" s="30"/>
      <c r="L185" s="29"/>
      <c r="M185" s="29"/>
      <c r="N185" s="29"/>
      <c r="O185" s="29"/>
    </row>
    <row r="186" spans="3:15" s="13" customFormat="1" x14ac:dyDescent="0.25">
      <c r="C186" s="29"/>
      <c r="D186" s="29"/>
      <c r="E186" s="29"/>
      <c r="F186" s="29"/>
      <c r="G186" s="30"/>
      <c r="H186" s="29"/>
      <c r="I186" s="30"/>
      <c r="J186" s="29"/>
      <c r="K186" s="30"/>
      <c r="L186" s="29"/>
      <c r="M186" s="29"/>
      <c r="N186" s="29"/>
      <c r="O186" s="29"/>
    </row>
    <row r="187" spans="3:15" s="13" customFormat="1" x14ac:dyDescent="0.25">
      <c r="C187" s="29"/>
      <c r="D187" s="29"/>
      <c r="E187" s="29"/>
      <c r="F187" s="29"/>
      <c r="G187" s="30"/>
      <c r="H187" s="29"/>
      <c r="I187" s="30"/>
      <c r="J187" s="29"/>
      <c r="K187" s="30"/>
      <c r="L187" s="29"/>
      <c r="M187" s="29"/>
      <c r="N187" s="29"/>
      <c r="O187" s="29"/>
    </row>
    <row r="188" spans="3:15" s="13" customFormat="1" x14ac:dyDescent="0.25">
      <c r="C188" s="29"/>
      <c r="D188" s="29"/>
      <c r="E188" s="29"/>
      <c r="F188" s="29"/>
      <c r="G188" s="30"/>
      <c r="H188" s="29"/>
      <c r="I188" s="30"/>
      <c r="J188" s="29"/>
      <c r="K188" s="30"/>
      <c r="L188" s="29"/>
      <c r="M188" s="29"/>
      <c r="N188" s="29"/>
      <c r="O188" s="29"/>
    </row>
    <row r="189" spans="3:15" s="13" customFormat="1" x14ac:dyDescent="0.25">
      <c r="C189" s="29"/>
      <c r="D189" s="29"/>
      <c r="E189" s="29"/>
      <c r="F189" s="29"/>
      <c r="G189" s="30"/>
      <c r="H189" s="29"/>
      <c r="I189" s="30"/>
      <c r="J189" s="29"/>
      <c r="K189" s="30"/>
      <c r="L189" s="29"/>
      <c r="M189" s="29"/>
      <c r="N189" s="29"/>
      <c r="O189" s="29"/>
    </row>
    <row r="190" spans="3:15" s="13" customFormat="1" x14ac:dyDescent="0.25">
      <c r="C190" s="29"/>
      <c r="D190" s="29"/>
      <c r="E190" s="29"/>
      <c r="F190" s="29"/>
      <c r="G190" s="30"/>
      <c r="H190" s="29"/>
      <c r="I190" s="30"/>
      <c r="J190" s="29"/>
      <c r="K190" s="30"/>
      <c r="L190" s="29"/>
      <c r="M190" s="29"/>
      <c r="N190" s="29"/>
      <c r="O190" s="29"/>
    </row>
    <row r="191" spans="3:15" s="13" customFormat="1" x14ac:dyDescent="0.25">
      <c r="C191" s="29"/>
      <c r="D191" s="29"/>
      <c r="E191" s="29"/>
      <c r="F191" s="29"/>
      <c r="G191" s="30"/>
      <c r="H191" s="29"/>
      <c r="I191" s="30"/>
      <c r="J191" s="29"/>
      <c r="K191" s="30"/>
      <c r="L191" s="29"/>
      <c r="M191" s="29"/>
      <c r="N191" s="29"/>
      <c r="O191" s="29"/>
    </row>
    <row r="192" spans="3:15" s="13" customFormat="1" x14ac:dyDescent="0.25">
      <c r="C192" s="29"/>
      <c r="D192" s="29"/>
      <c r="E192" s="29"/>
      <c r="F192" s="29"/>
      <c r="G192" s="30"/>
      <c r="H192" s="29"/>
      <c r="I192" s="30"/>
      <c r="J192" s="29"/>
      <c r="K192" s="30"/>
      <c r="L192" s="29"/>
      <c r="M192" s="29"/>
      <c r="N192" s="29"/>
      <c r="O192" s="29"/>
    </row>
    <row r="193" spans="3:15" s="13" customFormat="1" x14ac:dyDescent="0.25">
      <c r="C193" s="29"/>
      <c r="D193" s="29"/>
      <c r="E193" s="29"/>
      <c r="F193" s="29"/>
      <c r="G193" s="30"/>
      <c r="H193" s="29"/>
      <c r="I193" s="30"/>
      <c r="J193" s="29"/>
      <c r="K193" s="30"/>
      <c r="L193" s="29"/>
      <c r="M193" s="29"/>
      <c r="N193" s="29"/>
      <c r="O193" s="29"/>
    </row>
    <row r="194" spans="3:15" s="13" customFormat="1" x14ac:dyDescent="0.25">
      <c r="C194" s="29"/>
      <c r="D194" s="29"/>
      <c r="E194" s="29"/>
      <c r="F194" s="29"/>
      <c r="G194" s="30"/>
      <c r="H194" s="29"/>
      <c r="I194" s="30"/>
      <c r="J194" s="29"/>
      <c r="K194" s="30"/>
      <c r="L194" s="29"/>
      <c r="M194" s="29"/>
      <c r="N194" s="29"/>
      <c r="O194" s="29"/>
    </row>
    <row r="195" spans="3:15" s="13" customFormat="1" x14ac:dyDescent="0.25">
      <c r="C195" s="29"/>
      <c r="D195" s="29"/>
      <c r="E195" s="29"/>
      <c r="F195" s="29"/>
      <c r="G195" s="30"/>
      <c r="H195" s="29"/>
      <c r="I195" s="30"/>
      <c r="J195" s="29"/>
      <c r="K195" s="30"/>
      <c r="L195" s="29"/>
      <c r="M195" s="29"/>
      <c r="N195" s="29"/>
      <c r="O195" s="29"/>
    </row>
    <row r="196" spans="3:15" s="13" customFormat="1" x14ac:dyDescent="0.25">
      <c r="C196" s="29"/>
      <c r="D196" s="29"/>
      <c r="E196" s="29"/>
      <c r="F196" s="29"/>
      <c r="G196" s="30"/>
      <c r="H196" s="29"/>
      <c r="I196" s="30"/>
      <c r="J196" s="29"/>
      <c r="K196" s="30"/>
      <c r="L196" s="29"/>
      <c r="M196" s="29"/>
      <c r="N196" s="29"/>
      <c r="O196" s="29"/>
    </row>
    <row r="197" spans="3:15" s="13" customFormat="1" x14ac:dyDescent="0.25">
      <c r="C197" s="29"/>
      <c r="D197" s="29"/>
      <c r="E197" s="29"/>
      <c r="F197" s="29"/>
      <c r="G197" s="30"/>
      <c r="H197" s="29"/>
      <c r="I197" s="30"/>
      <c r="J197" s="29"/>
      <c r="K197" s="30"/>
      <c r="L197" s="29"/>
      <c r="M197" s="29"/>
      <c r="N197" s="29"/>
      <c r="O197" s="29"/>
    </row>
    <row r="198" spans="3:15" s="13" customFormat="1" x14ac:dyDescent="0.25">
      <c r="C198" s="29"/>
      <c r="D198" s="29"/>
      <c r="E198" s="29"/>
      <c r="F198" s="29"/>
      <c r="G198" s="30"/>
      <c r="H198" s="29"/>
      <c r="I198" s="30"/>
      <c r="J198" s="29"/>
      <c r="K198" s="30"/>
      <c r="L198" s="29"/>
      <c r="M198" s="29"/>
      <c r="N198" s="29"/>
      <c r="O198" s="29"/>
    </row>
    <row r="199" spans="3:15" s="13" customFormat="1" x14ac:dyDescent="0.25">
      <c r="C199" s="29"/>
      <c r="D199" s="29"/>
      <c r="E199" s="29"/>
      <c r="F199" s="29"/>
      <c r="G199" s="30"/>
      <c r="H199" s="29"/>
      <c r="I199" s="30"/>
      <c r="J199" s="29"/>
      <c r="K199" s="30"/>
      <c r="L199" s="29"/>
      <c r="M199" s="29"/>
      <c r="N199" s="29"/>
      <c r="O199" s="29"/>
    </row>
    <row r="200" spans="3:15" s="13" customFormat="1" x14ac:dyDescent="0.25">
      <c r="C200" s="29"/>
      <c r="D200" s="29"/>
      <c r="E200" s="29"/>
      <c r="F200" s="29"/>
      <c r="G200" s="30"/>
      <c r="H200" s="29"/>
      <c r="I200" s="30"/>
      <c r="J200" s="29"/>
      <c r="K200" s="30"/>
      <c r="L200" s="29"/>
      <c r="M200" s="29"/>
      <c r="N200" s="29"/>
      <c r="O200" s="29"/>
    </row>
    <row r="201" spans="3:15" s="13" customFormat="1" x14ac:dyDescent="0.25">
      <c r="C201" s="29"/>
      <c r="D201" s="29"/>
      <c r="E201" s="29"/>
      <c r="F201" s="29"/>
      <c r="G201" s="30"/>
      <c r="H201" s="29"/>
      <c r="I201" s="30"/>
      <c r="J201" s="29"/>
      <c r="K201" s="30"/>
      <c r="L201" s="29"/>
      <c r="M201" s="29"/>
      <c r="N201" s="29"/>
      <c r="O201" s="29"/>
    </row>
    <row r="202" spans="3:15" s="13" customFormat="1" x14ac:dyDescent="0.25">
      <c r="C202" s="29"/>
      <c r="D202" s="29"/>
      <c r="E202" s="29"/>
      <c r="F202" s="29"/>
      <c r="G202" s="30"/>
      <c r="H202" s="29"/>
      <c r="I202" s="30"/>
      <c r="J202" s="29"/>
      <c r="K202" s="30"/>
      <c r="L202" s="29"/>
      <c r="M202" s="29"/>
      <c r="N202" s="29"/>
      <c r="O202" s="29"/>
    </row>
    <row r="203" spans="3:15" s="13" customFormat="1" x14ac:dyDescent="0.25">
      <c r="C203" s="29"/>
      <c r="D203" s="29"/>
      <c r="E203" s="29"/>
      <c r="F203" s="29"/>
      <c r="G203" s="30"/>
      <c r="H203" s="29"/>
      <c r="I203" s="30"/>
      <c r="J203" s="29"/>
      <c r="K203" s="30"/>
      <c r="L203" s="29"/>
      <c r="M203" s="29"/>
      <c r="N203" s="29"/>
      <c r="O203" s="29"/>
    </row>
    <row r="204" spans="3:15" s="13" customFormat="1" x14ac:dyDescent="0.25">
      <c r="C204" s="29"/>
      <c r="D204" s="29"/>
      <c r="E204" s="29"/>
      <c r="F204" s="29"/>
      <c r="G204" s="30"/>
      <c r="H204" s="29"/>
      <c r="I204" s="30"/>
      <c r="J204" s="29"/>
      <c r="K204" s="30"/>
      <c r="L204" s="29"/>
      <c r="M204" s="29"/>
      <c r="N204" s="29"/>
      <c r="O204" s="29"/>
    </row>
    <row r="205" spans="3:15" s="13" customFormat="1" x14ac:dyDescent="0.25">
      <c r="C205" s="29"/>
      <c r="D205" s="29"/>
      <c r="E205" s="29"/>
      <c r="F205" s="29"/>
      <c r="G205" s="30"/>
      <c r="H205" s="29"/>
      <c r="I205" s="30"/>
      <c r="J205" s="29"/>
      <c r="K205" s="30"/>
      <c r="L205" s="29"/>
      <c r="M205" s="29"/>
      <c r="N205" s="29"/>
      <c r="O205" s="29"/>
    </row>
    <row r="206" spans="3:15" s="13" customFormat="1" x14ac:dyDescent="0.25">
      <c r="C206" s="29"/>
      <c r="D206" s="29"/>
      <c r="E206" s="29"/>
      <c r="F206" s="29"/>
      <c r="G206" s="30"/>
      <c r="H206" s="29"/>
      <c r="I206" s="30"/>
      <c r="J206" s="29"/>
      <c r="K206" s="30"/>
      <c r="L206" s="29"/>
      <c r="M206" s="29"/>
      <c r="N206" s="29"/>
      <c r="O206" s="29"/>
    </row>
    <row r="207" spans="3:15" s="13" customFormat="1" x14ac:dyDescent="0.25">
      <c r="C207" s="29"/>
      <c r="D207" s="29"/>
      <c r="E207" s="29"/>
      <c r="F207" s="29"/>
      <c r="G207" s="30"/>
      <c r="H207" s="29"/>
      <c r="I207" s="30"/>
      <c r="J207" s="29"/>
      <c r="K207" s="30"/>
      <c r="L207" s="29"/>
      <c r="M207" s="29"/>
      <c r="N207" s="29"/>
      <c r="O207" s="29"/>
    </row>
    <row r="208" spans="3:15" s="13" customFormat="1" x14ac:dyDescent="0.25">
      <c r="C208" s="29"/>
      <c r="D208" s="29"/>
      <c r="E208" s="29"/>
      <c r="F208" s="29"/>
      <c r="G208" s="30"/>
      <c r="H208" s="29"/>
      <c r="I208" s="30"/>
      <c r="J208" s="29"/>
      <c r="K208" s="30"/>
      <c r="L208" s="29"/>
      <c r="M208" s="29"/>
      <c r="N208" s="29"/>
      <c r="O208" s="29"/>
    </row>
    <row r="209" spans="3:15" s="13" customFormat="1" x14ac:dyDescent="0.25">
      <c r="C209" s="29"/>
      <c r="D209" s="29"/>
      <c r="E209" s="29"/>
      <c r="F209" s="29"/>
      <c r="G209" s="30"/>
      <c r="H209" s="29"/>
      <c r="I209" s="30"/>
      <c r="J209" s="29"/>
      <c r="K209" s="30"/>
      <c r="L209" s="29"/>
      <c r="M209" s="29"/>
      <c r="N209" s="29"/>
      <c r="O209" s="29"/>
    </row>
  </sheetData>
  <sheetProtection algorithmName="SHA-512" hashValue="Qq2Su7jsK7zZmGRLw4PKSE5MHl2EWv/N863WSDk3B9UwWkhDmAlv/doDW9NOAfRl7tUIK2MUHsN2ZIUVSK0Nzw==" saltValue="9BF1FAXZfEsAO9KA2nFHKg==" spinCount="100000" sheet="1" objects="1" scenarios="1"/>
  <protectedRanges>
    <protectedRange sqref="A1:XFD1048576" name="all"/>
  </protectedRanges>
  <pageMargins left="0.7" right="0.7" top="0.75" bottom="0.75" header="0.3" footer="0.3"/>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2" tint="-0.249977111117893"/>
  </sheetPr>
  <dimension ref="B2:L52"/>
  <sheetViews>
    <sheetView workbookViewId="0">
      <selection sqref="A1:XFD1048576"/>
    </sheetView>
  </sheetViews>
  <sheetFormatPr defaultColWidth="9.140625" defaultRowHeight="14.25" x14ac:dyDescent="0.2"/>
  <cols>
    <col min="1" max="1" width="9.140625" style="110"/>
    <col min="2" max="2" width="45.42578125" style="110" customWidth="1"/>
    <col min="3" max="3" width="20.42578125" style="110" customWidth="1"/>
    <col min="4" max="4" width="17.140625" style="111" bestFit="1" customWidth="1"/>
    <col min="5" max="5" width="13.85546875" style="111" bestFit="1" customWidth="1"/>
    <col min="6" max="6" width="8.85546875" style="111" bestFit="1" customWidth="1"/>
    <col min="7" max="11" width="9.140625" style="111"/>
    <col min="12" max="12" width="23.42578125" style="110" customWidth="1"/>
    <col min="13" max="16384" width="9.140625" style="110"/>
  </cols>
  <sheetData>
    <row r="2" spans="2:12" x14ac:dyDescent="0.2">
      <c r="B2" s="110" t="s">
        <v>901</v>
      </c>
    </row>
    <row r="4" spans="2:12" ht="15" thickBot="1" x14ac:dyDescent="0.25"/>
    <row r="5" spans="2:12" ht="15" thickTop="1" x14ac:dyDescent="0.2">
      <c r="B5" s="959" t="s">
        <v>902</v>
      </c>
      <c r="C5" s="961" t="s">
        <v>903</v>
      </c>
      <c r="D5" s="963" t="s">
        <v>904</v>
      </c>
      <c r="E5" s="963"/>
      <c r="F5" s="963"/>
      <c r="G5" s="963"/>
      <c r="H5" s="963"/>
      <c r="I5" s="963"/>
      <c r="J5" s="963"/>
      <c r="K5" s="349"/>
      <c r="L5" s="112"/>
    </row>
    <row r="6" spans="2:12" x14ac:dyDescent="0.2">
      <c r="B6" s="960"/>
      <c r="C6" s="962"/>
      <c r="D6" s="41" t="s">
        <v>905</v>
      </c>
      <c r="E6" s="41" t="s">
        <v>906</v>
      </c>
      <c r="F6" s="41" t="s">
        <v>907</v>
      </c>
      <c r="G6" s="41" t="s">
        <v>908</v>
      </c>
      <c r="H6" s="41" t="s">
        <v>909</v>
      </c>
      <c r="I6" s="41" t="s">
        <v>910</v>
      </c>
      <c r="J6" s="41" t="s">
        <v>911</v>
      </c>
      <c r="K6" s="41" t="s">
        <v>1537</v>
      </c>
      <c r="L6" s="113" t="s">
        <v>829</v>
      </c>
    </row>
    <row r="7" spans="2:12" x14ac:dyDescent="0.2">
      <c r="B7" s="114"/>
      <c r="C7" s="115"/>
      <c r="D7" s="41"/>
      <c r="E7" s="41"/>
      <c r="F7" s="41"/>
      <c r="G7" s="41"/>
      <c r="H7" s="41"/>
      <c r="I7" s="41"/>
      <c r="J7" s="41"/>
      <c r="K7" s="41"/>
      <c r="L7" s="113"/>
    </row>
    <row r="8" spans="2:12" x14ac:dyDescent="0.2">
      <c r="B8" s="116" t="s">
        <v>912</v>
      </c>
      <c r="C8" s="117"/>
      <c r="D8" s="59"/>
      <c r="E8" s="59"/>
      <c r="F8" s="59"/>
      <c r="G8" s="59"/>
      <c r="H8" s="59"/>
      <c r="I8" s="59"/>
      <c r="J8" s="59"/>
      <c r="K8" s="59"/>
      <c r="L8" s="118"/>
    </row>
    <row r="9" spans="2:12" x14ac:dyDescent="0.2">
      <c r="B9" s="119" t="s">
        <v>913</v>
      </c>
      <c r="C9" s="120"/>
      <c r="D9" s="65"/>
      <c r="E9" s="65"/>
      <c r="F9" s="65"/>
      <c r="G9" s="65"/>
      <c r="H9" s="65"/>
      <c r="I9" s="65"/>
      <c r="J9" s="65"/>
      <c r="K9" s="65"/>
      <c r="L9" s="121"/>
    </row>
    <row r="10" spans="2:12" x14ac:dyDescent="0.2">
      <c r="B10" s="119" t="s">
        <v>914</v>
      </c>
      <c r="C10" s="120"/>
      <c r="D10" s="65"/>
      <c r="E10" s="122">
        <v>0.6</v>
      </c>
      <c r="F10" s="65"/>
      <c r="G10" s="65"/>
      <c r="H10" s="65"/>
      <c r="I10" s="65"/>
      <c r="J10" s="65"/>
      <c r="K10" s="65"/>
      <c r="L10" s="121" t="s">
        <v>915</v>
      </c>
    </row>
    <row r="11" spans="2:12" x14ac:dyDescent="0.2">
      <c r="B11" s="119" t="s">
        <v>916</v>
      </c>
      <c r="C11" s="120"/>
      <c r="D11" s="65"/>
      <c r="E11" s="65"/>
      <c r="F11" s="65"/>
      <c r="G11" s="65"/>
      <c r="H11" s="65"/>
      <c r="I11" s="65"/>
      <c r="J11" s="65"/>
      <c r="K11" s="65"/>
      <c r="L11" s="121"/>
    </row>
    <row r="12" spans="2:12" x14ac:dyDescent="0.2">
      <c r="B12" s="119" t="s">
        <v>917</v>
      </c>
      <c r="C12" s="120"/>
      <c r="D12" s="65"/>
      <c r="E12" s="690">
        <v>0.45</v>
      </c>
      <c r="F12" s="65"/>
      <c r="G12" s="65"/>
      <c r="H12" s="65"/>
      <c r="I12" s="65"/>
      <c r="J12" s="65"/>
      <c r="K12" s="65"/>
      <c r="L12" s="691" t="s">
        <v>915</v>
      </c>
    </row>
    <row r="13" spans="2:12" x14ac:dyDescent="0.2">
      <c r="B13" s="119" t="s">
        <v>918</v>
      </c>
      <c r="C13" s="123" t="s">
        <v>816</v>
      </c>
      <c r="D13" s="65"/>
      <c r="E13" s="111">
        <v>4.5</v>
      </c>
      <c r="F13" s="65"/>
      <c r="G13" s="65"/>
      <c r="H13" s="65"/>
      <c r="I13" s="65"/>
      <c r="J13" s="65"/>
      <c r="K13" s="65"/>
      <c r="L13" s="121" t="s">
        <v>919</v>
      </c>
    </row>
    <row r="14" spans="2:12" x14ac:dyDescent="0.2">
      <c r="B14" s="119" t="s">
        <v>1475</v>
      </c>
      <c r="C14" s="123" t="s">
        <v>816</v>
      </c>
      <c r="D14" s="65"/>
      <c r="E14" s="111">
        <v>80</v>
      </c>
      <c r="F14" s="65"/>
      <c r="G14" s="65"/>
      <c r="H14" s="65"/>
      <c r="I14" s="65"/>
      <c r="J14" s="65"/>
      <c r="K14" s="65"/>
      <c r="L14" s="121" t="s">
        <v>1477</v>
      </c>
    </row>
    <row r="15" spans="2:12" x14ac:dyDescent="0.2">
      <c r="B15" s="119" t="s">
        <v>1476</v>
      </c>
      <c r="C15" s="123" t="s">
        <v>816</v>
      </c>
      <c r="D15" s="65"/>
      <c r="E15" s="111" t="s">
        <v>1869</v>
      </c>
      <c r="F15" s="65" t="s">
        <v>1870</v>
      </c>
      <c r="G15" s="65" t="s">
        <v>1871</v>
      </c>
      <c r="H15" s="65"/>
      <c r="I15" s="65"/>
      <c r="J15" s="65"/>
      <c r="K15" s="65"/>
      <c r="L15" s="121"/>
    </row>
    <row r="16" spans="2:12" x14ac:dyDescent="0.2">
      <c r="B16" s="119" t="s">
        <v>1478</v>
      </c>
      <c r="C16" s="123"/>
      <c r="D16" s="65"/>
      <c r="E16" s="689">
        <v>4.5</v>
      </c>
      <c r="F16" s="74">
        <v>4.4000000000000004</v>
      </c>
      <c r="G16" s="74">
        <v>6</v>
      </c>
      <c r="H16" s="65"/>
      <c r="I16" s="65"/>
      <c r="J16" s="65"/>
      <c r="K16" s="65"/>
      <c r="L16" s="121" t="s">
        <v>1868</v>
      </c>
    </row>
    <row r="17" spans="2:12" x14ac:dyDescent="0.2">
      <c r="B17" s="119" t="s">
        <v>1479</v>
      </c>
      <c r="C17" s="123"/>
      <c r="D17" s="65"/>
      <c r="E17" s="111">
        <v>33</v>
      </c>
      <c r="F17" s="65">
        <v>33</v>
      </c>
      <c r="G17" s="65">
        <v>33</v>
      </c>
      <c r="H17" s="65"/>
      <c r="I17" s="65"/>
      <c r="J17" s="65"/>
      <c r="K17" s="65"/>
      <c r="L17" s="121" t="s">
        <v>1868</v>
      </c>
    </row>
    <row r="18" spans="2:12" x14ac:dyDescent="0.2">
      <c r="B18" s="119" t="s">
        <v>1480</v>
      </c>
      <c r="C18" s="123"/>
      <c r="D18" s="65"/>
      <c r="E18" s="111">
        <v>23</v>
      </c>
      <c r="F18" s="65">
        <v>23</v>
      </c>
      <c r="G18" s="65">
        <v>23</v>
      </c>
      <c r="H18" s="65"/>
      <c r="I18" s="65"/>
      <c r="J18" s="65"/>
      <c r="K18" s="65"/>
      <c r="L18" s="121" t="s">
        <v>1868</v>
      </c>
    </row>
    <row r="19" spans="2:12" x14ac:dyDescent="0.2">
      <c r="B19" s="119" t="s">
        <v>1481</v>
      </c>
      <c r="C19" s="123"/>
      <c r="D19" s="65"/>
      <c r="E19" s="111">
        <v>2.5</v>
      </c>
      <c r="F19" s="65">
        <v>1.9</v>
      </c>
      <c r="G19" s="65">
        <v>2</v>
      </c>
      <c r="H19" s="65"/>
      <c r="I19" s="65"/>
      <c r="J19" s="65"/>
      <c r="K19" s="65"/>
      <c r="L19" s="121" t="s">
        <v>1868</v>
      </c>
    </row>
    <row r="20" spans="2:12" x14ac:dyDescent="0.2">
      <c r="B20" s="119" t="s">
        <v>1867</v>
      </c>
      <c r="C20" s="123"/>
      <c r="D20" s="65"/>
      <c r="E20" s="111">
        <v>7.7</v>
      </c>
      <c r="F20" s="74">
        <f>E20</f>
        <v>7.7</v>
      </c>
      <c r="G20" s="74">
        <f>E20</f>
        <v>7.7</v>
      </c>
      <c r="H20" s="65"/>
      <c r="I20" s="65"/>
      <c r="J20" s="65"/>
      <c r="K20" s="65"/>
      <c r="L20" s="121" t="s">
        <v>1868</v>
      </c>
    </row>
    <row r="21" spans="2:12" x14ac:dyDescent="0.2">
      <c r="B21" s="116" t="s">
        <v>920</v>
      </c>
      <c r="C21" s="117"/>
      <c r="D21" s="59"/>
      <c r="E21" s="59"/>
      <c r="F21" s="59"/>
      <c r="G21" s="59"/>
      <c r="H21" s="59"/>
      <c r="I21" s="59"/>
      <c r="J21" s="59"/>
      <c r="K21" s="59"/>
      <c r="L21" s="118"/>
    </row>
    <row r="22" spans="2:12" ht="15" x14ac:dyDescent="0.25">
      <c r="B22" s="119" t="s">
        <v>921</v>
      </c>
      <c r="C22" s="120" t="s">
        <v>922</v>
      </c>
      <c r="D22" s="65">
        <f>0.12*44/12</f>
        <v>0.43999999999999995</v>
      </c>
      <c r="E22"/>
      <c r="F22" s="65"/>
      <c r="G22" s="65"/>
      <c r="H22" s="65"/>
      <c r="I22" s="65"/>
      <c r="J22" s="65"/>
      <c r="K22" s="65"/>
      <c r="L22" s="121" t="s">
        <v>915</v>
      </c>
    </row>
    <row r="23" spans="2:12" x14ac:dyDescent="0.2">
      <c r="B23" s="124" t="s">
        <v>923</v>
      </c>
      <c r="C23" s="117"/>
      <c r="D23" s="59"/>
      <c r="E23" s="59"/>
      <c r="F23" s="59"/>
      <c r="G23" s="59"/>
      <c r="H23" s="59"/>
      <c r="I23" s="59"/>
      <c r="J23" s="59"/>
      <c r="K23" s="59"/>
      <c r="L23" s="118"/>
    </row>
    <row r="24" spans="2:12" x14ac:dyDescent="0.2">
      <c r="B24" s="119" t="s">
        <v>924</v>
      </c>
      <c r="C24" s="120" t="s">
        <v>925</v>
      </c>
      <c r="D24" s="65"/>
      <c r="E24" s="65"/>
      <c r="F24" s="65"/>
      <c r="G24" s="65"/>
      <c r="H24" s="65"/>
      <c r="I24" s="65"/>
      <c r="J24" s="65">
        <v>100</v>
      </c>
      <c r="K24" s="65"/>
      <c r="L24" s="121" t="s">
        <v>926</v>
      </c>
    </row>
    <row r="25" spans="2:12" x14ac:dyDescent="0.2">
      <c r="B25" s="119" t="s">
        <v>927</v>
      </c>
      <c r="C25" s="120" t="s">
        <v>925</v>
      </c>
      <c r="D25" s="65"/>
      <c r="E25" s="65"/>
      <c r="F25" s="65"/>
      <c r="G25" s="65"/>
      <c r="H25" s="65"/>
      <c r="I25" s="65"/>
      <c r="J25" s="65">
        <v>200</v>
      </c>
      <c r="K25" s="65"/>
      <c r="L25" s="121" t="s">
        <v>926</v>
      </c>
    </row>
    <row r="26" spans="2:12" ht="15" x14ac:dyDescent="0.25">
      <c r="B26" s="124" t="s">
        <v>928</v>
      </c>
      <c r="C26" s="125"/>
      <c r="D26" s="59"/>
      <c r="E26" s="59"/>
      <c r="F26" s="59"/>
      <c r="G26" s="59"/>
      <c r="H26" s="59"/>
      <c r="I26" s="59"/>
      <c r="J26" s="59"/>
      <c r="K26" s="59"/>
      <c r="L26" s="118"/>
    </row>
    <row r="27" spans="2:12" x14ac:dyDescent="0.2">
      <c r="B27" s="119" t="s">
        <v>929</v>
      </c>
      <c r="C27" s="120" t="s">
        <v>858</v>
      </c>
      <c r="D27" s="65">
        <v>265</v>
      </c>
      <c r="E27" s="65"/>
      <c r="F27" s="65"/>
      <c r="G27" s="65"/>
      <c r="H27" s="65"/>
      <c r="I27" s="65"/>
      <c r="J27" s="65"/>
      <c r="K27" s="65"/>
      <c r="L27" s="121"/>
    </row>
    <row r="28" spans="2:12" x14ac:dyDescent="0.2">
      <c r="B28" s="119" t="s">
        <v>930</v>
      </c>
      <c r="C28" s="120" t="s">
        <v>858</v>
      </c>
      <c r="D28" s="74">
        <v>25.5</v>
      </c>
      <c r="E28" s="65"/>
      <c r="F28" s="65"/>
      <c r="G28" s="65"/>
      <c r="H28" s="65"/>
      <c r="I28" s="65"/>
      <c r="J28" s="65"/>
      <c r="K28" s="65"/>
      <c r="L28" s="121"/>
    </row>
    <row r="29" spans="2:12" x14ac:dyDescent="0.2">
      <c r="B29" s="119" t="s">
        <v>931</v>
      </c>
      <c r="C29" s="120" t="s">
        <v>858</v>
      </c>
      <c r="D29" s="65"/>
      <c r="E29" s="65"/>
      <c r="F29" s="65"/>
      <c r="G29" s="65"/>
      <c r="H29" s="65"/>
      <c r="I29" s="65">
        <v>1</v>
      </c>
      <c r="J29" s="65"/>
      <c r="K29" s="65"/>
      <c r="L29" s="121"/>
    </row>
    <row r="30" spans="2:12" x14ac:dyDescent="0.2">
      <c r="B30" s="119" t="s">
        <v>932</v>
      </c>
      <c r="C30" s="120" t="s">
        <v>858</v>
      </c>
      <c r="D30" s="65"/>
      <c r="E30" s="65"/>
      <c r="F30" s="65"/>
      <c r="G30" s="65"/>
      <c r="H30" s="65"/>
      <c r="I30" s="65">
        <v>10.45</v>
      </c>
      <c r="J30" s="65"/>
      <c r="K30" s="65"/>
      <c r="L30" s="121"/>
    </row>
    <row r="31" spans="2:12" x14ac:dyDescent="0.2">
      <c r="B31" s="119" t="s">
        <v>933</v>
      </c>
      <c r="C31" s="120" t="s">
        <v>858</v>
      </c>
      <c r="D31" s="65"/>
      <c r="E31" s="65"/>
      <c r="F31" s="65"/>
      <c r="G31" s="65"/>
      <c r="H31" s="65"/>
      <c r="I31" s="65">
        <v>3.64</v>
      </c>
      <c r="J31" s="65"/>
      <c r="K31" s="65">
        <v>1.88</v>
      </c>
      <c r="L31" s="121" t="s">
        <v>1538</v>
      </c>
    </row>
    <row r="32" spans="2:12" ht="15" thickBot="1" x14ac:dyDescent="0.25">
      <c r="B32" s="126" t="s">
        <v>934</v>
      </c>
      <c r="C32" s="127" t="s">
        <v>858</v>
      </c>
      <c r="D32" s="128"/>
      <c r="E32" s="128"/>
      <c r="F32" s="128"/>
      <c r="G32" s="128"/>
      <c r="H32" s="128"/>
      <c r="I32" s="128">
        <v>1.35</v>
      </c>
      <c r="J32" s="128"/>
      <c r="K32" s="128">
        <v>1.07</v>
      </c>
      <c r="L32" s="129" t="s">
        <v>1538</v>
      </c>
    </row>
    <row r="33" spans="2:12" ht="15" thickTop="1" x14ac:dyDescent="0.2">
      <c r="B33" s="130" t="s">
        <v>935</v>
      </c>
    </row>
    <row r="34" spans="2:12" ht="15" thickBot="1" x14ac:dyDescent="0.25"/>
    <row r="35" spans="2:12" ht="15" thickTop="1" x14ac:dyDescent="0.2">
      <c r="B35" s="131" t="s">
        <v>936</v>
      </c>
      <c r="C35" s="130"/>
      <c r="D35" s="132"/>
      <c r="E35" s="132"/>
      <c r="F35" s="132"/>
      <c r="G35" s="132"/>
      <c r="H35" s="132"/>
      <c r="I35" s="132"/>
      <c r="J35" s="132"/>
      <c r="K35" s="132"/>
      <c r="L35" s="133"/>
    </row>
    <row r="36" spans="2:12" x14ac:dyDescent="0.2">
      <c r="B36" s="134"/>
      <c r="C36" s="63"/>
      <c r="D36" s="65"/>
      <c r="E36" s="65"/>
      <c r="F36" s="65"/>
      <c r="G36" s="65"/>
      <c r="H36" s="65"/>
      <c r="I36" s="65"/>
      <c r="J36" s="65"/>
      <c r="K36" s="65"/>
      <c r="L36" s="121"/>
    </row>
    <row r="37" spans="2:12" x14ac:dyDescent="0.2">
      <c r="B37" s="135" t="s">
        <v>937</v>
      </c>
      <c r="C37" s="63"/>
      <c r="D37" s="65"/>
      <c r="E37" s="65"/>
      <c r="F37" s="65"/>
      <c r="G37" s="65"/>
      <c r="H37" s="65"/>
      <c r="I37" s="65"/>
      <c r="J37" s="65"/>
      <c r="K37" s="65"/>
      <c r="L37" s="121"/>
    </row>
    <row r="38" spans="2:12" x14ac:dyDescent="0.2">
      <c r="B38" s="119" t="s">
        <v>938</v>
      </c>
      <c r="C38" s="63"/>
      <c r="D38" s="63"/>
      <c r="E38" s="136" t="s">
        <v>939</v>
      </c>
      <c r="F38" s="65"/>
      <c r="G38" s="65"/>
      <c r="H38" s="65"/>
      <c r="I38" s="65"/>
      <c r="J38" s="65"/>
      <c r="K38" s="65"/>
      <c r="L38" s="121"/>
    </row>
    <row r="39" spans="2:12" x14ac:dyDescent="0.2">
      <c r="B39" s="119" t="s">
        <v>940</v>
      </c>
      <c r="C39" s="63"/>
      <c r="D39" s="63"/>
      <c r="E39" s="136" t="s">
        <v>941</v>
      </c>
      <c r="F39" s="65"/>
      <c r="G39" s="65"/>
      <c r="H39" s="65"/>
      <c r="I39" s="65"/>
      <c r="J39" s="65"/>
      <c r="K39" s="65"/>
      <c r="L39" s="121"/>
    </row>
    <row r="40" spans="2:12" x14ac:dyDescent="0.2">
      <c r="B40" s="119" t="s">
        <v>942</v>
      </c>
      <c r="C40" s="63"/>
      <c r="D40" s="63"/>
      <c r="E40" s="136" t="s">
        <v>943</v>
      </c>
      <c r="F40" s="65"/>
      <c r="G40" s="65"/>
      <c r="H40" s="65"/>
      <c r="I40" s="65"/>
      <c r="J40" s="65"/>
      <c r="K40" s="65"/>
      <c r="L40" s="121"/>
    </row>
    <row r="41" spans="2:12" x14ac:dyDescent="0.2">
      <c r="B41" s="119"/>
      <c r="C41" s="63"/>
      <c r="D41" s="65"/>
      <c r="E41" s="65"/>
      <c r="F41" s="65"/>
      <c r="G41" s="65"/>
      <c r="H41" s="65"/>
      <c r="I41" s="65"/>
      <c r="J41" s="65"/>
      <c r="K41" s="65"/>
      <c r="L41" s="121"/>
    </row>
    <row r="42" spans="2:12" x14ac:dyDescent="0.2">
      <c r="B42" s="135" t="s">
        <v>944</v>
      </c>
      <c r="C42" s="63"/>
      <c r="D42" s="63"/>
      <c r="E42" s="65"/>
      <c r="F42" s="65"/>
      <c r="G42" s="65"/>
      <c r="H42" s="65"/>
      <c r="I42" s="65"/>
      <c r="J42" s="65"/>
      <c r="K42" s="65"/>
      <c r="L42" s="121"/>
    </row>
    <row r="43" spans="2:12" x14ac:dyDescent="0.2">
      <c r="B43" s="119" t="s">
        <v>945</v>
      </c>
      <c r="C43" s="63"/>
      <c r="D43" s="63"/>
      <c r="E43" s="136" t="s">
        <v>939</v>
      </c>
      <c r="F43" s="65"/>
      <c r="G43" s="65"/>
      <c r="H43" s="65"/>
      <c r="I43" s="65"/>
      <c r="J43" s="65"/>
      <c r="K43" s="65"/>
      <c r="L43" s="121"/>
    </row>
    <row r="44" spans="2:12" x14ac:dyDescent="0.2">
      <c r="B44" s="119" t="s">
        <v>946</v>
      </c>
      <c r="C44" s="63"/>
      <c r="D44" s="136"/>
      <c r="E44" s="137" t="s">
        <v>947</v>
      </c>
      <c r="F44" s="138"/>
      <c r="G44" s="138"/>
      <c r="H44" s="138"/>
      <c r="I44" s="138"/>
      <c r="J44" s="65"/>
      <c r="K44" s="65"/>
      <c r="L44" s="121"/>
    </row>
    <row r="45" spans="2:12" x14ac:dyDescent="0.2">
      <c r="B45" s="139" t="s">
        <v>948</v>
      </c>
      <c r="C45" s="140"/>
      <c r="D45" s="137"/>
      <c r="E45" s="137" t="s">
        <v>949</v>
      </c>
      <c r="F45" s="138"/>
      <c r="G45" s="138"/>
      <c r="H45" s="138"/>
      <c r="I45" s="138"/>
      <c r="J45" s="65"/>
      <c r="K45" s="65"/>
      <c r="L45" s="121"/>
    </row>
    <row r="46" spans="2:12" x14ac:dyDescent="0.2">
      <c r="B46" s="119" t="s">
        <v>950</v>
      </c>
      <c r="C46" s="63"/>
      <c r="D46" s="65"/>
      <c r="E46" s="137" t="s">
        <v>951</v>
      </c>
      <c r="F46" s="138"/>
      <c r="G46" s="138"/>
      <c r="H46" s="138"/>
      <c r="I46" s="138"/>
      <c r="J46" s="65"/>
      <c r="K46" s="65"/>
      <c r="L46" s="121"/>
    </row>
    <row r="47" spans="2:12" x14ac:dyDescent="0.2">
      <c r="B47" s="139" t="s">
        <v>952</v>
      </c>
      <c r="C47" s="63"/>
      <c r="D47" s="65"/>
      <c r="E47" s="137" t="s">
        <v>953</v>
      </c>
      <c r="F47" s="138"/>
      <c r="G47" s="138"/>
      <c r="H47" s="138"/>
      <c r="I47" s="138"/>
      <c r="J47" s="65"/>
      <c r="K47" s="65"/>
      <c r="L47" s="121"/>
    </row>
    <row r="48" spans="2:12" x14ac:dyDescent="0.2">
      <c r="B48" s="119"/>
      <c r="C48" s="63"/>
      <c r="D48" s="65"/>
      <c r="E48" s="137" t="s">
        <v>954</v>
      </c>
      <c r="F48" s="138"/>
      <c r="G48" s="138"/>
      <c r="H48" s="138"/>
      <c r="I48" s="138"/>
      <c r="J48" s="65"/>
      <c r="K48" s="65"/>
      <c r="L48" s="121"/>
    </row>
    <row r="49" spans="2:12" x14ac:dyDescent="0.2">
      <c r="B49" s="119"/>
      <c r="C49" s="63"/>
      <c r="D49" s="65"/>
      <c r="E49" s="137" t="s">
        <v>955</v>
      </c>
      <c r="F49" s="138"/>
      <c r="G49" s="138"/>
      <c r="H49" s="138"/>
      <c r="I49" s="138"/>
      <c r="J49" s="65"/>
      <c r="K49" s="65"/>
      <c r="L49" s="121"/>
    </row>
    <row r="50" spans="2:12" x14ac:dyDescent="0.2">
      <c r="B50" s="119"/>
      <c r="C50" s="63"/>
      <c r="D50" s="65"/>
      <c r="E50" s="137" t="s">
        <v>956</v>
      </c>
      <c r="F50" s="138"/>
      <c r="G50" s="138"/>
      <c r="H50" s="138"/>
      <c r="I50" s="138"/>
      <c r="J50" s="65"/>
      <c r="K50" s="65"/>
      <c r="L50" s="121"/>
    </row>
    <row r="51" spans="2:12" ht="15" thickBot="1" x14ac:dyDescent="0.25">
      <c r="B51" s="126"/>
      <c r="C51" s="141"/>
      <c r="D51" s="128"/>
      <c r="E51" s="142" t="s">
        <v>957</v>
      </c>
      <c r="F51" s="143"/>
      <c r="G51" s="143"/>
      <c r="H51" s="143"/>
      <c r="I51" s="143"/>
      <c r="J51" s="128"/>
      <c r="K51" s="128"/>
      <c r="L51" s="129"/>
    </row>
    <row r="52" spans="2:12" ht="15" thickTop="1" x14ac:dyDescent="0.2"/>
  </sheetData>
  <sheetProtection algorithmName="SHA-512" hashValue="vCuzo8Xf4k2mNnOZwlUdY/OSA5B5IVpksV1Z9zRGyETDkb5+wRMc1sHeGtsHPjk59Tz+4eHMaD/nQrcag6ROOg==" saltValue="8IbDzfvUiZyaMsBaNXQxyw==" spinCount="100000" sheet="1" objects="1" scenarios="1"/>
  <protectedRanges>
    <protectedRange sqref="A1:XFD1048576" name="alll"/>
  </protectedRanges>
  <mergeCells count="3">
    <mergeCell ref="B5:B6"/>
    <mergeCell ref="C5:C6"/>
    <mergeCell ref="D5:J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2" tint="-0.249977111117893"/>
  </sheetPr>
  <dimension ref="B1:AR43"/>
  <sheetViews>
    <sheetView topLeftCell="D1" workbookViewId="0">
      <selection activeCell="R16" sqref="R16"/>
    </sheetView>
  </sheetViews>
  <sheetFormatPr defaultColWidth="8.85546875" defaultRowHeight="15" x14ac:dyDescent="0.25"/>
  <cols>
    <col min="2" max="2" width="15" customWidth="1"/>
    <col min="3" max="3" width="28" customWidth="1"/>
    <col min="4" max="4" width="2.42578125" customWidth="1"/>
    <col min="5" max="5" width="37.7109375" customWidth="1"/>
    <col min="6" max="6" width="10.42578125" bestFit="1" customWidth="1"/>
    <col min="12" max="12" width="6.7109375" customWidth="1"/>
    <col min="13" max="13" width="11.140625" customWidth="1"/>
    <col min="18" max="18" width="30.28515625" customWidth="1"/>
    <col min="22" max="22" width="12.7109375" bestFit="1" customWidth="1"/>
    <col min="24" max="24" width="14.85546875" bestFit="1" customWidth="1"/>
    <col min="25" max="25" width="14.28515625" bestFit="1" customWidth="1"/>
    <col min="34" max="34" width="33.7109375" customWidth="1"/>
    <col min="36" max="36" width="8.85546875" style="199"/>
    <col min="37" max="37" width="13.85546875" style="199" customWidth="1"/>
    <col min="38" max="38" width="25.85546875" style="199" customWidth="1"/>
    <col min="39" max="44" width="8.85546875" style="199"/>
  </cols>
  <sheetData>
    <row r="1" spans="2:34" x14ac:dyDescent="0.25">
      <c r="R1" s="8">
        <v>1</v>
      </c>
      <c r="S1" s="8">
        <v>2</v>
      </c>
      <c r="T1" s="8">
        <v>3</v>
      </c>
      <c r="U1" s="8">
        <v>4</v>
      </c>
      <c r="V1" s="8">
        <v>5</v>
      </c>
      <c r="W1" s="8">
        <v>6</v>
      </c>
      <c r="X1" s="8">
        <v>7</v>
      </c>
      <c r="Y1" s="8">
        <v>8</v>
      </c>
      <c r="Z1" s="8">
        <v>9</v>
      </c>
      <c r="AA1" s="8">
        <v>10</v>
      </c>
      <c r="AB1" s="8">
        <v>11</v>
      </c>
      <c r="AC1" s="8">
        <v>12</v>
      </c>
      <c r="AD1" s="8">
        <v>13</v>
      </c>
      <c r="AE1" s="8">
        <v>14</v>
      </c>
      <c r="AF1" s="8">
        <v>15</v>
      </c>
      <c r="AG1" s="8">
        <v>16</v>
      </c>
      <c r="AH1" s="8">
        <v>17</v>
      </c>
    </row>
    <row r="2" spans="2:34" x14ac:dyDescent="0.25">
      <c r="B2" s="3" t="s">
        <v>1276</v>
      </c>
      <c r="C2" s="210"/>
      <c r="E2" s="394"/>
      <c r="F2" s="2" t="s">
        <v>1608</v>
      </c>
      <c r="M2" s="211" t="s">
        <v>1766</v>
      </c>
      <c r="N2" s="28"/>
      <c r="Q2" s="28" t="s">
        <v>1394</v>
      </c>
      <c r="R2" s="28"/>
      <c r="S2" s="28"/>
      <c r="T2" s="28"/>
      <c r="U2" s="28"/>
      <c r="V2" s="28"/>
      <c r="W2" s="28"/>
      <c r="X2" s="28"/>
      <c r="Y2" s="28"/>
      <c r="Z2" s="28"/>
      <c r="AA2" s="28"/>
      <c r="AB2" s="28"/>
      <c r="AC2" s="28"/>
      <c r="AD2" s="28"/>
      <c r="AE2" s="28"/>
      <c r="AF2" s="28"/>
      <c r="AG2" s="28"/>
      <c r="AH2" s="28"/>
    </row>
    <row r="3" spans="2:34" ht="16.5" thickBot="1" x14ac:dyDescent="0.3">
      <c r="B3" t="s">
        <v>1610</v>
      </c>
      <c r="F3" t="s">
        <v>1018</v>
      </c>
      <c r="G3" t="s">
        <v>1019</v>
      </c>
      <c r="H3" t="s">
        <v>1022</v>
      </c>
      <c r="I3" s="176"/>
      <c r="M3" s="218" t="s">
        <v>1023</v>
      </c>
      <c r="N3">
        <f>IF('input-data'!B3=topdowntables!M3, 1, 0)</f>
        <v>0</v>
      </c>
      <c r="S3" t="s">
        <v>1485</v>
      </c>
      <c r="T3" t="s">
        <v>1486</v>
      </c>
      <c r="U3" t="s">
        <v>1488</v>
      </c>
      <c r="V3" t="s">
        <v>1492</v>
      </c>
      <c r="W3" t="s">
        <v>1494</v>
      </c>
      <c r="X3" t="s">
        <v>1496</v>
      </c>
      <c r="Y3" t="s">
        <v>1498</v>
      </c>
      <c r="Z3" t="s">
        <v>1500</v>
      </c>
      <c r="AA3" t="s">
        <v>1501</v>
      </c>
      <c r="AB3" s="330" t="s">
        <v>1517</v>
      </c>
      <c r="AC3" t="s">
        <v>1518</v>
      </c>
      <c r="AD3" t="s">
        <v>1529</v>
      </c>
      <c r="AE3" t="s">
        <v>1532</v>
      </c>
      <c r="AF3" t="s">
        <v>1535</v>
      </c>
      <c r="AG3" t="s">
        <v>1539</v>
      </c>
    </row>
    <row r="4" spans="2:34" ht="15.75" x14ac:dyDescent="0.25">
      <c r="B4" s="191" t="s">
        <v>983</v>
      </c>
      <c r="C4" s="192" t="s">
        <v>1011</v>
      </c>
      <c r="D4" s="192"/>
      <c r="E4" s="208" t="s">
        <v>218</v>
      </c>
      <c r="F4" s="192">
        <v>180</v>
      </c>
      <c r="G4" s="192">
        <v>180</v>
      </c>
      <c r="H4" s="192">
        <v>1</v>
      </c>
      <c r="I4" s="193"/>
      <c r="J4" s="194"/>
      <c r="M4" s="218" t="s">
        <v>1024</v>
      </c>
      <c r="N4">
        <f>IF('input-data'!B3=topdowntables!M4, 1, 0)</f>
        <v>1</v>
      </c>
      <c r="Q4" s="221" t="s">
        <v>4</v>
      </c>
      <c r="R4" s="223" t="s">
        <v>1395</v>
      </c>
      <c r="S4" s="192"/>
      <c r="T4" s="192"/>
      <c r="U4" s="192"/>
      <c r="V4" s="192"/>
      <c r="W4" s="192"/>
      <c r="X4" s="192"/>
      <c r="Y4" s="192"/>
      <c r="Z4" s="192"/>
      <c r="AA4" s="192"/>
      <c r="AB4" s="192"/>
      <c r="AC4" s="192"/>
      <c r="AD4" s="192"/>
      <c r="AE4" s="192"/>
      <c r="AF4" s="192"/>
      <c r="AG4" s="192"/>
      <c r="AH4" s="194"/>
    </row>
    <row r="5" spans="2:34" x14ac:dyDescent="0.25">
      <c r="B5" s="195"/>
      <c r="C5" s="1" t="s">
        <v>1010</v>
      </c>
      <c r="D5" s="1"/>
      <c r="E5" s="209" t="s">
        <v>218</v>
      </c>
      <c r="F5" s="1">
        <v>0</v>
      </c>
      <c r="G5" s="1">
        <v>0</v>
      </c>
      <c r="H5" s="1"/>
      <c r="I5" s="188"/>
      <c r="J5" s="196"/>
      <c r="Q5" s="195"/>
      <c r="R5" s="1" t="s">
        <v>1813</v>
      </c>
      <c r="S5" s="1">
        <v>0.45</v>
      </c>
      <c r="T5" s="1">
        <v>0.17</v>
      </c>
      <c r="U5" s="1">
        <v>0.55000000000000004</v>
      </c>
      <c r="V5" s="199">
        <f>Fodertabel!L23/100</f>
        <v>0.85</v>
      </c>
      <c r="W5" s="327">
        <f>Fodertabel!F23</f>
        <v>1.0581645567169899</v>
      </c>
      <c r="X5" s="199">
        <v>1</v>
      </c>
      <c r="Y5" s="199">
        <v>55</v>
      </c>
      <c r="Z5" s="199">
        <v>0.8</v>
      </c>
      <c r="AA5" s="199">
        <v>1</v>
      </c>
      <c r="AB5" s="199">
        <v>4.7</v>
      </c>
      <c r="AC5" s="199">
        <v>9.85</v>
      </c>
      <c r="AD5" s="199">
        <v>10.1</v>
      </c>
      <c r="AE5" s="199">
        <v>4</v>
      </c>
      <c r="AF5" s="199">
        <f>3.29/100</f>
        <v>3.2899999999999999E-2</v>
      </c>
      <c r="AG5" s="329">
        <v>0.28999999999999998</v>
      </c>
      <c r="AH5" s="819" t="s">
        <v>1995</v>
      </c>
    </row>
    <row r="6" spans="2:34" x14ac:dyDescent="0.25">
      <c r="B6" s="195"/>
      <c r="C6" s="1" t="s">
        <v>1012</v>
      </c>
      <c r="D6" s="1"/>
      <c r="E6" s="187" t="s">
        <v>1013</v>
      </c>
      <c r="F6" s="1">
        <f>IF('input-data'!F303&gt;180,180,'input-data'!F303)</f>
        <v>0</v>
      </c>
      <c r="G6" s="1">
        <f>IF('input-data'!F325&gt;180,180,'input-data'!F325)</f>
        <v>0</v>
      </c>
      <c r="H6" s="1">
        <v>1</v>
      </c>
      <c r="I6" s="188"/>
      <c r="J6" s="196"/>
      <c r="Q6" s="195"/>
      <c r="R6" s="1" t="s">
        <v>1814</v>
      </c>
      <c r="S6" s="1">
        <v>0.43</v>
      </c>
      <c r="T6" s="1">
        <v>0.25</v>
      </c>
      <c r="U6" s="1">
        <v>0.55000000000000004</v>
      </c>
      <c r="V6" s="199">
        <f>Fodertabel!L89/100</f>
        <v>0.85</v>
      </c>
      <c r="W6" s="327">
        <f>Fodertabel!F89</f>
        <v>1.1393234378532799</v>
      </c>
      <c r="X6" s="199">
        <v>1</v>
      </c>
      <c r="Y6" s="199">
        <v>55</v>
      </c>
      <c r="Z6" s="199">
        <v>0.8</v>
      </c>
      <c r="AA6" s="199">
        <v>1</v>
      </c>
      <c r="AB6" s="199">
        <v>5.4</v>
      </c>
      <c r="AC6" s="199">
        <v>9.3699999999999992</v>
      </c>
      <c r="AD6" s="199">
        <v>10.4</v>
      </c>
      <c r="AE6" s="199">
        <v>3.3</v>
      </c>
      <c r="AF6" s="199">
        <f>3.29/10</f>
        <v>0.32900000000000001</v>
      </c>
      <c r="AG6" s="329">
        <v>0.28999999999999998</v>
      </c>
      <c r="AH6" s="819" t="s">
        <v>1996</v>
      </c>
    </row>
    <row r="7" spans="2:34" x14ac:dyDescent="0.25">
      <c r="B7" s="197"/>
      <c r="C7" s="189"/>
      <c r="D7" s="189"/>
      <c r="E7" s="189"/>
      <c r="F7" s="189"/>
      <c r="G7" s="189"/>
      <c r="H7" s="189"/>
      <c r="I7" s="189"/>
      <c r="J7" s="198"/>
      <c r="Q7" s="195"/>
      <c r="R7" s="1" t="s">
        <v>1815</v>
      </c>
      <c r="S7" s="1">
        <v>0.4</v>
      </c>
      <c r="T7" s="1">
        <v>0.17</v>
      </c>
      <c r="U7" s="1">
        <v>0.6</v>
      </c>
      <c r="V7" s="1">
        <f>Fodertabel!L75/100</f>
        <v>0.85</v>
      </c>
      <c r="W7" s="327">
        <f>Fodertabel!F75</f>
        <v>0.84505108401083995</v>
      </c>
      <c r="X7" s="199">
        <v>1</v>
      </c>
      <c r="Y7" s="199">
        <v>60</v>
      </c>
      <c r="Z7" s="199">
        <v>0.8</v>
      </c>
      <c r="AA7" s="199">
        <v>1</v>
      </c>
      <c r="AB7" s="199">
        <v>4.7</v>
      </c>
      <c r="AC7" s="199">
        <v>9.85</v>
      </c>
      <c r="AD7" s="199">
        <v>10.6</v>
      </c>
      <c r="AE7" s="199">
        <v>4</v>
      </c>
      <c r="AF7" s="199">
        <f>3.76/10</f>
        <v>0.376</v>
      </c>
      <c r="AG7" s="329">
        <v>0.28999999999999998</v>
      </c>
      <c r="AH7" s="819" t="s">
        <v>1997</v>
      </c>
    </row>
    <row r="8" spans="2:34" x14ac:dyDescent="0.25">
      <c r="B8" s="195"/>
      <c r="C8" s="1"/>
      <c r="D8" s="1"/>
      <c r="E8" s="1"/>
      <c r="F8" s="1"/>
      <c r="G8" s="1"/>
      <c r="H8" s="1"/>
      <c r="I8" s="1"/>
      <c r="J8" s="196"/>
      <c r="Q8" s="195"/>
      <c r="R8" s="1" t="s">
        <v>1816</v>
      </c>
      <c r="S8" s="199">
        <v>0.38</v>
      </c>
      <c r="T8" s="199">
        <v>0.25</v>
      </c>
      <c r="U8" s="1">
        <v>0.8</v>
      </c>
      <c r="V8" s="1">
        <f>Fodertabel!L194/100</f>
        <v>0.85</v>
      </c>
      <c r="W8" s="327">
        <f>Fodertabel!F194</f>
        <v>1.0915497193186201</v>
      </c>
      <c r="X8" s="199">
        <v>1</v>
      </c>
      <c r="Y8" s="199">
        <v>80</v>
      </c>
      <c r="Z8" s="199">
        <v>0.8</v>
      </c>
      <c r="AA8" s="199">
        <v>1</v>
      </c>
      <c r="AB8" s="199">
        <v>5.3</v>
      </c>
      <c r="AC8" s="199">
        <v>9.3699999999999992</v>
      </c>
      <c r="AD8" s="199">
        <v>8.6</v>
      </c>
      <c r="AE8" s="199">
        <v>3.3</v>
      </c>
      <c r="AF8" s="199">
        <f>3.29/10</f>
        <v>0.32900000000000001</v>
      </c>
      <c r="AG8" s="329">
        <v>0.28999999999999998</v>
      </c>
      <c r="AH8" s="819" t="s">
        <v>1998</v>
      </c>
    </row>
    <row r="9" spans="2:34" x14ac:dyDescent="0.25">
      <c r="B9" s="220" t="s">
        <v>1275</v>
      </c>
      <c r="C9" s="199" t="s">
        <v>1269</v>
      </c>
      <c r="D9" s="1"/>
      <c r="E9" s="209" t="s">
        <v>218</v>
      </c>
      <c r="F9" s="1">
        <f>F4</f>
        <v>180</v>
      </c>
      <c r="G9" s="1">
        <f>G4</f>
        <v>180</v>
      </c>
      <c r="H9" s="1">
        <f>H4</f>
        <v>1</v>
      </c>
      <c r="I9" s="1"/>
      <c r="J9" s="196"/>
      <c r="Q9" s="195"/>
      <c r="R9" s="1" t="s">
        <v>1817</v>
      </c>
      <c r="S9" s="199">
        <v>0.41</v>
      </c>
      <c r="T9" s="199">
        <v>0.25</v>
      </c>
      <c r="U9" s="1">
        <v>0.6</v>
      </c>
      <c r="V9" s="1">
        <f>Fodertabel!L272/100</f>
        <v>0.85</v>
      </c>
      <c r="W9" s="327">
        <f>Fodertabel!F272</f>
        <v>1.12403800813008</v>
      </c>
      <c r="X9" s="199">
        <v>1</v>
      </c>
      <c r="Y9" s="199">
        <v>60</v>
      </c>
      <c r="Z9" s="199">
        <v>0.8</v>
      </c>
      <c r="AA9" s="199">
        <v>1</v>
      </c>
      <c r="AB9" s="199">
        <v>5.3</v>
      </c>
      <c r="AC9" s="199">
        <v>9.3699999999999992</v>
      </c>
      <c r="AD9" s="199">
        <v>10.5</v>
      </c>
      <c r="AE9" s="199">
        <v>3.3</v>
      </c>
      <c r="AF9" s="199">
        <f>3.53/10</f>
        <v>0.35299999999999998</v>
      </c>
      <c r="AG9" s="329">
        <v>0.28999999999999998</v>
      </c>
      <c r="AH9" s="819" t="s">
        <v>818</v>
      </c>
    </row>
    <row r="10" spans="2:34" x14ac:dyDescent="0.25">
      <c r="B10" s="195"/>
      <c r="C10" s="1" t="s">
        <v>1270</v>
      </c>
      <c r="D10" s="1"/>
      <c r="E10" s="209" t="s">
        <v>218</v>
      </c>
      <c r="F10" s="1">
        <f>F5</f>
        <v>0</v>
      </c>
      <c r="G10" s="1">
        <f>G5</f>
        <v>0</v>
      </c>
      <c r="H10" s="1"/>
      <c r="I10" s="1"/>
      <c r="J10" s="196"/>
      <c r="Q10" s="195"/>
      <c r="R10" s="1" t="s">
        <v>1818</v>
      </c>
      <c r="S10" s="188">
        <f>S5</f>
        <v>0.45</v>
      </c>
      <c r="T10" s="188">
        <f t="shared" ref="T10:U10" si="0">T5</f>
        <v>0.17</v>
      </c>
      <c r="U10" s="188">
        <f t="shared" si="0"/>
        <v>0.55000000000000004</v>
      </c>
      <c r="V10" s="1">
        <f>Fodertabel!L318/100</f>
        <v>0.85199999999999998</v>
      </c>
      <c r="W10" s="327">
        <f>Fodertabel!F318</f>
        <v>1.00958482984901</v>
      </c>
      <c r="X10" s="329">
        <v>1</v>
      </c>
      <c r="Y10" s="199">
        <v>0</v>
      </c>
      <c r="Z10" s="329">
        <v>0.8</v>
      </c>
      <c r="AA10" s="329">
        <v>1</v>
      </c>
      <c r="AB10" s="329">
        <v>5</v>
      </c>
      <c r="AC10" s="329">
        <v>5</v>
      </c>
      <c r="AD10" s="144">
        <v>24</v>
      </c>
      <c r="AE10" s="144"/>
      <c r="AF10" s="144">
        <f>4.6/10</f>
        <v>0.45999999999999996</v>
      </c>
      <c r="AG10" s="329">
        <v>0.28999999999999998</v>
      </c>
      <c r="AH10" s="819" t="s">
        <v>1999</v>
      </c>
    </row>
    <row r="11" spans="2:34" ht="15.75" thickBot="1" x14ac:dyDescent="0.3">
      <c r="B11" s="200"/>
      <c r="C11" s="201" t="s">
        <v>1271</v>
      </c>
      <c r="D11" s="201"/>
      <c r="E11" s="201" t="s">
        <v>1609</v>
      </c>
      <c r="F11" s="201">
        <f>F6</f>
        <v>0</v>
      </c>
      <c r="G11" s="201">
        <f>G6</f>
        <v>0</v>
      </c>
      <c r="H11" s="201">
        <f>H6</f>
        <v>1</v>
      </c>
      <c r="I11" s="202"/>
      <c r="J11" s="203"/>
      <c r="Q11" s="195"/>
      <c r="R11" s="1" t="s">
        <v>1819</v>
      </c>
      <c r="S11" s="199">
        <v>0.7</v>
      </c>
      <c r="T11" s="199">
        <v>0.45</v>
      </c>
      <c r="U11" s="1">
        <v>0</v>
      </c>
      <c r="V11" s="188">
        <f>(Fodertabel!L68+Fodertabel!L69)/2/100</f>
        <v>0.32600000000000001</v>
      </c>
      <c r="W11" s="328">
        <f>(Fodertabel!F68+Fodertabel!F69)/2</f>
        <v>0.21247570949477351</v>
      </c>
      <c r="X11" s="199">
        <v>20</v>
      </c>
      <c r="Y11" s="199">
        <v>0</v>
      </c>
      <c r="Z11" s="199">
        <v>0.93</v>
      </c>
      <c r="AA11" s="199">
        <v>1.1000000000000001</v>
      </c>
      <c r="AB11" s="199">
        <v>13.7</v>
      </c>
      <c r="AC11" s="199">
        <v>9.1999999999999993</v>
      </c>
      <c r="AD11" s="199">
        <v>16.3</v>
      </c>
      <c r="AE11" s="199"/>
      <c r="AF11" s="199">
        <f>3.5/10</f>
        <v>0.35</v>
      </c>
      <c r="AG11" s="329">
        <v>-0.12</v>
      </c>
      <c r="AH11" s="819" t="s">
        <v>1487</v>
      </c>
    </row>
    <row r="12" spans="2:34" x14ac:dyDescent="0.25">
      <c r="Q12" s="195"/>
      <c r="R12" s="1" t="s">
        <v>1820</v>
      </c>
      <c r="S12" s="199">
        <v>0.7</v>
      </c>
      <c r="T12" s="199">
        <v>0.45</v>
      </c>
      <c r="U12" s="1">
        <v>0</v>
      </c>
      <c r="V12" s="1">
        <f>V11</f>
        <v>0.32600000000000001</v>
      </c>
      <c r="W12" s="327">
        <f>(Fodertabel!F68+Fodertabel!F69)/2</f>
        <v>0.21247570949477351</v>
      </c>
      <c r="X12" s="199">
        <v>20</v>
      </c>
      <c r="Y12" s="199">
        <v>0</v>
      </c>
      <c r="Z12" s="199">
        <v>0.93</v>
      </c>
      <c r="AA12" s="199">
        <v>1.1000000000000001</v>
      </c>
      <c r="AB12" s="199">
        <v>13.6</v>
      </c>
      <c r="AC12" s="199">
        <v>9.1999999999999993</v>
      </c>
      <c r="AD12" s="199">
        <v>15.9</v>
      </c>
      <c r="AE12" s="199"/>
      <c r="AF12" s="199">
        <f>3.5/10</f>
        <v>0.35</v>
      </c>
      <c r="AG12" s="329">
        <v>-0.12</v>
      </c>
      <c r="AH12" s="819" t="s">
        <v>2000</v>
      </c>
    </row>
    <row r="13" spans="2:34" ht="15.75" thickBot="1" x14ac:dyDescent="0.3">
      <c r="B13" t="s">
        <v>1612</v>
      </c>
      <c r="F13" t="s">
        <v>1020</v>
      </c>
      <c r="Q13" s="195"/>
      <c r="R13" s="1" t="s">
        <v>1921</v>
      </c>
      <c r="S13" s="188">
        <f>S10</f>
        <v>0.45</v>
      </c>
      <c r="T13" s="188">
        <f t="shared" ref="T13:U13" si="1">T10</f>
        <v>0.17</v>
      </c>
      <c r="U13" s="188">
        <f t="shared" si="1"/>
        <v>0.55000000000000004</v>
      </c>
      <c r="V13" s="1">
        <v>0.84799999999999998</v>
      </c>
      <c r="W13" s="1">
        <v>0.85</v>
      </c>
      <c r="X13" s="199">
        <v>1</v>
      </c>
      <c r="Y13" s="199">
        <v>0</v>
      </c>
      <c r="Z13" s="199">
        <v>0.8</v>
      </c>
      <c r="AA13" s="199">
        <v>1</v>
      </c>
      <c r="AB13" s="329">
        <v>5</v>
      </c>
      <c r="AC13" s="329">
        <v>5</v>
      </c>
      <c r="AD13" s="199">
        <v>30.9</v>
      </c>
      <c r="AE13" s="1"/>
      <c r="AF13" s="1">
        <v>0.439</v>
      </c>
      <c r="AG13" s="329">
        <v>0.28999999999999998</v>
      </c>
      <c r="AH13" s="819" t="s">
        <v>2001</v>
      </c>
    </row>
    <row r="14" spans="2:34" x14ac:dyDescent="0.25">
      <c r="B14" s="191" t="s">
        <v>983</v>
      </c>
      <c r="C14" s="192" t="s">
        <v>985</v>
      </c>
      <c r="D14" s="192"/>
      <c r="E14" s="212" t="s">
        <v>218</v>
      </c>
      <c r="F14" s="192">
        <v>0</v>
      </c>
      <c r="G14" s="192"/>
      <c r="H14" s="192"/>
      <c r="I14" s="192"/>
      <c r="J14" s="194"/>
      <c r="Q14" s="195"/>
      <c r="R14" s="1" t="s">
        <v>1400</v>
      </c>
      <c r="S14" s="1"/>
      <c r="T14" s="1"/>
      <c r="U14" s="1"/>
      <c r="V14" s="1"/>
      <c r="W14" s="1"/>
      <c r="X14" s="1"/>
      <c r="Y14" s="1"/>
      <c r="Z14" s="1"/>
      <c r="AA14" s="1"/>
      <c r="AB14" s="1"/>
      <c r="AC14" s="1"/>
      <c r="AD14" s="1"/>
      <c r="AE14" s="1"/>
      <c r="AF14" s="1"/>
      <c r="AG14" s="1"/>
      <c r="AH14" s="819" t="s">
        <v>1400</v>
      </c>
    </row>
    <row r="15" spans="2:34" x14ac:dyDescent="0.25">
      <c r="B15" s="195"/>
      <c r="C15" s="1" t="s">
        <v>986</v>
      </c>
      <c r="D15" s="1"/>
      <c r="E15" s="213" t="s">
        <v>218</v>
      </c>
      <c r="F15" s="190" t="e">
        <f>('input-data'!F347-'input-data'!F157)/'input-data'!E30*1000</f>
        <v>#DIV/0!</v>
      </c>
      <c r="G15" s="1"/>
      <c r="H15" s="1">
        <v>0.2</v>
      </c>
      <c r="I15" s="1"/>
      <c r="J15" s="196"/>
      <c r="Q15" s="205"/>
      <c r="R15" s="186"/>
      <c r="S15" s="186" t="s">
        <v>1485</v>
      </c>
      <c r="T15" s="186" t="s">
        <v>1486</v>
      </c>
      <c r="U15" s="186" t="s">
        <v>1488</v>
      </c>
      <c r="V15" s="206" t="s">
        <v>1493</v>
      </c>
      <c r="W15" s="186" t="s">
        <v>1495</v>
      </c>
      <c r="X15" s="186" t="s">
        <v>1497</v>
      </c>
      <c r="Y15" s="186" t="s">
        <v>1499</v>
      </c>
      <c r="Z15" s="186" t="s">
        <v>1502</v>
      </c>
      <c r="AA15" s="186" t="s">
        <v>1503</v>
      </c>
      <c r="AB15" s="186" t="s">
        <v>1519</v>
      </c>
      <c r="AC15" s="186" t="s">
        <v>1520</v>
      </c>
      <c r="AD15" s="186" t="s">
        <v>1530</v>
      </c>
      <c r="AE15" s="186" t="s">
        <v>1533</v>
      </c>
      <c r="AF15" s="186" t="s">
        <v>1536</v>
      </c>
      <c r="AG15" s="186" t="s">
        <v>1539</v>
      </c>
      <c r="AH15" s="820"/>
    </row>
    <row r="16" spans="2:34" x14ac:dyDescent="0.25">
      <c r="B16" s="195"/>
      <c r="C16" s="1" t="s">
        <v>984</v>
      </c>
      <c r="D16" s="1"/>
      <c r="E16" s="187" t="s">
        <v>1014</v>
      </c>
      <c r="F16" s="190" t="e">
        <f>IF(((('input-data'!F347-'input-data'!F157)/'input-data'!E30*1000)&gt;180),180,('input-data'!F347-'input-data'!F157)/'input-data'!E30*1000)</f>
        <v>#DIV/0!</v>
      </c>
      <c r="G16" s="1"/>
      <c r="H16" s="1">
        <v>0.2</v>
      </c>
      <c r="J16" s="196"/>
      <c r="Q16" s="220" t="s">
        <v>1401</v>
      </c>
      <c r="R16" s="222" t="s">
        <v>1402</v>
      </c>
      <c r="S16" s="1"/>
      <c r="T16" s="1"/>
      <c r="U16" s="1"/>
      <c r="V16" s="1"/>
      <c r="W16" s="1"/>
      <c r="X16" s="1"/>
      <c r="Y16" s="1"/>
      <c r="Z16" s="1"/>
      <c r="AA16" s="1"/>
      <c r="AB16" s="1"/>
      <c r="AC16" s="1"/>
      <c r="AD16" s="1"/>
      <c r="AE16" s="1"/>
      <c r="AF16" s="1"/>
      <c r="AG16" s="1"/>
      <c r="AH16" s="821" t="s">
        <v>1402</v>
      </c>
    </row>
    <row r="17" spans="2:34" x14ac:dyDescent="0.25">
      <c r="B17" s="195"/>
      <c r="C17" s="1"/>
      <c r="D17" s="1"/>
      <c r="E17" s="1"/>
      <c r="F17" s="1"/>
      <c r="G17" s="1"/>
      <c r="H17" s="1"/>
      <c r="I17" s="1"/>
      <c r="J17" s="196"/>
      <c r="Q17" s="195"/>
      <c r="R17" s="1" t="s">
        <v>1821</v>
      </c>
      <c r="S17" s="1">
        <f>S5</f>
        <v>0.45</v>
      </c>
      <c r="T17" s="1">
        <f t="shared" ref="T17:U17" si="2">T5</f>
        <v>0.17</v>
      </c>
      <c r="U17" s="1">
        <f t="shared" si="2"/>
        <v>0.55000000000000004</v>
      </c>
      <c r="V17" s="1">
        <f t="shared" ref="V17:AA17" si="3">V5</f>
        <v>0.85</v>
      </c>
      <c r="W17" s="327">
        <f t="shared" si="3"/>
        <v>1.0581645567169899</v>
      </c>
      <c r="X17" s="199">
        <f t="shared" si="3"/>
        <v>1</v>
      </c>
      <c r="Y17" s="199">
        <f t="shared" si="3"/>
        <v>55</v>
      </c>
      <c r="Z17" s="199">
        <f t="shared" si="3"/>
        <v>0.8</v>
      </c>
      <c r="AA17" s="199">
        <f t="shared" si="3"/>
        <v>1</v>
      </c>
      <c r="AB17" s="199">
        <f t="shared" ref="AB17:AG17" si="4">AB5</f>
        <v>4.7</v>
      </c>
      <c r="AC17" s="199">
        <f t="shared" si="4"/>
        <v>9.85</v>
      </c>
      <c r="AD17" s="199">
        <f t="shared" si="4"/>
        <v>10.1</v>
      </c>
      <c r="AE17" s="199">
        <f t="shared" si="4"/>
        <v>4</v>
      </c>
      <c r="AF17" s="199">
        <f t="shared" si="4"/>
        <v>3.2899999999999999E-2</v>
      </c>
      <c r="AG17" s="199">
        <f t="shared" si="4"/>
        <v>0.28999999999999998</v>
      </c>
      <c r="AH17" s="819" t="s">
        <v>2002</v>
      </c>
    </row>
    <row r="18" spans="2:34" x14ac:dyDescent="0.25">
      <c r="B18" s="197"/>
      <c r="C18" s="189"/>
      <c r="D18" s="189"/>
      <c r="E18" s="189"/>
      <c r="F18" s="189"/>
      <c r="G18" s="189"/>
      <c r="H18" s="189"/>
      <c r="I18" s="189"/>
      <c r="J18" s="198"/>
      <c r="Q18" s="195"/>
      <c r="R18" s="1" t="s">
        <v>1822</v>
      </c>
      <c r="S18" s="1">
        <f t="shared" ref="S18:AG18" si="5">S6</f>
        <v>0.43</v>
      </c>
      <c r="T18" s="1">
        <f t="shared" si="5"/>
        <v>0.25</v>
      </c>
      <c r="U18" s="1">
        <f t="shared" si="5"/>
        <v>0.55000000000000004</v>
      </c>
      <c r="V18" s="1">
        <f t="shared" si="5"/>
        <v>0.85</v>
      </c>
      <c r="W18" s="327">
        <f t="shared" si="5"/>
        <v>1.1393234378532799</v>
      </c>
      <c r="X18" s="199">
        <f t="shared" si="5"/>
        <v>1</v>
      </c>
      <c r="Y18" s="199">
        <f t="shared" si="5"/>
        <v>55</v>
      </c>
      <c r="Z18" s="199">
        <f t="shared" si="5"/>
        <v>0.8</v>
      </c>
      <c r="AA18" s="199">
        <f t="shared" si="5"/>
        <v>1</v>
      </c>
      <c r="AB18" s="199">
        <f t="shared" si="5"/>
        <v>5.4</v>
      </c>
      <c r="AC18" s="199">
        <f t="shared" si="5"/>
        <v>9.3699999999999992</v>
      </c>
      <c r="AD18" s="199">
        <f t="shared" si="5"/>
        <v>10.4</v>
      </c>
      <c r="AE18" s="199">
        <f t="shared" si="5"/>
        <v>3.3</v>
      </c>
      <c r="AF18" s="199">
        <f t="shared" si="5"/>
        <v>0.32900000000000001</v>
      </c>
      <c r="AG18" s="199">
        <f t="shared" si="5"/>
        <v>0.28999999999999998</v>
      </c>
      <c r="AH18" s="819" t="s">
        <v>2003</v>
      </c>
    </row>
    <row r="19" spans="2:34" x14ac:dyDescent="0.25">
      <c r="B19" s="205" t="s">
        <v>1383</v>
      </c>
      <c r="C19" s="199" t="s">
        <v>1272</v>
      </c>
      <c r="D19" s="1"/>
      <c r="E19" s="214" t="s">
        <v>218</v>
      </c>
      <c r="F19" s="1">
        <f>F14</f>
        <v>0</v>
      </c>
      <c r="G19" s="1"/>
      <c r="H19" s="1"/>
      <c r="I19" s="1"/>
      <c r="J19" s="196"/>
      <c r="Q19" s="195"/>
      <c r="R19" s="1" t="s">
        <v>1823</v>
      </c>
      <c r="S19" s="1">
        <f t="shared" ref="S19:AG19" si="6">S7</f>
        <v>0.4</v>
      </c>
      <c r="T19" s="1">
        <f t="shared" si="6"/>
        <v>0.17</v>
      </c>
      <c r="U19" s="1">
        <f t="shared" si="6"/>
        <v>0.6</v>
      </c>
      <c r="V19" s="1">
        <f t="shared" si="6"/>
        <v>0.85</v>
      </c>
      <c r="W19" s="327">
        <f t="shared" si="6"/>
        <v>0.84505108401083995</v>
      </c>
      <c r="X19" s="199">
        <f t="shared" si="6"/>
        <v>1</v>
      </c>
      <c r="Y19" s="199">
        <f t="shared" si="6"/>
        <v>60</v>
      </c>
      <c r="Z19" s="199">
        <f t="shared" si="6"/>
        <v>0.8</v>
      </c>
      <c r="AA19" s="199">
        <f t="shared" si="6"/>
        <v>1</v>
      </c>
      <c r="AB19" s="199">
        <f t="shared" si="6"/>
        <v>4.7</v>
      </c>
      <c r="AC19" s="199">
        <f t="shared" si="6"/>
        <v>9.85</v>
      </c>
      <c r="AD19" s="199">
        <f t="shared" si="6"/>
        <v>10.6</v>
      </c>
      <c r="AE19" s="199">
        <f t="shared" si="6"/>
        <v>4</v>
      </c>
      <c r="AF19" s="199">
        <f t="shared" si="6"/>
        <v>0.376</v>
      </c>
      <c r="AG19" s="199">
        <f t="shared" si="6"/>
        <v>0.28999999999999998</v>
      </c>
      <c r="AH19" s="819" t="s">
        <v>2004</v>
      </c>
    </row>
    <row r="20" spans="2:34" x14ac:dyDescent="0.25">
      <c r="B20" s="195"/>
      <c r="C20" s="199" t="s">
        <v>1273</v>
      </c>
      <c r="D20" s="1"/>
      <c r="E20" s="214" t="s">
        <v>218</v>
      </c>
      <c r="F20" s="190" t="e">
        <f>F15</f>
        <v>#DIV/0!</v>
      </c>
      <c r="G20" s="1"/>
      <c r="H20" s="1">
        <f>H15</f>
        <v>0.2</v>
      </c>
      <c r="I20" s="1"/>
      <c r="J20" s="196"/>
      <c r="Q20" s="195"/>
      <c r="R20" s="1" t="s">
        <v>1824</v>
      </c>
      <c r="S20" s="1">
        <f t="shared" ref="S20:AG20" si="7">S8</f>
        <v>0.38</v>
      </c>
      <c r="T20" s="1">
        <f t="shared" si="7"/>
        <v>0.25</v>
      </c>
      <c r="U20" s="1">
        <f t="shared" si="7"/>
        <v>0.8</v>
      </c>
      <c r="V20" s="1">
        <f t="shared" si="7"/>
        <v>0.85</v>
      </c>
      <c r="W20" s="327">
        <f t="shared" si="7"/>
        <v>1.0915497193186201</v>
      </c>
      <c r="X20" s="199">
        <f t="shared" si="7"/>
        <v>1</v>
      </c>
      <c r="Y20" s="199">
        <f t="shared" si="7"/>
        <v>80</v>
      </c>
      <c r="Z20" s="199">
        <f t="shared" si="7"/>
        <v>0.8</v>
      </c>
      <c r="AA20" s="199">
        <f t="shared" si="7"/>
        <v>1</v>
      </c>
      <c r="AB20" s="199">
        <f t="shared" si="7"/>
        <v>5.3</v>
      </c>
      <c r="AC20" s="199">
        <f t="shared" si="7"/>
        <v>9.3699999999999992</v>
      </c>
      <c r="AD20" s="199">
        <f t="shared" si="7"/>
        <v>8.6</v>
      </c>
      <c r="AE20" s="199">
        <f t="shared" si="7"/>
        <v>3.3</v>
      </c>
      <c r="AF20" s="199">
        <f t="shared" si="7"/>
        <v>0.32900000000000001</v>
      </c>
      <c r="AG20" s="199">
        <f t="shared" si="7"/>
        <v>0.28999999999999998</v>
      </c>
      <c r="AH20" s="819" t="s">
        <v>2005</v>
      </c>
    </row>
    <row r="21" spans="2:34" ht="15.75" thickBot="1" x14ac:dyDescent="0.3">
      <c r="B21" s="200"/>
      <c r="C21" s="204" t="s">
        <v>1274</v>
      </c>
      <c r="D21" s="201"/>
      <c r="E21" s="201" t="s">
        <v>1382</v>
      </c>
      <c r="F21" s="268" t="e">
        <f>F16</f>
        <v>#DIV/0!</v>
      </c>
      <c r="G21" s="201"/>
      <c r="H21" s="201">
        <f>H16</f>
        <v>0.2</v>
      </c>
      <c r="I21" s="202"/>
      <c r="J21" s="203"/>
      <c r="Q21" s="195"/>
      <c r="R21" s="1" t="s">
        <v>1825</v>
      </c>
      <c r="S21" s="1">
        <f t="shared" ref="S21:AG21" si="8">S9</f>
        <v>0.41</v>
      </c>
      <c r="T21" s="1">
        <f t="shared" si="8"/>
        <v>0.25</v>
      </c>
      <c r="U21" s="1">
        <f t="shared" si="8"/>
        <v>0.6</v>
      </c>
      <c r="V21" s="1">
        <f t="shared" si="8"/>
        <v>0.85</v>
      </c>
      <c r="W21" s="327">
        <f t="shared" si="8"/>
        <v>1.12403800813008</v>
      </c>
      <c r="X21" s="199">
        <f t="shared" si="8"/>
        <v>1</v>
      </c>
      <c r="Y21" s="199">
        <f t="shared" si="8"/>
        <v>60</v>
      </c>
      <c r="Z21" s="199">
        <f t="shared" si="8"/>
        <v>0.8</v>
      </c>
      <c r="AA21" s="199">
        <f t="shared" si="8"/>
        <v>1</v>
      </c>
      <c r="AB21" s="199">
        <f t="shared" si="8"/>
        <v>5.3</v>
      </c>
      <c r="AC21" s="199">
        <f t="shared" si="8"/>
        <v>9.3699999999999992</v>
      </c>
      <c r="AD21" s="199">
        <f t="shared" si="8"/>
        <v>10.5</v>
      </c>
      <c r="AE21" s="199">
        <f t="shared" si="8"/>
        <v>3.3</v>
      </c>
      <c r="AF21" s="199">
        <f t="shared" si="8"/>
        <v>0.35299999999999998</v>
      </c>
      <c r="AG21" s="199">
        <f t="shared" si="8"/>
        <v>0.28999999999999998</v>
      </c>
      <c r="AH21" s="819" t="s">
        <v>2006</v>
      </c>
    </row>
    <row r="22" spans="2:34" x14ac:dyDescent="0.25">
      <c r="Q22" s="195"/>
      <c r="R22" s="1" t="s">
        <v>1826</v>
      </c>
      <c r="S22" s="1">
        <f t="shared" ref="S22:AD22" si="9">S10</f>
        <v>0.45</v>
      </c>
      <c r="T22" s="1">
        <f t="shared" si="9"/>
        <v>0.17</v>
      </c>
      <c r="U22" s="1">
        <f t="shared" si="9"/>
        <v>0.55000000000000004</v>
      </c>
      <c r="V22" s="1">
        <f t="shared" si="9"/>
        <v>0.85199999999999998</v>
      </c>
      <c r="W22" s="327">
        <f t="shared" si="9"/>
        <v>1.00958482984901</v>
      </c>
      <c r="X22" s="329">
        <f t="shared" si="9"/>
        <v>1</v>
      </c>
      <c r="Y22" s="199">
        <f t="shared" si="9"/>
        <v>0</v>
      </c>
      <c r="Z22" s="329">
        <f t="shared" si="9"/>
        <v>0.8</v>
      </c>
      <c r="AA22" s="329">
        <f t="shared" si="9"/>
        <v>1</v>
      </c>
      <c r="AB22" s="329">
        <f t="shared" si="9"/>
        <v>5</v>
      </c>
      <c r="AC22" s="329">
        <f t="shared" si="9"/>
        <v>5</v>
      </c>
      <c r="AD22" s="199">
        <f t="shared" si="9"/>
        <v>24</v>
      </c>
      <c r="AE22" s="199"/>
      <c r="AF22" s="199">
        <f t="shared" ref="AF22:AG24" si="10">AF10</f>
        <v>0.45999999999999996</v>
      </c>
      <c r="AG22" s="199">
        <f t="shared" si="10"/>
        <v>0.28999999999999998</v>
      </c>
      <c r="AH22" s="819" t="s">
        <v>2007</v>
      </c>
    </row>
    <row r="23" spans="2:34" x14ac:dyDescent="0.25">
      <c r="Q23" s="195"/>
      <c r="R23" s="1" t="s">
        <v>1827</v>
      </c>
      <c r="S23" s="1">
        <f t="shared" ref="S23:AD23" si="11">S11</f>
        <v>0.7</v>
      </c>
      <c r="T23" s="1">
        <f t="shared" si="11"/>
        <v>0.45</v>
      </c>
      <c r="U23" s="1">
        <f t="shared" si="11"/>
        <v>0</v>
      </c>
      <c r="V23" s="188">
        <f t="shared" si="11"/>
        <v>0.32600000000000001</v>
      </c>
      <c r="W23" s="328">
        <f t="shared" si="11"/>
        <v>0.21247570949477351</v>
      </c>
      <c r="X23" s="199">
        <f t="shared" si="11"/>
        <v>20</v>
      </c>
      <c r="Y23" s="199">
        <f t="shared" si="11"/>
        <v>0</v>
      </c>
      <c r="Z23" s="199">
        <f t="shared" si="11"/>
        <v>0.93</v>
      </c>
      <c r="AA23" s="199">
        <f t="shared" si="11"/>
        <v>1.1000000000000001</v>
      </c>
      <c r="AB23" s="199">
        <f t="shared" si="11"/>
        <v>13.7</v>
      </c>
      <c r="AC23" s="199">
        <f t="shared" si="11"/>
        <v>9.1999999999999993</v>
      </c>
      <c r="AD23" s="199">
        <f t="shared" si="11"/>
        <v>16.3</v>
      </c>
      <c r="AE23" s="199"/>
      <c r="AF23" s="199">
        <f t="shared" si="10"/>
        <v>0.35</v>
      </c>
      <c r="AG23" s="199">
        <f t="shared" si="10"/>
        <v>-0.12</v>
      </c>
      <c r="AH23" s="819" t="s">
        <v>2008</v>
      </c>
    </row>
    <row r="24" spans="2:34" ht="15.75" thickBot="1" x14ac:dyDescent="0.3">
      <c r="B24" t="s">
        <v>1611</v>
      </c>
      <c r="F24" s="1" t="s">
        <v>1021</v>
      </c>
      <c r="Q24" s="195"/>
      <c r="R24" s="1" t="s">
        <v>1828</v>
      </c>
      <c r="S24" s="1">
        <f t="shared" ref="S24:AD24" si="12">S12</f>
        <v>0.7</v>
      </c>
      <c r="T24" s="1">
        <f t="shared" si="12"/>
        <v>0.45</v>
      </c>
      <c r="U24" s="1">
        <f t="shared" si="12"/>
        <v>0</v>
      </c>
      <c r="V24" s="1">
        <f t="shared" si="12"/>
        <v>0.32600000000000001</v>
      </c>
      <c r="W24" s="327">
        <f t="shared" si="12"/>
        <v>0.21247570949477351</v>
      </c>
      <c r="X24" s="199">
        <f t="shared" si="12"/>
        <v>20</v>
      </c>
      <c r="Y24" s="199">
        <f t="shared" si="12"/>
        <v>0</v>
      </c>
      <c r="Z24" s="199">
        <f t="shared" si="12"/>
        <v>0.93</v>
      </c>
      <c r="AA24" s="199">
        <f t="shared" si="12"/>
        <v>1.1000000000000001</v>
      </c>
      <c r="AB24" s="199">
        <f t="shared" si="12"/>
        <v>13.6</v>
      </c>
      <c r="AC24" s="199">
        <f t="shared" si="12"/>
        <v>9.1999999999999993</v>
      </c>
      <c r="AD24" s="199">
        <f t="shared" si="12"/>
        <v>15.9</v>
      </c>
      <c r="AE24" s="199"/>
      <c r="AF24" s="199">
        <f t="shared" si="10"/>
        <v>0.35</v>
      </c>
      <c r="AG24" s="199">
        <f t="shared" si="10"/>
        <v>-0.12</v>
      </c>
      <c r="AH24" s="819" t="s">
        <v>2009</v>
      </c>
    </row>
    <row r="25" spans="2:34" x14ac:dyDescent="0.25">
      <c r="B25" s="191" t="s">
        <v>983</v>
      </c>
      <c r="C25" s="192" t="s">
        <v>1016</v>
      </c>
      <c r="D25" s="192"/>
      <c r="E25" s="215" t="s">
        <v>218</v>
      </c>
      <c r="F25" s="192"/>
      <c r="G25" s="192"/>
      <c r="H25" s="192"/>
      <c r="I25" s="192"/>
      <c r="J25" s="194"/>
      <c r="Q25" s="195"/>
      <c r="R25" s="1" t="s">
        <v>1922</v>
      </c>
      <c r="S25" s="199">
        <f>S13</f>
        <v>0.45</v>
      </c>
      <c r="T25" s="199">
        <f t="shared" ref="T25:AG25" si="13">T13</f>
        <v>0.17</v>
      </c>
      <c r="U25" s="199">
        <f t="shared" si="13"/>
        <v>0.55000000000000004</v>
      </c>
      <c r="V25" s="199">
        <f t="shared" si="13"/>
        <v>0.84799999999999998</v>
      </c>
      <c r="W25" s="199">
        <f t="shared" si="13"/>
        <v>0.85</v>
      </c>
      <c r="X25" s="199">
        <f t="shared" si="13"/>
        <v>1</v>
      </c>
      <c r="Y25" s="199">
        <f t="shared" si="13"/>
        <v>0</v>
      </c>
      <c r="Z25" s="199">
        <f t="shared" si="13"/>
        <v>0.8</v>
      </c>
      <c r="AA25" s="199">
        <f t="shared" si="13"/>
        <v>1</v>
      </c>
      <c r="AB25" s="199">
        <f t="shared" si="13"/>
        <v>5</v>
      </c>
      <c r="AC25" s="199">
        <f t="shared" si="13"/>
        <v>5</v>
      </c>
      <c r="AD25" s="199">
        <f t="shared" si="13"/>
        <v>30.9</v>
      </c>
      <c r="AE25" s="199">
        <f t="shared" si="13"/>
        <v>0</v>
      </c>
      <c r="AF25" s="199">
        <f t="shared" si="13"/>
        <v>0.439</v>
      </c>
      <c r="AG25" s="199">
        <f t="shared" si="13"/>
        <v>0.28999999999999998</v>
      </c>
      <c r="AH25" s="819" t="s">
        <v>2010</v>
      </c>
    </row>
    <row r="26" spans="2:34" ht="15.75" thickBot="1" x14ac:dyDescent="0.3">
      <c r="B26" s="195"/>
      <c r="C26" s="1" t="s">
        <v>1015</v>
      </c>
      <c r="D26" s="1"/>
      <c r="E26" s="216" t="s">
        <v>218</v>
      </c>
      <c r="F26" s="1"/>
      <c r="G26" s="1"/>
      <c r="H26" s="1"/>
      <c r="I26" s="1"/>
      <c r="J26" s="196"/>
      <c r="Q26" s="200"/>
      <c r="R26" s="201" t="s">
        <v>1400</v>
      </c>
      <c r="S26" s="201"/>
      <c r="T26" s="201"/>
      <c r="U26" s="201"/>
      <c r="V26" s="201"/>
      <c r="W26" s="201"/>
      <c r="X26" s="201"/>
      <c r="Y26" s="201"/>
      <c r="Z26" s="201"/>
      <c r="AA26" s="201"/>
      <c r="AB26" s="201"/>
      <c r="AC26" s="201"/>
      <c r="AD26" s="201"/>
      <c r="AE26" s="201"/>
      <c r="AF26" s="201"/>
      <c r="AG26" s="201"/>
      <c r="AH26" s="822" t="s">
        <v>1400</v>
      </c>
    </row>
    <row r="27" spans="2:34" x14ac:dyDescent="0.25">
      <c r="B27" s="195"/>
      <c r="C27" s="1" t="s">
        <v>984</v>
      </c>
      <c r="D27" s="1"/>
      <c r="E27" s="187" t="s">
        <v>1014</v>
      </c>
      <c r="F27" s="1"/>
      <c r="G27" s="1"/>
      <c r="H27" s="1"/>
      <c r="I27" s="1"/>
      <c r="J27" s="196"/>
    </row>
    <row r="28" spans="2:34" x14ac:dyDescent="0.25">
      <c r="B28" s="195"/>
      <c r="C28" s="1"/>
      <c r="D28" s="1"/>
      <c r="E28" s="1"/>
      <c r="F28" s="1"/>
      <c r="G28" s="1"/>
      <c r="H28" s="1"/>
      <c r="I28" s="1"/>
      <c r="J28" s="196"/>
    </row>
    <row r="29" spans="2:34" x14ac:dyDescent="0.25">
      <c r="B29" s="195"/>
      <c r="C29" s="1"/>
      <c r="D29" s="1"/>
      <c r="E29" s="1"/>
      <c r="F29" s="1"/>
      <c r="G29" s="1"/>
      <c r="H29" s="1"/>
      <c r="I29" s="1"/>
      <c r="J29" s="196"/>
    </row>
    <row r="30" spans="2:34" x14ac:dyDescent="0.25">
      <c r="B30" s="224" t="s">
        <v>1383</v>
      </c>
      <c r="C30" s="206" t="s">
        <v>1272</v>
      </c>
      <c r="D30" s="186"/>
      <c r="E30" s="217" t="s">
        <v>218</v>
      </c>
      <c r="F30" s="186"/>
      <c r="G30" s="186"/>
      <c r="H30" s="186"/>
      <c r="I30" s="186"/>
      <c r="J30" s="207"/>
    </row>
    <row r="31" spans="2:34" x14ac:dyDescent="0.25">
      <c r="B31" s="195"/>
      <c r="C31" s="199" t="s">
        <v>1273</v>
      </c>
      <c r="D31" s="1"/>
      <c r="E31" s="214" t="s">
        <v>218</v>
      </c>
      <c r="F31" s="1"/>
      <c r="G31" s="1"/>
      <c r="H31" s="1"/>
      <c r="I31" s="1"/>
      <c r="J31" s="196"/>
    </row>
    <row r="32" spans="2:34" ht="15.75" thickBot="1" x14ac:dyDescent="0.3">
      <c r="B32" s="200"/>
      <c r="C32" s="204" t="s">
        <v>1274</v>
      </c>
      <c r="D32" s="201"/>
      <c r="E32" s="201" t="s">
        <v>1382</v>
      </c>
      <c r="F32" s="201"/>
      <c r="G32" s="201"/>
      <c r="H32" s="201"/>
      <c r="I32" s="201"/>
      <c r="J32" s="203"/>
    </row>
    <row r="33" spans="2:10" ht="15.75" thickBot="1" x14ac:dyDescent="0.3"/>
    <row r="34" spans="2:10" x14ac:dyDescent="0.25">
      <c r="B34" s="191" t="s">
        <v>1389</v>
      </c>
      <c r="C34" s="192" t="s">
        <v>1384</v>
      </c>
      <c r="D34" s="192"/>
      <c r="E34" s="192"/>
      <c r="F34" s="192"/>
      <c r="G34" s="192"/>
      <c r="H34" s="192"/>
      <c r="I34" s="192"/>
      <c r="J34" s="194"/>
    </row>
    <row r="35" spans="2:10" x14ac:dyDescent="0.25">
      <c r="B35" s="195"/>
      <c r="C35" s="199" t="s">
        <v>1385</v>
      </c>
      <c r="D35" s="1"/>
      <c r="E35" s="1"/>
      <c r="F35" s="1"/>
      <c r="G35" s="1"/>
      <c r="H35" s="1"/>
      <c r="I35" s="1"/>
      <c r="J35" s="196"/>
    </row>
    <row r="36" spans="2:10" x14ac:dyDescent="0.25">
      <c r="B36" s="195"/>
      <c r="C36" s="199" t="s">
        <v>1386</v>
      </c>
      <c r="D36" s="1"/>
      <c r="E36" s="1"/>
      <c r="F36" s="1"/>
      <c r="G36" s="1"/>
      <c r="H36" s="1"/>
      <c r="I36" s="1"/>
      <c r="J36" s="196"/>
    </row>
    <row r="37" spans="2:10" x14ac:dyDescent="0.25">
      <c r="B37" s="195"/>
      <c r="C37" s="199" t="s">
        <v>1387</v>
      </c>
      <c r="D37" s="1"/>
      <c r="E37" s="1"/>
      <c r="F37" s="1"/>
      <c r="G37" s="1"/>
      <c r="H37" s="1"/>
      <c r="I37" s="1"/>
      <c r="J37" s="196"/>
    </row>
    <row r="38" spans="2:10" x14ac:dyDescent="0.25">
      <c r="B38" s="195"/>
      <c r="C38" s="199" t="s">
        <v>1388</v>
      </c>
      <c r="D38" s="1"/>
      <c r="E38" s="1"/>
      <c r="F38" s="1"/>
      <c r="G38" s="1"/>
      <c r="H38" s="1"/>
      <c r="I38" s="1"/>
      <c r="J38" s="196"/>
    </row>
    <row r="39" spans="2:10" x14ac:dyDescent="0.25">
      <c r="B39" s="220" t="s">
        <v>1390</v>
      </c>
      <c r="C39" s="199" t="s">
        <v>1391</v>
      </c>
      <c r="D39" s="1"/>
      <c r="E39" s="1"/>
      <c r="F39" s="1"/>
      <c r="G39" s="1"/>
      <c r="H39" s="1"/>
      <c r="I39" s="1"/>
      <c r="J39" s="196"/>
    </row>
    <row r="40" spans="2:10" x14ac:dyDescent="0.25">
      <c r="B40" s="195"/>
      <c r="C40" s="199" t="s">
        <v>1392</v>
      </c>
      <c r="D40" s="1"/>
      <c r="E40" s="1"/>
      <c r="F40" s="1"/>
      <c r="G40" s="1"/>
      <c r="H40" s="1"/>
      <c r="I40" s="1"/>
      <c r="J40" s="196"/>
    </row>
    <row r="41" spans="2:10" x14ac:dyDescent="0.25">
      <c r="B41" s="195"/>
      <c r="C41" s="199" t="s">
        <v>1393</v>
      </c>
      <c r="D41" s="1"/>
      <c r="E41" s="1"/>
      <c r="F41" s="1"/>
      <c r="G41" s="1"/>
      <c r="H41" s="1"/>
      <c r="I41" s="1"/>
      <c r="J41" s="196"/>
    </row>
    <row r="42" spans="2:10" x14ac:dyDescent="0.25">
      <c r="B42" s="195"/>
      <c r="C42" s="199" t="s">
        <v>1387</v>
      </c>
      <c r="D42" s="1"/>
      <c r="E42" s="1"/>
      <c r="F42" s="1"/>
      <c r="G42" s="1"/>
      <c r="H42" s="1"/>
      <c r="I42" s="1"/>
      <c r="J42" s="196"/>
    </row>
    <row r="43" spans="2:10" ht="15.75" thickBot="1" x14ac:dyDescent="0.3">
      <c r="B43" s="200"/>
      <c r="C43" s="204" t="s">
        <v>1387</v>
      </c>
      <c r="D43" s="201"/>
      <c r="E43" s="201"/>
      <c r="F43" s="201"/>
      <c r="G43" s="201"/>
      <c r="H43" s="201"/>
      <c r="I43" s="201"/>
      <c r="J43" s="203"/>
    </row>
  </sheetData>
  <sheetProtection algorithmName="SHA-512" hashValue="PR7Uuq2oB+FdsqIFc2M6mtmA89xAmwrWejNB/Bk70Q5a8td0wJlPS9tw6LZelKRvE44xUduebGl4d/ZU7Rfdfg==" saltValue="LhTrwa78sJ3MMuUTSsBcOg==" spinCount="100000" sheet="1" objects="1" scenarios="1"/>
  <protectedRanges>
    <protectedRange sqref="A1:XFD1048576" name="all"/>
  </protectedRanges>
  <dataConsolidate/>
  <pageMargins left="0.7" right="0.7" top="0.75" bottom="0.75" header="0.3" footer="0.3"/>
  <pageSetup paperSize="9" orientation="portrait" horizontalDpi="1200" verticalDpi="1200" r:id="rId1"/>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2" tint="-0.249977111117893"/>
  </sheetPr>
  <dimension ref="A1:H61"/>
  <sheetViews>
    <sheetView workbookViewId="0">
      <selection activeCell="F13" sqref="F13"/>
    </sheetView>
  </sheetViews>
  <sheetFormatPr defaultColWidth="8.85546875" defaultRowHeight="15" x14ac:dyDescent="0.25"/>
  <cols>
    <col min="1" max="1" width="101.140625" customWidth="1"/>
    <col min="2" max="5" width="13.85546875" customWidth="1"/>
    <col min="6" max="6" width="106.85546875" customWidth="1"/>
  </cols>
  <sheetData>
    <row r="1" spans="1:6" x14ac:dyDescent="0.25">
      <c r="A1" s="373" t="s">
        <v>1557</v>
      </c>
      <c r="B1" s="374"/>
      <c r="C1" s="374"/>
      <c r="D1" s="374"/>
      <c r="E1" s="374"/>
      <c r="F1" s="373" t="s">
        <v>13</v>
      </c>
    </row>
    <row r="2" spans="1:6" s="11" customFormat="1" x14ac:dyDescent="0.25">
      <c r="A2" s="387" t="s">
        <v>1572</v>
      </c>
    </row>
    <row r="3" spans="1:6" x14ac:dyDescent="0.25">
      <c r="A3" s="385" t="s">
        <v>1551</v>
      </c>
      <c r="B3" s="386" t="s">
        <v>1580</v>
      </c>
      <c r="C3" s="386" t="s">
        <v>1581</v>
      </c>
      <c r="D3" s="386" t="s">
        <v>1582</v>
      </c>
      <c r="E3" s="386"/>
      <c r="F3" s="385"/>
    </row>
    <row r="4" spans="1:6" x14ac:dyDescent="0.25">
      <c r="A4" t="s">
        <v>1547</v>
      </c>
      <c r="B4" s="8">
        <v>25.4</v>
      </c>
      <c r="C4" s="7">
        <v>5.9</v>
      </c>
      <c r="D4" s="7">
        <v>2</v>
      </c>
      <c r="E4" s="7"/>
      <c r="F4" t="s">
        <v>1860</v>
      </c>
    </row>
    <row r="5" spans="1:6" x14ac:dyDescent="0.25">
      <c r="A5" t="s">
        <v>1549</v>
      </c>
      <c r="B5" s="8">
        <v>25.7</v>
      </c>
      <c r="C5" s="7">
        <v>6</v>
      </c>
      <c r="D5" s="8">
        <v>2.2000000000000002</v>
      </c>
      <c r="E5" s="8"/>
      <c r="F5" t="s">
        <v>1860</v>
      </c>
    </row>
    <row r="6" spans="1:6" x14ac:dyDescent="0.25">
      <c r="A6" t="s">
        <v>1548</v>
      </c>
      <c r="B6" s="8">
        <v>29.3</v>
      </c>
      <c r="C6" s="7">
        <v>5.14</v>
      </c>
      <c r="D6" s="8">
        <v>2.2000000000000002</v>
      </c>
      <c r="E6" s="8"/>
      <c r="F6" t="s">
        <v>1860</v>
      </c>
    </row>
    <row r="7" spans="1:6" x14ac:dyDescent="0.25">
      <c r="A7" t="s">
        <v>1546</v>
      </c>
      <c r="B7" s="8">
        <v>30.2</v>
      </c>
      <c r="C7" s="7">
        <v>5.54</v>
      </c>
      <c r="D7" s="8">
        <v>2.2000000000000002</v>
      </c>
      <c r="E7" s="8"/>
      <c r="F7" t="s">
        <v>1860</v>
      </c>
    </row>
    <row r="8" spans="1:6" x14ac:dyDescent="0.25">
      <c r="B8" s="8"/>
      <c r="C8" s="7"/>
      <c r="D8" s="8"/>
      <c r="E8" s="8"/>
    </row>
    <row r="9" spans="1:6" x14ac:dyDescent="0.25">
      <c r="A9" s="5" t="s">
        <v>1552</v>
      </c>
      <c r="B9" s="386" t="s">
        <v>1580</v>
      </c>
      <c r="C9" s="386" t="s">
        <v>1581</v>
      </c>
      <c r="D9" s="386" t="s">
        <v>1582</v>
      </c>
      <c r="E9" s="386"/>
      <c r="F9" s="4"/>
    </row>
    <row r="10" spans="1:6" x14ac:dyDescent="0.25">
      <c r="A10" t="s">
        <v>1547</v>
      </c>
      <c r="B10" s="8">
        <v>22</v>
      </c>
      <c r="C10" s="7">
        <v>6.4</v>
      </c>
      <c r="D10" s="8"/>
      <c r="E10" s="8"/>
      <c r="F10" t="s">
        <v>1861</v>
      </c>
    </row>
    <row r="11" spans="1:6" x14ac:dyDescent="0.25">
      <c r="A11" t="s">
        <v>1553</v>
      </c>
      <c r="B11" s="8">
        <v>30.4</v>
      </c>
      <c r="C11" s="7">
        <v>4.9000000000000004</v>
      </c>
      <c r="D11" s="8"/>
      <c r="E11" s="8"/>
      <c r="F11" t="s">
        <v>1861</v>
      </c>
    </row>
    <row r="12" spans="1:6" x14ac:dyDescent="0.25">
      <c r="A12" t="s">
        <v>1550</v>
      </c>
      <c r="B12" s="8">
        <v>29.6</v>
      </c>
      <c r="C12" s="7">
        <v>5.5</v>
      </c>
      <c r="D12" s="8"/>
      <c r="E12" s="8"/>
      <c r="F12" t="s">
        <v>1861</v>
      </c>
    </row>
    <row r="13" spans="1:6" x14ac:dyDescent="0.25">
      <c r="B13" s="8"/>
      <c r="C13" s="7"/>
      <c r="D13" s="8"/>
      <c r="E13" s="8"/>
    </row>
    <row r="14" spans="1:6" x14ac:dyDescent="0.25">
      <c r="A14" s="5" t="s">
        <v>1576</v>
      </c>
      <c r="B14" s="375" t="s">
        <v>1596</v>
      </c>
      <c r="C14" s="388" t="s">
        <v>1597</v>
      </c>
      <c r="D14" s="375"/>
      <c r="E14" s="375"/>
      <c r="F14" s="5"/>
    </row>
    <row r="15" spans="1:6" x14ac:dyDescent="0.25">
      <c r="A15" t="s">
        <v>1574</v>
      </c>
      <c r="B15" s="12">
        <f>(241-135)/3.9</f>
        <v>27.179487179487179</v>
      </c>
      <c r="C15" s="12">
        <f>B15*'input-data'!E15</f>
        <v>0</v>
      </c>
      <c r="D15" s="8"/>
      <c r="E15" s="8"/>
      <c r="F15" t="s">
        <v>1573</v>
      </c>
    </row>
    <row r="16" spans="1:6" x14ac:dyDescent="0.25">
      <c r="A16" t="s">
        <v>1571</v>
      </c>
      <c r="B16" s="8">
        <f>0.04*50</f>
        <v>2</v>
      </c>
      <c r="C16" s="12">
        <f>B16</f>
        <v>2</v>
      </c>
      <c r="D16" s="8"/>
      <c r="E16" s="8"/>
      <c r="F16" t="s">
        <v>1573</v>
      </c>
    </row>
    <row r="17" spans="1:6" x14ac:dyDescent="0.25">
      <c r="A17" t="s">
        <v>1575</v>
      </c>
      <c r="B17" s="8">
        <f>(135-105)</f>
        <v>30</v>
      </c>
      <c r="C17" s="12">
        <f>B17*'input-data'!E15*('input-data'!E23/100)</f>
        <v>0</v>
      </c>
      <c r="D17" s="8"/>
      <c r="E17" s="8"/>
      <c r="F17" t="s">
        <v>1573</v>
      </c>
    </row>
    <row r="18" spans="1:6" x14ac:dyDescent="0.25">
      <c r="B18" s="8"/>
      <c r="C18" s="7"/>
      <c r="D18" s="8"/>
      <c r="E18" s="8"/>
    </row>
    <row r="19" spans="1:6" x14ac:dyDescent="0.25">
      <c r="A19" t="s">
        <v>1578</v>
      </c>
      <c r="B19" s="8">
        <v>30</v>
      </c>
      <c r="C19" s="12">
        <f>B19*'input-data'!E15</f>
        <v>0</v>
      </c>
      <c r="D19" s="8"/>
      <c r="E19" s="8"/>
      <c r="F19" t="s">
        <v>1577</v>
      </c>
    </row>
    <row r="20" spans="1:6" x14ac:dyDescent="0.25">
      <c r="B20" s="8"/>
      <c r="C20" s="12"/>
      <c r="D20" s="8"/>
      <c r="E20" s="8"/>
    </row>
    <row r="21" spans="1:6" x14ac:dyDescent="0.25">
      <c r="A21" s="5" t="s">
        <v>1598</v>
      </c>
      <c r="B21" s="375" t="s">
        <v>1596</v>
      </c>
      <c r="C21" s="390" t="s">
        <v>1602</v>
      </c>
      <c r="D21" s="6"/>
      <c r="E21" s="6"/>
      <c r="F21" s="4"/>
    </row>
    <row r="22" spans="1:6" x14ac:dyDescent="0.25">
      <c r="A22" t="s">
        <v>1599</v>
      </c>
      <c r="B22" s="8">
        <v>105</v>
      </c>
      <c r="C22" s="12"/>
      <c r="D22" s="8"/>
      <c r="E22" s="8"/>
    </row>
    <row r="23" spans="1:6" x14ac:dyDescent="0.25">
      <c r="A23" t="s">
        <v>1600</v>
      </c>
      <c r="B23" s="8">
        <v>135</v>
      </c>
      <c r="C23" s="12"/>
      <c r="D23" s="8"/>
      <c r="E23" s="8"/>
    </row>
    <row r="24" spans="1:6" x14ac:dyDescent="0.25">
      <c r="A24" t="s">
        <v>1601</v>
      </c>
      <c r="B24" s="8"/>
      <c r="C24" s="7">
        <v>2.9</v>
      </c>
      <c r="D24" s="8"/>
      <c r="E24" s="8"/>
    </row>
    <row r="25" spans="1:6" x14ac:dyDescent="0.25">
      <c r="B25" s="8"/>
      <c r="C25" s="12"/>
      <c r="D25" s="8"/>
      <c r="E25" s="8"/>
    </row>
    <row r="26" spans="1:6" x14ac:dyDescent="0.25">
      <c r="A26" s="5" t="s">
        <v>1585</v>
      </c>
      <c r="B26" s="375" t="s">
        <v>1587</v>
      </c>
      <c r="C26" s="390" t="s">
        <v>1588</v>
      </c>
      <c r="D26" s="375" t="s">
        <v>1589</v>
      </c>
      <c r="E26" s="375" t="s">
        <v>1590</v>
      </c>
      <c r="F26" s="5"/>
    </row>
    <row r="27" spans="1:6" x14ac:dyDescent="0.25">
      <c r="A27" t="s">
        <v>1586</v>
      </c>
      <c r="B27" s="8">
        <v>80</v>
      </c>
      <c r="C27" s="12">
        <v>45</v>
      </c>
      <c r="D27" s="8">
        <v>50</v>
      </c>
      <c r="E27" s="8">
        <v>81</v>
      </c>
      <c r="F27" t="s">
        <v>1573</v>
      </c>
    </row>
    <row r="28" spans="1:6" x14ac:dyDescent="0.25">
      <c r="A28" t="s">
        <v>1</v>
      </c>
      <c r="B28" s="8">
        <v>84</v>
      </c>
      <c r="C28" s="12">
        <v>45</v>
      </c>
      <c r="D28" s="8">
        <v>50</v>
      </c>
      <c r="E28" s="8">
        <v>85</v>
      </c>
      <c r="F28" t="s">
        <v>1573</v>
      </c>
    </row>
    <row r="29" spans="1:6" x14ac:dyDescent="0.25">
      <c r="A29" t="s">
        <v>2</v>
      </c>
      <c r="B29" s="8">
        <v>81</v>
      </c>
      <c r="C29" s="12">
        <v>45</v>
      </c>
      <c r="D29" s="8">
        <v>50</v>
      </c>
      <c r="E29" s="8">
        <v>83</v>
      </c>
      <c r="F29" t="s">
        <v>1573</v>
      </c>
    </row>
    <row r="30" spans="1:6" x14ac:dyDescent="0.25">
      <c r="B30" s="8"/>
      <c r="C30" s="12"/>
      <c r="D30" s="8"/>
      <c r="E30" s="8"/>
    </row>
    <row r="31" spans="1:6" x14ac:dyDescent="0.25">
      <c r="A31" s="5" t="s">
        <v>1605</v>
      </c>
      <c r="B31" s="375" t="s">
        <v>1604</v>
      </c>
      <c r="C31" s="657" t="s">
        <v>1832</v>
      </c>
      <c r="D31" s="6"/>
      <c r="E31" s="6"/>
      <c r="F31" s="4"/>
    </row>
    <row r="32" spans="1:6" x14ac:dyDescent="0.25">
      <c r="A32" t="s">
        <v>1603</v>
      </c>
      <c r="B32" s="7">
        <v>1</v>
      </c>
      <c r="C32" s="12">
        <v>180</v>
      </c>
      <c r="D32" s="8"/>
      <c r="E32" s="8"/>
    </row>
    <row r="33" spans="1:8" x14ac:dyDescent="0.25">
      <c r="A33" t="s">
        <v>1</v>
      </c>
      <c r="B33" s="8">
        <v>0.2</v>
      </c>
      <c r="C33" s="12">
        <v>180</v>
      </c>
      <c r="D33" s="8"/>
      <c r="E33" s="8"/>
    </row>
    <row r="34" spans="1:8" x14ac:dyDescent="0.25">
      <c r="A34" t="s">
        <v>2</v>
      </c>
      <c r="B34" s="8">
        <v>0.2</v>
      </c>
      <c r="C34" s="12">
        <v>180</v>
      </c>
      <c r="D34" s="8"/>
      <c r="E34" s="8"/>
    </row>
    <row r="35" spans="1:8" x14ac:dyDescent="0.25">
      <c r="B35" s="8"/>
      <c r="C35" s="12"/>
      <c r="D35" s="8"/>
      <c r="E35" s="8"/>
    </row>
    <row r="36" spans="1:8" x14ac:dyDescent="0.25">
      <c r="A36" s="453" t="s">
        <v>1661</v>
      </c>
      <c r="B36" s="375" t="s">
        <v>1700</v>
      </c>
      <c r="C36" s="375" t="s">
        <v>1701</v>
      </c>
      <c r="D36" s="375" t="s">
        <v>1489</v>
      </c>
      <c r="E36" s="6"/>
      <c r="F36" s="4"/>
    </row>
    <row r="37" spans="1:8" x14ac:dyDescent="0.25">
      <c r="A37" t="s">
        <v>1702</v>
      </c>
      <c r="B37" s="416">
        <v>0.25</v>
      </c>
      <c r="C37" s="416">
        <v>0.75</v>
      </c>
      <c r="D37" s="416">
        <f>+SUM(B37:C37)</f>
        <v>1</v>
      </c>
      <c r="E37" s="8"/>
    </row>
    <row r="38" spans="1:8" x14ac:dyDescent="0.25">
      <c r="A38" t="s">
        <v>1703</v>
      </c>
      <c r="B38" s="416">
        <v>0.5</v>
      </c>
      <c r="C38" s="416">
        <v>0.5</v>
      </c>
      <c r="D38" s="416">
        <f>+SUM(B38:C38)</f>
        <v>1</v>
      </c>
      <c r="E38" s="8"/>
    </row>
    <row r="39" spans="1:8" x14ac:dyDescent="0.25">
      <c r="B39" s="416"/>
      <c r="C39" s="416"/>
      <c r="D39" s="416"/>
      <c r="E39" s="8"/>
    </row>
    <row r="40" spans="1:8" x14ac:dyDescent="0.25">
      <c r="A40" t="s">
        <v>1706</v>
      </c>
      <c r="B40" s="416">
        <v>0.25</v>
      </c>
      <c r="C40" s="416">
        <v>0.75</v>
      </c>
      <c r="D40" s="416">
        <f>+SUM(B40:C40)</f>
        <v>1</v>
      </c>
      <c r="E40" s="8"/>
    </row>
    <row r="41" spans="1:8" x14ac:dyDescent="0.25">
      <c r="A41" t="s">
        <v>1707</v>
      </c>
      <c r="B41" s="416">
        <v>0.5</v>
      </c>
      <c r="C41" s="416">
        <v>0.5</v>
      </c>
      <c r="D41" s="416">
        <f>+SUM(B41:C41)</f>
        <v>1</v>
      </c>
      <c r="E41" s="8"/>
    </row>
    <row r="42" spans="1:8" x14ac:dyDescent="0.25">
      <c r="B42" s="416"/>
      <c r="C42" s="416"/>
      <c r="D42" s="416"/>
      <c r="E42" s="8"/>
    </row>
    <row r="43" spans="1:8" x14ac:dyDescent="0.25">
      <c r="A43" t="s">
        <v>1704</v>
      </c>
      <c r="B43" s="416">
        <v>0.25</v>
      </c>
      <c r="C43" s="416">
        <v>0.75</v>
      </c>
      <c r="D43" s="416">
        <f>+SUM(B43:C43)</f>
        <v>1</v>
      </c>
      <c r="E43" s="8"/>
    </row>
    <row r="44" spans="1:8" x14ac:dyDescent="0.25">
      <c r="A44" t="s">
        <v>1705</v>
      </c>
      <c r="B44" s="416">
        <v>0.5</v>
      </c>
      <c r="C44" s="416">
        <v>0.5</v>
      </c>
      <c r="D44" s="416">
        <f>+SUM(B44:C44)</f>
        <v>1</v>
      </c>
      <c r="E44" s="8"/>
    </row>
    <row r="45" spans="1:8" x14ac:dyDescent="0.25">
      <c r="B45" s="8"/>
      <c r="C45" s="12"/>
      <c r="D45" s="8"/>
      <c r="E45" s="8"/>
    </row>
    <row r="46" spans="1:8" x14ac:dyDescent="0.25">
      <c r="A46" s="453" t="s">
        <v>1664</v>
      </c>
      <c r="B46" s="375" t="s">
        <v>1655</v>
      </c>
      <c r="C46" s="375" t="s">
        <v>1655</v>
      </c>
      <c r="D46" s="375" t="s">
        <v>1656</v>
      </c>
      <c r="E46" s="375" t="s">
        <v>1656</v>
      </c>
      <c r="F46" s="4"/>
      <c r="G46" s="418"/>
      <c r="H46" s="418"/>
    </row>
    <row r="47" spans="1:8" x14ac:dyDescent="0.25">
      <c r="A47" s="375"/>
      <c r="B47" s="375" t="s">
        <v>1665</v>
      </c>
      <c r="C47" s="375" t="s">
        <v>1708</v>
      </c>
      <c r="D47" s="375" t="s">
        <v>1281</v>
      </c>
      <c r="E47" s="375" t="s">
        <v>1666</v>
      </c>
      <c r="F47" s="4"/>
      <c r="G47" s="418" t="s">
        <v>1667</v>
      </c>
    </row>
    <row r="48" spans="1:8" x14ac:dyDescent="0.25">
      <c r="F48" s="418"/>
      <c r="G48" s="418"/>
    </row>
    <row r="49" spans="1:7" x14ac:dyDescent="0.25">
      <c r="A49" t="s">
        <v>1702</v>
      </c>
      <c r="B49" s="416">
        <v>0.06</v>
      </c>
      <c r="C49" s="416">
        <v>0.19</v>
      </c>
      <c r="D49" s="416">
        <v>0.25</v>
      </c>
      <c r="E49" s="416">
        <v>0.5</v>
      </c>
      <c r="F49" s="418" t="s">
        <v>1833</v>
      </c>
      <c r="G49" s="421">
        <f>B49+C49+D49+E49</f>
        <v>1</v>
      </c>
    </row>
    <row r="50" spans="1:7" x14ac:dyDescent="0.25">
      <c r="A50" t="s">
        <v>1703</v>
      </c>
      <c r="B50" s="416">
        <v>0.12</v>
      </c>
      <c r="C50" s="416">
        <v>0.38</v>
      </c>
      <c r="D50" s="416">
        <v>0.15</v>
      </c>
      <c r="E50" s="416">
        <v>0.35</v>
      </c>
      <c r="F50" s="418"/>
      <c r="G50" s="421">
        <f t="shared" ref="G50:G56" si="0">B50+C50+D50+E50</f>
        <v>1</v>
      </c>
    </row>
    <row r="51" spans="1:7" x14ac:dyDescent="0.25">
      <c r="F51" s="418"/>
      <c r="G51" s="421"/>
    </row>
    <row r="52" spans="1:7" x14ac:dyDescent="0.25">
      <c r="A52" t="s">
        <v>1706</v>
      </c>
      <c r="B52" s="416">
        <v>0.06</v>
      </c>
      <c r="C52" s="416">
        <v>0.19</v>
      </c>
      <c r="D52" s="416">
        <v>0.25</v>
      </c>
      <c r="E52" s="416">
        <v>0.5</v>
      </c>
      <c r="F52" s="418"/>
      <c r="G52" s="421">
        <f t="shared" si="0"/>
        <v>1</v>
      </c>
    </row>
    <row r="53" spans="1:7" x14ac:dyDescent="0.25">
      <c r="A53" t="s">
        <v>1707</v>
      </c>
      <c r="B53" s="416">
        <v>0.12</v>
      </c>
      <c r="C53" s="416">
        <v>0.38</v>
      </c>
      <c r="D53" s="416">
        <v>0.15</v>
      </c>
      <c r="E53" s="416">
        <v>0.35</v>
      </c>
      <c r="F53" s="418"/>
      <c r="G53" s="421">
        <f t="shared" si="0"/>
        <v>1</v>
      </c>
    </row>
    <row r="54" spans="1:7" x14ac:dyDescent="0.25">
      <c r="B54" s="416"/>
      <c r="C54" s="416"/>
      <c r="D54" s="416"/>
      <c r="E54" s="416"/>
      <c r="F54" s="418"/>
      <c r="G54" s="421"/>
    </row>
    <row r="55" spans="1:7" x14ac:dyDescent="0.25">
      <c r="A55" t="s">
        <v>1704</v>
      </c>
      <c r="B55" s="416">
        <v>0.06</v>
      </c>
      <c r="C55" s="416">
        <v>0.19</v>
      </c>
      <c r="D55" s="416">
        <v>0.25</v>
      </c>
      <c r="E55" s="416">
        <v>0.5</v>
      </c>
      <c r="F55" s="418"/>
      <c r="G55" s="421">
        <f t="shared" si="0"/>
        <v>1</v>
      </c>
    </row>
    <row r="56" spans="1:7" x14ac:dyDescent="0.25">
      <c r="A56" t="s">
        <v>1705</v>
      </c>
      <c r="B56" s="416">
        <v>0.12</v>
      </c>
      <c r="C56" s="416">
        <v>0.38</v>
      </c>
      <c r="D56" s="416">
        <v>0.15</v>
      </c>
      <c r="E56" s="416">
        <v>0.35</v>
      </c>
      <c r="G56" s="421">
        <f t="shared" si="0"/>
        <v>1</v>
      </c>
    </row>
    <row r="57" spans="1:7" x14ac:dyDescent="0.25">
      <c r="B57" s="8"/>
      <c r="C57" s="12"/>
      <c r="D57" s="8"/>
      <c r="E57" s="8"/>
    </row>
    <row r="58" spans="1:7" x14ac:dyDescent="0.25">
      <c r="B58" s="8"/>
      <c r="C58" s="7"/>
      <c r="D58" s="8"/>
      <c r="E58" s="8"/>
    </row>
    <row r="59" spans="1:7" x14ac:dyDescent="0.25">
      <c r="A59" s="5" t="s">
        <v>5</v>
      </c>
      <c r="B59" s="6"/>
      <c r="C59" s="376"/>
      <c r="D59" s="6"/>
      <c r="E59" s="6"/>
      <c r="F59" s="4"/>
    </row>
    <row r="60" spans="1:7" x14ac:dyDescent="0.25">
      <c r="A60" t="s">
        <v>1558</v>
      </c>
      <c r="B60" s="377">
        <v>5.0000000000000001E-3</v>
      </c>
      <c r="C60" s="377">
        <v>6.8000000000000005E-4</v>
      </c>
      <c r="D60" s="377">
        <v>1.4749999999999999E-2</v>
      </c>
      <c r="E60" s="8">
        <v>85</v>
      </c>
      <c r="F60" t="s">
        <v>1559</v>
      </c>
    </row>
    <row r="61" spans="1:7" x14ac:dyDescent="0.25">
      <c r="B61" s="8"/>
      <c r="C61" s="7"/>
      <c r="D61" s="8"/>
      <c r="E61" s="8"/>
    </row>
  </sheetData>
  <sheetProtection algorithmName="SHA-512" hashValue="tcfTbD1dWQbP6lzBsjJwYly69Yuy9gvy1ltzycL+UyoABCrB0ynko1zGpMFy4DUbnRAJIUelNsyAyAzczDd0DQ==" saltValue="RYrQ1eOsnEZrnJ8Bs8KW4Q==" spinCount="100000" sheet="1" objects="1" scenarios="1"/>
  <protectedRanges>
    <protectedRange sqref="A1:XFD1048576" name="all"/>
  </protectedRanges>
  <pageMargins left="0.7" right="0.7" top="0.75" bottom="0.75" header="0.3" footer="0.3"/>
  <pageSetup paperSize="9" orientation="portrait" r:id="rId1"/>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2" tint="-0.249977111117893"/>
  </sheetPr>
  <dimension ref="A1:Q125"/>
  <sheetViews>
    <sheetView workbookViewId="0">
      <selection activeCell="K26" sqref="K26"/>
    </sheetView>
  </sheetViews>
  <sheetFormatPr defaultColWidth="8.85546875" defaultRowHeight="15" x14ac:dyDescent="0.25"/>
  <cols>
    <col min="1" max="1" width="29" customWidth="1"/>
    <col min="2" max="2" width="10.140625" customWidth="1"/>
    <col min="3" max="3" width="20.7109375" customWidth="1"/>
    <col min="4" max="6" width="12.7109375" customWidth="1"/>
    <col min="7" max="7" width="15.140625" customWidth="1"/>
    <col min="8" max="8" width="17.28515625" style="398" customWidth="1"/>
    <col min="9" max="9" width="19.42578125" customWidth="1"/>
    <col min="10" max="12" width="12.7109375" customWidth="1"/>
    <col min="13" max="13" width="17.28515625" customWidth="1"/>
    <col min="14" max="15" width="12.7109375" style="429" customWidth="1"/>
  </cols>
  <sheetData>
    <row r="1" spans="1:17" x14ac:dyDescent="0.25">
      <c r="A1" s="373" t="s">
        <v>1636</v>
      </c>
      <c r="B1" s="373"/>
      <c r="C1" s="373"/>
      <c r="D1" s="373"/>
      <c r="E1" s="373"/>
      <c r="F1" s="373"/>
      <c r="G1" s="373"/>
      <c r="H1" s="373"/>
      <c r="I1" s="373"/>
      <c r="J1" s="373"/>
      <c r="K1" s="373"/>
      <c r="L1" s="373"/>
      <c r="M1" s="373"/>
      <c r="N1" s="428"/>
      <c r="O1" s="428"/>
      <c r="P1" s="420"/>
    </row>
    <row r="3" spans="1:17" x14ac:dyDescent="0.25">
      <c r="A3" t="s">
        <v>1637</v>
      </c>
      <c r="C3" s="399">
        <v>8.75</v>
      </c>
      <c r="D3" t="s">
        <v>1638</v>
      </c>
      <c r="E3" t="s">
        <v>1639</v>
      </c>
      <c r="G3" t="s">
        <v>1640</v>
      </c>
    </row>
    <row r="4" spans="1:17" x14ac:dyDescent="0.25">
      <c r="C4" s="399">
        <v>7.95</v>
      </c>
      <c r="D4" t="s">
        <v>1638</v>
      </c>
      <c r="E4" t="s">
        <v>1641</v>
      </c>
    </row>
    <row r="6" spans="1:17" x14ac:dyDescent="0.25">
      <c r="A6" s="419" t="s">
        <v>1657</v>
      </c>
      <c r="B6" s="419"/>
      <c r="C6" s="419"/>
      <c r="D6" s="419"/>
      <c r="E6" s="419"/>
      <c r="F6" s="419"/>
      <c r="G6" s="419"/>
      <c r="H6" s="419"/>
      <c r="I6" s="419"/>
      <c r="J6" s="419"/>
      <c r="K6" s="419"/>
      <c r="L6" s="419"/>
      <c r="M6" s="419"/>
      <c r="N6" s="430"/>
      <c r="O6" s="430"/>
    </row>
    <row r="7" spans="1:17" s="11" customFormat="1" x14ac:dyDescent="0.25">
      <c r="A7" s="418"/>
      <c r="B7" s="418"/>
      <c r="C7" s="418"/>
      <c r="D7" s="418"/>
      <c r="E7" s="418"/>
      <c r="F7" s="418"/>
      <c r="G7" s="418"/>
      <c r="H7" s="418"/>
      <c r="I7" s="418"/>
      <c r="J7" s="418"/>
      <c r="K7" s="418"/>
      <c r="L7" s="418"/>
      <c r="M7" s="418"/>
      <c r="N7" s="431"/>
      <c r="O7" s="431"/>
    </row>
    <row r="8" spans="1:17" s="11" customFormat="1" x14ac:dyDescent="0.25">
      <c r="A8" s="2" t="s">
        <v>1661</v>
      </c>
      <c r="B8"/>
      <c r="C8"/>
      <c r="D8"/>
      <c r="E8"/>
      <c r="F8" s="2" t="s">
        <v>1664</v>
      </c>
      <c r="G8"/>
      <c r="H8"/>
      <c r="I8"/>
      <c r="J8"/>
      <c r="K8"/>
      <c r="L8" s="418"/>
      <c r="M8" s="418"/>
      <c r="N8" s="431"/>
      <c r="O8" s="431"/>
    </row>
    <row r="9" spans="1:17" s="11" customFormat="1" x14ac:dyDescent="0.25">
      <c r="A9"/>
      <c r="B9"/>
      <c r="C9"/>
      <c r="D9"/>
      <c r="E9"/>
      <c r="F9"/>
      <c r="G9" t="s">
        <v>1655</v>
      </c>
      <c r="H9" t="s">
        <v>1655</v>
      </c>
      <c r="I9" t="s">
        <v>1655</v>
      </c>
      <c r="J9" t="s">
        <v>1656</v>
      </c>
      <c r="K9" t="s">
        <v>1656</v>
      </c>
      <c r="L9" s="418"/>
      <c r="M9" s="418" t="s">
        <v>1667</v>
      </c>
      <c r="N9" s="431"/>
      <c r="O9" s="431"/>
    </row>
    <row r="10" spans="1:17" s="11" customFormat="1" x14ac:dyDescent="0.25">
      <c r="A10"/>
      <c r="B10" t="s">
        <v>1655</v>
      </c>
      <c r="C10" t="s">
        <v>1656</v>
      </c>
      <c r="D10" t="s">
        <v>1489</v>
      </c>
      <c r="E10"/>
      <c r="F10"/>
      <c r="G10" t="s">
        <v>1665</v>
      </c>
      <c r="H10" t="s">
        <v>1281</v>
      </c>
      <c r="I10" t="s">
        <v>1666</v>
      </c>
      <c r="J10" t="s">
        <v>1281</v>
      </c>
      <c r="K10" t="s">
        <v>1666</v>
      </c>
      <c r="L10" s="418"/>
      <c r="M10" s="418"/>
      <c r="N10" s="431"/>
      <c r="O10" s="431"/>
    </row>
    <row r="11" spans="1:17" s="11" customFormat="1" x14ac:dyDescent="0.25">
      <c r="A11" t="s">
        <v>1662</v>
      </c>
      <c r="B11" s="416">
        <v>0.25</v>
      </c>
      <c r="C11" s="416">
        <v>0.75</v>
      </c>
      <c r="D11" s="416">
        <f>+SUM(B11:C11)</f>
        <v>1</v>
      </c>
      <c r="E11"/>
      <c r="F11" t="s">
        <v>1662</v>
      </c>
      <c r="G11" s="416">
        <v>0.03</v>
      </c>
      <c r="H11" s="416">
        <v>0.03</v>
      </c>
      <c r="I11" s="416">
        <v>0.19</v>
      </c>
      <c r="J11" s="416">
        <v>0.25</v>
      </c>
      <c r="K11" s="416">
        <v>0.5</v>
      </c>
      <c r="L11" s="418"/>
      <c r="M11" s="421">
        <f>G11+H11+I11+J11+K11</f>
        <v>1</v>
      </c>
      <c r="N11" s="432"/>
      <c r="O11" s="431"/>
    </row>
    <row r="12" spans="1:17" s="11" customFormat="1" x14ac:dyDescent="0.25">
      <c r="A12" t="s">
        <v>1663</v>
      </c>
      <c r="B12" s="416">
        <v>0.5</v>
      </c>
      <c r="C12" s="416">
        <v>0.5</v>
      </c>
      <c r="D12" s="416">
        <f>+SUM(B12:C12)</f>
        <v>1</v>
      </c>
      <c r="E12"/>
      <c r="F12" t="s">
        <v>1663</v>
      </c>
      <c r="G12" s="416">
        <v>0.06</v>
      </c>
      <c r="H12" s="416">
        <v>0.06</v>
      </c>
      <c r="I12" s="416">
        <v>0.38</v>
      </c>
      <c r="J12" s="416">
        <v>0.15</v>
      </c>
      <c r="K12" s="416">
        <v>0.35</v>
      </c>
      <c r="L12" s="418"/>
      <c r="M12" s="421">
        <f>G12+H12+I12+J12+K12</f>
        <v>1</v>
      </c>
      <c r="N12" s="432"/>
      <c r="O12" s="431"/>
    </row>
    <row r="13" spans="1:17" s="11" customFormat="1" x14ac:dyDescent="0.25">
      <c r="A13"/>
      <c r="B13"/>
      <c r="C13"/>
      <c r="D13"/>
      <c r="E13"/>
      <c r="L13" s="418"/>
      <c r="M13" s="418"/>
      <c r="N13" s="431"/>
      <c r="O13" s="431"/>
    </row>
    <row r="14" spans="1:17" s="11" customFormat="1" x14ac:dyDescent="0.25">
      <c r="A14" s="418"/>
      <c r="B14" s="418"/>
      <c r="C14" s="418"/>
      <c r="D14" s="418"/>
      <c r="E14" s="418"/>
      <c r="F14" s="418"/>
      <c r="G14" s="418"/>
      <c r="H14" s="418"/>
      <c r="I14" s="418"/>
      <c r="J14" s="418"/>
      <c r="K14" s="418"/>
      <c r="L14" s="418"/>
      <c r="M14" s="418"/>
      <c r="N14" s="431"/>
      <c r="O14" s="431"/>
    </row>
    <row r="15" spans="1:17" ht="60" x14ac:dyDescent="0.25">
      <c r="A15" s="400" t="s">
        <v>1642</v>
      </c>
      <c r="B15" s="448" t="s">
        <v>1659</v>
      </c>
      <c r="C15" s="400" t="s">
        <v>1643</v>
      </c>
      <c r="D15" s="401" t="s">
        <v>1644</v>
      </c>
      <c r="E15" s="401" t="s">
        <v>1645</v>
      </c>
      <c r="F15" s="401" t="s">
        <v>1646</v>
      </c>
      <c r="G15" s="401" t="s">
        <v>1647</v>
      </c>
      <c r="H15" s="402" t="s">
        <v>1648</v>
      </c>
      <c r="I15" s="401" t="s">
        <v>1649</v>
      </c>
      <c r="J15" s="401" t="s">
        <v>1650</v>
      </c>
      <c r="K15" s="401" t="s">
        <v>1651</v>
      </c>
      <c r="L15" s="401" t="s">
        <v>1652</v>
      </c>
      <c r="M15" s="442" t="s">
        <v>1675</v>
      </c>
      <c r="N15" s="433" t="s">
        <v>1653</v>
      </c>
      <c r="O15" s="433" t="s">
        <v>1654</v>
      </c>
      <c r="Q15" t="e">
        <f xml:space="preserve"> SUM((IFERROR(VLOOKUP('input-data'!$E$289,Fodertabel,10,FALSE),0)*'input-data'!I267/100)
+(IFERROR(VLOOKUP('input-data'!$E$290,Fodertabel,10,FALSE),0)*'input-data'!I268/100)
+(IFERROR(VLOOKUP('input-data'!$E$291,Fodertabel,10,FALSE),0)*'input-data'!I269/100)
+(IFERROR(VLOOKUP('input-data'!$E$292,Fodertabel,10,FALSE),0)*'input-data'!I270/100)
+(IFERROR(VLOOKUP('input-data'!$E$293,Fodertabel,10,FALSE),0)*'input-data'!I271/100))
*10</f>
        <v>#VALUE!</v>
      </c>
    </row>
    <row r="16" spans="1:17" ht="17.25" x14ac:dyDescent="0.25">
      <c r="A16" t="s">
        <v>1673</v>
      </c>
      <c r="B16" s="449">
        <v>1.3</v>
      </c>
      <c r="D16" s="403"/>
      <c r="G16" s="403"/>
      <c r="I16" s="403"/>
      <c r="K16" s="404"/>
      <c r="L16" s="404"/>
      <c r="M16" s="405"/>
      <c r="N16" s="434"/>
      <c r="O16" s="435"/>
    </row>
    <row r="17" spans="1:15" x14ac:dyDescent="0.25">
      <c r="A17" t="s">
        <v>1671</v>
      </c>
      <c r="B17" s="449">
        <v>0.63</v>
      </c>
      <c r="C17" t="s">
        <v>1669</v>
      </c>
      <c r="D17" s="403">
        <f>G11</f>
        <v>0.03</v>
      </c>
      <c r="E17" s="399">
        <v>0.65</v>
      </c>
      <c r="F17" s="403">
        <v>0.1</v>
      </c>
      <c r="G17" s="403"/>
      <c r="I17" s="403"/>
      <c r="J17" s="398">
        <f>+H16*(1-I16)</f>
        <v>0</v>
      </c>
      <c r="K17" s="404">
        <f>Øko_NH4_N_udskilt*D17*F17</f>
        <v>2.6250000000000002E-2</v>
      </c>
      <c r="L17" s="404">
        <f>+Øko_NH4_N_udskilt*D17*J17</f>
        <v>0</v>
      </c>
      <c r="M17" s="405">
        <f>+SUM(K17:L17)</f>
        <v>2.6250000000000002E-2</v>
      </c>
      <c r="N17" s="434">
        <f>+SUM(K17:L17)</f>
        <v>2.6250000000000002E-2</v>
      </c>
      <c r="O17" s="435">
        <f>+N17/E17</f>
        <v>4.0384615384615387E-2</v>
      </c>
    </row>
    <row r="18" spans="1:15" x14ac:dyDescent="0.25">
      <c r="A18" t="s">
        <v>1672</v>
      </c>
      <c r="B18" s="449">
        <v>0.02</v>
      </c>
      <c r="C18" t="s">
        <v>1281</v>
      </c>
      <c r="D18" s="403">
        <f>H11</f>
        <v>0.03</v>
      </c>
      <c r="E18" s="399">
        <v>0.25</v>
      </c>
      <c r="F18" s="403">
        <v>0.3</v>
      </c>
      <c r="G18" s="403"/>
      <c r="I18" s="403"/>
      <c r="J18" s="398">
        <f>+H17*(1-I17)</f>
        <v>0</v>
      </c>
      <c r="K18" s="404">
        <f>Øko_NH4_N_udskilt*D18*F18</f>
        <v>7.8750000000000001E-2</v>
      </c>
      <c r="L18" s="404">
        <f>+Øko_NH4_N_udskilt*D18*J18</f>
        <v>0</v>
      </c>
      <c r="M18" s="405">
        <f>+SUM(K18:L18)</f>
        <v>7.8750000000000001E-2</v>
      </c>
      <c r="N18" s="434">
        <f t="shared" ref="N18:N19" si="0">+SUM(K18:L18)</f>
        <v>7.8750000000000001E-2</v>
      </c>
      <c r="O18" s="435">
        <f t="shared" ref="O18:O19" si="1">+N18/E18</f>
        <v>0.315</v>
      </c>
    </row>
    <row r="19" spans="1:15" x14ac:dyDescent="0.25">
      <c r="A19" t="s">
        <v>1658</v>
      </c>
      <c r="B19" s="176"/>
      <c r="C19" t="s">
        <v>1670</v>
      </c>
      <c r="D19" s="403">
        <f>I11</f>
        <v>0.19</v>
      </c>
      <c r="E19" s="399">
        <v>0.4</v>
      </c>
      <c r="F19" s="403">
        <v>0.04</v>
      </c>
      <c r="G19" s="403">
        <v>0.15</v>
      </c>
      <c r="H19" s="398">
        <f>+G19*E19/0.65</f>
        <v>9.2307692307692299E-2</v>
      </c>
      <c r="I19" s="403"/>
      <c r="J19" s="398">
        <f t="shared" ref="J19" si="2">+H19*(1-I19)</f>
        <v>9.2307692307692299E-2</v>
      </c>
      <c r="K19" s="404">
        <f>Øko_NH4_N_udskilt*D19*F19</f>
        <v>6.6500000000000004E-2</v>
      </c>
      <c r="L19" s="404">
        <f>+Øko_NH4_N_udskilt*D19*J19</f>
        <v>0.15346153846153845</v>
      </c>
      <c r="M19" s="405">
        <f>+SUM(K19:L19)</f>
        <v>0.21996153846153846</v>
      </c>
      <c r="N19" s="434">
        <f t="shared" si="0"/>
        <v>0.21996153846153846</v>
      </c>
      <c r="O19" s="435">
        <f t="shared" si="1"/>
        <v>0.54990384615384613</v>
      </c>
    </row>
    <row r="20" spans="1:15" x14ac:dyDescent="0.25">
      <c r="B20" s="176"/>
      <c r="D20" s="403"/>
      <c r="E20" s="399"/>
      <c r="F20" s="403"/>
      <c r="G20" s="403"/>
      <c r="I20" s="403"/>
      <c r="J20" s="398"/>
      <c r="K20" s="404"/>
      <c r="L20" s="404"/>
      <c r="M20" s="405"/>
      <c r="N20" s="434"/>
      <c r="O20" s="435"/>
    </row>
    <row r="21" spans="1:15" x14ac:dyDescent="0.25">
      <c r="A21" t="s">
        <v>1668</v>
      </c>
      <c r="B21" s="449">
        <v>1</v>
      </c>
      <c r="D21" s="403"/>
      <c r="G21" s="403"/>
      <c r="I21" s="403"/>
      <c r="K21" s="404"/>
      <c r="L21" s="404"/>
      <c r="M21" s="405"/>
      <c r="N21" s="434"/>
      <c r="O21" s="435"/>
    </row>
    <row r="22" spans="1:15" x14ac:dyDescent="0.25">
      <c r="A22" t="s">
        <v>1660</v>
      </c>
      <c r="B22" s="449">
        <v>0.5</v>
      </c>
      <c r="C22" t="s">
        <v>1404</v>
      </c>
      <c r="D22" s="403">
        <f>J11</f>
        <v>0.25</v>
      </c>
      <c r="E22" s="399">
        <v>0.6</v>
      </c>
      <c r="F22" s="403">
        <f>+F18</f>
        <v>0.3</v>
      </c>
      <c r="I22" s="403"/>
      <c r="J22" s="398">
        <f>+H21*(1-I21)</f>
        <v>0</v>
      </c>
      <c r="K22" s="404">
        <f>Øko_NH4_N_udskilt*D22*F22</f>
        <v>0.65625</v>
      </c>
      <c r="L22" s="404">
        <f>+Øko_NH4_N_udskilt*D22*J22</f>
        <v>0</v>
      </c>
      <c r="M22" s="405">
        <f>+SUM(K22:L22)</f>
        <v>0.65625</v>
      </c>
      <c r="N22" s="434">
        <f t="shared" ref="N22:N23" si="3">+SUM(K22:L22)</f>
        <v>0.65625</v>
      </c>
      <c r="O22" s="435">
        <f t="shared" ref="O22:O23" si="4">+N22/E22</f>
        <v>1.09375</v>
      </c>
    </row>
    <row r="23" spans="1:15" x14ac:dyDescent="0.25">
      <c r="A23" t="s">
        <v>1658</v>
      </c>
      <c r="B23" s="449"/>
      <c r="D23" s="403">
        <f>K11</f>
        <v>0.5</v>
      </c>
      <c r="E23" s="399">
        <v>0.4</v>
      </c>
      <c r="F23" s="403">
        <f>+F19</f>
        <v>0.04</v>
      </c>
      <c r="G23" s="403">
        <v>0.15</v>
      </c>
      <c r="H23" s="398">
        <f>+H19</f>
        <v>9.2307692307692299E-2</v>
      </c>
      <c r="I23" s="403"/>
      <c r="J23" s="398">
        <f>+H23*(1-I22)</f>
        <v>9.2307692307692299E-2</v>
      </c>
      <c r="K23" s="404">
        <f>Øko_NH4_N_udskilt*D23*F23</f>
        <v>0.17500000000000002</v>
      </c>
      <c r="L23" s="404">
        <f>+Øko_NH4_N_udskilt*D23*J23</f>
        <v>0.4038461538461538</v>
      </c>
      <c r="M23" s="405">
        <f>+SUM(K23:L23)</f>
        <v>0.57884615384615379</v>
      </c>
      <c r="N23" s="434">
        <f t="shared" si="3"/>
        <v>0.57884615384615379</v>
      </c>
      <c r="O23" s="435">
        <f t="shared" si="4"/>
        <v>1.4471153846153844</v>
      </c>
    </row>
    <row r="24" spans="1:15" x14ac:dyDescent="0.25">
      <c r="A24" s="400"/>
      <c r="B24" s="400"/>
      <c r="C24" s="400"/>
      <c r="D24" s="406">
        <f>D22+D21+D19+D17+D16</f>
        <v>0.47</v>
      </c>
      <c r="E24" s="407">
        <f>+SUM(E17:E23)</f>
        <v>2.2999999999999998</v>
      </c>
      <c r="F24" s="400"/>
      <c r="G24" s="400"/>
      <c r="H24" s="408"/>
      <c r="I24" s="400"/>
      <c r="J24" s="400"/>
      <c r="K24" s="409">
        <f>+SUM(K16:K22)</f>
        <v>0.82774999999999999</v>
      </c>
      <c r="L24" s="409">
        <f>+SUM(L16:L22)</f>
        <v>0.15346153846153845</v>
      </c>
      <c r="M24" s="409">
        <f>+SUM(M16:M22)</f>
        <v>0.98121153846153852</v>
      </c>
      <c r="N24" s="436">
        <f>+SUM(N16:N22)</f>
        <v>0.98121153846153852</v>
      </c>
      <c r="O24" s="437">
        <f>+M24/E24</f>
        <v>0.42661371237458201</v>
      </c>
    </row>
    <row r="25" spans="1:15" ht="17.25" x14ac:dyDescent="0.25">
      <c r="A25" s="427" t="s">
        <v>1674</v>
      </c>
      <c r="C25" s="1"/>
      <c r="D25" s="422"/>
      <c r="E25" s="423"/>
      <c r="F25" s="1"/>
      <c r="G25" s="1"/>
      <c r="H25" s="424"/>
      <c r="I25" s="1"/>
      <c r="J25" s="1"/>
      <c r="K25" s="425"/>
      <c r="L25" s="425"/>
      <c r="M25" s="425"/>
      <c r="N25" s="438"/>
      <c r="O25" s="439"/>
    </row>
    <row r="28" spans="1:15" x14ac:dyDescent="0.25">
      <c r="A28" s="419" t="s">
        <v>1676</v>
      </c>
      <c r="B28" s="419"/>
      <c r="C28" s="419"/>
      <c r="D28" s="419"/>
      <c r="E28" s="419"/>
      <c r="F28" s="419"/>
      <c r="G28" s="419"/>
      <c r="H28" s="419"/>
      <c r="I28" s="419"/>
      <c r="J28" s="419"/>
      <c r="K28" s="419"/>
      <c r="L28" s="419"/>
      <c r="M28" s="419"/>
      <c r="N28" s="430"/>
      <c r="O28" s="430"/>
    </row>
    <row r="29" spans="1:15" s="11" customFormat="1" x14ac:dyDescent="0.25">
      <c r="A29" s="418"/>
      <c r="B29" s="418"/>
      <c r="C29" s="418"/>
      <c r="D29" s="418"/>
      <c r="E29" s="418"/>
      <c r="F29" s="418"/>
      <c r="G29" s="418"/>
      <c r="H29" s="418"/>
      <c r="I29" s="418"/>
      <c r="J29" s="418"/>
      <c r="K29" s="418"/>
      <c r="L29" s="418"/>
      <c r="M29" s="418"/>
      <c r="N29" s="431"/>
      <c r="O29" s="431"/>
    </row>
    <row r="30" spans="1:15" s="11" customFormat="1" x14ac:dyDescent="0.25">
      <c r="A30" s="2" t="s">
        <v>1661</v>
      </c>
      <c r="B30"/>
      <c r="C30"/>
      <c r="D30"/>
      <c r="E30"/>
      <c r="F30" s="2" t="s">
        <v>1664</v>
      </c>
      <c r="G30"/>
      <c r="H30"/>
      <c r="I30"/>
      <c r="J30"/>
      <c r="K30"/>
      <c r="L30" s="418"/>
      <c r="M30" s="418"/>
      <c r="N30" s="431"/>
      <c r="O30" s="431"/>
    </row>
    <row r="31" spans="1:15" s="11" customFormat="1" x14ac:dyDescent="0.25">
      <c r="A31"/>
      <c r="B31"/>
      <c r="C31"/>
      <c r="D31"/>
      <c r="E31"/>
      <c r="F31"/>
      <c r="G31" t="s">
        <v>1655</v>
      </c>
      <c r="H31" t="s">
        <v>1655</v>
      </c>
      <c r="I31" t="s">
        <v>1655</v>
      </c>
      <c r="J31" t="s">
        <v>1656</v>
      </c>
      <c r="K31" t="s">
        <v>1656</v>
      </c>
      <c r="L31" s="418"/>
      <c r="M31" s="418" t="s">
        <v>1667</v>
      </c>
      <c r="N31" s="431"/>
      <c r="O31" s="431"/>
    </row>
    <row r="32" spans="1:15" s="11" customFormat="1" x14ac:dyDescent="0.25">
      <c r="A32"/>
      <c r="B32" t="s">
        <v>1655</v>
      </c>
      <c r="C32" t="s">
        <v>1656</v>
      </c>
      <c r="D32" t="s">
        <v>1489</v>
      </c>
      <c r="E32"/>
      <c r="F32"/>
      <c r="G32" t="s">
        <v>1665</v>
      </c>
      <c r="H32" t="s">
        <v>1281</v>
      </c>
      <c r="I32" t="s">
        <v>1666</v>
      </c>
      <c r="J32" t="s">
        <v>1281</v>
      </c>
      <c r="K32" t="s">
        <v>1666</v>
      </c>
      <c r="L32" s="418"/>
      <c r="M32" s="418"/>
      <c r="N32" s="431"/>
      <c r="O32" s="431"/>
    </row>
    <row r="33" spans="1:17" s="11" customFormat="1" x14ac:dyDescent="0.25">
      <c r="A33" t="s">
        <v>1662</v>
      </c>
      <c r="B33" s="416">
        <v>0.25</v>
      </c>
      <c r="C33" s="416">
        <v>0.75</v>
      </c>
      <c r="D33" s="416">
        <f>+SUM(B33:C33)</f>
        <v>1</v>
      </c>
      <c r="E33"/>
      <c r="F33" t="s">
        <v>1662</v>
      </c>
      <c r="G33" s="416">
        <v>0.03</v>
      </c>
      <c r="H33" s="416">
        <v>0.03</v>
      </c>
      <c r="I33" s="416">
        <v>0.19</v>
      </c>
      <c r="J33" s="416">
        <v>0.25</v>
      </c>
      <c r="K33" s="416">
        <v>0.5</v>
      </c>
      <c r="L33" s="418"/>
      <c r="M33" s="421">
        <f>G33+H33+I33+J33+K33</f>
        <v>1</v>
      </c>
      <c r="N33" s="432"/>
      <c r="O33" s="431"/>
    </row>
    <row r="34" spans="1:17" s="11" customFormat="1" x14ac:dyDescent="0.25">
      <c r="A34" t="s">
        <v>1663</v>
      </c>
      <c r="B34" s="416">
        <v>0.5</v>
      </c>
      <c r="C34" s="416">
        <v>0.5</v>
      </c>
      <c r="D34" s="416">
        <f>+SUM(B34:C34)</f>
        <v>1</v>
      </c>
      <c r="E34"/>
      <c r="F34" t="s">
        <v>1663</v>
      </c>
      <c r="G34" s="416">
        <v>0.06</v>
      </c>
      <c r="H34" s="416">
        <v>0.06</v>
      </c>
      <c r="I34" s="416">
        <v>0.38</v>
      </c>
      <c r="J34" s="416">
        <v>0.15</v>
      </c>
      <c r="K34" s="416">
        <v>0.35</v>
      </c>
      <c r="L34" s="418"/>
      <c r="M34" s="421">
        <f>G34+H34+I34+J34+K34</f>
        <v>1</v>
      </c>
      <c r="N34" s="432"/>
      <c r="O34" s="431"/>
    </row>
    <row r="35" spans="1:17" s="11" customFormat="1" x14ac:dyDescent="0.25">
      <c r="A35"/>
      <c r="B35" s="416"/>
      <c r="C35" s="416"/>
      <c r="D35" s="416"/>
      <c r="E35"/>
      <c r="F35"/>
      <c r="G35" s="416"/>
      <c r="H35" s="416"/>
      <c r="I35" s="416"/>
      <c r="J35" s="416"/>
      <c r="K35" s="416"/>
      <c r="L35" s="418"/>
      <c r="M35" s="421"/>
      <c r="N35" s="432"/>
      <c r="O35" s="431"/>
    </row>
    <row r="36" spans="1:17" s="11" customFormat="1" x14ac:dyDescent="0.25">
      <c r="A36" s="2" t="s">
        <v>1687</v>
      </c>
      <c r="B36" s="416"/>
      <c r="C36" s="416"/>
      <c r="D36" s="416"/>
      <c r="E36"/>
      <c r="F36"/>
      <c r="G36" s="416"/>
      <c r="H36" s="416"/>
      <c r="I36" s="416"/>
      <c r="J36" s="416"/>
      <c r="K36" s="416"/>
      <c r="L36" s="418"/>
      <c r="M36" s="421"/>
      <c r="N36" s="432"/>
      <c r="O36" s="431"/>
    </row>
    <row r="37" spans="1:17" s="11" customFormat="1" x14ac:dyDescent="0.25">
      <c r="A37"/>
      <c r="B37" s="416" t="s">
        <v>1688</v>
      </c>
      <c r="C37" s="416" t="s">
        <v>1689</v>
      </c>
      <c r="D37" s="416" t="s">
        <v>1688</v>
      </c>
      <c r="E37" s="416" t="s">
        <v>1688</v>
      </c>
      <c r="F37" s="416" t="s">
        <v>1690</v>
      </c>
      <c r="G37" s="416" t="s">
        <v>1691</v>
      </c>
      <c r="H37" s="416" t="s">
        <v>1692</v>
      </c>
      <c r="I37" s="416" t="s">
        <v>1699</v>
      </c>
      <c r="J37" s="416"/>
      <c r="K37" s="416"/>
      <c r="L37" s="418"/>
      <c r="M37" s="421"/>
      <c r="N37" s="432"/>
      <c r="O37" s="431"/>
    </row>
    <row r="38" spans="1:17" s="11" customFormat="1" x14ac:dyDescent="0.25">
      <c r="A38" t="s">
        <v>1693</v>
      </c>
      <c r="B38" s="450">
        <v>30</v>
      </c>
      <c r="C38" s="450">
        <v>50</v>
      </c>
      <c r="D38" s="450">
        <v>85</v>
      </c>
      <c r="E38" s="450">
        <v>110</v>
      </c>
      <c r="F38" s="450">
        <v>110</v>
      </c>
      <c r="G38" s="450"/>
      <c r="H38" s="450"/>
      <c r="I38" s="450"/>
      <c r="J38" s="450"/>
      <c r="K38" s="416"/>
      <c r="L38" s="418"/>
      <c r="M38" s="421"/>
      <c r="N38" s="432"/>
      <c r="O38" s="431"/>
    </row>
    <row r="39" spans="1:17" s="11" customFormat="1" x14ac:dyDescent="0.25">
      <c r="A39" t="s">
        <v>1694</v>
      </c>
      <c r="B39" s="417">
        <v>0.6</v>
      </c>
      <c r="C39" s="417">
        <v>0.8</v>
      </c>
      <c r="D39" s="417">
        <v>1.1000000000000001</v>
      </c>
      <c r="E39" s="417">
        <v>1.3</v>
      </c>
      <c r="F39" s="417">
        <v>1.5</v>
      </c>
      <c r="G39" s="417">
        <v>2.5</v>
      </c>
      <c r="H39" s="417">
        <v>6</v>
      </c>
      <c r="I39" s="417">
        <v>7.5</v>
      </c>
      <c r="J39" s="450"/>
      <c r="K39" s="416"/>
      <c r="L39" s="418"/>
      <c r="M39" s="421"/>
      <c r="N39" s="432"/>
      <c r="O39" s="431"/>
    </row>
    <row r="40" spans="1:17" s="11" customFormat="1" x14ac:dyDescent="0.25">
      <c r="A40" t="s">
        <v>1696</v>
      </c>
      <c r="B40" s="417">
        <v>0.3</v>
      </c>
      <c r="C40" s="417">
        <v>0.4</v>
      </c>
      <c r="D40" s="417">
        <v>0.55000000000000004</v>
      </c>
      <c r="E40" s="417">
        <v>0.65</v>
      </c>
      <c r="F40" s="417">
        <v>0.75</v>
      </c>
      <c r="G40" s="417">
        <v>1.25</v>
      </c>
      <c r="H40" s="417">
        <v>3</v>
      </c>
      <c r="I40" s="417">
        <v>3.75</v>
      </c>
      <c r="J40" s="450"/>
      <c r="K40" s="416"/>
      <c r="L40" s="418"/>
      <c r="M40" s="421"/>
      <c r="N40" s="432"/>
      <c r="O40" s="431"/>
    </row>
    <row r="41" spans="1:17" s="11" customFormat="1" x14ac:dyDescent="0.25">
      <c r="A41" t="s">
        <v>1697</v>
      </c>
      <c r="B41" s="451">
        <v>0.26</v>
      </c>
      <c r="C41" s="451">
        <v>0.37</v>
      </c>
      <c r="D41" s="451">
        <v>0.55000000000000004</v>
      </c>
      <c r="E41" s="451">
        <v>0.63</v>
      </c>
      <c r="F41" s="452">
        <v>0.78</v>
      </c>
      <c r="G41" s="452">
        <v>1.1000000000000001</v>
      </c>
      <c r="H41" s="452">
        <v>1.23</v>
      </c>
      <c r="I41" s="452">
        <v>1.23</v>
      </c>
      <c r="J41" s="452"/>
      <c r="L41" s="418"/>
      <c r="M41" s="418"/>
      <c r="N41" s="431"/>
      <c r="O41" s="431"/>
    </row>
    <row r="42" spans="1:17" s="11" customFormat="1" x14ac:dyDescent="0.25">
      <c r="A42" t="s">
        <v>1695</v>
      </c>
      <c r="B42" s="451">
        <v>0.4</v>
      </c>
      <c r="C42" s="451">
        <v>0.6</v>
      </c>
      <c r="D42" s="451">
        <v>0.8</v>
      </c>
      <c r="E42" s="452">
        <v>1</v>
      </c>
      <c r="F42" s="452">
        <v>1.2</v>
      </c>
      <c r="G42" s="452">
        <v>1.9</v>
      </c>
      <c r="H42" s="452">
        <v>8</v>
      </c>
      <c r="I42" s="452">
        <v>2.5</v>
      </c>
      <c r="J42" s="452"/>
      <c r="L42" s="418"/>
      <c r="M42" s="418"/>
      <c r="N42" s="431"/>
      <c r="O42" s="431"/>
    </row>
    <row r="43" spans="1:17" s="11" customFormat="1" x14ac:dyDescent="0.25">
      <c r="A43" t="s">
        <v>1698</v>
      </c>
      <c r="B43" s="451">
        <v>0.2</v>
      </c>
      <c r="C43" s="451">
        <v>0.3</v>
      </c>
      <c r="D43" s="451">
        <v>0.4</v>
      </c>
      <c r="E43" s="451">
        <v>0.5</v>
      </c>
      <c r="F43" s="452">
        <v>0.6</v>
      </c>
      <c r="G43" s="452">
        <v>0.95</v>
      </c>
      <c r="H43" s="452">
        <v>4</v>
      </c>
      <c r="I43" s="452">
        <v>1.25</v>
      </c>
      <c r="J43" s="452"/>
      <c r="L43" s="418"/>
      <c r="M43" s="418"/>
      <c r="N43" s="431"/>
      <c r="O43" s="431"/>
    </row>
    <row r="44" spans="1:17" s="11" customFormat="1" x14ac:dyDescent="0.25">
      <c r="A44"/>
      <c r="B44" s="451"/>
      <c r="C44" s="451"/>
      <c r="D44" s="451"/>
      <c r="E44" s="451"/>
      <c r="F44" s="452"/>
      <c r="G44" s="452"/>
      <c r="H44" s="452"/>
      <c r="I44" s="452"/>
      <c r="J44" s="452"/>
      <c r="L44" s="418"/>
      <c r="M44" s="418"/>
      <c r="N44" s="431"/>
      <c r="O44" s="431"/>
    </row>
    <row r="45" spans="1:17" s="11" customFormat="1" x14ac:dyDescent="0.25">
      <c r="A45" s="418"/>
      <c r="B45" s="418"/>
      <c r="C45" s="418"/>
      <c r="D45" s="418"/>
      <c r="E45" s="418"/>
      <c r="F45" s="418"/>
      <c r="G45" s="418"/>
      <c r="H45" s="418"/>
      <c r="I45" s="418"/>
      <c r="J45" s="418"/>
      <c r="K45" s="418"/>
      <c r="L45" s="418"/>
      <c r="M45" s="418"/>
      <c r="N45" s="431"/>
      <c r="O45" s="431"/>
    </row>
    <row r="46" spans="1:17" ht="60" x14ac:dyDescent="0.25">
      <c r="A46" s="400" t="s">
        <v>1642</v>
      </c>
      <c r="B46" s="401" t="s">
        <v>1659</v>
      </c>
      <c r="C46" s="400" t="s">
        <v>1643</v>
      </c>
      <c r="D46" s="401" t="s">
        <v>1644</v>
      </c>
      <c r="E46" s="401" t="s">
        <v>1645</v>
      </c>
      <c r="F46" s="401" t="s">
        <v>1646</v>
      </c>
      <c r="G46" s="401" t="s">
        <v>1647</v>
      </c>
      <c r="H46" s="402" t="s">
        <v>1648</v>
      </c>
      <c r="I46" s="401" t="s">
        <v>1649</v>
      </c>
      <c r="J46" s="401" t="s">
        <v>1650</v>
      </c>
      <c r="K46" s="401" t="s">
        <v>1651</v>
      </c>
      <c r="L46" s="401" t="s">
        <v>1652</v>
      </c>
      <c r="M46" s="401" t="s">
        <v>1675</v>
      </c>
      <c r="N46" s="433" t="s">
        <v>1653</v>
      </c>
      <c r="O46" s="433" t="s">
        <v>1654</v>
      </c>
      <c r="Q46">
        <f xml:space="preserve"> SUM((IFERROR(VLOOKUP('input-data'!$E$289,Fodertabel,10,FALSE),0)*'input-data'!I289/100)
+(IFERROR(VLOOKUP('input-data'!$E$290,Fodertabel,10,FALSE),0)*'input-data'!I290/100)
+(IFERROR(VLOOKUP('input-data'!$E$291,Fodertabel,10,FALSE),0)*'input-data'!I291/100)
+(IFERROR(VLOOKUP('input-data'!$E$292,Fodertabel,10,FALSE),0)*'input-data'!I292/100)
+(IFERROR(VLOOKUP('input-data'!$E$293,Fodertabel,10,FALSE),0)*'input-data'!I293/100))
*10</f>
        <v>0</v>
      </c>
    </row>
    <row r="47" spans="1:17" ht="17.25" x14ac:dyDescent="0.25">
      <c r="A47" t="s">
        <v>1673</v>
      </c>
      <c r="B47" s="417">
        <v>1.3</v>
      </c>
      <c r="D47" s="403"/>
      <c r="G47" s="403"/>
      <c r="I47" s="403"/>
      <c r="K47" s="404"/>
      <c r="L47" s="404"/>
      <c r="M47" s="405"/>
      <c r="N47" s="434"/>
      <c r="O47" s="435"/>
    </row>
    <row r="48" spans="1:17" x14ac:dyDescent="0.25">
      <c r="A48" t="s">
        <v>1671</v>
      </c>
      <c r="B48" s="417">
        <v>0.63</v>
      </c>
      <c r="C48" t="s">
        <v>1669</v>
      </c>
      <c r="D48" s="403">
        <f>G33</f>
        <v>0.03</v>
      </c>
      <c r="E48" s="399">
        <v>0.65</v>
      </c>
      <c r="F48" s="403">
        <v>0.1</v>
      </c>
      <c r="G48" s="403"/>
      <c r="I48" s="403"/>
      <c r="J48" s="398">
        <f>+H47*(1-I47)</f>
        <v>0</v>
      </c>
      <c r="K48" s="404">
        <f>Øko_NH4_N_udskilt*D48*F48</f>
        <v>2.6250000000000002E-2</v>
      </c>
      <c r="L48" s="404">
        <f>+Øko_NH4_N_udskilt*D48*J48</f>
        <v>0</v>
      </c>
      <c r="M48" s="405">
        <f>+SUM(K48:L48)</f>
        <v>2.6250000000000002E-2</v>
      </c>
      <c r="N48" s="434">
        <f>+SUM(K48:L48)</f>
        <v>2.6250000000000002E-2</v>
      </c>
      <c r="O48" s="435">
        <f>+N48/E48</f>
        <v>4.0384615384615387E-2</v>
      </c>
    </row>
    <row r="49" spans="1:15" x14ac:dyDescent="0.25">
      <c r="A49" t="s">
        <v>1672</v>
      </c>
      <c r="B49" s="417">
        <v>0.02</v>
      </c>
      <c r="C49" t="s">
        <v>1281</v>
      </c>
      <c r="D49" s="403">
        <f>H33</f>
        <v>0.03</v>
      </c>
      <c r="E49" s="399">
        <v>0.25</v>
      </c>
      <c r="F49" s="403">
        <v>0.3</v>
      </c>
      <c r="G49" s="403"/>
      <c r="I49" s="403"/>
      <c r="J49" s="398">
        <f>+H48*(1-I48)</f>
        <v>0</v>
      </c>
      <c r="K49" s="404">
        <f>Øko_NH4_N_udskilt*D49*F49</f>
        <v>7.8750000000000001E-2</v>
      </c>
      <c r="L49" s="404">
        <f>+Øko_NH4_N_udskilt*D49*J49</f>
        <v>0</v>
      </c>
      <c r="M49" s="405">
        <f>+SUM(K49:L49)</f>
        <v>7.8750000000000001E-2</v>
      </c>
      <c r="N49" s="434">
        <f t="shared" ref="N49:N54" si="5">+SUM(K49:L49)</f>
        <v>7.8750000000000001E-2</v>
      </c>
      <c r="O49" s="435">
        <f t="shared" ref="O49:O54" si="6">+N49/E49</f>
        <v>0.315</v>
      </c>
    </row>
    <row r="50" spans="1:15" x14ac:dyDescent="0.25">
      <c r="A50" t="s">
        <v>1658</v>
      </c>
      <c r="C50" t="s">
        <v>1670</v>
      </c>
      <c r="D50" s="403">
        <f>I33</f>
        <v>0.19</v>
      </c>
      <c r="E50" s="399">
        <v>0.4</v>
      </c>
      <c r="F50" s="403">
        <v>0.04</v>
      </c>
      <c r="G50" s="403">
        <v>0.15</v>
      </c>
      <c r="H50" s="398">
        <f>+G50*E50/0.65</f>
        <v>9.2307692307692299E-2</v>
      </c>
      <c r="I50" s="403"/>
      <c r="J50" s="398">
        <f t="shared" ref="J50" si="7">+H50*(1-I50)</f>
        <v>9.2307692307692299E-2</v>
      </c>
      <c r="K50" s="404">
        <f>Øko_NH4_N_udskilt*D50*F50</f>
        <v>6.6500000000000004E-2</v>
      </c>
      <c r="L50" s="404">
        <f>+Øko_NH4_N_udskilt*D50*J50</f>
        <v>0.15346153846153845</v>
      </c>
      <c r="M50" s="405">
        <f>+SUM(K50:L50)</f>
        <v>0.21996153846153846</v>
      </c>
      <c r="N50" s="434">
        <f t="shared" si="5"/>
        <v>0.21996153846153846</v>
      </c>
      <c r="O50" s="435">
        <f t="shared" si="6"/>
        <v>0.54990384615384613</v>
      </c>
    </row>
    <row r="51" spans="1:15" x14ac:dyDescent="0.25">
      <c r="D51" s="403"/>
      <c r="E51" s="399"/>
      <c r="F51" s="403"/>
      <c r="G51" s="403"/>
      <c r="I51" s="403"/>
      <c r="J51" s="398"/>
      <c r="K51" s="404"/>
      <c r="L51" s="404"/>
      <c r="M51" s="405"/>
      <c r="N51" s="434"/>
      <c r="O51" s="435"/>
    </row>
    <row r="52" spans="1:15" x14ac:dyDescent="0.25">
      <c r="A52" t="s">
        <v>1668</v>
      </c>
      <c r="B52" s="417">
        <v>1</v>
      </c>
      <c r="D52" s="403"/>
      <c r="G52" s="403"/>
      <c r="I52" s="403"/>
      <c r="K52" s="404"/>
      <c r="L52" s="404"/>
      <c r="M52" s="405"/>
      <c r="N52" s="434"/>
      <c r="O52" s="435"/>
    </row>
    <row r="53" spans="1:15" x14ac:dyDescent="0.25">
      <c r="A53" t="s">
        <v>1660</v>
      </c>
      <c r="B53" s="417">
        <v>0.5</v>
      </c>
      <c r="C53" t="s">
        <v>1404</v>
      </c>
      <c r="D53" s="403">
        <f>J33</f>
        <v>0.25</v>
      </c>
      <c r="E53" s="399">
        <v>0.6</v>
      </c>
      <c r="F53" s="403">
        <f>+F49</f>
        <v>0.3</v>
      </c>
      <c r="I53" s="403"/>
      <c r="J53" s="398">
        <f>+H52*(1-I52)</f>
        <v>0</v>
      </c>
      <c r="K53" s="404">
        <f>Øko_NH4_N_udskilt*D53*F53</f>
        <v>0.65625</v>
      </c>
      <c r="L53" s="404">
        <f>+Øko_NH4_N_udskilt*D53*J53</f>
        <v>0</v>
      </c>
      <c r="M53" s="405">
        <f>+SUM(K53:L53)</f>
        <v>0.65625</v>
      </c>
      <c r="N53" s="434">
        <f t="shared" si="5"/>
        <v>0.65625</v>
      </c>
      <c r="O53" s="435">
        <f t="shared" si="6"/>
        <v>1.09375</v>
      </c>
    </row>
    <row r="54" spans="1:15" x14ac:dyDescent="0.25">
      <c r="A54" t="s">
        <v>1658</v>
      </c>
      <c r="B54" s="417"/>
      <c r="D54" s="403">
        <f>K33</f>
        <v>0.5</v>
      </c>
      <c r="E54" s="399">
        <v>0.4</v>
      </c>
      <c r="F54" s="403">
        <f>+F50</f>
        <v>0.04</v>
      </c>
      <c r="G54" s="403">
        <v>0.15</v>
      </c>
      <c r="H54" s="398">
        <f>+H50</f>
        <v>9.2307692307692299E-2</v>
      </c>
      <c r="I54" s="403"/>
      <c r="J54" s="398">
        <f>+H54*(1-I53)</f>
        <v>9.2307692307692299E-2</v>
      </c>
      <c r="K54" s="404">
        <f>Øko_NH4_N_udskilt*D54*F54</f>
        <v>0.17500000000000002</v>
      </c>
      <c r="L54" s="404">
        <f>+Øko_NH4_N_udskilt*D54*J54</f>
        <v>0.4038461538461538</v>
      </c>
      <c r="M54" s="405">
        <f>+SUM(K54:L54)</f>
        <v>0.57884615384615379</v>
      </c>
      <c r="N54" s="434">
        <f t="shared" si="5"/>
        <v>0.57884615384615379</v>
      </c>
      <c r="O54" s="435">
        <f t="shared" si="6"/>
        <v>1.4471153846153844</v>
      </c>
    </row>
    <row r="55" spans="1:15" x14ac:dyDescent="0.25">
      <c r="A55" s="400"/>
      <c r="B55" s="400"/>
      <c r="C55" s="400"/>
      <c r="D55" s="406">
        <f>D53+D52+D50+D48+D47</f>
        <v>0.47</v>
      </c>
      <c r="E55" s="407">
        <f>+SUM(E48:E54)</f>
        <v>2.2999999999999998</v>
      </c>
      <c r="F55" s="400"/>
      <c r="G55" s="400"/>
      <c r="H55" s="408"/>
      <c r="I55" s="400"/>
      <c r="J55" s="400"/>
      <c r="K55" s="409">
        <f>+SUM(K47:K53)</f>
        <v>0.82774999999999999</v>
      </c>
      <c r="L55" s="409">
        <f>+SUM(L47:L53)</f>
        <v>0.15346153846153845</v>
      </c>
      <c r="M55" s="409">
        <f>+SUM(M47:M53)</f>
        <v>0.98121153846153852</v>
      </c>
      <c r="N55" s="436">
        <f>+SUM(N47:N53)</f>
        <v>0.98121153846153852</v>
      </c>
      <c r="O55" s="437">
        <f>+M55/E55</f>
        <v>0.42661371237458201</v>
      </c>
    </row>
    <row r="56" spans="1:15" ht="17.25" x14ac:dyDescent="0.25">
      <c r="A56" s="427" t="s">
        <v>1680</v>
      </c>
      <c r="C56" s="1"/>
      <c r="D56" s="422"/>
      <c r="E56" s="423"/>
      <c r="F56" s="1"/>
      <c r="G56" s="1"/>
      <c r="H56" s="424"/>
      <c r="I56" s="1"/>
      <c r="J56" s="1"/>
      <c r="K56" s="425"/>
      <c r="L56" s="425"/>
      <c r="M56" s="425"/>
      <c r="N56" s="438"/>
      <c r="O56" s="439"/>
    </row>
    <row r="57" spans="1:15" x14ac:dyDescent="0.25">
      <c r="A57" s="426"/>
      <c r="B57" s="426"/>
    </row>
    <row r="59" spans="1:15" x14ac:dyDescent="0.25">
      <c r="A59" s="419" t="s">
        <v>1678</v>
      </c>
      <c r="B59" s="419"/>
      <c r="C59" s="419"/>
      <c r="D59" s="419"/>
      <c r="E59" s="419"/>
      <c r="F59" s="419"/>
      <c r="G59" s="419"/>
      <c r="H59" s="419"/>
      <c r="I59" s="419"/>
      <c r="J59" s="419"/>
      <c r="K59" s="419"/>
      <c r="L59" s="419"/>
      <c r="M59" s="419"/>
      <c r="N59" s="430"/>
      <c r="O59" s="430"/>
    </row>
    <row r="60" spans="1:15" s="11" customFormat="1" x14ac:dyDescent="0.25">
      <c r="A60" s="418"/>
      <c r="B60" s="418"/>
      <c r="C60" s="418"/>
      <c r="D60" s="418"/>
      <c r="E60" s="418"/>
      <c r="F60" s="418"/>
      <c r="G60" s="418"/>
      <c r="H60" s="418"/>
      <c r="I60" s="418"/>
      <c r="J60" s="418"/>
      <c r="K60" s="418"/>
      <c r="L60" s="418"/>
      <c r="M60" s="418"/>
      <c r="N60" s="431"/>
      <c r="O60" s="431"/>
    </row>
    <row r="61" spans="1:15" s="11" customFormat="1" x14ac:dyDescent="0.25">
      <c r="A61" s="2" t="s">
        <v>1661</v>
      </c>
      <c r="B61"/>
      <c r="C61"/>
      <c r="D61"/>
      <c r="E61"/>
      <c r="F61" s="2" t="s">
        <v>1664</v>
      </c>
      <c r="G61"/>
      <c r="H61"/>
      <c r="I61"/>
      <c r="J61"/>
      <c r="K61"/>
      <c r="L61" s="418"/>
      <c r="M61" s="418"/>
      <c r="N61" s="431"/>
      <c r="O61" s="431"/>
    </row>
    <row r="62" spans="1:15" s="11" customFormat="1" x14ac:dyDescent="0.25">
      <c r="A62"/>
      <c r="B62"/>
      <c r="C62"/>
      <c r="D62"/>
      <c r="E62"/>
      <c r="F62"/>
      <c r="G62" t="s">
        <v>1655</v>
      </c>
      <c r="H62" t="s">
        <v>1655</v>
      </c>
      <c r="I62" t="s">
        <v>1655</v>
      </c>
      <c r="J62" t="s">
        <v>1656</v>
      </c>
      <c r="K62" t="s">
        <v>1656</v>
      </c>
      <c r="L62" s="418"/>
      <c r="M62" s="418" t="s">
        <v>1667</v>
      </c>
      <c r="N62" s="431"/>
      <c r="O62" s="431"/>
    </row>
    <row r="63" spans="1:15" s="11" customFormat="1" x14ac:dyDescent="0.25">
      <c r="A63"/>
      <c r="B63" t="s">
        <v>1655</v>
      </c>
      <c r="C63" t="s">
        <v>1656</v>
      </c>
      <c r="D63" t="s">
        <v>1489</v>
      </c>
      <c r="E63"/>
      <c r="F63"/>
      <c r="G63" t="s">
        <v>1665</v>
      </c>
      <c r="H63" t="s">
        <v>1281</v>
      </c>
      <c r="I63" t="s">
        <v>1666</v>
      </c>
      <c r="J63" t="s">
        <v>1281</v>
      </c>
      <c r="K63" t="s">
        <v>1666</v>
      </c>
      <c r="L63" s="418"/>
      <c r="M63" s="418"/>
      <c r="N63" s="431"/>
      <c r="O63" s="431"/>
    </row>
    <row r="64" spans="1:15" s="11" customFormat="1" x14ac:dyDescent="0.25">
      <c r="A64" t="s">
        <v>1662</v>
      </c>
      <c r="B64" s="416">
        <v>0.25</v>
      </c>
      <c r="C64" s="416">
        <v>0.75</v>
      </c>
      <c r="D64" s="416">
        <f>+SUM(B64:C64)</f>
        <v>1</v>
      </c>
      <c r="E64"/>
      <c r="F64" t="s">
        <v>1662</v>
      </c>
      <c r="G64" s="416">
        <v>0.03</v>
      </c>
      <c r="H64" s="416">
        <v>0.03</v>
      </c>
      <c r="I64" s="416">
        <v>0.19</v>
      </c>
      <c r="J64" s="416">
        <v>0.25</v>
      </c>
      <c r="K64" s="416">
        <v>0.5</v>
      </c>
      <c r="L64" s="418"/>
      <c r="M64" s="421">
        <f>G64+H64+I64+J64+K64</f>
        <v>1</v>
      </c>
      <c r="N64" s="432"/>
      <c r="O64" s="431"/>
    </row>
    <row r="65" spans="1:17" s="11" customFormat="1" x14ac:dyDescent="0.25">
      <c r="A65" t="s">
        <v>1663</v>
      </c>
      <c r="B65" s="416">
        <v>0.5</v>
      </c>
      <c r="C65" s="416">
        <v>0.5</v>
      </c>
      <c r="D65" s="416">
        <f>+SUM(B65:C65)</f>
        <v>1</v>
      </c>
      <c r="E65"/>
      <c r="F65" t="s">
        <v>1663</v>
      </c>
      <c r="G65" s="416">
        <v>0.06</v>
      </c>
      <c r="H65" s="416">
        <v>0.06</v>
      </c>
      <c r="I65" s="416">
        <v>0.38</v>
      </c>
      <c r="J65" s="416">
        <v>0.15</v>
      </c>
      <c r="K65" s="416">
        <v>0.35</v>
      </c>
      <c r="L65" s="418"/>
      <c r="M65" s="421">
        <f>G65+H65+I65+J65+K65</f>
        <v>1</v>
      </c>
      <c r="N65" s="432"/>
      <c r="O65" s="431"/>
    </row>
    <row r="66" spans="1:17" s="11" customFormat="1" x14ac:dyDescent="0.25">
      <c r="A66"/>
      <c r="B66"/>
      <c r="C66"/>
      <c r="D66"/>
      <c r="E66"/>
      <c r="L66" s="418"/>
      <c r="M66" s="418"/>
      <c r="N66" s="431"/>
      <c r="O66" s="431"/>
    </row>
    <row r="67" spans="1:17" s="11" customFormat="1" x14ac:dyDescent="0.25">
      <c r="A67" s="418"/>
      <c r="B67" s="418"/>
      <c r="C67" s="418"/>
      <c r="D67" s="418"/>
      <c r="E67" s="418"/>
      <c r="F67" s="418"/>
      <c r="G67" s="418"/>
      <c r="H67" s="418"/>
      <c r="I67" s="418"/>
      <c r="J67" s="418"/>
      <c r="K67" s="418"/>
      <c r="L67" s="418"/>
      <c r="M67" s="418"/>
      <c r="N67" s="431"/>
      <c r="O67" s="431"/>
    </row>
    <row r="68" spans="1:17" ht="60" x14ac:dyDescent="0.25">
      <c r="A68" s="400" t="s">
        <v>1642</v>
      </c>
      <c r="B68" s="401" t="s">
        <v>1659</v>
      </c>
      <c r="C68" s="400" t="s">
        <v>1643</v>
      </c>
      <c r="D68" s="401" t="s">
        <v>1644</v>
      </c>
      <c r="E68" s="401" t="s">
        <v>1645</v>
      </c>
      <c r="F68" s="401" t="s">
        <v>1646</v>
      </c>
      <c r="G68" s="401" t="s">
        <v>1647</v>
      </c>
      <c r="H68" s="402" t="s">
        <v>1648</v>
      </c>
      <c r="I68" s="401" t="s">
        <v>1649</v>
      </c>
      <c r="J68" s="401" t="s">
        <v>1650</v>
      </c>
      <c r="K68" s="401" t="s">
        <v>1651</v>
      </c>
      <c r="L68" s="401" t="s">
        <v>1652</v>
      </c>
      <c r="M68" s="401" t="s">
        <v>1677</v>
      </c>
      <c r="N68" s="433" t="s">
        <v>1653</v>
      </c>
      <c r="O68" s="433" t="s">
        <v>1654</v>
      </c>
      <c r="Q68">
        <f xml:space="preserve"> SUM((IFERROR(VLOOKUP('input-data'!$E$289,Fodertabel,10,FALSE),0)*'input-data'!I311/100)
+(IFERROR(VLOOKUP('input-data'!$E$290,Fodertabel,10,FALSE),0)*'input-data'!I312/100)
+(IFERROR(VLOOKUP('input-data'!$E$291,Fodertabel,10,FALSE),0)*'input-data'!I313/100)
+(IFERROR(VLOOKUP('input-data'!$E$292,Fodertabel,10,FALSE),0)*'input-data'!I314/100)
+(IFERROR(VLOOKUP('input-data'!$E$293,Fodertabel,10,FALSE),0)*'input-data'!I315/100))
*10</f>
        <v>0</v>
      </c>
    </row>
    <row r="69" spans="1:17" ht="17.25" x14ac:dyDescent="0.25">
      <c r="A69" t="s">
        <v>1673</v>
      </c>
      <c r="B69" s="417">
        <v>0.6</v>
      </c>
      <c r="D69" s="403"/>
      <c r="G69" s="403"/>
      <c r="I69" s="403"/>
      <c r="K69" s="404"/>
      <c r="L69" s="404"/>
      <c r="M69" s="405"/>
      <c r="N69" s="434"/>
      <c r="O69" s="435"/>
    </row>
    <row r="70" spans="1:17" x14ac:dyDescent="0.25">
      <c r="A70" t="s">
        <v>1671</v>
      </c>
      <c r="B70" s="417">
        <v>0.26</v>
      </c>
      <c r="C70" t="s">
        <v>1669</v>
      </c>
      <c r="D70" s="403">
        <f>G64</f>
        <v>0.03</v>
      </c>
      <c r="E70" s="399">
        <v>0.65</v>
      </c>
      <c r="F70" s="403">
        <v>0.1</v>
      </c>
      <c r="G70" s="403"/>
      <c r="I70" s="403"/>
      <c r="J70" s="398">
        <f>+H69*(1-I69)</f>
        <v>0</v>
      </c>
      <c r="K70" s="404">
        <f>Øko_NH4_N_udskilt*D70*F70</f>
        <v>2.6250000000000002E-2</v>
      </c>
      <c r="L70" s="404">
        <f>+Øko_NH4_N_udskilt*D70*J70</f>
        <v>0</v>
      </c>
      <c r="M70" s="405">
        <f>+SUM(K70:L70)</f>
        <v>2.6250000000000002E-2</v>
      </c>
      <c r="N70" s="434">
        <f>+SUM(K70:L70)</f>
        <v>2.6250000000000002E-2</v>
      </c>
      <c r="O70" s="435">
        <f>+N70/E70</f>
        <v>4.0384615384615387E-2</v>
      </c>
    </row>
    <row r="71" spans="1:17" x14ac:dyDescent="0.25">
      <c r="A71" t="s">
        <v>1672</v>
      </c>
      <c r="B71" s="417">
        <v>0.04</v>
      </c>
      <c r="C71" t="s">
        <v>1281</v>
      </c>
      <c r="D71" s="403">
        <f>H64</f>
        <v>0.03</v>
      </c>
      <c r="E71" s="399">
        <v>0.25</v>
      </c>
      <c r="F71" s="403">
        <v>0.3</v>
      </c>
      <c r="G71" s="403"/>
      <c r="I71" s="403"/>
      <c r="J71" s="398">
        <f>+H70*(1-I70)</f>
        <v>0</v>
      </c>
      <c r="K71" s="404">
        <f>Øko_NH4_N_udskilt*D71*F71</f>
        <v>7.8750000000000001E-2</v>
      </c>
      <c r="L71" s="404">
        <f>+Øko_NH4_N_udskilt*D71*J71</f>
        <v>0</v>
      </c>
      <c r="M71" s="405">
        <f>+SUM(K71:L71)</f>
        <v>7.8750000000000001E-2</v>
      </c>
      <c r="N71" s="434">
        <f t="shared" ref="N71:N72" si="8">+SUM(K71:L71)</f>
        <v>7.8750000000000001E-2</v>
      </c>
      <c r="O71" s="435">
        <f t="shared" ref="O71:O72" si="9">+N71/E71</f>
        <v>0.315</v>
      </c>
    </row>
    <row r="72" spans="1:17" x14ac:dyDescent="0.25">
      <c r="A72" t="s">
        <v>1658</v>
      </c>
      <c r="C72" t="s">
        <v>1670</v>
      </c>
      <c r="D72" s="403">
        <f>I64</f>
        <v>0.19</v>
      </c>
      <c r="E72" s="399">
        <v>0.4</v>
      </c>
      <c r="F72" s="403">
        <v>0.04</v>
      </c>
      <c r="G72" s="403">
        <v>0.15</v>
      </c>
      <c r="H72" s="398">
        <f>+G72*E72/0.65</f>
        <v>9.2307692307692299E-2</v>
      </c>
      <c r="I72" s="403"/>
      <c r="J72" s="398">
        <f t="shared" ref="J72" si="10">+H72*(1-I72)</f>
        <v>9.2307692307692299E-2</v>
      </c>
      <c r="K72" s="404">
        <f>Øko_NH4_N_udskilt*D72*F72</f>
        <v>6.6500000000000004E-2</v>
      </c>
      <c r="L72" s="404">
        <f>+Øko_NH4_N_udskilt*D72*J72</f>
        <v>0.15346153846153845</v>
      </c>
      <c r="M72" s="405">
        <f>+SUM(K72:L72)</f>
        <v>0.21996153846153846</v>
      </c>
      <c r="N72" s="434">
        <f t="shared" si="8"/>
        <v>0.21996153846153846</v>
      </c>
      <c r="O72" s="435">
        <f t="shared" si="9"/>
        <v>0.54990384615384613</v>
      </c>
    </row>
    <row r="73" spans="1:17" x14ac:dyDescent="0.25">
      <c r="D73" s="403"/>
      <c r="E73" s="399"/>
      <c r="F73" s="403"/>
      <c r="G73" s="403"/>
      <c r="I73" s="403"/>
      <c r="J73" s="398"/>
      <c r="K73" s="404"/>
      <c r="L73" s="404"/>
      <c r="M73" s="405"/>
      <c r="N73" s="434"/>
      <c r="O73" s="435"/>
    </row>
    <row r="74" spans="1:17" x14ac:dyDescent="0.25">
      <c r="A74" t="s">
        <v>1668</v>
      </c>
      <c r="B74" s="417">
        <v>0.4</v>
      </c>
      <c r="D74" s="403"/>
      <c r="G74" s="403"/>
      <c r="I74" s="403"/>
      <c r="K74" s="404"/>
      <c r="L74" s="404"/>
      <c r="M74" s="405"/>
      <c r="N74" s="434"/>
      <c r="O74" s="435"/>
    </row>
    <row r="75" spans="1:17" x14ac:dyDescent="0.25">
      <c r="A75" t="s">
        <v>1660</v>
      </c>
      <c r="B75" s="417">
        <v>0.2</v>
      </c>
      <c r="C75" t="s">
        <v>1404</v>
      </c>
      <c r="D75" s="403">
        <f>J64</f>
        <v>0.25</v>
      </c>
      <c r="E75" s="399">
        <v>0.6</v>
      </c>
      <c r="F75" s="403">
        <f>+F71</f>
        <v>0.3</v>
      </c>
      <c r="I75" s="403"/>
      <c r="J75" s="398">
        <f>+H74*(1-I74)</f>
        <v>0</v>
      </c>
      <c r="K75" s="404">
        <f>Øko_NH4_N_udskilt*D75*F75</f>
        <v>0.65625</v>
      </c>
      <c r="L75" s="404">
        <f>+Øko_NH4_N_udskilt*D75*J75</f>
        <v>0</v>
      </c>
      <c r="M75" s="405">
        <f>+SUM(K75:L75)</f>
        <v>0.65625</v>
      </c>
      <c r="N75" s="434">
        <f t="shared" ref="N75:N76" si="11">+SUM(K75:L75)</f>
        <v>0.65625</v>
      </c>
      <c r="O75" s="435">
        <f t="shared" ref="O75:O76" si="12">+N75/E75</f>
        <v>1.09375</v>
      </c>
    </row>
    <row r="76" spans="1:17" x14ac:dyDescent="0.25">
      <c r="A76" t="s">
        <v>1658</v>
      </c>
      <c r="B76" s="417"/>
      <c r="D76" s="403">
        <f>K64</f>
        <v>0.5</v>
      </c>
      <c r="E76" s="399">
        <v>0.4</v>
      </c>
      <c r="F76" s="403">
        <f>+F72</f>
        <v>0.04</v>
      </c>
      <c r="G76" s="403">
        <v>0.15</v>
      </c>
      <c r="H76" s="398">
        <f>+H72</f>
        <v>9.2307692307692299E-2</v>
      </c>
      <c r="I76" s="403"/>
      <c r="J76" s="398">
        <f>+H76*(1-I75)</f>
        <v>9.2307692307692299E-2</v>
      </c>
      <c r="K76" s="404">
        <f>Øko_NH4_N_udskilt*D76*F76</f>
        <v>0.17500000000000002</v>
      </c>
      <c r="L76" s="404">
        <f>+Øko_NH4_N_udskilt*D76*J76</f>
        <v>0.4038461538461538</v>
      </c>
      <c r="M76" s="405">
        <f>+SUM(K76:L76)</f>
        <v>0.57884615384615379</v>
      </c>
      <c r="N76" s="434">
        <f t="shared" si="11"/>
        <v>0.57884615384615379</v>
      </c>
      <c r="O76" s="435">
        <f t="shared" si="12"/>
        <v>1.4471153846153844</v>
      </c>
    </row>
    <row r="77" spans="1:17" x14ac:dyDescent="0.25">
      <c r="A77" s="400"/>
      <c r="B77" s="400"/>
      <c r="C77" s="400"/>
      <c r="D77" s="406">
        <f>D75+D74+D72+D70+D69</f>
        <v>0.47</v>
      </c>
      <c r="E77" s="407">
        <f>+SUM(E70:E76)</f>
        <v>2.2999999999999998</v>
      </c>
      <c r="F77" s="400"/>
      <c r="G77" s="400"/>
      <c r="H77" s="408"/>
      <c r="I77" s="400"/>
      <c r="J77" s="400"/>
      <c r="K77" s="409">
        <f>+SUM(K69:K75)</f>
        <v>0.82774999999999999</v>
      </c>
      <c r="L77" s="409">
        <f>+SUM(L69:L75)</f>
        <v>0.15346153846153845</v>
      </c>
      <c r="M77" s="409">
        <f>+SUM(M69:M75)</f>
        <v>0.98121153846153852</v>
      </c>
      <c r="N77" s="436">
        <f>+SUM(N69:N75)</f>
        <v>0.98121153846153852</v>
      </c>
      <c r="O77" s="437">
        <f>+M77/E77</f>
        <v>0.42661371237458201</v>
      </c>
    </row>
    <row r="78" spans="1:17" ht="17.25" x14ac:dyDescent="0.25">
      <c r="A78" s="427" t="s">
        <v>1679</v>
      </c>
      <c r="C78" s="1"/>
      <c r="D78" s="422"/>
      <c r="E78" s="423"/>
      <c r="F78" s="1"/>
      <c r="G78" s="1"/>
      <c r="H78" s="424"/>
      <c r="I78" s="1"/>
      <c r="J78" s="1"/>
      <c r="K78" s="425"/>
      <c r="L78" s="425"/>
      <c r="M78" s="425"/>
      <c r="N78" s="438"/>
      <c r="O78" s="439"/>
    </row>
    <row r="79" spans="1:17" s="199" customFormat="1" x14ac:dyDescent="0.25">
      <c r="A79" s="443"/>
      <c r="B79" s="443"/>
      <c r="C79" s="443"/>
      <c r="D79" s="443"/>
      <c r="E79" s="443"/>
      <c r="F79" s="443"/>
      <c r="G79" s="443"/>
      <c r="H79" s="443"/>
      <c r="I79" s="443"/>
      <c r="J79" s="443"/>
      <c r="K79" s="443"/>
      <c r="L79" s="443"/>
      <c r="M79" s="443"/>
      <c r="N79" s="443"/>
      <c r="O79" s="443"/>
    </row>
    <row r="80" spans="1:17" s="199" customFormat="1" x14ac:dyDescent="0.25">
      <c r="D80" s="444"/>
      <c r="E80" s="444"/>
      <c r="F80" s="444"/>
      <c r="G80" s="444"/>
      <c r="H80" s="445"/>
      <c r="I80" s="444"/>
      <c r="J80" s="444"/>
      <c r="K80" s="444"/>
      <c r="L80" s="444"/>
      <c r="M80" s="444"/>
      <c r="N80" s="444"/>
      <c r="O80" s="444"/>
    </row>
    <row r="81" spans="1:15" s="199" customFormat="1" x14ac:dyDescent="0.25">
      <c r="D81" s="403"/>
      <c r="E81" s="399"/>
      <c r="F81" s="403"/>
      <c r="G81" s="403"/>
      <c r="H81" s="446"/>
      <c r="I81" s="410"/>
      <c r="J81" s="446"/>
      <c r="K81" s="441"/>
      <c r="L81" s="441"/>
      <c r="M81" s="440"/>
      <c r="N81" s="440"/>
      <c r="O81" s="441"/>
    </row>
    <row r="82" spans="1:15" s="199" customFormat="1" x14ac:dyDescent="0.25">
      <c r="D82" s="403"/>
      <c r="E82" s="399"/>
      <c r="F82" s="403"/>
      <c r="G82" s="403"/>
      <c r="H82" s="446"/>
      <c r="I82" s="410"/>
      <c r="J82" s="446"/>
      <c r="K82" s="441"/>
      <c r="L82" s="441"/>
      <c r="M82" s="440"/>
      <c r="N82" s="440"/>
      <c r="O82" s="441"/>
    </row>
    <row r="83" spans="1:15" s="199" customFormat="1" x14ac:dyDescent="0.25">
      <c r="D83" s="403"/>
      <c r="E83" s="399"/>
      <c r="F83" s="403"/>
      <c r="G83" s="403"/>
      <c r="H83" s="446"/>
      <c r="I83" s="403"/>
      <c r="J83" s="446"/>
      <c r="K83" s="441"/>
      <c r="L83" s="441"/>
      <c r="M83" s="440"/>
      <c r="N83" s="440"/>
      <c r="O83" s="441"/>
    </row>
    <row r="84" spans="1:15" s="199" customFormat="1" x14ac:dyDescent="0.25">
      <c r="D84" s="403"/>
      <c r="E84" s="399"/>
      <c r="F84" s="403"/>
      <c r="G84" s="403"/>
      <c r="H84" s="446"/>
      <c r="I84" s="410"/>
      <c r="J84" s="446"/>
      <c r="K84" s="441"/>
      <c r="L84" s="441"/>
      <c r="M84" s="440"/>
      <c r="N84" s="440"/>
      <c r="O84" s="441"/>
    </row>
    <row r="85" spans="1:15" s="199" customFormat="1" x14ac:dyDescent="0.25">
      <c r="D85" s="403"/>
      <c r="E85" s="399"/>
      <c r="F85" s="403"/>
      <c r="G85" s="403"/>
      <c r="H85" s="446"/>
      <c r="I85" s="403"/>
      <c r="J85" s="446"/>
      <c r="K85" s="441"/>
      <c r="L85" s="441"/>
      <c r="M85" s="440"/>
      <c r="N85" s="440"/>
      <c r="O85" s="441"/>
    </row>
    <row r="86" spans="1:15" s="199" customFormat="1" x14ac:dyDescent="0.25">
      <c r="D86" s="447"/>
      <c r="E86" s="441"/>
      <c r="H86" s="446"/>
      <c r="K86" s="440"/>
      <c r="L86" s="440"/>
      <c r="M86" s="440"/>
      <c r="N86" s="440"/>
      <c r="O86" s="441"/>
    </row>
    <row r="87" spans="1:15" s="199" customFormat="1" x14ac:dyDescent="0.25">
      <c r="H87" s="446"/>
    </row>
    <row r="88" spans="1:15" s="199" customFormat="1" x14ac:dyDescent="0.25">
      <c r="A88" s="443"/>
      <c r="B88" s="443"/>
      <c r="C88" s="443"/>
      <c r="D88" s="443"/>
      <c r="E88" s="443"/>
      <c r="F88" s="443"/>
      <c r="G88" s="443"/>
      <c r="H88" s="443"/>
      <c r="I88" s="443"/>
      <c r="J88" s="443"/>
      <c r="K88" s="443"/>
      <c r="L88" s="443"/>
      <c r="M88" s="443"/>
      <c r="N88" s="443"/>
      <c r="O88" s="443"/>
    </row>
    <row r="89" spans="1:15" s="199" customFormat="1" x14ac:dyDescent="0.25">
      <c r="D89" s="444"/>
      <c r="E89" s="444"/>
      <c r="F89" s="444"/>
      <c r="G89" s="444"/>
      <c r="H89" s="445"/>
      <c r="I89" s="444"/>
      <c r="J89" s="444"/>
      <c r="K89" s="444"/>
      <c r="L89" s="444"/>
      <c r="M89" s="444"/>
      <c r="N89" s="444"/>
      <c r="O89" s="444"/>
    </row>
    <row r="90" spans="1:15" s="199" customFormat="1" x14ac:dyDescent="0.25">
      <c r="D90" s="403"/>
      <c r="E90" s="399"/>
      <c r="F90" s="403"/>
      <c r="G90" s="403"/>
      <c r="H90" s="446"/>
      <c r="I90" s="403"/>
      <c r="J90" s="446"/>
      <c r="K90" s="441"/>
      <c r="L90" s="441"/>
      <c r="M90" s="440"/>
      <c r="N90" s="440"/>
      <c r="O90" s="441"/>
    </row>
    <row r="91" spans="1:15" s="199" customFormat="1" x14ac:dyDescent="0.25">
      <c r="D91" s="403"/>
      <c r="E91" s="399"/>
      <c r="F91" s="403"/>
      <c r="G91" s="403"/>
      <c r="H91" s="446"/>
      <c r="I91" s="403"/>
      <c r="J91" s="446"/>
      <c r="K91" s="441"/>
      <c r="L91" s="441"/>
      <c r="M91" s="440"/>
      <c r="N91" s="440"/>
      <c r="O91" s="441"/>
    </row>
    <row r="92" spans="1:15" s="199" customFormat="1" x14ac:dyDescent="0.25">
      <c r="D92" s="403"/>
      <c r="E92" s="399"/>
      <c r="F92" s="403"/>
      <c r="G92" s="403"/>
      <c r="H92" s="446"/>
      <c r="I92" s="403"/>
      <c r="J92" s="446"/>
      <c r="K92" s="441"/>
      <c r="L92" s="441"/>
      <c r="M92" s="440"/>
      <c r="N92" s="440"/>
      <c r="O92" s="441"/>
    </row>
    <row r="93" spans="1:15" s="199" customFormat="1" x14ac:dyDescent="0.25">
      <c r="D93" s="403"/>
      <c r="E93" s="399"/>
      <c r="F93" s="403"/>
      <c r="G93" s="403"/>
      <c r="H93" s="446"/>
      <c r="I93" s="403"/>
      <c r="J93" s="446"/>
      <c r="K93" s="441"/>
      <c r="L93" s="441"/>
      <c r="M93" s="440"/>
      <c r="N93" s="440"/>
      <c r="O93" s="441"/>
    </row>
    <row r="94" spans="1:15" s="199" customFormat="1" x14ac:dyDescent="0.25">
      <c r="D94" s="403"/>
      <c r="E94" s="399"/>
      <c r="F94" s="403"/>
      <c r="G94" s="403"/>
      <c r="H94" s="446"/>
      <c r="I94" s="403"/>
      <c r="J94" s="446"/>
      <c r="K94" s="441"/>
      <c r="L94" s="441"/>
      <c r="M94" s="440"/>
      <c r="N94" s="440"/>
      <c r="O94" s="441"/>
    </row>
    <row r="95" spans="1:15" s="199" customFormat="1" x14ac:dyDescent="0.25">
      <c r="E95" s="441"/>
      <c r="H95" s="446"/>
      <c r="K95" s="440"/>
      <c r="L95" s="440"/>
      <c r="M95" s="440"/>
      <c r="N95" s="440"/>
      <c r="O95" s="441"/>
    </row>
    <row r="96" spans="1:15" s="199" customFormat="1" x14ac:dyDescent="0.25">
      <c r="H96" s="446"/>
    </row>
    <row r="97" spans="4:15" s="199" customFormat="1" x14ac:dyDescent="0.25">
      <c r="H97" s="446"/>
    </row>
    <row r="98" spans="4:15" s="199" customFormat="1" x14ac:dyDescent="0.25">
      <c r="D98" s="444"/>
      <c r="E98" s="444"/>
      <c r="F98" s="444"/>
      <c r="G98" s="444"/>
      <c r="H98" s="445"/>
      <c r="I98" s="444"/>
      <c r="J98" s="444"/>
      <c r="K98" s="444"/>
      <c r="L98" s="444"/>
      <c r="M98" s="444"/>
      <c r="N98" s="444"/>
      <c r="O98" s="444"/>
    </row>
    <row r="99" spans="4:15" s="199" customFormat="1" x14ac:dyDescent="0.25">
      <c r="D99" s="403"/>
      <c r="E99" s="410"/>
      <c r="F99" s="403"/>
      <c r="G99" s="410"/>
      <c r="H99" s="446"/>
      <c r="I99" s="403"/>
      <c r="J99" s="446"/>
      <c r="K99" s="441"/>
      <c r="L99" s="441"/>
      <c r="M99" s="440"/>
      <c r="N99" s="440"/>
      <c r="O99" s="441"/>
    </row>
    <row r="100" spans="4:15" s="199" customFormat="1" x14ac:dyDescent="0.25">
      <c r="D100" s="403"/>
      <c r="E100" s="399"/>
      <c r="F100" s="403"/>
      <c r="G100" s="410"/>
      <c r="H100" s="446"/>
      <c r="I100" s="403"/>
      <c r="J100" s="446"/>
      <c r="K100" s="441"/>
      <c r="L100" s="441"/>
      <c r="M100" s="440"/>
      <c r="N100" s="440"/>
      <c r="O100" s="441"/>
    </row>
    <row r="101" spans="4:15" s="199" customFormat="1" x14ac:dyDescent="0.25">
      <c r="D101" s="403"/>
      <c r="E101" s="399"/>
      <c r="F101" s="403"/>
      <c r="G101" s="403"/>
      <c r="H101" s="446"/>
      <c r="I101" s="403"/>
      <c r="J101" s="446"/>
      <c r="K101" s="441"/>
      <c r="L101" s="441"/>
      <c r="M101" s="440"/>
      <c r="N101" s="440"/>
      <c r="O101" s="441"/>
    </row>
    <row r="102" spans="4:15" s="199" customFormat="1" x14ac:dyDescent="0.25">
      <c r="D102" s="403"/>
      <c r="E102" s="399"/>
      <c r="F102" s="403"/>
      <c r="G102" s="410"/>
      <c r="H102" s="446"/>
      <c r="I102" s="403"/>
      <c r="J102" s="446"/>
      <c r="K102" s="441"/>
      <c r="L102" s="441"/>
      <c r="M102" s="440"/>
      <c r="N102" s="440"/>
      <c r="O102" s="441"/>
    </row>
    <row r="103" spans="4:15" s="199" customFormat="1" x14ac:dyDescent="0.25">
      <c r="D103" s="403"/>
      <c r="E103" s="399"/>
      <c r="F103" s="403"/>
      <c r="G103" s="403"/>
      <c r="H103" s="446"/>
      <c r="I103" s="403"/>
      <c r="J103" s="446"/>
      <c r="K103" s="441"/>
      <c r="L103" s="441"/>
      <c r="M103" s="440"/>
      <c r="N103" s="440"/>
      <c r="O103" s="441"/>
    </row>
    <row r="104" spans="4:15" s="199" customFormat="1" x14ac:dyDescent="0.25">
      <c r="E104" s="441"/>
      <c r="H104" s="446"/>
      <c r="K104" s="440"/>
      <c r="L104" s="440"/>
      <c r="M104" s="440"/>
      <c r="N104" s="440"/>
      <c r="O104" s="441"/>
    </row>
    <row r="105" spans="4:15" s="199" customFormat="1" x14ac:dyDescent="0.25">
      <c r="H105" s="446"/>
    </row>
    <row r="106" spans="4:15" s="199" customFormat="1" x14ac:dyDescent="0.25">
      <c r="H106" s="446"/>
    </row>
    <row r="107" spans="4:15" s="199" customFormat="1" x14ac:dyDescent="0.25">
      <c r="D107" s="444"/>
      <c r="E107" s="444"/>
      <c r="F107" s="444"/>
      <c r="G107" s="444"/>
      <c r="H107" s="445"/>
      <c r="I107" s="444"/>
      <c r="J107" s="444"/>
      <c r="K107" s="444"/>
      <c r="L107" s="444"/>
      <c r="M107" s="444"/>
      <c r="N107" s="444"/>
      <c r="O107" s="444"/>
    </row>
    <row r="108" spans="4:15" s="199" customFormat="1" x14ac:dyDescent="0.25">
      <c r="D108" s="403"/>
      <c r="E108" s="410"/>
      <c r="F108" s="403"/>
      <c r="G108" s="403"/>
      <c r="H108" s="446"/>
      <c r="I108" s="410"/>
      <c r="J108" s="446"/>
      <c r="K108" s="441"/>
      <c r="L108" s="441"/>
      <c r="M108" s="440"/>
      <c r="N108" s="440"/>
      <c r="O108" s="441"/>
    </row>
    <row r="109" spans="4:15" s="199" customFormat="1" x14ac:dyDescent="0.25">
      <c r="D109" s="403"/>
      <c r="E109" s="399"/>
      <c r="F109" s="403"/>
      <c r="G109" s="403"/>
      <c r="H109" s="446"/>
      <c r="I109" s="410"/>
      <c r="J109" s="446"/>
      <c r="K109" s="441"/>
      <c r="L109" s="441"/>
      <c r="M109" s="440"/>
      <c r="N109" s="440"/>
      <c r="O109" s="441"/>
    </row>
    <row r="110" spans="4:15" s="199" customFormat="1" x14ac:dyDescent="0.25">
      <c r="D110" s="403"/>
      <c r="E110" s="399"/>
      <c r="F110" s="403"/>
      <c r="G110" s="403"/>
      <c r="H110" s="446"/>
      <c r="I110" s="403"/>
      <c r="J110" s="446"/>
      <c r="K110" s="441"/>
      <c r="L110" s="441"/>
      <c r="M110" s="440"/>
      <c r="N110" s="440"/>
      <c r="O110" s="441"/>
    </row>
    <row r="111" spans="4:15" s="199" customFormat="1" x14ac:dyDescent="0.25">
      <c r="D111" s="403"/>
      <c r="E111" s="399"/>
      <c r="F111" s="403"/>
      <c r="G111" s="403"/>
      <c r="H111" s="446"/>
      <c r="I111" s="410"/>
      <c r="J111" s="446"/>
      <c r="K111" s="441"/>
      <c r="L111" s="441"/>
      <c r="M111" s="440"/>
      <c r="N111" s="440"/>
      <c r="O111" s="441"/>
    </row>
    <row r="112" spans="4:15" s="199" customFormat="1" x14ac:dyDescent="0.25">
      <c r="D112" s="403"/>
      <c r="E112" s="399"/>
      <c r="F112" s="403"/>
      <c r="G112" s="403"/>
      <c r="H112" s="446"/>
      <c r="I112" s="403"/>
      <c r="J112" s="446"/>
      <c r="K112" s="441"/>
      <c r="L112" s="441"/>
      <c r="M112" s="440"/>
      <c r="N112" s="440"/>
      <c r="O112" s="441"/>
    </row>
    <row r="113" spans="4:15" s="199" customFormat="1" x14ac:dyDescent="0.25">
      <c r="E113" s="441"/>
      <c r="H113" s="446"/>
      <c r="K113" s="440"/>
      <c r="L113" s="440"/>
      <c r="M113" s="440"/>
      <c r="N113" s="440"/>
      <c r="O113" s="441"/>
    </row>
    <row r="114" spans="4:15" s="199" customFormat="1" x14ac:dyDescent="0.25">
      <c r="H114" s="446"/>
    </row>
    <row r="115" spans="4:15" s="199" customFormat="1" x14ac:dyDescent="0.25">
      <c r="H115" s="446"/>
    </row>
    <row r="116" spans="4:15" s="199" customFormat="1" x14ac:dyDescent="0.25">
      <c r="D116" s="444"/>
      <c r="E116" s="444"/>
      <c r="F116" s="444"/>
      <c r="G116" s="444"/>
      <c r="H116" s="445"/>
      <c r="I116" s="444"/>
      <c r="J116" s="444"/>
      <c r="K116" s="444"/>
      <c r="L116" s="444"/>
      <c r="M116" s="444"/>
      <c r="N116" s="444"/>
      <c r="O116" s="444"/>
    </row>
    <row r="117" spans="4:15" s="199" customFormat="1" x14ac:dyDescent="0.25">
      <c r="D117" s="403"/>
      <c r="E117" s="410"/>
      <c r="F117" s="403"/>
      <c r="G117" s="403"/>
      <c r="H117" s="446"/>
      <c r="I117" s="410"/>
      <c r="J117" s="446"/>
      <c r="K117" s="441"/>
      <c r="L117" s="441"/>
      <c r="M117" s="440"/>
      <c r="N117" s="440"/>
      <c r="O117" s="441"/>
    </row>
    <row r="118" spans="4:15" s="199" customFormat="1" x14ac:dyDescent="0.25">
      <c r="D118" s="403"/>
      <c r="E118" s="399"/>
      <c r="F118" s="403"/>
      <c r="G118" s="403"/>
      <c r="H118" s="446"/>
      <c r="I118" s="410"/>
      <c r="J118" s="446"/>
      <c r="K118" s="441"/>
      <c r="L118" s="441"/>
      <c r="M118" s="440"/>
      <c r="N118" s="440"/>
      <c r="O118" s="441"/>
    </row>
    <row r="119" spans="4:15" s="199" customFormat="1" x14ac:dyDescent="0.25">
      <c r="D119" s="403"/>
      <c r="E119" s="399"/>
      <c r="F119" s="403"/>
      <c r="G119" s="403"/>
      <c r="H119" s="446"/>
      <c r="I119" s="403"/>
      <c r="J119" s="446"/>
      <c r="K119" s="441"/>
      <c r="L119" s="441"/>
      <c r="M119" s="440"/>
      <c r="N119" s="440"/>
      <c r="O119" s="441"/>
    </row>
    <row r="120" spans="4:15" s="199" customFormat="1" x14ac:dyDescent="0.25">
      <c r="D120" s="403"/>
      <c r="E120" s="399"/>
      <c r="F120" s="403"/>
      <c r="G120" s="403"/>
      <c r="H120" s="446"/>
      <c r="I120" s="410"/>
      <c r="J120" s="446"/>
      <c r="K120" s="441"/>
      <c r="L120" s="441"/>
      <c r="M120" s="440"/>
      <c r="N120" s="440"/>
      <c r="O120" s="441"/>
    </row>
    <row r="121" spans="4:15" s="199" customFormat="1" x14ac:dyDescent="0.25">
      <c r="D121" s="403"/>
      <c r="E121" s="399"/>
      <c r="F121" s="403"/>
      <c r="G121" s="403"/>
      <c r="H121" s="446"/>
      <c r="I121" s="403"/>
      <c r="J121" s="446"/>
      <c r="K121" s="441"/>
      <c r="L121" s="441"/>
      <c r="M121" s="440"/>
      <c r="N121" s="440"/>
      <c r="O121" s="441"/>
    </row>
    <row r="122" spans="4:15" s="199" customFormat="1" x14ac:dyDescent="0.25">
      <c r="E122" s="441"/>
      <c r="H122" s="446"/>
      <c r="K122" s="440"/>
      <c r="L122" s="440"/>
      <c r="M122" s="440"/>
      <c r="N122" s="440"/>
      <c r="O122" s="441"/>
    </row>
    <row r="123" spans="4:15" s="199" customFormat="1" x14ac:dyDescent="0.25">
      <c r="H123" s="446"/>
    </row>
    <row r="124" spans="4:15" s="199" customFormat="1" x14ac:dyDescent="0.25">
      <c r="H124" s="446"/>
    </row>
    <row r="125" spans="4:15" s="199" customFormat="1" x14ac:dyDescent="0.25">
      <c r="H125" s="446"/>
    </row>
  </sheetData>
  <sheetProtection algorithmName="SHA-512" hashValue="AL6hPKvAL1OmkERqODEOvBbRQqrAV6tPs7jA8OLmo/3C2pv1y3PH+FROkNsvmYj6BAefaxyYROoReKr2HtLqqw==" saltValue="5LF5lYYkPR4vvtN3XJFIPg==" spinCount="100000" sheet="1" objects="1" scenarios="1"/>
  <protectedRanges>
    <protectedRange sqref="A1:XFD1048576" name="all"/>
  </protectedRanges>
  <pageMargins left="0.7" right="0.7" top="0.75" bottom="0.75" header="0.3" footer="0.3"/>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3:R525"/>
  <sheetViews>
    <sheetView tabSelected="1" zoomScale="77" zoomScaleNormal="77" zoomScalePageLayoutView="82" workbookViewId="0">
      <selection activeCell="B519" sqref="B519"/>
    </sheetView>
  </sheetViews>
  <sheetFormatPr defaultColWidth="8.85546875" defaultRowHeight="15" customHeight="1" outlineLevelRow="4" x14ac:dyDescent="0.2"/>
  <cols>
    <col min="1" max="1" width="5.140625" style="110" customWidth="1"/>
    <col min="2" max="2" width="49.5703125" style="110" customWidth="1"/>
    <col min="3" max="3" width="13.42578125" style="110" customWidth="1"/>
    <col min="4" max="4" width="2.85546875" style="110" customWidth="1"/>
    <col min="5" max="5" width="30.42578125" style="110" customWidth="1"/>
    <col min="6" max="6" width="9.85546875" style="110" customWidth="1"/>
    <col min="7" max="7" width="23.140625" style="110" customWidth="1"/>
    <col min="8" max="8" width="12.28515625" style="111" customWidth="1"/>
    <col min="9" max="9" width="10.28515625" style="111" customWidth="1"/>
    <col min="10" max="10" width="2" style="110" customWidth="1"/>
    <col min="11" max="12" width="15.42578125" style="110" hidden="1" customWidth="1"/>
    <col min="13" max="13" width="16.28515625" style="110" hidden="1" customWidth="1"/>
    <col min="14" max="14" width="8.85546875" style="110"/>
    <col min="15" max="15" width="29.140625" style="110" customWidth="1"/>
    <col min="16" max="16384" width="8.85546875" style="110"/>
  </cols>
  <sheetData>
    <row r="3" spans="2:18" ht="15" customHeight="1" x14ac:dyDescent="0.2">
      <c r="B3" s="219" t="s">
        <v>1024</v>
      </c>
    </row>
    <row r="4" spans="2:18" ht="15" customHeight="1" x14ac:dyDescent="0.2">
      <c r="B4" s="177"/>
    </row>
    <row r="6" spans="2:18" s="495" customFormat="1" ht="15" customHeight="1" x14ac:dyDescent="0.25">
      <c r="B6" s="179" t="s">
        <v>1883</v>
      </c>
      <c r="C6" s="179"/>
      <c r="D6" s="179"/>
      <c r="E6" s="775" t="str">
        <f>IF(B3="Dansk", "Gård", "Farm")</f>
        <v>Gård</v>
      </c>
      <c r="F6" s="775"/>
      <c r="G6" s="777"/>
      <c r="H6" s="777"/>
      <c r="I6" s="777"/>
      <c r="J6" s="745"/>
      <c r="K6" s="179" t="s">
        <v>808</v>
      </c>
      <c r="L6" s="179" t="s">
        <v>820</v>
      </c>
      <c r="M6" s="179" t="s">
        <v>808</v>
      </c>
      <c r="N6" s="929"/>
      <c r="O6" s="929"/>
      <c r="P6" s="929"/>
      <c r="Q6" s="929"/>
      <c r="R6" s="929"/>
    </row>
    <row r="7" spans="2:18" s="495" customFormat="1" ht="15" customHeight="1" x14ac:dyDescent="0.25">
      <c r="B7" s="179"/>
      <c r="C7" s="179"/>
      <c r="D7" s="179"/>
      <c r="E7" s="490"/>
      <c r="F7" s="490"/>
      <c r="G7" s="745"/>
      <c r="H7" s="745"/>
      <c r="I7" s="745"/>
      <c r="J7" s="745"/>
      <c r="K7" s="179"/>
      <c r="L7" s="179"/>
      <c r="M7" s="179"/>
      <c r="N7" s="743"/>
      <c r="O7" s="743"/>
      <c r="P7" s="743"/>
      <c r="Q7" s="743"/>
      <c r="R7" s="743"/>
    </row>
    <row r="8" spans="2:18" s="495" customFormat="1" ht="15" customHeight="1" x14ac:dyDescent="0.25">
      <c r="B8" s="180" t="str">
        <f>IF(topdowntables!$N$4=1, " Tryk '+' for data indtastning", "Click '+' to input data" )</f>
        <v xml:space="preserve"> Tryk '+' for data indtastning</v>
      </c>
      <c r="C8" s="496"/>
      <c r="D8" s="497"/>
      <c r="E8" s="776"/>
      <c r="F8" s="776"/>
      <c r="G8" s="778"/>
      <c r="H8" s="778"/>
      <c r="I8" s="778"/>
      <c r="J8" s="746"/>
      <c r="K8" s="497"/>
      <c r="L8" s="497"/>
      <c r="M8" s="497"/>
      <c r="N8" s="930"/>
      <c r="O8" s="930"/>
      <c r="P8" s="930"/>
      <c r="Q8" s="930"/>
      <c r="R8" s="930"/>
    </row>
    <row r="9" spans="2:18" s="495" customFormat="1" ht="15" customHeight="1" x14ac:dyDescent="0.25">
      <c r="B9" s="498"/>
      <c r="C9" s="498"/>
      <c r="D9" s="498"/>
      <c r="E9" s="498"/>
      <c r="F9" s="498"/>
      <c r="G9" s="498"/>
      <c r="H9" s="499"/>
      <c r="I9" s="499"/>
      <c r="K9" s="498"/>
      <c r="L9" s="498"/>
      <c r="M9" s="498"/>
    </row>
    <row r="10" spans="2:18" ht="15" customHeight="1" x14ac:dyDescent="0.25">
      <c r="E10" s="111"/>
      <c r="F10" s="111"/>
      <c r="G10" s="498"/>
      <c r="H10" s="272"/>
      <c r="I10" s="272"/>
      <c r="K10" s="272"/>
      <c r="L10" s="272"/>
      <c r="M10" s="272"/>
    </row>
    <row r="11" spans="2:18" s="495" customFormat="1" ht="15" customHeight="1" x14ac:dyDescent="0.25">
      <c r="B11" s="178" t="str">
        <f>IF(topdowntables!$N$4=1, " Dyr", " Herd data")</f>
        <v xml:space="preserve"> Dyr</v>
      </c>
      <c r="C11" s="500"/>
      <c r="E11" s="501"/>
      <c r="F11" s="501"/>
      <c r="G11" s="498"/>
      <c r="H11" s="502"/>
      <c r="I11" s="502"/>
      <c r="K11" s="502"/>
      <c r="L11" s="502"/>
      <c r="M11" s="502"/>
    </row>
    <row r="12" spans="2:18" ht="15" hidden="1" customHeight="1" outlineLevel="1" x14ac:dyDescent="0.25">
      <c r="E12" s="111"/>
      <c r="F12" s="111"/>
      <c r="G12" s="498"/>
      <c r="H12" s="272"/>
      <c r="I12" s="272"/>
      <c r="K12" s="272"/>
      <c r="L12" s="272"/>
      <c r="M12" s="272"/>
    </row>
    <row r="13" spans="2:18" s="181" customFormat="1" ht="15" hidden="1" customHeight="1" outlineLevel="1" x14ac:dyDescent="0.25">
      <c r="B13" s="181" t="str">
        <f>IF(topdowntables!N4=1, "Søer og pattegrise", " Sows with piglets")</f>
        <v>Søer og pattegrise</v>
      </c>
      <c r="E13" s="908"/>
      <c r="F13" s="909"/>
      <c r="G13" s="498"/>
      <c r="H13" s="503"/>
      <c r="I13" s="503"/>
      <c r="K13" s="503"/>
      <c r="L13" s="503"/>
      <c r="M13" s="503"/>
    </row>
    <row r="14" spans="2:18" ht="15" hidden="1" customHeight="1" outlineLevel="2" x14ac:dyDescent="0.25">
      <c r="B14" s="110" t="str">
        <f>IF(topdowntables!$N$4=1, "antal årssøer, stk.", "yearsows at farm, p.")</f>
        <v>antal årssøer, stk.</v>
      </c>
      <c r="E14" s="933"/>
      <c r="F14" s="934"/>
      <c r="G14" s="498"/>
      <c r="H14" s="338" t="str">
        <f>IF(E14=0, IF(topdowntables!$N$4=1, "&lt;- Indtast data", "&lt;-Please input data"), "")</f>
        <v>&lt;- Indtast data</v>
      </c>
      <c r="K14" s="504"/>
      <c r="L14" s="504"/>
      <c r="M14" s="504"/>
    </row>
    <row r="15" spans="2:18" ht="15" hidden="1" customHeight="1" outlineLevel="2" x14ac:dyDescent="0.25">
      <c r="B15" s="110" t="str">
        <f>IF(topdowntables!$N$4=1, "kuld per årsso, stk.", "litters per year, p.")</f>
        <v>kuld per årsso, stk.</v>
      </c>
      <c r="E15" s="933"/>
      <c r="F15" s="934"/>
      <c r="G15" s="498"/>
      <c r="H15" s="338" t="str">
        <f>IF(E15=0, IF(topdowntables!$N$4=1, "&lt;- Indtast data", "&lt;-Please input data"), "")</f>
        <v>&lt;- Indtast data</v>
      </c>
      <c r="K15" s="504"/>
      <c r="L15" s="504"/>
      <c r="M15" s="504"/>
    </row>
    <row r="16" spans="2:18" ht="15" hidden="1" customHeight="1" outlineLevel="2" x14ac:dyDescent="0.25">
      <c r="B16" s="110" t="str">
        <f>IF(topdowntables!$N$4=1, "levendefødte grise per kuld, stk.", "liveborn piglets per litter, p.")</f>
        <v>levendefødte grise per kuld, stk.</v>
      </c>
      <c r="E16" s="933"/>
      <c r="F16" s="934"/>
      <c r="G16" s="498"/>
      <c r="H16" s="338" t="str">
        <f>IF(E16=0, IF(topdowntables!$N$4=1, "&lt;- Indtast data", "&lt;-Please input data"), "")</f>
        <v>&lt;- Indtast data</v>
      </c>
      <c r="K16" s="504"/>
      <c r="L16" s="504"/>
      <c r="M16" s="504"/>
    </row>
    <row r="17" spans="2:13" ht="15" hidden="1" customHeight="1" outlineLevel="2" x14ac:dyDescent="0.25">
      <c r="B17" s="110" t="str">
        <f>IF(topdowntables!$N$4=1, "dødfødte grise per kuld, stk.", "dead piglets per litter, p.")</f>
        <v>dødfødte grise per kuld, stk.</v>
      </c>
      <c r="E17" s="933"/>
      <c r="F17" s="934"/>
      <c r="G17" s="498"/>
      <c r="H17" s="338" t="str">
        <f>IF(E17=0, IF(topdowntables!$N$4=1, "&lt;- Indtast data", "&lt;-Please input data"), "")</f>
        <v>&lt;- Indtast data</v>
      </c>
      <c r="K17" s="504"/>
      <c r="L17" s="504"/>
      <c r="M17" s="504"/>
    </row>
    <row r="18" spans="2:13" ht="15" hidden="1" customHeight="1" outlineLevel="2" x14ac:dyDescent="0.25">
      <c r="B18" s="110" t="str">
        <f>IF(topdowntables!$N$4=1, "fravænnede grise per kuld, stk", "weaned piglets per litter, p.")</f>
        <v>fravænnede grise per kuld, stk</v>
      </c>
      <c r="E18" s="933"/>
      <c r="F18" s="934"/>
      <c r="G18" s="498"/>
      <c r="H18" s="338" t="str">
        <f>IF(E18=0, IF(topdowntables!$N$4=1, "&lt;- Indtast data", "&lt;-Please input data"), "")</f>
        <v>&lt;- Indtast data</v>
      </c>
      <c r="K18" s="504"/>
      <c r="L18" s="504"/>
      <c r="M18" s="504"/>
    </row>
    <row r="19" spans="2:13" ht="15" hidden="1" customHeight="1" outlineLevel="2" x14ac:dyDescent="0.25">
      <c r="B19" s="110" t="str">
        <f>IF(topdowntables!$N$4=1, "pattegrisedødlighed, %", "piglets mortality, %")</f>
        <v>pattegrisedødlighed, %</v>
      </c>
      <c r="E19" s="935">
        <f>IFERROR((E16-E18)/E16*100, 0)</f>
        <v>0</v>
      </c>
      <c r="F19" s="936"/>
      <c r="G19" s="498"/>
      <c r="H19" s="338"/>
      <c r="K19" s="504"/>
      <c r="L19" s="504"/>
      <c r="M19" s="504"/>
    </row>
    <row r="20" spans="2:13" ht="15" hidden="1" customHeight="1" outlineLevel="2" x14ac:dyDescent="0.25">
      <c r="B20" s="110" t="str">
        <f>IF(topdowntables!$N$4=1, "diegivningsperiode, dage", "farrow/lactation period, days")</f>
        <v>diegivningsperiode, dage</v>
      </c>
      <c r="E20" s="919"/>
      <c r="F20" s="920"/>
      <c r="G20" s="498"/>
      <c r="H20" s="338" t="str">
        <f>IF(E20=0, IF(topdowntables!$N$4=1, "&lt;- Indtast data", "&lt;-Please input data"), "")</f>
        <v>&lt;- Indtast data</v>
      </c>
      <c r="K20" s="504"/>
      <c r="L20" s="504"/>
      <c r="M20" s="504"/>
    </row>
    <row r="21" spans="2:13" ht="15" hidden="1" customHeight="1" outlineLevel="2" x14ac:dyDescent="0.25">
      <c r="B21" s="110" t="str">
        <f>IF(topdowntables!$N$4=1, "vægt ved fravænning, kg", "weight at weaning, kg")</f>
        <v>vægt ved fravænning, kg</v>
      </c>
      <c r="E21" s="919"/>
      <c r="F21" s="920"/>
      <c r="G21" s="498"/>
      <c r="H21" s="338" t="str">
        <f>IF(E21=0, IF(topdowntables!$N$4=1, "&lt;- Indtast data", "&lt;-Please input data"), "")</f>
        <v>&lt;- Indtast data</v>
      </c>
      <c r="K21" s="504"/>
      <c r="L21" s="504"/>
      <c r="M21" s="504"/>
    </row>
    <row r="22" spans="2:13" ht="15" hidden="1" customHeight="1" outlineLevel="2" x14ac:dyDescent="0.25">
      <c r="B22" s="110" t="str">
        <f>IF(topdowntables!$N$4=1, "solgt ved fravænning, stk per år", "piglets sold after weaning, p. per year")</f>
        <v>solgt ved fravænning, stk per år</v>
      </c>
      <c r="C22" s="505"/>
      <c r="E22" s="919"/>
      <c r="F22" s="920"/>
      <c r="G22" s="498"/>
      <c r="H22" s="338"/>
      <c r="K22" s="504"/>
      <c r="L22" s="504"/>
      <c r="M22" s="504"/>
    </row>
    <row r="23" spans="2:13" ht="15" hidden="1" customHeight="1" outlineLevel="2" x14ac:dyDescent="0.25">
      <c r="B23" s="110" t="str">
        <f>IF(topdowntables!$N$4=1, "andel 1. lægs søer, %", "first parity sows, %")</f>
        <v>andel 1. lægs søer, %</v>
      </c>
      <c r="E23" s="919"/>
      <c r="F23" s="920"/>
      <c r="G23" s="498"/>
      <c r="H23" s="338" t="str">
        <f>IF(E23=0, IF(topdowntables!$N$4=1, "&lt;- Indtast data", "&lt;-Please input data"), "")</f>
        <v>&lt;- Indtast data</v>
      </c>
      <c r="K23" s="504"/>
      <c r="L23" s="504"/>
      <c r="M23" s="504"/>
    </row>
    <row r="24" spans="2:13" ht="15" hidden="1" customHeight="1" outlineLevel="2" x14ac:dyDescent="0.25">
      <c r="B24" s="110" t="str">
        <f>IF(topdowntables!$N$4=1, "sodødelighed, %", "sow mortality, %")</f>
        <v>sodødelighed, %</v>
      </c>
      <c r="E24" s="919"/>
      <c r="F24" s="920"/>
      <c r="G24" s="498"/>
      <c r="H24" s="338" t="str">
        <f>IF(E24=0, IF(topdowntables!$N$4=1, "&lt;- Indtast data", "&lt;-Please input data"), "")</f>
        <v>&lt;- Indtast data</v>
      </c>
      <c r="K24" s="504"/>
      <c r="L24" s="504"/>
      <c r="M24" s="504"/>
    </row>
    <row r="25" spans="2:13" ht="15" hidden="1" customHeight="1" outlineLevel="2" x14ac:dyDescent="0.25">
      <c r="B25" s="110" t="str">
        <f>IF(topdowntables!$N$4=1, "vægt ved udsætning søer, kg", "weight at culling, kg")</f>
        <v>vægt ved udsætning søer, kg</v>
      </c>
      <c r="E25" s="919"/>
      <c r="F25" s="920"/>
      <c r="G25" s="498"/>
      <c r="H25" s="338" t="str">
        <f>IF(E25=0, IF(topdowntables!$N$4=1, "&lt;- Indtast data", "&lt;-Please input data"), "")</f>
        <v>&lt;- Indtast data</v>
      </c>
      <c r="K25" s="504"/>
      <c r="L25" s="504"/>
      <c r="M25" s="504"/>
    </row>
    <row r="26" spans="2:13" s="506" customFormat="1" ht="15" hidden="1" customHeight="1" outlineLevel="1" collapsed="1" x14ac:dyDescent="0.25">
      <c r="B26" s="181" t="str">
        <f>IF(topdowntables!$N$4=1, "Smågrise ", "Piglets/Weaners")</f>
        <v xml:space="preserve">Smågrise </v>
      </c>
      <c r="C26" s="181"/>
      <c r="E26" s="923"/>
      <c r="F26" s="923"/>
      <c r="G26" s="498"/>
      <c r="H26" s="338"/>
      <c r="K26" s="507"/>
      <c r="L26" s="507"/>
      <c r="M26" s="507"/>
    </row>
    <row r="27" spans="2:13" s="506" customFormat="1" ht="15" hidden="1" customHeight="1" outlineLevel="2" x14ac:dyDescent="0.25">
      <c r="B27" s="110" t="str">
        <f>IF(topdowntables!$N$4=1, "købt smågrise, stk ", "bought-in piglets, p.")</f>
        <v xml:space="preserve">købt smågrise, stk </v>
      </c>
      <c r="C27" s="505"/>
      <c r="E27" s="919"/>
      <c r="F27" s="920"/>
      <c r="G27" s="498"/>
      <c r="H27" s="338"/>
      <c r="K27" s="508"/>
      <c r="L27" s="508"/>
      <c r="M27" s="508"/>
    </row>
    <row r="28" spans="2:13" s="506" customFormat="1" ht="15" hidden="1" customHeight="1" outlineLevel="2" x14ac:dyDescent="0.25">
      <c r="B28" s="110" t="str">
        <f>IF(topdowntables!$N$4=1, "vægt ved indkøb, kg", "weight at purchase, kg")</f>
        <v>vægt ved indkøb, kg</v>
      </c>
      <c r="C28" s="505"/>
      <c r="E28" s="919"/>
      <c r="F28" s="920"/>
      <c r="G28" s="498"/>
      <c r="H28" s="338"/>
      <c r="K28" s="508"/>
      <c r="L28" s="508"/>
      <c r="M28" s="508"/>
    </row>
    <row r="29" spans="2:13" ht="15" hidden="1" customHeight="1" outlineLevel="2" x14ac:dyDescent="0.25">
      <c r="B29" s="110" t="str">
        <f>IF(topdowntables!$N$4=1, "afgangsvægt, kg", "weight out, kg")</f>
        <v>afgangsvægt, kg</v>
      </c>
      <c r="E29" s="921"/>
      <c r="F29" s="922"/>
      <c r="G29" s="498"/>
      <c r="H29" s="338" t="str">
        <f>IF(E29=0, IF(topdowntables!$N$4=1, "&lt;- Indtast data", "&lt;-Please input data"), "")</f>
        <v>&lt;- Indtast data</v>
      </c>
      <c r="K29" s="504"/>
      <c r="L29" s="504"/>
      <c r="M29" s="504"/>
    </row>
    <row r="30" spans="2:13" ht="15" hidden="1" customHeight="1" outlineLevel="2" x14ac:dyDescent="0.25">
      <c r="B30" s="110" t="str">
        <f>IF(topdowntables!$N$4=1, "daglig tilvækst, g", "daily gain, g")</f>
        <v>daglig tilvækst, g</v>
      </c>
      <c r="E30" s="937"/>
      <c r="F30" s="938"/>
      <c r="G30" s="498"/>
      <c r="H30" s="338" t="str">
        <f>IF(E30=0, IF(topdowntables!$N$4=1, "&lt;- Indtast data", "&lt;-Please input data"), "")</f>
        <v>&lt;- Indtast data</v>
      </c>
      <c r="K30" s="504"/>
      <c r="L30" s="504"/>
      <c r="M30" s="504"/>
    </row>
    <row r="31" spans="2:13" ht="15" hidden="1" customHeight="1" outlineLevel="2" x14ac:dyDescent="0.25">
      <c r="B31" s="110" t="str">
        <f>IF(topdowntables!$N$4=1, "dødelighed, %", "mortality, %")</f>
        <v>dødelighed, %</v>
      </c>
      <c r="E31" s="921"/>
      <c r="F31" s="922"/>
      <c r="G31" s="498"/>
      <c r="H31" s="338" t="str">
        <f>IF(E31=0, IF(topdowntables!$N$4=1, "&lt;- Indtast data", "&lt;-Please input data"), "")</f>
        <v>&lt;- Indtast data</v>
      </c>
      <c r="K31" s="504"/>
      <c r="L31" s="504"/>
      <c r="M31" s="504"/>
    </row>
    <row r="32" spans="2:13" ht="15" hidden="1" customHeight="1" outlineLevel="2" x14ac:dyDescent="0.25">
      <c r="B32" s="110" t="str">
        <f>IF(topdowntables!$N$4=1, "solgte smågrise, antal", "sold piglets, p.")</f>
        <v>solgte smågrise, antal</v>
      </c>
      <c r="C32" s="505"/>
      <c r="E32" s="919"/>
      <c r="F32" s="920"/>
      <c r="G32" s="498"/>
      <c r="H32" s="338"/>
      <c r="K32" s="504"/>
      <c r="L32" s="504"/>
      <c r="M32" s="504"/>
    </row>
    <row r="33" spans="2:13" s="506" customFormat="1" ht="15" hidden="1" customHeight="1" outlineLevel="1" collapsed="1" x14ac:dyDescent="0.25">
      <c r="B33" s="181" t="str">
        <f>IF(topdowntables!$N$4=1, "Slagtesvin", "Slaughter pigs")</f>
        <v>Slagtesvin</v>
      </c>
      <c r="C33" s="181"/>
      <c r="E33" s="923"/>
      <c r="F33" s="923"/>
      <c r="G33" s="498"/>
      <c r="H33" s="338"/>
      <c r="K33" s="507"/>
      <c r="L33" s="507"/>
      <c r="M33" s="507"/>
    </row>
    <row r="34" spans="2:13" s="506" customFormat="1" ht="15" hidden="1" customHeight="1" outlineLevel="2" x14ac:dyDescent="0.25">
      <c r="B34" s="110" t="str">
        <f>IF(topdowntables!$N$4=1, "købt slagtesvin, stk.", "bought-in pigs, p.")</f>
        <v>købt slagtesvin, stk.</v>
      </c>
      <c r="C34" s="505"/>
      <c r="E34" s="919"/>
      <c r="F34" s="920"/>
      <c r="G34" s="498"/>
      <c r="H34" s="338"/>
      <c r="K34" s="508"/>
      <c r="L34" s="508"/>
      <c r="M34" s="508"/>
    </row>
    <row r="35" spans="2:13" s="506" customFormat="1" ht="15" hidden="1" customHeight="1" outlineLevel="2" x14ac:dyDescent="0.25">
      <c r="B35" s="110" t="str">
        <f>IF(topdowntables!$N$4=1, "vægt at indkøb, kg", "weight at purchase, kg")</f>
        <v>vægt at indkøb, kg</v>
      </c>
      <c r="C35" s="505"/>
      <c r="E35" s="919"/>
      <c r="F35" s="920"/>
      <c r="G35" s="498"/>
      <c r="H35" s="338"/>
      <c r="K35" s="509"/>
      <c r="L35" s="508"/>
      <c r="M35" s="508"/>
    </row>
    <row r="36" spans="2:13" ht="15" hidden="1" customHeight="1" outlineLevel="2" x14ac:dyDescent="0.25">
      <c r="B36" s="110" t="str">
        <f>IF(topdowntables!$N$4=1, "vægt ved slagtning, levende vægt, kg", "liveweight at slaughter, kg")</f>
        <v>vægt ved slagtning, levende vægt, kg</v>
      </c>
      <c r="E36" s="924"/>
      <c r="F36" s="925"/>
      <c r="G36" s="498"/>
      <c r="H36" s="338" t="str">
        <f>IF(E36=0, IF(topdowntables!$N$4=1, "&lt;- Indtast data", "&lt;-Please input data"), "")</f>
        <v>&lt;- Indtast data</v>
      </c>
      <c r="K36" s="504"/>
      <c r="L36" s="504"/>
      <c r="M36" s="504"/>
    </row>
    <row r="37" spans="2:13" ht="15" hidden="1" customHeight="1" outlineLevel="2" x14ac:dyDescent="0.25">
      <c r="B37" s="110" t="str">
        <f>IF(topdowntables!$N$4=1, "daglig tilvækst,  g", "daily gain, g")</f>
        <v>daglig tilvækst,  g</v>
      </c>
      <c r="E37" s="924"/>
      <c r="F37" s="925"/>
      <c r="G37" s="498"/>
      <c r="H37" s="338" t="str">
        <f>IF(E37=0, IF(topdowntables!$N$4=1, "&lt;- Indtast data", "&lt;-Please input data"), "")</f>
        <v>&lt;- Indtast data</v>
      </c>
      <c r="K37" s="504"/>
      <c r="L37" s="504"/>
      <c r="M37" s="504"/>
    </row>
    <row r="38" spans="2:13" ht="15" hidden="1" customHeight="1" outlineLevel="2" x14ac:dyDescent="0.25">
      <c r="B38" s="110" t="str">
        <f>IF(topdowntables!$N$4=1, "dødelighed,  %", "mortality, %")</f>
        <v>dødelighed,  %</v>
      </c>
      <c r="E38" s="926"/>
      <c r="F38" s="927"/>
      <c r="G38" s="498"/>
      <c r="H38" s="338" t="str">
        <f>IF(E38=0, IF(topdowntables!$N$4=1, "&lt;- Indtast data", "&lt;-Please input data"), "")</f>
        <v>&lt;- Indtast data</v>
      </c>
      <c r="K38" s="504"/>
      <c r="L38" s="504"/>
      <c r="M38" s="504"/>
    </row>
    <row r="39" spans="2:13" ht="15" hidden="1" customHeight="1" outlineLevel="1" collapsed="1" x14ac:dyDescent="0.25">
      <c r="G39" s="498"/>
      <c r="H39" s="110"/>
      <c r="I39" s="272"/>
      <c r="K39" s="272"/>
      <c r="L39" s="272"/>
      <c r="M39" s="272"/>
    </row>
    <row r="40" spans="2:13" ht="15" customHeight="1" collapsed="1" x14ac:dyDescent="0.25">
      <c r="G40" s="498"/>
      <c r="H40" s="272"/>
      <c r="I40" s="272"/>
      <c r="K40" s="272"/>
      <c r="L40" s="272"/>
      <c r="M40" s="272"/>
    </row>
    <row r="41" spans="2:13" ht="15" customHeight="1" x14ac:dyDescent="0.2">
      <c r="B41" s="178" t="str">
        <f>IF(topdowntables!$N$4=1, " Foder", "Feed")</f>
        <v xml:space="preserve"> Foder</v>
      </c>
      <c r="C41" s="500"/>
      <c r="H41" s="272"/>
      <c r="I41" s="272"/>
      <c r="K41" s="272"/>
      <c r="L41" s="272"/>
      <c r="M41" s="272"/>
    </row>
    <row r="42" spans="2:13" ht="15" customHeight="1" x14ac:dyDescent="0.2">
      <c r="B42" s="178"/>
      <c r="C42" s="500"/>
      <c r="H42" s="272"/>
      <c r="I42" s="272"/>
      <c r="K42" s="272"/>
      <c r="L42" s="272"/>
      <c r="M42" s="272"/>
    </row>
    <row r="43" spans="2:13" ht="15" hidden="1" customHeight="1" outlineLevel="1" x14ac:dyDescent="0.2">
      <c r="B43" s="181" t="str">
        <f>IF(topdowntables!$N$4=1, " Diegivning søer", "Lactating sows")</f>
        <v xml:space="preserve"> Diegivning søer</v>
      </c>
      <c r="C43" s="510"/>
      <c r="H43" s="272"/>
      <c r="I43" s="272"/>
      <c r="K43" s="272"/>
      <c r="L43" s="272"/>
      <c r="M43" s="272"/>
    </row>
    <row r="44" spans="2:13" ht="15" hidden="1" customHeight="1" outlineLevel="2" x14ac:dyDescent="0.2">
      <c r="B44" s="182" t="str">
        <f>IF(topdowntables!$N$4=1, "  Kraftfoder:", "  Concentrated feed:")</f>
        <v xml:space="preserve">  Kraftfoder:</v>
      </c>
      <c r="C44" s="510"/>
      <c r="H44" s="272"/>
      <c r="I44" s="272"/>
      <c r="K44" s="272"/>
      <c r="L44" s="272"/>
      <c r="M44" s="272"/>
    </row>
    <row r="45" spans="2:13" ht="15" hidden="1" customHeight="1" outlineLevel="3" x14ac:dyDescent="0.2">
      <c r="B45" s="183" t="str">
        <f>IF(topdowntables!$N$4=1, "    blanding 1:", "    mixture 1:")</f>
        <v xml:space="preserve">    blanding 1:</v>
      </c>
      <c r="C45" s="510"/>
      <c r="H45" s="272"/>
      <c r="I45" s="272"/>
      <c r="K45" s="272"/>
      <c r="L45" s="272"/>
      <c r="M45" s="272"/>
    </row>
    <row r="46" spans="2:13" ht="15" hidden="1" customHeight="1" outlineLevel="3" x14ac:dyDescent="0.2">
      <c r="B46" s="63" t="str">
        <f>IF(topdowntables!$N$4=1, "     FE per dyr per dag inden faring", "     FU per animal per day before farrow")</f>
        <v xml:space="preserve">     FE per dyr per dag inden faring</v>
      </c>
      <c r="C46" s="510"/>
      <c r="E46" s="931"/>
      <c r="F46" s="932"/>
      <c r="H46" s="272"/>
      <c r="I46" s="272"/>
      <c r="K46" s="272"/>
      <c r="L46" s="272"/>
      <c r="M46" s="272"/>
    </row>
    <row r="47" spans="2:13" ht="15" hidden="1" customHeight="1" outlineLevel="3" thickBot="1" x14ac:dyDescent="0.25">
      <c r="B47" s="110" t="str">
        <f>IF(topdowntables!$N$4=1, "     FE per dyr per dag efter faring", "     FU per animal per day after farrow")</f>
        <v xml:space="preserve">     FE per dyr per dag efter faring</v>
      </c>
      <c r="D47" s="63"/>
      <c r="E47" s="910"/>
      <c r="F47" s="911"/>
      <c r="G47" s="511"/>
      <c r="H47" s="136"/>
      <c r="I47" s="136"/>
      <c r="K47" s="504"/>
      <c r="L47" s="504"/>
      <c r="M47" s="504"/>
    </row>
    <row r="48" spans="2:13" ht="15" hidden="1" customHeight="1" outlineLevel="3" thickBot="1" x14ac:dyDescent="0.25">
      <c r="B48" s="110" t="str">
        <f>IF(topdowntables!$N$4=1, "     Tildelingsperiode", "     Period")</f>
        <v xml:space="preserve">     Tildelingsperiode</v>
      </c>
      <c r="C48" s="510"/>
      <c r="D48" s="63"/>
      <c r="E48" s="512" t="str">
        <f>IF(topdowntables!$N$4=1, "fra dage før faring:", "days before farrowing:")</f>
        <v>fra dage før faring:</v>
      </c>
      <c r="F48" s="513"/>
      <c r="G48" s="684" t="str">
        <f>IF(topdowntables!$N$4=1, "og indtil fravænning", "and until weaning")</f>
        <v>og indtil fravænning</v>
      </c>
      <c r="H48" s="685"/>
      <c r="I48" s="272"/>
      <c r="K48" s="272"/>
      <c r="L48" s="272"/>
      <c r="M48" s="272"/>
    </row>
    <row r="49" spans="2:18" ht="15" hidden="1" customHeight="1" outlineLevel="3" x14ac:dyDescent="0.2">
      <c r="B49" s="110" t="str">
        <f>IF(topdowntables!$N$4=1, "     Indhold:", "     Composition:")</f>
        <v xml:space="preserve">     Indhold:</v>
      </c>
      <c r="C49" s="510"/>
      <c r="E49" s="888" t="str">
        <f>IF(topdowntables!N4=1, "Indhold:", "Composition:")</f>
        <v>Indhold:</v>
      </c>
      <c r="F49" s="889"/>
      <c r="G49" s="888"/>
      <c r="H49" s="888"/>
      <c r="I49" s="662" t="str">
        <f>IF(topdowntables!$N$4=1, "% af kg", "% of ")</f>
        <v>% af kg</v>
      </c>
      <c r="J49" s="669"/>
      <c r="K49" s="670"/>
      <c r="L49" s="662"/>
      <c r="M49" s="272"/>
      <c r="O49" s="808" t="str">
        <f>IF(topdowntables!$N$4=1, "Tilgængelig på gård, kg", "Available at farm, kg")</f>
        <v>Tilgængelig på gård, kg</v>
      </c>
      <c r="P49" s="669"/>
      <c r="Q49" s="669"/>
      <c r="R49" s="669"/>
    </row>
    <row r="50" spans="2:18" ht="15" hidden="1" customHeight="1" outlineLevel="3" x14ac:dyDescent="0.2">
      <c r="B50" s="110" t="str">
        <f>IF(topdowntables!$N$4=1, "       foderkomponent 1", "       feedstuff 1")</f>
        <v xml:space="preserve">       foderkomponent 1</v>
      </c>
      <c r="E50" s="905"/>
      <c r="F50" s="905"/>
      <c r="G50" s="905"/>
      <c r="H50" s="905"/>
      <c r="I50" s="515"/>
      <c r="K50" s="504"/>
      <c r="L50" s="504"/>
      <c r="M50" s="504"/>
      <c r="O50" s="809">
        <f t="shared" ref="O50:O64" si="0">IF(OR(E50=$E$429, E50=$E$439, E50=$E$449, E50=$E$459, E50=$E$469, E50=$E$479), VLOOKUP(E50, feedavailability, 3, FALSE)-VLOOKUP(E50, feedavailability, 5, FALSE), 0)</f>
        <v>0</v>
      </c>
      <c r="P50" s="63"/>
      <c r="Q50" s="63"/>
      <c r="R50" s="63"/>
    </row>
    <row r="51" spans="2:18" ht="15" hidden="1" customHeight="1" outlineLevel="3" x14ac:dyDescent="0.2">
      <c r="B51" s="110" t="str">
        <f>IF(topdowntables!$N$4=1, "       foderkomponent 2", "       feedstuff 2")</f>
        <v xml:space="preserve">       foderkomponent 2</v>
      </c>
      <c r="E51" s="905"/>
      <c r="F51" s="905"/>
      <c r="G51" s="905"/>
      <c r="H51" s="905"/>
      <c r="I51" s="516"/>
      <c r="K51" s="504"/>
      <c r="L51" s="504"/>
      <c r="M51" s="504"/>
      <c r="O51" s="809">
        <f t="shared" si="0"/>
        <v>0</v>
      </c>
    </row>
    <row r="52" spans="2:18" ht="15" hidden="1" customHeight="1" outlineLevel="3" x14ac:dyDescent="0.2">
      <c r="B52" s="110" t="str">
        <f>IF(topdowntables!$N$4=1, "       foderkomponent 3", "       feedstuff 3")</f>
        <v xml:space="preserve">       foderkomponent 3</v>
      </c>
      <c r="E52" s="905"/>
      <c r="F52" s="905"/>
      <c r="G52" s="905"/>
      <c r="H52" s="905"/>
      <c r="I52" s="515"/>
      <c r="K52" s="504"/>
      <c r="L52" s="504"/>
      <c r="M52" s="504"/>
      <c r="O52" s="809">
        <f t="shared" si="0"/>
        <v>0</v>
      </c>
    </row>
    <row r="53" spans="2:18" ht="15" hidden="1" customHeight="1" outlineLevel="3" x14ac:dyDescent="0.2">
      <c r="B53" s="110" t="str">
        <f>IF(topdowntables!$N$4=1, "       foderkomponent 4", "       feedstuff 4")</f>
        <v xml:space="preserve">       foderkomponent 4</v>
      </c>
      <c r="E53" s="905"/>
      <c r="F53" s="905"/>
      <c r="G53" s="905"/>
      <c r="H53" s="905"/>
      <c r="I53" s="516"/>
      <c r="K53" s="504"/>
      <c r="L53" s="504"/>
      <c r="M53" s="504"/>
      <c r="O53" s="809">
        <f t="shared" si="0"/>
        <v>0</v>
      </c>
    </row>
    <row r="54" spans="2:18" ht="15" hidden="1" customHeight="1" outlineLevel="3" x14ac:dyDescent="0.2">
      <c r="B54" s="110" t="str">
        <f>IF(topdowntables!$N$4=1, "       foderkomponent 5", "       feedstuff 5")</f>
        <v xml:space="preserve">       foderkomponent 5</v>
      </c>
      <c r="E54" s="905"/>
      <c r="F54" s="905"/>
      <c r="G54" s="905"/>
      <c r="H54" s="905"/>
      <c r="I54" s="515"/>
      <c r="K54" s="504"/>
      <c r="L54" s="504"/>
      <c r="M54" s="504"/>
      <c r="O54" s="809">
        <f t="shared" si="0"/>
        <v>0</v>
      </c>
    </row>
    <row r="55" spans="2:18" ht="15" hidden="1" customHeight="1" outlineLevel="3" x14ac:dyDescent="0.2">
      <c r="B55" s="110" t="str">
        <f>IF(topdowntables!$N$4=1, "       foderkomponent 6", "       feedstuff 6")</f>
        <v xml:space="preserve">       foderkomponent 6</v>
      </c>
      <c r="E55" s="905"/>
      <c r="F55" s="905"/>
      <c r="G55" s="905"/>
      <c r="H55" s="905"/>
      <c r="I55" s="516"/>
      <c r="K55" s="504"/>
      <c r="L55" s="504"/>
      <c r="M55" s="504"/>
      <c r="O55" s="809">
        <f t="shared" si="0"/>
        <v>0</v>
      </c>
    </row>
    <row r="56" spans="2:18" ht="15" hidden="1" customHeight="1" outlineLevel="3" x14ac:dyDescent="0.2">
      <c r="B56" s="110" t="str">
        <f>IF(topdowntables!$N$4=1, "       foderkomponent 7", "       feedstuff 7")</f>
        <v xml:space="preserve">       foderkomponent 7</v>
      </c>
      <c r="E56" s="905"/>
      <c r="F56" s="905"/>
      <c r="G56" s="905"/>
      <c r="H56" s="905"/>
      <c r="I56" s="515"/>
      <c r="K56" s="504"/>
      <c r="L56" s="504"/>
      <c r="M56" s="504"/>
      <c r="O56" s="809">
        <f t="shared" si="0"/>
        <v>0</v>
      </c>
    </row>
    <row r="57" spans="2:18" ht="15" hidden="1" customHeight="1" outlineLevel="3" x14ac:dyDescent="0.2">
      <c r="B57" s="110" t="str">
        <f>IF(topdowntables!$N$4=1, "       foderkomponent 8", "       feedstuff 8")</f>
        <v xml:space="preserve">       foderkomponent 8</v>
      </c>
      <c r="E57" s="905"/>
      <c r="F57" s="905"/>
      <c r="G57" s="905"/>
      <c r="H57" s="905"/>
      <c r="I57" s="516"/>
      <c r="K57" s="504"/>
      <c r="L57" s="504"/>
      <c r="M57" s="504"/>
      <c r="O57" s="809">
        <f t="shared" si="0"/>
        <v>0</v>
      </c>
    </row>
    <row r="58" spans="2:18" ht="15" hidden="1" customHeight="1" outlineLevel="3" x14ac:dyDescent="0.2">
      <c r="B58" s="110" t="str">
        <f>IF(topdowntables!$N$4=1, "       foderkomponent 9", "       feedstuff 9")</f>
        <v xml:space="preserve">       foderkomponent 9</v>
      </c>
      <c r="E58" s="905"/>
      <c r="F58" s="905"/>
      <c r="G58" s="905"/>
      <c r="H58" s="905"/>
      <c r="I58" s="515"/>
      <c r="K58" s="504"/>
      <c r="L58" s="504"/>
      <c r="M58" s="504"/>
      <c r="O58" s="809">
        <f t="shared" si="0"/>
        <v>0</v>
      </c>
    </row>
    <row r="59" spans="2:18" ht="15" hidden="1" customHeight="1" outlineLevel="3" x14ac:dyDescent="0.2">
      <c r="B59" s="110" t="str">
        <f>IF(topdowntables!$N$4=1, "       foderkomponent 10", "       feedstuff 10")</f>
        <v xml:space="preserve">       foderkomponent 10</v>
      </c>
      <c r="E59" s="905"/>
      <c r="F59" s="905"/>
      <c r="G59" s="905"/>
      <c r="H59" s="905"/>
      <c r="I59" s="516"/>
      <c r="K59" s="504"/>
      <c r="L59" s="504"/>
      <c r="M59" s="504"/>
      <c r="O59" s="809">
        <f t="shared" si="0"/>
        <v>0</v>
      </c>
    </row>
    <row r="60" spans="2:18" ht="15" hidden="1" customHeight="1" outlineLevel="3" x14ac:dyDescent="0.2">
      <c r="B60" s="110" t="str">
        <f>IF(topdowntables!$N$4=1, "       foderkomponent 11", "       feedstuff 11")</f>
        <v xml:space="preserve">       foderkomponent 11</v>
      </c>
      <c r="E60" s="905"/>
      <c r="F60" s="905"/>
      <c r="G60" s="905"/>
      <c r="H60" s="905"/>
      <c r="I60" s="515"/>
      <c r="K60" s="504"/>
      <c r="L60" s="504"/>
      <c r="M60" s="504"/>
      <c r="O60" s="809">
        <f t="shared" si="0"/>
        <v>0</v>
      </c>
    </row>
    <row r="61" spans="2:18" ht="15" hidden="1" customHeight="1" outlineLevel="3" x14ac:dyDescent="0.2">
      <c r="B61" s="110" t="str">
        <f>IF(topdowntables!$N$4=1, "       foderkomponent 12", "       feedstuff 12")</f>
        <v xml:space="preserve">       foderkomponent 12</v>
      </c>
      <c r="E61" s="905"/>
      <c r="F61" s="905"/>
      <c r="G61" s="905"/>
      <c r="H61" s="905"/>
      <c r="I61" s="516"/>
      <c r="K61" s="504"/>
      <c r="L61" s="504"/>
      <c r="M61" s="504"/>
      <c r="O61" s="809">
        <f t="shared" si="0"/>
        <v>0</v>
      </c>
    </row>
    <row r="62" spans="2:18" ht="15" hidden="1" customHeight="1" outlineLevel="3" x14ac:dyDescent="0.2">
      <c r="B62" s="110" t="str">
        <f>IF(topdowntables!$N$4=1, "       foderkomponent 13", "       feedstuff 13")</f>
        <v xml:space="preserve">       foderkomponent 13</v>
      </c>
      <c r="E62" s="905"/>
      <c r="F62" s="905"/>
      <c r="G62" s="905"/>
      <c r="H62" s="905"/>
      <c r="I62" s="515"/>
      <c r="K62" s="504"/>
      <c r="L62" s="504"/>
      <c r="M62" s="504"/>
      <c r="O62" s="809">
        <f t="shared" si="0"/>
        <v>0</v>
      </c>
    </row>
    <row r="63" spans="2:18" ht="15" hidden="1" customHeight="1" outlineLevel="3" x14ac:dyDescent="0.2">
      <c r="B63" s="110" t="str">
        <f>IF(topdowntables!$N$4=1, "       foderkomponent 14", "       feedstuff 14")</f>
        <v xml:space="preserve">       foderkomponent 14</v>
      </c>
      <c r="E63" s="905"/>
      <c r="F63" s="905"/>
      <c r="G63" s="905"/>
      <c r="H63" s="905"/>
      <c r="I63" s="516"/>
      <c r="K63" s="504"/>
      <c r="L63" s="504"/>
      <c r="M63" s="504"/>
      <c r="O63" s="809">
        <f t="shared" si="0"/>
        <v>0</v>
      </c>
    </row>
    <row r="64" spans="2:18" ht="15" hidden="1" customHeight="1" outlineLevel="3" x14ac:dyDescent="0.2">
      <c r="B64" s="110" t="str">
        <f>IF(topdowntables!$N$4=1, "       foderkomponent 15", "       feedstuff 15")</f>
        <v xml:space="preserve">       foderkomponent 15</v>
      </c>
      <c r="E64" s="905"/>
      <c r="F64" s="905"/>
      <c r="G64" s="905"/>
      <c r="H64" s="905"/>
      <c r="I64" s="515"/>
      <c r="K64" s="504"/>
      <c r="L64" s="504"/>
      <c r="M64" s="504"/>
      <c r="O64" s="809">
        <f t="shared" si="0"/>
        <v>0</v>
      </c>
    </row>
    <row r="65" spans="2:18" ht="15" hidden="1" customHeight="1" outlineLevel="3" x14ac:dyDescent="0.2">
      <c r="B65" s="184" t="str">
        <f>IF(topdowntables!$N$4=1,IF(I65=100,"       Tryk '-' for at slutte","       Tjeck, skal være 100"),IF(I65=100,"       Click '-' to finalize","       Check total"))</f>
        <v xml:space="preserve">       Tjeck, skal være 100</v>
      </c>
      <c r="C65" s="517"/>
      <c r="D65" s="518"/>
      <c r="E65" s="517"/>
      <c r="F65" s="517"/>
      <c r="G65" s="517"/>
      <c r="H65" s="137"/>
      <c r="I65" s="519">
        <f>SUM(I50:I64)</f>
        <v>0</v>
      </c>
      <c r="K65" s="504"/>
      <c r="L65" s="504"/>
      <c r="M65" s="504"/>
    </row>
    <row r="66" spans="2:18" ht="15" hidden="1" customHeight="1" outlineLevel="2" collapsed="1" x14ac:dyDescent="0.2">
      <c r="B66" s="182" t="str">
        <f>IF(topdowntables!$N$4=1, "  Grovfoder:", "  Roughage:")</f>
        <v xml:space="preserve">  Grovfoder:</v>
      </c>
      <c r="C66" s="517"/>
      <c r="D66" s="518"/>
      <c r="E66" s="517"/>
      <c r="F66" s="517"/>
      <c r="G66" s="517"/>
      <c r="H66" s="137"/>
      <c r="I66" s="520"/>
      <c r="K66" s="504"/>
      <c r="L66" s="504"/>
      <c r="M66" s="504"/>
    </row>
    <row r="67" spans="2:18" ht="15" hidden="1" customHeight="1" outlineLevel="3" x14ac:dyDescent="0.2">
      <c r="B67" s="110" t="str">
        <f>IF(topdowntables!$N$4=1, "     kg per dyr per dag", "     kg per animal per day")</f>
        <v xml:space="preserve">     kg per dyr per dag</v>
      </c>
      <c r="D67" s="63"/>
      <c r="E67" s="912"/>
      <c r="F67" s="912"/>
      <c r="H67" s="136"/>
      <c r="I67" s="136"/>
      <c r="K67" s="504"/>
      <c r="L67" s="504"/>
      <c r="M67" s="504"/>
    </row>
    <row r="68" spans="2:18" ht="15" hidden="1" customHeight="1" outlineLevel="3" x14ac:dyDescent="0.2">
      <c r="B68" s="110" t="str">
        <f>IF(topdowntables!$N$4=1, "     grovfodertildeling, dage per år", "     period of use, days per year")</f>
        <v xml:space="preserve">     grovfodertildeling, dage per år</v>
      </c>
      <c r="D68" s="63"/>
      <c r="E68" s="918"/>
      <c r="F68" s="918"/>
      <c r="H68" s="136"/>
      <c r="I68" s="136"/>
      <c r="K68" s="136"/>
      <c r="L68" s="136"/>
      <c r="M68" s="136"/>
    </row>
    <row r="69" spans="2:18" ht="15" hidden="1" customHeight="1" outlineLevel="3" x14ac:dyDescent="0.2">
      <c r="B69" s="110" t="str">
        <f>IF(topdowntables!$N$4=1, "     Grovfodertyper, anvendt:", "     Roughage type, used:")</f>
        <v xml:space="preserve">     Grovfodertyper, anvendt:</v>
      </c>
      <c r="E69" s="889" t="str">
        <f>IF(topdowntables!$N$4=1, "Indhold:", "Composition:")</f>
        <v>Indhold:</v>
      </c>
      <c r="F69" s="889"/>
      <c r="G69" s="889"/>
      <c r="H69" s="889"/>
      <c r="I69" s="662" t="str">
        <f>IF(topdowntables!$N$4=1, "% af kg", "% of ")</f>
        <v>% af kg</v>
      </c>
      <c r="J69" s="669"/>
      <c r="K69" s="668"/>
      <c r="L69" s="661"/>
      <c r="M69" s="136"/>
      <c r="O69" s="808" t="str">
        <f>IF(topdowntables!$N$4=1, "Tilgængelig på gård, kg", "Available at farm, kg")</f>
        <v>Tilgængelig på gård, kg</v>
      </c>
      <c r="P69" s="807"/>
      <c r="Q69" s="669"/>
      <c r="R69" s="669"/>
    </row>
    <row r="70" spans="2:18" ht="15" hidden="1" customHeight="1" outlineLevel="3" x14ac:dyDescent="0.2">
      <c r="B70" s="110" t="str">
        <f>IF(topdowntables!$N$4=1, "       grovfodertype 1", "       roughage type 1")</f>
        <v xml:space="preserve">       grovfodertype 1</v>
      </c>
      <c r="E70" s="905"/>
      <c r="F70" s="905"/>
      <c r="G70" s="905"/>
      <c r="H70" s="905"/>
      <c r="I70" s="516"/>
      <c r="K70" s="504"/>
      <c r="L70" s="504"/>
      <c r="M70" s="504"/>
      <c r="O70" s="809">
        <f>IF(OR(E70=$E$429, E70=$E$439, E70=$E$449, E70=$E$459, E70=$E$469, E70=$E$479), VLOOKUP(E70, feedavailability, 3, FALSE)-VLOOKUP(E70, feedavailability, 5, FALSE), 0)</f>
        <v>0</v>
      </c>
    </row>
    <row r="71" spans="2:18" ht="15" hidden="1" customHeight="1" outlineLevel="3" x14ac:dyDescent="0.2">
      <c r="B71" s="110" t="str">
        <f>IF(topdowntables!$N$4=1, "       grovfodertype 2", "       roughage type 2")</f>
        <v xml:space="preserve">       grovfodertype 2</v>
      </c>
      <c r="E71" s="905"/>
      <c r="F71" s="905"/>
      <c r="G71" s="905"/>
      <c r="H71" s="905"/>
      <c r="I71" s="516"/>
      <c r="K71" s="504"/>
      <c r="L71" s="504"/>
      <c r="M71" s="504"/>
      <c r="O71" s="809">
        <f>IF(OR(E71=$E$429, E71=$E$439, E71=$E$449, E71=$E$459, E71=$E$469, E71=$E$479), VLOOKUP(E71, feedavailability, 3, FALSE)-VLOOKUP(E71, feedavailability, 5, FALSE), 0)</f>
        <v>0</v>
      </c>
    </row>
    <row r="72" spans="2:18" ht="15" hidden="1" customHeight="1" outlineLevel="3" x14ac:dyDescent="0.2">
      <c r="B72" s="110" t="str">
        <f>IF(topdowntables!$N$4=1, "       grovfodertype 3", "       roughage type 3")</f>
        <v xml:space="preserve">       grovfodertype 3</v>
      </c>
      <c r="E72" s="905"/>
      <c r="F72" s="905"/>
      <c r="G72" s="905"/>
      <c r="H72" s="905"/>
      <c r="I72" s="516"/>
      <c r="K72" s="504"/>
      <c r="L72" s="504"/>
      <c r="M72" s="504"/>
      <c r="O72" s="809">
        <f>IF(OR(E72=$E$429, E72=$E$439, E72=$E$449, E72=$E$459, E72=$E$469, E72=$E$479), VLOOKUP(E72, feedavailability, 3, FALSE)-VLOOKUP(E72, feedavailability, 5, FALSE), 0)</f>
        <v>0</v>
      </c>
    </row>
    <row r="73" spans="2:18" ht="15" hidden="1" customHeight="1" outlineLevel="3" x14ac:dyDescent="0.2">
      <c r="B73" s="110" t="str">
        <f>IF(topdowntables!$N$4=1, "       grovfodertype 4", "       roughage type 4")</f>
        <v xml:space="preserve">       grovfodertype 4</v>
      </c>
      <c r="C73" s="521"/>
      <c r="E73" s="905"/>
      <c r="F73" s="905"/>
      <c r="G73" s="905"/>
      <c r="H73" s="905"/>
      <c r="I73" s="516"/>
      <c r="K73" s="504"/>
      <c r="L73" s="504"/>
      <c r="M73" s="504"/>
      <c r="O73" s="809">
        <f>IF(OR(E73=$E$429, E73=$E$439, E73=$E$449, E73=$E$459, E73=$E$469, E73=$E$479), VLOOKUP(E73, feedavailability, 3, FALSE)-VLOOKUP(E73, feedavailability, 5, FALSE), 0)</f>
        <v>0</v>
      </c>
    </row>
    <row r="74" spans="2:18" ht="15" hidden="1" customHeight="1" outlineLevel="3" x14ac:dyDescent="0.2">
      <c r="B74" s="110" t="str">
        <f>IF(topdowntables!$N$4=1, "       grovfodertype 5", "       roughage type 5")</f>
        <v xml:space="preserve">       grovfodertype 5</v>
      </c>
      <c r="D74" s="522"/>
      <c r="E74" s="905"/>
      <c r="F74" s="905"/>
      <c r="G74" s="905"/>
      <c r="H74" s="905"/>
      <c r="I74" s="523"/>
      <c r="K74" s="504"/>
      <c r="L74" s="504"/>
      <c r="M74" s="504"/>
      <c r="O74" s="809">
        <f>IF(OR(E74=$E$429, E74=$E$439, E74=$E$449, E74=$E$459, E74=$E$469, E74=$E$479), VLOOKUP(E74, feedavailability, 3, FALSE)-VLOOKUP(E74, feedavailability, 5, FALSE), 0)</f>
        <v>0</v>
      </c>
    </row>
    <row r="75" spans="2:18" ht="15" hidden="1" customHeight="1" outlineLevel="3" x14ac:dyDescent="0.2">
      <c r="B75" s="184" t="str">
        <f>IF(topdowntables!$N$4=1,IF(I75=100,"       Tryk '-' for at slutte","       Tjeck, skal være 100"),IF(I75=100,"       Click '-' to finalize","       Check total"))</f>
        <v xml:space="preserve">       Tjeck, skal være 100</v>
      </c>
      <c r="C75" s="524"/>
      <c r="D75" s="518"/>
      <c r="E75" s="524"/>
      <c r="F75" s="524"/>
      <c r="G75" s="524"/>
      <c r="H75" s="137"/>
      <c r="I75" s="519">
        <f>SUM(I70:I74)</f>
        <v>0</v>
      </c>
      <c r="K75" s="504"/>
      <c r="L75" s="504"/>
      <c r="M75" s="504"/>
    </row>
    <row r="76" spans="2:18" ht="15" hidden="1" customHeight="1" outlineLevel="2" collapsed="1" x14ac:dyDescent="0.2">
      <c r="B76" s="184"/>
      <c r="C76" s="524"/>
      <c r="D76" s="518"/>
      <c r="E76" s="524"/>
      <c r="F76" s="524"/>
      <c r="G76" s="524"/>
      <c r="H76" s="137"/>
      <c r="I76" s="97"/>
      <c r="K76" s="136"/>
      <c r="L76" s="136"/>
      <c r="M76" s="136"/>
    </row>
    <row r="77" spans="2:18" ht="15" hidden="1" customHeight="1" outlineLevel="1" collapsed="1" x14ac:dyDescent="0.2">
      <c r="B77" s="181" t="str">
        <f>IF(topdowntables!$N$4=1, " Pattegrisene ved soen", "Piglets with sow")</f>
        <v xml:space="preserve"> Pattegrisene ved soen</v>
      </c>
      <c r="C77" s="524"/>
      <c r="D77" s="518"/>
      <c r="E77" s="524"/>
      <c r="F77" s="524"/>
      <c r="G77" s="524"/>
      <c r="H77" s="137"/>
      <c r="I77" s="97"/>
      <c r="K77" s="136"/>
      <c r="L77" s="136"/>
      <c r="M77" s="136"/>
    </row>
    <row r="78" spans="2:18" ht="15" hidden="1" customHeight="1" outlineLevel="2" x14ac:dyDescent="0.2">
      <c r="B78" s="182" t="str">
        <f>IF(topdowntables!$N$4=1, "  Kraftfoder:", "  Concentrated feed:")</f>
        <v xml:space="preserve">  Kraftfoder:</v>
      </c>
      <c r="C78" s="510"/>
      <c r="H78" s="272"/>
      <c r="I78" s="272"/>
      <c r="K78" s="272"/>
      <c r="L78" s="272"/>
      <c r="M78" s="272"/>
    </row>
    <row r="79" spans="2:18" ht="15" hidden="1" customHeight="1" outlineLevel="3" x14ac:dyDescent="0.2">
      <c r="B79" s="110" t="str">
        <f>IF(topdowntables!$N$4=1, "     FE per dag per pattegris / fra alder", "     FU per day per piglet / from age")</f>
        <v xml:space="preserve">     FE per dag per pattegris / fra alder</v>
      </c>
      <c r="D79" s="63"/>
      <c r="E79" s="512" t="str">
        <f>IF(topdowntables!$N$4=1, "     FE per dag:", "     FU per day:")</f>
        <v xml:space="preserve">     FE per dag:</v>
      </c>
      <c r="F79" s="664"/>
      <c r="G79" s="512" t="str">
        <f>IF(topdowntables!$N$4=1, "     Fra alder, dage:", "     From age, days:")</f>
        <v xml:space="preserve">     Fra alder, dage:</v>
      </c>
      <c r="H79" s="664"/>
      <c r="I79" s="136"/>
      <c r="K79" s="504"/>
      <c r="L79" s="504"/>
      <c r="M79" s="504"/>
    </row>
    <row r="80" spans="2:18" ht="15" hidden="1" customHeight="1" outlineLevel="3" x14ac:dyDescent="0.2">
      <c r="B80" s="110" t="str">
        <f>IF(topdowntables!$N$4=1, "     Indhold:", "     Composition:")</f>
        <v xml:space="preserve">     Indhold:</v>
      </c>
      <c r="C80" s="510"/>
      <c r="E80" s="888" t="str">
        <f>IF(topdowntables!N4=1, "Indhold:", "Composition:")</f>
        <v>Indhold:</v>
      </c>
      <c r="F80" s="889"/>
      <c r="G80" s="888"/>
      <c r="H80" s="888"/>
      <c r="I80" s="662" t="str">
        <f>IF(topdowntables!$N$4=1, "% af kg", "% of ")</f>
        <v>% af kg</v>
      </c>
      <c r="J80" s="669"/>
      <c r="K80" s="668"/>
      <c r="L80" s="661"/>
      <c r="M80" s="272"/>
      <c r="O80" s="808" t="str">
        <f>IF(topdowntables!$N$4=1, "Tilgængelig på gård, kg", "Available at farm, kg")</f>
        <v>Tilgængelig på gård, kg</v>
      </c>
      <c r="P80" s="807"/>
      <c r="Q80" s="669"/>
      <c r="R80" s="669"/>
    </row>
    <row r="81" spans="2:15" ht="15" hidden="1" customHeight="1" outlineLevel="3" x14ac:dyDescent="0.2">
      <c r="B81" s="110" t="str">
        <f>IF(topdowntables!$N$4=1, "       foderkomponent 1", "       feedstuff 1")</f>
        <v xml:space="preserve">       foderkomponent 1</v>
      </c>
      <c r="E81" s="905"/>
      <c r="F81" s="905"/>
      <c r="G81" s="905"/>
      <c r="H81" s="905"/>
      <c r="I81" s="515"/>
      <c r="K81" s="504"/>
      <c r="L81" s="504"/>
      <c r="M81" s="504"/>
      <c r="O81" s="809">
        <f t="shared" ref="O81:O95" si="1">IF(OR(E81=$E$429, E81=$E$439, E81=$E$449, E81=$E$459, E81=$E$469, E81=$E$479), VLOOKUP(E81, feedavailability, 3, FALSE)-VLOOKUP(E81, feedavailability, 5, FALSE), 0)</f>
        <v>0</v>
      </c>
    </row>
    <row r="82" spans="2:15" ht="15" hidden="1" customHeight="1" outlineLevel="3" x14ac:dyDescent="0.2">
      <c r="B82" s="110" t="str">
        <f>IF(topdowntables!$N$4=1, "       foderkomponent 2", "       feedstuff 2")</f>
        <v xml:space="preserve">       foderkomponent 2</v>
      </c>
      <c r="E82" s="905"/>
      <c r="F82" s="905"/>
      <c r="G82" s="905"/>
      <c r="H82" s="905"/>
      <c r="I82" s="516"/>
      <c r="K82" s="504"/>
      <c r="L82" s="504"/>
      <c r="M82" s="504"/>
      <c r="O82" s="809">
        <f t="shared" si="1"/>
        <v>0</v>
      </c>
    </row>
    <row r="83" spans="2:15" ht="15" hidden="1" customHeight="1" outlineLevel="3" x14ac:dyDescent="0.2">
      <c r="B83" s="110" t="str">
        <f>IF(topdowntables!$N$4=1, "       foderkomponent 3", "       feedstuff 3")</f>
        <v xml:space="preserve">       foderkomponent 3</v>
      </c>
      <c r="E83" s="905"/>
      <c r="F83" s="905"/>
      <c r="G83" s="905"/>
      <c r="H83" s="905"/>
      <c r="I83" s="516"/>
      <c r="K83" s="504"/>
      <c r="L83" s="504"/>
      <c r="M83" s="504"/>
      <c r="O83" s="809">
        <f t="shared" si="1"/>
        <v>0</v>
      </c>
    </row>
    <row r="84" spans="2:15" ht="15" hidden="1" customHeight="1" outlineLevel="3" x14ac:dyDescent="0.2">
      <c r="B84" s="110" t="str">
        <f>IF(topdowntables!$N$4=1, "       foderkomponent 4", "       feedstuff 4")</f>
        <v xml:space="preserve">       foderkomponent 4</v>
      </c>
      <c r="E84" s="905"/>
      <c r="F84" s="905"/>
      <c r="G84" s="905"/>
      <c r="H84" s="905"/>
      <c r="I84" s="516"/>
      <c r="K84" s="504"/>
      <c r="L84" s="504"/>
      <c r="M84" s="504"/>
      <c r="O84" s="809">
        <f t="shared" si="1"/>
        <v>0</v>
      </c>
    </row>
    <row r="85" spans="2:15" ht="15" hidden="1" customHeight="1" outlineLevel="3" x14ac:dyDescent="0.2">
      <c r="B85" s="110" t="str">
        <f>IF(topdowntables!$N$4=1, "       foderkomponent 5", "       feedstuff 5")</f>
        <v xml:space="preserve">       foderkomponent 5</v>
      </c>
      <c r="E85" s="905"/>
      <c r="F85" s="905"/>
      <c r="G85" s="905"/>
      <c r="H85" s="905"/>
      <c r="I85" s="516"/>
      <c r="K85" s="504"/>
      <c r="L85" s="504"/>
      <c r="M85" s="504"/>
      <c r="O85" s="809">
        <f t="shared" si="1"/>
        <v>0</v>
      </c>
    </row>
    <row r="86" spans="2:15" ht="15" hidden="1" customHeight="1" outlineLevel="3" x14ac:dyDescent="0.2">
      <c r="B86" s="110" t="str">
        <f>IF(topdowntables!$N$4=1, "       foderkomponent 6", "       feedstuff 6")</f>
        <v xml:space="preserve">       foderkomponent 6</v>
      </c>
      <c r="E86" s="905"/>
      <c r="F86" s="905"/>
      <c r="G86" s="905"/>
      <c r="H86" s="905"/>
      <c r="I86" s="516"/>
      <c r="K86" s="504"/>
      <c r="L86" s="504"/>
      <c r="M86" s="504"/>
      <c r="O86" s="809">
        <f t="shared" si="1"/>
        <v>0</v>
      </c>
    </row>
    <row r="87" spans="2:15" ht="15" hidden="1" customHeight="1" outlineLevel="3" x14ac:dyDescent="0.2">
      <c r="B87" s="110" t="str">
        <f>IF(topdowntables!$N$4=1, "       foderkomponent 7", "       feedstuff 7")</f>
        <v xml:space="preserve">       foderkomponent 7</v>
      </c>
      <c r="E87" s="905"/>
      <c r="F87" s="905"/>
      <c r="G87" s="905"/>
      <c r="H87" s="905"/>
      <c r="I87" s="516"/>
      <c r="K87" s="504"/>
      <c r="L87" s="504"/>
      <c r="M87" s="504"/>
      <c r="O87" s="809">
        <f t="shared" si="1"/>
        <v>0</v>
      </c>
    </row>
    <row r="88" spans="2:15" ht="15" hidden="1" customHeight="1" outlineLevel="3" x14ac:dyDescent="0.2">
      <c r="B88" s="110" t="str">
        <f>IF(topdowntables!$N$4=1, "       foderkomponent 8", "       feedstuff 8")</f>
        <v xml:space="preserve">       foderkomponent 8</v>
      </c>
      <c r="E88" s="905"/>
      <c r="F88" s="905"/>
      <c r="G88" s="905"/>
      <c r="H88" s="905"/>
      <c r="I88" s="516"/>
      <c r="K88" s="504"/>
      <c r="L88" s="504"/>
      <c r="M88" s="504"/>
      <c r="O88" s="809">
        <f t="shared" si="1"/>
        <v>0</v>
      </c>
    </row>
    <row r="89" spans="2:15" ht="15" hidden="1" customHeight="1" outlineLevel="3" x14ac:dyDescent="0.2">
      <c r="B89" s="110" t="str">
        <f>IF(topdowntables!$N$4=1, "       foderkomponent 9", "       feedstuff 9")</f>
        <v xml:space="preserve">       foderkomponent 9</v>
      </c>
      <c r="E89" s="905"/>
      <c r="F89" s="905"/>
      <c r="G89" s="905"/>
      <c r="H89" s="905"/>
      <c r="I89" s="516"/>
      <c r="K89" s="504"/>
      <c r="L89" s="504"/>
      <c r="M89" s="504"/>
      <c r="O89" s="809">
        <f t="shared" si="1"/>
        <v>0</v>
      </c>
    </row>
    <row r="90" spans="2:15" ht="15" hidden="1" customHeight="1" outlineLevel="3" x14ac:dyDescent="0.2">
      <c r="B90" s="110" t="str">
        <f>IF(topdowntables!$N$4=1, "       foderkomponent 10", "       feedstuff 10")</f>
        <v xml:space="preserve">       foderkomponent 10</v>
      </c>
      <c r="E90" s="905"/>
      <c r="F90" s="905"/>
      <c r="G90" s="905"/>
      <c r="H90" s="905"/>
      <c r="I90" s="516"/>
      <c r="K90" s="504"/>
      <c r="L90" s="504"/>
      <c r="M90" s="504"/>
      <c r="O90" s="809">
        <f t="shared" si="1"/>
        <v>0</v>
      </c>
    </row>
    <row r="91" spans="2:15" ht="15" hidden="1" customHeight="1" outlineLevel="3" x14ac:dyDescent="0.2">
      <c r="B91" s="110" t="str">
        <f>IF(topdowntables!$N$4=1, "       foderkomponent 11", "       feedstuff 11")</f>
        <v xml:space="preserve">       foderkomponent 11</v>
      </c>
      <c r="E91" s="905"/>
      <c r="F91" s="905"/>
      <c r="G91" s="905"/>
      <c r="H91" s="905"/>
      <c r="I91" s="516"/>
      <c r="K91" s="504"/>
      <c r="L91" s="504"/>
      <c r="M91" s="504"/>
      <c r="O91" s="809">
        <f t="shared" si="1"/>
        <v>0</v>
      </c>
    </row>
    <row r="92" spans="2:15" ht="15" hidden="1" customHeight="1" outlineLevel="3" x14ac:dyDescent="0.2">
      <c r="B92" s="110" t="str">
        <f>IF(topdowntables!$N$4=1, "       foderkomponent 12", "       feedstuff 12")</f>
        <v xml:space="preserve">       foderkomponent 12</v>
      </c>
      <c r="E92" s="905"/>
      <c r="F92" s="905"/>
      <c r="G92" s="905"/>
      <c r="H92" s="905"/>
      <c r="I92" s="516"/>
      <c r="K92" s="504"/>
      <c r="L92" s="504"/>
      <c r="M92" s="504"/>
      <c r="O92" s="809">
        <f t="shared" si="1"/>
        <v>0</v>
      </c>
    </row>
    <row r="93" spans="2:15" ht="15" hidden="1" customHeight="1" outlineLevel="3" x14ac:dyDescent="0.2">
      <c r="B93" s="110" t="str">
        <f>IF(topdowntables!$N$4=1, "       foderkomponent 13", "       feedstuff 13")</f>
        <v xml:space="preserve">       foderkomponent 13</v>
      </c>
      <c r="E93" s="905"/>
      <c r="F93" s="905"/>
      <c r="G93" s="905"/>
      <c r="H93" s="905"/>
      <c r="I93" s="516"/>
      <c r="K93" s="504"/>
      <c r="L93" s="504"/>
      <c r="M93" s="504"/>
      <c r="O93" s="809">
        <f t="shared" si="1"/>
        <v>0</v>
      </c>
    </row>
    <row r="94" spans="2:15" ht="15" hidden="1" customHeight="1" outlineLevel="3" x14ac:dyDescent="0.2">
      <c r="B94" s="110" t="str">
        <f>IF(topdowntables!$N$4=1, "       foderkomponent 14", "       feedstuff 14")</f>
        <v xml:space="preserve">       foderkomponent 14</v>
      </c>
      <c r="E94" s="905"/>
      <c r="F94" s="905"/>
      <c r="G94" s="905"/>
      <c r="H94" s="905"/>
      <c r="I94" s="516"/>
      <c r="K94" s="504"/>
      <c r="L94" s="504"/>
      <c r="M94" s="504"/>
      <c r="O94" s="809">
        <f t="shared" si="1"/>
        <v>0</v>
      </c>
    </row>
    <row r="95" spans="2:15" ht="15" hidden="1" customHeight="1" outlineLevel="3" x14ac:dyDescent="0.2">
      <c r="B95" s="110" t="str">
        <f>IF(topdowntables!$N$4=1, "       foderkomponent 15", "       feedstuff 15")</f>
        <v xml:space="preserve">       foderkomponent 15</v>
      </c>
      <c r="E95" s="905"/>
      <c r="F95" s="905"/>
      <c r="G95" s="905"/>
      <c r="H95" s="905"/>
      <c r="I95" s="523"/>
      <c r="K95" s="504"/>
      <c r="L95" s="504"/>
      <c r="M95" s="504"/>
      <c r="O95" s="809">
        <f t="shared" si="1"/>
        <v>0</v>
      </c>
    </row>
    <row r="96" spans="2:15" ht="15" hidden="1" customHeight="1" outlineLevel="3" x14ac:dyDescent="0.2">
      <c r="B96" s="184" t="str">
        <f>IF(topdowntables!$N$4=1,IF(I96=100,"       Tryk '-' for at slutte","       Tjeck, skal være 100"),IF(I96=100,"       Click '-' to finalize","       Check total"))</f>
        <v xml:space="preserve">       Tjeck, skal være 100</v>
      </c>
      <c r="C96" s="517"/>
      <c r="D96" s="518"/>
      <c r="E96" s="517"/>
      <c r="F96" s="517"/>
      <c r="G96" s="517"/>
      <c r="H96" s="137"/>
      <c r="I96" s="519">
        <f>SUM(I81:I95)</f>
        <v>0</v>
      </c>
      <c r="K96" s="504"/>
      <c r="L96" s="504"/>
      <c r="M96" s="504"/>
    </row>
    <row r="97" spans="2:18" ht="15" hidden="1" customHeight="1" outlineLevel="2" collapsed="1" x14ac:dyDescent="0.2">
      <c r="B97" s="184"/>
      <c r="C97" s="517"/>
      <c r="D97" s="518"/>
      <c r="E97" s="517"/>
      <c r="F97" s="517"/>
      <c r="G97" s="517"/>
      <c r="H97" s="137"/>
      <c r="I97" s="97"/>
      <c r="K97" s="136"/>
      <c r="L97" s="136"/>
      <c r="M97" s="136"/>
    </row>
    <row r="98" spans="2:18" ht="15" hidden="1" customHeight="1" outlineLevel="1" collapsed="1" x14ac:dyDescent="0.2">
      <c r="B98" s="181" t="str">
        <f>IF(topdowntables!$N$4=1, " Drægtige søer", "Gestating sows")</f>
        <v xml:space="preserve"> Drægtige søer</v>
      </c>
      <c r="C98" s="510"/>
      <c r="H98" s="272"/>
      <c r="I98" s="272"/>
      <c r="K98" s="272"/>
      <c r="L98" s="272"/>
      <c r="M98" s="272"/>
    </row>
    <row r="99" spans="2:18" ht="14.25" hidden="1" customHeight="1" outlineLevel="2" x14ac:dyDescent="0.2">
      <c r="B99" s="182" t="str">
        <f>IF(topdowntables!$N$4=1, "  Kraftfoder:", "  Concentrated feed:")</f>
        <v xml:space="preserve">  Kraftfoder:</v>
      </c>
      <c r="C99" s="510"/>
      <c r="H99" s="272"/>
      <c r="I99" s="272"/>
      <c r="K99" s="272"/>
      <c r="L99" s="272"/>
      <c r="M99" s="272"/>
    </row>
    <row r="100" spans="2:18" ht="15" hidden="1" customHeight="1" outlineLevel="3" x14ac:dyDescent="0.2">
      <c r="B100" s="183" t="str">
        <f>IF(topdowntables!$N$4=1, "    blanding 1:", "    mixture 1:")</f>
        <v xml:space="preserve">    blanding 1:</v>
      </c>
      <c r="C100" s="510"/>
      <c r="H100" s="272"/>
      <c r="I100" s="272"/>
      <c r="K100" s="272"/>
      <c r="L100" s="272"/>
      <c r="M100" s="272"/>
    </row>
    <row r="101" spans="2:18" ht="15" hidden="1" customHeight="1" outlineLevel="4" x14ac:dyDescent="0.2">
      <c r="B101" s="110" t="str">
        <f>IF(topdowntables!$N$4=1, "     FE per dyr per dag", "     FU per animal per day")</f>
        <v xml:space="preserve">     FE per dyr per dag</v>
      </c>
      <c r="D101" s="63"/>
      <c r="E101" s="912"/>
      <c r="F101" s="913"/>
      <c r="G101" s="511"/>
      <c r="H101" s="136"/>
      <c r="I101" s="136"/>
      <c r="K101" s="504"/>
      <c r="L101" s="504"/>
      <c r="M101" s="504"/>
    </row>
    <row r="102" spans="2:18" ht="15" hidden="1" customHeight="1" outlineLevel="4" thickBot="1" x14ac:dyDescent="0.25">
      <c r="B102" s="110" t="str">
        <f>IF(topdowntables!$N$4=1, "     Tildelingsperiode", "     Period")</f>
        <v xml:space="preserve">     Tildelingsperiode</v>
      </c>
      <c r="C102" s="510"/>
      <c r="D102" s="63"/>
      <c r="E102" s="512" t="str">
        <f>IF(topdowntables!$N$4=1, "fra fravænning:", "from weaning:")</f>
        <v>fra fravænning:</v>
      </c>
      <c r="F102" s="525">
        <v>0</v>
      </c>
      <c r="G102" s="512" t="str">
        <f>IF(topdowntables!$N$4=1, "til dage efter løbning:", "to days after mating:")</f>
        <v>til dage efter løbning:</v>
      </c>
      <c r="H102" s="516"/>
      <c r="I102" s="272"/>
      <c r="K102" s="272"/>
      <c r="L102" s="272"/>
      <c r="M102" s="272"/>
    </row>
    <row r="103" spans="2:18" ht="15" hidden="1" customHeight="1" outlineLevel="4" thickBot="1" x14ac:dyDescent="0.25">
      <c r="B103" s="110" t="str">
        <f>IF(topdowntables!$N$4=1, "     Indhold:", "     Composition:")</f>
        <v xml:space="preserve">     Indhold:</v>
      </c>
      <c r="C103" s="510"/>
      <c r="E103" s="888" t="str">
        <f>IF(topdowntables!$N$4=1, "Indhold:", "Composition:")</f>
        <v>Indhold:</v>
      </c>
      <c r="F103" s="889"/>
      <c r="G103" s="888"/>
      <c r="H103" s="928"/>
      <c r="I103" s="683" t="str">
        <f>IF(topdowntables!$N$4=1, "% af kg", "% of ")</f>
        <v>% af kg</v>
      </c>
      <c r="J103" s="669"/>
      <c r="K103" s="668"/>
      <c r="L103" s="665"/>
      <c r="M103" s="272"/>
      <c r="O103" s="808" t="str">
        <f>IF(topdowntables!$N$4=1, "Tilgængelig på gård, kg", "Available at farm, kg")</f>
        <v>Tilgængelig på gård, kg</v>
      </c>
      <c r="P103" s="669"/>
      <c r="Q103" s="669"/>
      <c r="R103" s="669"/>
    </row>
    <row r="104" spans="2:18" ht="15" hidden="1" customHeight="1" outlineLevel="4" x14ac:dyDescent="0.2">
      <c r="B104" s="110" t="str">
        <f>IF(topdowntables!$N$4=1, "       foderkomponent 1", "       feedstuff 1")</f>
        <v xml:space="preserve">       foderkomponent 1</v>
      </c>
      <c r="E104" s="905"/>
      <c r="F104" s="905"/>
      <c r="G104" s="905"/>
      <c r="H104" s="905"/>
      <c r="I104" s="515"/>
      <c r="K104" s="504"/>
      <c r="L104" s="504"/>
      <c r="M104" s="504"/>
      <c r="O104" s="543">
        <f t="shared" ref="O104:O118" si="2">IF(OR(E104=$E$429, E104=$E$439, E104=$E$449, E104=$E$459, E104=$E$469, E104=$E$479), VLOOKUP(E104, production, 4, FALSE)-VLOOKUP(E104, availablefeed, 2, FALSE), 0)</f>
        <v>0</v>
      </c>
      <c r="P104" s="63"/>
      <c r="Q104" s="63"/>
      <c r="R104" s="63"/>
    </row>
    <row r="105" spans="2:18" ht="15" hidden="1" customHeight="1" outlineLevel="4" x14ac:dyDescent="0.2">
      <c r="B105" s="110" t="str">
        <f>IF(topdowntables!$N$4=1, "       foderkomponent 2", "       feedstuff 2")</f>
        <v xml:space="preserve">       foderkomponent 2</v>
      </c>
      <c r="E105" s="905"/>
      <c r="F105" s="905"/>
      <c r="G105" s="905"/>
      <c r="H105" s="905"/>
      <c r="I105" s="516"/>
      <c r="K105" s="504"/>
      <c r="L105" s="504"/>
      <c r="M105" s="504"/>
      <c r="O105" s="543">
        <f t="shared" si="2"/>
        <v>0</v>
      </c>
    </row>
    <row r="106" spans="2:18" ht="15" hidden="1" customHeight="1" outlineLevel="4" x14ac:dyDescent="0.2">
      <c r="B106" s="110" t="str">
        <f>IF(topdowntables!$N$4=1, "       foderkomponent 3", "       feedstuff 3")</f>
        <v xml:space="preserve">       foderkomponent 3</v>
      </c>
      <c r="E106" s="905"/>
      <c r="F106" s="905"/>
      <c r="G106" s="905"/>
      <c r="H106" s="905"/>
      <c r="I106" s="516"/>
      <c r="K106" s="504"/>
      <c r="L106" s="504"/>
      <c r="M106" s="504"/>
      <c r="O106" s="543">
        <f t="shared" si="2"/>
        <v>0</v>
      </c>
    </row>
    <row r="107" spans="2:18" ht="15" hidden="1" customHeight="1" outlineLevel="4" x14ac:dyDescent="0.2">
      <c r="B107" s="110" t="str">
        <f>IF(topdowntables!$N$4=1, "       foderkomponent 4", "       feedstuff 4")</f>
        <v xml:space="preserve">       foderkomponent 4</v>
      </c>
      <c r="E107" s="905"/>
      <c r="F107" s="905"/>
      <c r="G107" s="905"/>
      <c r="H107" s="905"/>
      <c r="I107" s="516"/>
      <c r="K107" s="504"/>
      <c r="L107" s="504"/>
      <c r="M107" s="504"/>
      <c r="O107" s="543">
        <f t="shared" si="2"/>
        <v>0</v>
      </c>
    </row>
    <row r="108" spans="2:18" ht="15" hidden="1" customHeight="1" outlineLevel="4" x14ac:dyDescent="0.2">
      <c r="B108" s="110" t="str">
        <f>IF(topdowntables!$N$4=1, "       foderkomponent 5", "       feedstuff 5")</f>
        <v xml:space="preserve">       foderkomponent 5</v>
      </c>
      <c r="E108" s="905"/>
      <c r="F108" s="905"/>
      <c r="G108" s="905"/>
      <c r="H108" s="905"/>
      <c r="I108" s="516"/>
      <c r="K108" s="504"/>
      <c r="L108" s="504"/>
      <c r="M108" s="504"/>
      <c r="O108" s="543">
        <f t="shared" si="2"/>
        <v>0</v>
      </c>
    </row>
    <row r="109" spans="2:18" ht="15" hidden="1" customHeight="1" outlineLevel="4" x14ac:dyDescent="0.2">
      <c r="B109" s="110" t="str">
        <f>IF(topdowntables!$N$4=1, "       foderkomponent 6", "       feedstuff 6")</f>
        <v xml:space="preserve">       foderkomponent 6</v>
      </c>
      <c r="E109" s="905"/>
      <c r="F109" s="905"/>
      <c r="G109" s="905"/>
      <c r="H109" s="905"/>
      <c r="I109" s="516"/>
      <c r="K109" s="504"/>
      <c r="L109" s="504"/>
      <c r="M109" s="504"/>
      <c r="O109" s="543">
        <f t="shared" si="2"/>
        <v>0</v>
      </c>
    </row>
    <row r="110" spans="2:18" ht="15" hidden="1" customHeight="1" outlineLevel="4" x14ac:dyDescent="0.2">
      <c r="B110" s="110" t="str">
        <f>IF(topdowntables!$N$4=1, "       foderkomponent 7", "       feedstuff 7")</f>
        <v xml:space="preserve">       foderkomponent 7</v>
      </c>
      <c r="E110" s="905"/>
      <c r="F110" s="905"/>
      <c r="G110" s="905"/>
      <c r="H110" s="905"/>
      <c r="I110" s="516"/>
      <c r="K110" s="504"/>
      <c r="L110" s="504"/>
      <c r="M110" s="504"/>
      <c r="O110" s="543">
        <f t="shared" si="2"/>
        <v>0</v>
      </c>
    </row>
    <row r="111" spans="2:18" ht="15" hidden="1" customHeight="1" outlineLevel="4" x14ac:dyDescent="0.2">
      <c r="B111" s="110" t="str">
        <f>IF(topdowntables!$N$4=1, "       foderkomponent 8", "       feedstuff 8")</f>
        <v xml:space="preserve">       foderkomponent 8</v>
      </c>
      <c r="E111" s="905"/>
      <c r="F111" s="905"/>
      <c r="G111" s="905"/>
      <c r="H111" s="905"/>
      <c r="I111" s="516"/>
      <c r="K111" s="504"/>
      <c r="L111" s="504"/>
      <c r="M111" s="504"/>
      <c r="O111" s="543">
        <f t="shared" si="2"/>
        <v>0</v>
      </c>
    </row>
    <row r="112" spans="2:18" ht="15" hidden="1" customHeight="1" outlineLevel="4" x14ac:dyDescent="0.2">
      <c r="B112" s="110" t="str">
        <f>IF(topdowntables!$N$4=1, "       foderkomponent 9", "       feedstuff 9")</f>
        <v xml:space="preserve">       foderkomponent 9</v>
      </c>
      <c r="E112" s="905"/>
      <c r="F112" s="905"/>
      <c r="G112" s="905"/>
      <c r="H112" s="905"/>
      <c r="I112" s="516"/>
      <c r="K112" s="504"/>
      <c r="L112" s="504"/>
      <c r="M112" s="504"/>
      <c r="O112" s="543">
        <f t="shared" si="2"/>
        <v>0</v>
      </c>
    </row>
    <row r="113" spans="2:15" ht="15" hidden="1" customHeight="1" outlineLevel="4" x14ac:dyDescent="0.2">
      <c r="B113" s="110" t="str">
        <f>IF(topdowntables!$N$4=1, "       foderkomponent 10", "       feedstuff 10")</f>
        <v xml:space="preserve">       foderkomponent 10</v>
      </c>
      <c r="E113" s="905"/>
      <c r="F113" s="905"/>
      <c r="G113" s="905"/>
      <c r="H113" s="905"/>
      <c r="I113" s="516"/>
      <c r="K113" s="504"/>
      <c r="L113" s="504"/>
      <c r="M113" s="504"/>
      <c r="O113" s="543">
        <f t="shared" si="2"/>
        <v>0</v>
      </c>
    </row>
    <row r="114" spans="2:15" ht="15" hidden="1" customHeight="1" outlineLevel="4" x14ac:dyDescent="0.2">
      <c r="B114" s="110" t="str">
        <f>IF(topdowntables!$N$4=1, "       foderkomponent 11", "       feedstuff 11")</f>
        <v xml:space="preserve">       foderkomponent 11</v>
      </c>
      <c r="E114" s="905"/>
      <c r="F114" s="905"/>
      <c r="G114" s="905"/>
      <c r="H114" s="905"/>
      <c r="I114" s="516"/>
      <c r="K114" s="504"/>
      <c r="L114" s="504"/>
      <c r="M114" s="504"/>
      <c r="O114" s="543">
        <f t="shared" si="2"/>
        <v>0</v>
      </c>
    </row>
    <row r="115" spans="2:15" ht="15" hidden="1" customHeight="1" outlineLevel="4" x14ac:dyDescent="0.2">
      <c r="B115" s="110" t="str">
        <f>IF(topdowntables!$N$4=1, "       foderkomponent 12", "       feedstuff 12")</f>
        <v xml:space="preserve">       foderkomponent 12</v>
      </c>
      <c r="E115" s="905"/>
      <c r="F115" s="905"/>
      <c r="G115" s="905"/>
      <c r="H115" s="905"/>
      <c r="I115" s="516"/>
      <c r="K115" s="504"/>
      <c r="L115" s="504"/>
      <c r="M115" s="504"/>
      <c r="O115" s="543">
        <f t="shared" si="2"/>
        <v>0</v>
      </c>
    </row>
    <row r="116" spans="2:15" ht="15" hidden="1" customHeight="1" outlineLevel="4" x14ac:dyDescent="0.2">
      <c r="B116" s="110" t="str">
        <f>IF(topdowntables!$N$4=1, "       foderkomponent 13", "       feedstuff 13")</f>
        <v xml:space="preserve">       foderkomponent 13</v>
      </c>
      <c r="E116" s="905"/>
      <c r="F116" s="905"/>
      <c r="G116" s="905"/>
      <c r="H116" s="905"/>
      <c r="I116" s="516"/>
      <c r="K116" s="504"/>
      <c r="L116" s="504"/>
      <c r="M116" s="504"/>
      <c r="O116" s="543">
        <f t="shared" si="2"/>
        <v>0</v>
      </c>
    </row>
    <row r="117" spans="2:15" ht="15" hidden="1" customHeight="1" outlineLevel="4" x14ac:dyDescent="0.2">
      <c r="B117" s="110" t="str">
        <f>IF(topdowntables!$N$4=1, "       foderkomponent 14", "       feedstuff 14")</f>
        <v xml:space="preserve">       foderkomponent 14</v>
      </c>
      <c r="E117" s="905"/>
      <c r="F117" s="905"/>
      <c r="G117" s="905"/>
      <c r="H117" s="905"/>
      <c r="I117" s="516"/>
      <c r="K117" s="504"/>
      <c r="L117" s="504"/>
      <c r="M117" s="504"/>
      <c r="O117" s="543">
        <f t="shared" si="2"/>
        <v>0</v>
      </c>
    </row>
    <row r="118" spans="2:15" ht="15" hidden="1" customHeight="1" outlineLevel="4" x14ac:dyDescent="0.2">
      <c r="B118" s="110" t="str">
        <f>IF(topdowntables!$N$4=1, "       foderkomponent 15", "       feedstuff 15")</f>
        <v xml:space="preserve">       foderkomponent 15</v>
      </c>
      <c r="E118" s="905"/>
      <c r="F118" s="905"/>
      <c r="G118" s="905"/>
      <c r="H118" s="905"/>
      <c r="I118" s="523"/>
      <c r="K118" s="504"/>
      <c r="L118" s="504"/>
      <c r="M118" s="504"/>
      <c r="O118" s="543">
        <f t="shared" si="2"/>
        <v>0</v>
      </c>
    </row>
    <row r="119" spans="2:15" ht="15" hidden="1" customHeight="1" outlineLevel="4" x14ac:dyDescent="0.2">
      <c r="B119" s="184" t="str">
        <f>IF(topdowntables!$N$4=1,IF(I119=100,"       Tryk '-' for at slutte","       Tjeck, skal være 100"),IF(I119=100,"       Click '-' to finalize","       Check total"))</f>
        <v xml:space="preserve">       Tjeck, skal være 100</v>
      </c>
      <c r="C119" s="517"/>
      <c r="D119" s="518"/>
      <c r="E119" s="517"/>
      <c r="F119" s="517"/>
      <c r="G119" s="517"/>
      <c r="H119" s="137"/>
      <c r="I119" s="519">
        <f>SUM(I104:I118)</f>
        <v>0</v>
      </c>
      <c r="K119" s="504"/>
      <c r="L119" s="504"/>
      <c r="M119" s="504"/>
    </row>
    <row r="120" spans="2:15" ht="15" hidden="1" customHeight="1" outlineLevel="3" collapsed="1" x14ac:dyDescent="0.2">
      <c r="B120" s="184"/>
      <c r="C120" s="517"/>
      <c r="D120" s="518"/>
      <c r="E120" s="517"/>
      <c r="F120" s="517"/>
      <c r="G120" s="517"/>
      <c r="H120" s="137"/>
      <c r="I120" s="97"/>
      <c r="K120" s="136"/>
      <c r="L120" s="136"/>
      <c r="M120" s="136"/>
    </row>
    <row r="121" spans="2:15" ht="15" hidden="1" customHeight="1" outlineLevel="3" x14ac:dyDescent="0.2">
      <c r="B121" s="183" t="str">
        <f>IF(topdowntables!$N$4=1, "    blanding 2:", "    mixture 2:")</f>
        <v xml:space="preserve">    blanding 2:</v>
      </c>
      <c r="C121" s="517"/>
      <c r="D121" s="518"/>
      <c r="E121" s="517"/>
      <c r="F121" s="517"/>
      <c r="G121" s="517"/>
      <c r="H121" s="137"/>
      <c r="I121" s="97"/>
      <c r="K121" s="136"/>
      <c r="L121" s="136"/>
      <c r="M121" s="136"/>
    </row>
    <row r="122" spans="2:15" ht="15" hidden="1" customHeight="1" outlineLevel="4" x14ac:dyDescent="0.2">
      <c r="B122" s="110" t="str">
        <f>IF(topdowntables!$N$4=1, "     FE per dyr per dag", "     FU per animal per day")</f>
        <v xml:space="preserve">     FE per dyr per dag</v>
      </c>
      <c r="D122" s="63"/>
      <c r="E122" s="912"/>
      <c r="F122" s="912"/>
      <c r="H122" s="136"/>
      <c r="I122" s="136"/>
      <c r="K122" s="504"/>
      <c r="L122" s="504"/>
      <c r="M122" s="504"/>
    </row>
    <row r="123" spans="2:15" ht="15" hidden="1" customHeight="1" outlineLevel="4" x14ac:dyDescent="0.2">
      <c r="B123" s="110" t="str">
        <f>IF(topdowntables!$N$4=1, "     Tildelingsperiode", "     Period")</f>
        <v xml:space="preserve">     Tildelingsperiode</v>
      </c>
      <c r="C123" s="510"/>
      <c r="E123" s="512" t="str">
        <f>IF(topdowntables!$N$4=1, "fra dage efter løbning:", "from days after mating:")</f>
        <v>fra dage efter løbning:</v>
      </c>
      <c r="F123" s="526">
        <f>H102</f>
        <v>0</v>
      </c>
      <c r="G123" s="785" t="str">
        <f>IF(topdowntables!$N$4=1, "og indtil faring", "and until farrowing")</f>
        <v>og indtil faring</v>
      </c>
      <c r="H123" s="527"/>
      <c r="I123" s="272"/>
      <c r="K123" s="272"/>
      <c r="L123" s="272"/>
      <c r="M123" s="272"/>
    </row>
    <row r="124" spans="2:15" ht="15" hidden="1" customHeight="1" outlineLevel="4" x14ac:dyDescent="0.2">
      <c r="B124" s="110" t="str">
        <f>IF(topdowntables!$N$4=1, "     Indhold:", "     Composition:")</f>
        <v xml:space="preserve">     Indhold:</v>
      </c>
      <c r="C124" s="510"/>
      <c r="E124" s="889" t="s">
        <v>973</v>
      </c>
      <c r="F124" s="889"/>
      <c r="G124" s="888"/>
      <c r="H124" s="888"/>
      <c r="I124" s="888" t="str">
        <f>IF(topdowntables!$N$4=1, "% af kg", "% of ")</f>
        <v>% af kg</v>
      </c>
      <c r="J124" s="889"/>
      <c r="K124" s="888"/>
      <c r="L124" s="888"/>
      <c r="M124" s="272"/>
      <c r="O124" s="808" t="str">
        <f>IF(topdowntables!$N$4=1, "Tilgængelig på gård, kg", "Available at farm, kg")</f>
        <v>Tilgængelig på gård, kg</v>
      </c>
    </row>
    <row r="125" spans="2:15" ht="15" hidden="1" customHeight="1" outlineLevel="4" x14ac:dyDescent="0.2">
      <c r="B125" s="110" t="str">
        <f>IF(topdowntables!$N$4=1, "       foderkomponent 1", "       feedstuff 1")</f>
        <v xml:space="preserve">       foderkomponent 1</v>
      </c>
      <c r="E125" s="905"/>
      <c r="F125" s="905"/>
      <c r="G125" s="905"/>
      <c r="H125" s="905"/>
      <c r="I125" s="515"/>
      <c r="K125" s="504"/>
      <c r="L125" s="504"/>
      <c r="M125" s="504"/>
      <c r="O125" s="809">
        <f t="shared" ref="O125:O139" si="3">IF(OR(E125=$E$429, E125=$E$439, E125=$E$449, E125=$E$459, E125=$E$469, E125=$E$479), VLOOKUP(E125, feedavailability, 3, FALSE)-VLOOKUP(E125, feedavailability, 5, FALSE), 0)</f>
        <v>0</v>
      </c>
    </row>
    <row r="126" spans="2:15" ht="15" hidden="1" customHeight="1" outlineLevel="4" x14ac:dyDescent="0.2">
      <c r="B126" s="110" t="str">
        <f>IF(topdowntables!$N$4=1, "       foderkomponent 2", "       feedstuff 2")</f>
        <v xml:space="preserve">       foderkomponent 2</v>
      </c>
      <c r="E126" s="905"/>
      <c r="F126" s="905"/>
      <c r="G126" s="905"/>
      <c r="H126" s="905"/>
      <c r="I126" s="516"/>
      <c r="K126" s="504"/>
      <c r="L126" s="504"/>
      <c r="M126" s="504"/>
      <c r="O126" s="809">
        <f t="shared" si="3"/>
        <v>0</v>
      </c>
    </row>
    <row r="127" spans="2:15" ht="15" hidden="1" customHeight="1" outlineLevel="4" x14ac:dyDescent="0.2">
      <c r="B127" s="110" t="str">
        <f>IF(topdowntables!$N$4=1, "       foderkomponent 3", "       feedstuff 3")</f>
        <v xml:space="preserve">       foderkomponent 3</v>
      </c>
      <c r="E127" s="905"/>
      <c r="F127" s="905"/>
      <c r="G127" s="905"/>
      <c r="H127" s="905"/>
      <c r="I127" s="516"/>
      <c r="K127" s="504"/>
      <c r="L127" s="504"/>
      <c r="M127" s="504"/>
      <c r="O127" s="809">
        <f t="shared" si="3"/>
        <v>0</v>
      </c>
    </row>
    <row r="128" spans="2:15" ht="15" hidden="1" customHeight="1" outlineLevel="4" x14ac:dyDescent="0.2">
      <c r="B128" s="110" t="str">
        <f>IF(topdowntables!$N$4=1, "       foderkomponent 4", "       feedstuff 4")</f>
        <v xml:space="preserve">       foderkomponent 4</v>
      </c>
      <c r="E128" s="905"/>
      <c r="F128" s="905"/>
      <c r="G128" s="905"/>
      <c r="H128" s="905"/>
      <c r="I128" s="516"/>
      <c r="K128" s="504"/>
      <c r="L128" s="504"/>
      <c r="M128" s="504"/>
      <c r="O128" s="809">
        <f t="shared" si="3"/>
        <v>0</v>
      </c>
    </row>
    <row r="129" spans="2:15" ht="15" hidden="1" customHeight="1" outlineLevel="4" x14ac:dyDescent="0.2">
      <c r="B129" s="110" t="str">
        <f>IF(topdowntables!$N$4=1, "       foderkomponent 5", "       feedstuff 5")</f>
        <v xml:space="preserve">       foderkomponent 5</v>
      </c>
      <c r="E129" s="905"/>
      <c r="F129" s="905"/>
      <c r="G129" s="905"/>
      <c r="H129" s="905"/>
      <c r="I129" s="516"/>
      <c r="K129" s="504"/>
      <c r="L129" s="504"/>
      <c r="M129" s="504"/>
      <c r="O129" s="809">
        <f t="shared" si="3"/>
        <v>0</v>
      </c>
    </row>
    <row r="130" spans="2:15" ht="15" hidden="1" customHeight="1" outlineLevel="4" x14ac:dyDescent="0.2">
      <c r="B130" s="110" t="str">
        <f>IF(topdowntables!$N$4=1, "       foderkomponent 6", "       feedstuff 6")</f>
        <v xml:space="preserve">       foderkomponent 6</v>
      </c>
      <c r="E130" s="905"/>
      <c r="F130" s="905"/>
      <c r="G130" s="905"/>
      <c r="H130" s="905"/>
      <c r="I130" s="516"/>
      <c r="K130" s="504"/>
      <c r="L130" s="504"/>
      <c r="M130" s="504"/>
      <c r="O130" s="809">
        <f t="shared" si="3"/>
        <v>0</v>
      </c>
    </row>
    <row r="131" spans="2:15" ht="15" hidden="1" customHeight="1" outlineLevel="4" x14ac:dyDescent="0.2">
      <c r="B131" s="110" t="str">
        <f>IF(topdowntables!$N$4=1, "       foderkomponent 7", "       feedstuff 7")</f>
        <v xml:space="preserve">       foderkomponent 7</v>
      </c>
      <c r="E131" s="905"/>
      <c r="F131" s="905"/>
      <c r="G131" s="905"/>
      <c r="H131" s="905"/>
      <c r="I131" s="516"/>
      <c r="K131" s="504"/>
      <c r="L131" s="504"/>
      <c r="M131" s="504"/>
      <c r="O131" s="809">
        <f t="shared" si="3"/>
        <v>0</v>
      </c>
    </row>
    <row r="132" spans="2:15" ht="15" hidden="1" customHeight="1" outlineLevel="4" x14ac:dyDescent="0.2">
      <c r="B132" s="110" t="str">
        <f>IF(topdowntables!$N$4=1, "       foderkomponent 8", "       feedstuff 8")</f>
        <v xml:space="preserve">       foderkomponent 8</v>
      </c>
      <c r="E132" s="905"/>
      <c r="F132" s="905"/>
      <c r="G132" s="905"/>
      <c r="H132" s="905"/>
      <c r="I132" s="516"/>
      <c r="K132" s="504"/>
      <c r="L132" s="504"/>
      <c r="M132" s="504"/>
      <c r="O132" s="809">
        <f t="shared" si="3"/>
        <v>0</v>
      </c>
    </row>
    <row r="133" spans="2:15" ht="15" hidden="1" customHeight="1" outlineLevel="4" x14ac:dyDescent="0.2">
      <c r="B133" s="110" t="str">
        <f>IF(topdowntables!$N$4=1, "       foderkomponent 9", "       feedstuff 9")</f>
        <v xml:space="preserve">       foderkomponent 9</v>
      </c>
      <c r="E133" s="905"/>
      <c r="F133" s="905"/>
      <c r="G133" s="905"/>
      <c r="H133" s="905"/>
      <c r="I133" s="516"/>
      <c r="K133" s="504"/>
      <c r="L133" s="504"/>
      <c r="M133" s="504"/>
      <c r="O133" s="809">
        <f t="shared" si="3"/>
        <v>0</v>
      </c>
    </row>
    <row r="134" spans="2:15" ht="15" hidden="1" customHeight="1" outlineLevel="4" x14ac:dyDescent="0.2">
      <c r="B134" s="110" t="str">
        <f>IF(topdowntables!$N$4=1, "       foderkomponent 10", "       feedstuff 10")</f>
        <v xml:space="preserve">       foderkomponent 10</v>
      </c>
      <c r="E134" s="905"/>
      <c r="F134" s="905"/>
      <c r="G134" s="905"/>
      <c r="H134" s="905"/>
      <c r="I134" s="516"/>
      <c r="K134" s="504"/>
      <c r="L134" s="504"/>
      <c r="M134" s="504"/>
      <c r="O134" s="809">
        <f t="shared" si="3"/>
        <v>0</v>
      </c>
    </row>
    <row r="135" spans="2:15" ht="15" hidden="1" customHeight="1" outlineLevel="4" x14ac:dyDescent="0.2">
      <c r="B135" s="110" t="str">
        <f>IF(topdowntables!$N$4=1, "       foderkomponent 11", "       feedstuff 11")</f>
        <v xml:space="preserve">       foderkomponent 11</v>
      </c>
      <c r="E135" s="905"/>
      <c r="F135" s="905"/>
      <c r="G135" s="905"/>
      <c r="H135" s="905"/>
      <c r="I135" s="516"/>
      <c r="K135" s="504"/>
      <c r="L135" s="504"/>
      <c r="M135" s="504"/>
      <c r="O135" s="809">
        <f t="shared" si="3"/>
        <v>0</v>
      </c>
    </row>
    <row r="136" spans="2:15" ht="15" hidden="1" customHeight="1" outlineLevel="4" x14ac:dyDescent="0.2">
      <c r="B136" s="110" t="str">
        <f>IF(topdowntables!$N$4=1, "       foderkomponent 12", "       feedstuff 12")</f>
        <v xml:space="preserve">       foderkomponent 12</v>
      </c>
      <c r="E136" s="905"/>
      <c r="F136" s="905"/>
      <c r="G136" s="905"/>
      <c r="H136" s="905"/>
      <c r="I136" s="516"/>
      <c r="K136" s="504"/>
      <c r="L136" s="504"/>
      <c r="M136" s="504"/>
      <c r="O136" s="809">
        <f t="shared" si="3"/>
        <v>0</v>
      </c>
    </row>
    <row r="137" spans="2:15" ht="15" hidden="1" customHeight="1" outlineLevel="4" x14ac:dyDescent="0.2">
      <c r="B137" s="110" t="str">
        <f>IF(topdowntables!$N$4=1, "       foderkomponent 13", "       feedstuff 13")</f>
        <v xml:space="preserve">       foderkomponent 13</v>
      </c>
      <c r="E137" s="905"/>
      <c r="F137" s="905"/>
      <c r="G137" s="905"/>
      <c r="H137" s="905"/>
      <c r="I137" s="516"/>
      <c r="K137" s="504"/>
      <c r="L137" s="504"/>
      <c r="M137" s="504"/>
      <c r="O137" s="809">
        <f t="shared" si="3"/>
        <v>0</v>
      </c>
    </row>
    <row r="138" spans="2:15" ht="15" hidden="1" customHeight="1" outlineLevel="4" x14ac:dyDescent="0.2">
      <c r="B138" s="110" t="str">
        <f>IF(topdowntables!$N$4=1, "       foderkomponent 14", "       feedstuff 14")</f>
        <v xml:space="preserve">       foderkomponent 14</v>
      </c>
      <c r="E138" s="905"/>
      <c r="F138" s="905"/>
      <c r="G138" s="905"/>
      <c r="H138" s="905"/>
      <c r="I138" s="516"/>
      <c r="K138" s="504"/>
      <c r="L138" s="504"/>
      <c r="M138" s="504"/>
      <c r="O138" s="809">
        <f t="shared" si="3"/>
        <v>0</v>
      </c>
    </row>
    <row r="139" spans="2:15" ht="15" hidden="1" customHeight="1" outlineLevel="4" x14ac:dyDescent="0.2">
      <c r="B139" s="110" t="str">
        <f>IF(topdowntables!$N$4=1, "       foderkomponent 15", "       feedstuff 15")</f>
        <v xml:space="preserve">       foderkomponent 15</v>
      </c>
      <c r="E139" s="905"/>
      <c r="F139" s="905"/>
      <c r="G139" s="905"/>
      <c r="H139" s="905"/>
      <c r="I139" s="523"/>
      <c r="K139" s="504"/>
      <c r="L139" s="504"/>
      <c r="M139" s="504"/>
      <c r="O139" s="809">
        <f t="shared" si="3"/>
        <v>0</v>
      </c>
    </row>
    <row r="140" spans="2:15" ht="15" hidden="1" customHeight="1" outlineLevel="4" x14ac:dyDescent="0.2">
      <c r="B140" s="184" t="str">
        <f>IF(topdowntables!$N$4=1,IF(I140=100,"       Tryk '-' for at slutte","       Tjeck, skal være 100"),IF(I140=100,"       Click '-' to finalize","       Check total"))</f>
        <v xml:space="preserve">       Tjeck, skal være 100</v>
      </c>
      <c r="C140" s="517"/>
      <c r="D140" s="518"/>
      <c r="E140" s="517"/>
      <c r="F140" s="517"/>
      <c r="G140" s="517"/>
      <c r="H140" s="137"/>
      <c r="I140" s="519">
        <f>SUM(I125:I139)</f>
        <v>0</v>
      </c>
      <c r="K140" s="504"/>
      <c r="L140" s="504"/>
      <c r="M140" s="504"/>
    </row>
    <row r="141" spans="2:15" ht="15" hidden="1" customHeight="1" outlineLevel="3" collapsed="1" x14ac:dyDescent="0.2">
      <c r="B141" s="184"/>
      <c r="C141" s="517"/>
      <c r="D141" s="518"/>
      <c r="E141" s="517"/>
      <c r="F141" s="517"/>
      <c r="G141" s="517"/>
      <c r="H141" s="137"/>
      <c r="I141" s="97"/>
      <c r="K141" s="504"/>
      <c r="L141" s="504"/>
      <c r="M141" s="504"/>
    </row>
    <row r="142" spans="2:15" ht="15" hidden="1" customHeight="1" outlineLevel="2" collapsed="1" x14ac:dyDescent="0.2">
      <c r="B142" s="184"/>
      <c r="C142" s="517"/>
      <c r="D142" s="518"/>
      <c r="E142" s="517"/>
      <c r="F142" s="517"/>
      <c r="G142" s="517"/>
      <c r="H142" s="137"/>
      <c r="I142" s="97"/>
      <c r="K142" s="504"/>
      <c r="L142" s="504"/>
      <c r="M142" s="504"/>
    </row>
    <row r="143" spans="2:15" ht="15" hidden="1" customHeight="1" outlineLevel="2" x14ac:dyDescent="0.2">
      <c r="B143" s="182" t="str">
        <f>IF(topdowntables!$N$4=1, "  Grovfoder:", "  Roughage:")</f>
        <v xml:space="preserve">  Grovfoder:</v>
      </c>
      <c r="C143" s="517"/>
      <c r="D143" s="518"/>
      <c r="E143" s="517"/>
      <c r="F143" s="517"/>
      <c r="G143" s="517"/>
      <c r="H143" s="137"/>
      <c r="I143" s="520"/>
      <c r="K143" s="504"/>
      <c r="L143" s="504"/>
      <c r="M143" s="504"/>
    </row>
    <row r="144" spans="2:15" ht="15" hidden="1" customHeight="1" outlineLevel="3" x14ac:dyDescent="0.2">
      <c r="B144" s="110" t="str">
        <f>IF(topdowntables!$N$4=1, "     kg per dyr per dag", "     kg per animal per day")</f>
        <v xml:space="preserve">     kg per dyr per dag</v>
      </c>
      <c r="D144" s="63"/>
      <c r="E144" s="912"/>
      <c r="F144" s="912"/>
      <c r="H144" s="136"/>
      <c r="I144" s="136"/>
      <c r="K144" s="504"/>
      <c r="L144" s="504"/>
      <c r="M144" s="504"/>
    </row>
    <row r="145" spans="2:15" ht="15" hidden="1" customHeight="1" outlineLevel="3" x14ac:dyDescent="0.2">
      <c r="B145" s="110" t="str">
        <f>IF(topdowntables!$N$4=1, "     grovfodertildeling, dage per år", "     period of use, days per year")</f>
        <v xml:space="preserve">     grovfodertildeling, dage per år</v>
      </c>
      <c r="D145" s="63"/>
      <c r="E145" s="918"/>
      <c r="F145" s="918"/>
      <c r="H145" s="136"/>
      <c r="I145" s="136"/>
      <c r="K145" s="136"/>
      <c r="L145" s="136"/>
      <c r="M145" s="136"/>
    </row>
    <row r="146" spans="2:15" ht="15" hidden="1" customHeight="1" outlineLevel="3" x14ac:dyDescent="0.2">
      <c r="B146" s="110" t="str">
        <f>IF(topdowntables!$N$4=1, "     Grovfodertyper, anvendt:", "     Roughage type, used:")</f>
        <v xml:space="preserve">     Grovfodertyper, anvendt:</v>
      </c>
      <c r="E146" s="889" t="str">
        <f>IF(topdowntables!$N$4=1, "Indhold:", "Composition:")</f>
        <v>Indhold:</v>
      </c>
      <c r="F146" s="889"/>
      <c r="G146" s="889"/>
      <c r="H146" s="889"/>
      <c r="I146" s="662" t="str">
        <f>IF(topdowntables!$N$4=1, "% af kg", "% of ")</f>
        <v>% af kg</v>
      </c>
      <c r="J146" s="669"/>
      <c r="K146" s="668"/>
      <c r="L146" s="661"/>
      <c r="M146" s="136"/>
      <c r="O146" s="808" t="str">
        <f>IF(topdowntables!$N$4=1, "Tilgængelig på gård, kg", "Available at farm, kg")</f>
        <v>Tilgængelig på gård, kg</v>
      </c>
    </row>
    <row r="147" spans="2:15" ht="15" hidden="1" customHeight="1" outlineLevel="3" x14ac:dyDescent="0.2">
      <c r="B147" s="110" t="str">
        <f>IF(topdowntables!$N$4=1, "       grovfodertype 1", "       roughage type 1")</f>
        <v xml:space="preserve">       grovfodertype 1</v>
      </c>
      <c r="E147" s="905"/>
      <c r="F147" s="905"/>
      <c r="G147" s="905"/>
      <c r="H147" s="905"/>
      <c r="I147" s="516"/>
      <c r="K147" s="504"/>
      <c r="L147" s="504"/>
      <c r="M147" s="504"/>
      <c r="O147" s="809">
        <f>IF(OR(E147=$E$429, E147=$E$439, E147=$E$449, E147=$E$459, E147=$E$469, E147=$E$479), VLOOKUP(E147, feedavailability, 3, FALSE)-VLOOKUP(E147, feedavailability, 5, FALSE), 0)</f>
        <v>0</v>
      </c>
    </row>
    <row r="148" spans="2:15" ht="15" hidden="1" customHeight="1" outlineLevel="3" x14ac:dyDescent="0.2">
      <c r="B148" s="110" t="str">
        <f>IF(topdowntables!$N$4=1, "       grovfodertype 2", "       roughage type 2")</f>
        <v xml:space="preserve">       grovfodertype 2</v>
      </c>
      <c r="E148" s="905"/>
      <c r="F148" s="905"/>
      <c r="G148" s="905"/>
      <c r="H148" s="905"/>
      <c r="I148" s="516"/>
      <c r="K148" s="504"/>
      <c r="L148" s="504"/>
      <c r="M148" s="504"/>
      <c r="O148" s="809">
        <f>IF(OR(E148=$E$429, E148=$E$439, E148=$E$449, E148=$E$459, E148=$E$469, E148=$E$479), VLOOKUP(E148, feedavailability, 3, FALSE)-VLOOKUP(E148, feedavailability, 5, FALSE), 0)</f>
        <v>0</v>
      </c>
    </row>
    <row r="149" spans="2:15" ht="15" hidden="1" customHeight="1" outlineLevel="3" x14ac:dyDescent="0.2">
      <c r="B149" s="110" t="str">
        <f>IF(topdowntables!$N$4=1, "       grovfodertype 3", "       roughage type 3")</f>
        <v xml:space="preserve">       grovfodertype 3</v>
      </c>
      <c r="E149" s="905"/>
      <c r="F149" s="905"/>
      <c r="G149" s="905"/>
      <c r="H149" s="905"/>
      <c r="I149" s="516"/>
      <c r="K149" s="504"/>
      <c r="L149" s="504"/>
      <c r="M149" s="504"/>
      <c r="O149" s="809">
        <f>IF(OR(E149=$E$429, E149=$E$439, E149=$E$449, E149=$E$459, E149=$E$469, E149=$E$479), VLOOKUP(E149, feedavailability, 3, FALSE)-VLOOKUP(E149, feedavailability, 5, FALSE), 0)</f>
        <v>0</v>
      </c>
    </row>
    <row r="150" spans="2:15" ht="15" hidden="1" customHeight="1" outlineLevel="3" x14ac:dyDescent="0.2">
      <c r="B150" s="110" t="str">
        <f>IF(topdowntables!$N$4=1, "       grovfodertype 4", "       roughage type 4")</f>
        <v xml:space="preserve">       grovfodertype 4</v>
      </c>
      <c r="C150" s="521"/>
      <c r="E150" s="905"/>
      <c r="F150" s="905"/>
      <c r="G150" s="905"/>
      <c r="H150" s="905"/>
      <c r="I150" s="516"/>
      <c r="K150" s="504"/>
      <c r="L150" s="504"/>
      <c r="M150" s="504"/>
      <c r="O150" s="809">
        <f>IF(OR(E150=$E$429, E150=$E$439, E150=$E$449, E150=$E$459, E150=$E$469, E150=$E$479), VLOOKUP(E150, feedavailability, 3, FALSE)-VLOOKUP(E150, feedavailability, 5, FALSE), 0)</f>
        <v>0</v>
      </c>
    </row>
    <row r="151" spans="2:15" ht="15" hidden="1" customHeight="1" outlineLevel="3" x14ac:dyDescent="0.2">
      <c r="B151" s="110" t="str">
        <f>IF(topdowntables!$N$4=1, "       grovfodertype 5", "       roughage type 5")</f>
        <v xml:space="preserve">       grovfodertype 5</v>
      </c>
      <c r="D151" s="522"/>
      <c r="E151" s="905"/>
      <c r="F151" s="905"/>
      <c r="G151" s="905"/>
      <c r="H151" s="905"/>
      <c r="I151" s="523"/>
      <c r="K151" s="504"/>
      <c r="L151" s="504"/>
      <c r="M151" s="504"/>
      <c r="O151" s="809">
        <f>IF(OR(E151=$E$429, E151=$E$439, E151=$E$449, E151=$E$459, E151=$E$469, E151=$E$479), VLOOKUP(E151, feedavailability, 3, FALSE)-VLOOKUP(E151, feedavailability, 5, FALSE), 0)</f>
        <v>0</v>
      </c>
    </row>
    <row r="152" spans="2:15" ht="15" hidden="1" customHeight="1" outlineLevel="3" x14ac:dyDescent="0.2">
      <c r="B152" s="184" t="str">
        <f>IF(topdowntables!$N$4=1,IF(I152=100,"       Tryk '-' for at slutte","       Tjeck, skal være 100"),IF(I152=100,"       Click '-' to finalize","       Check total"))</f>
        <v xml:space="preserve">       Tjeck, skal være 100</v>
      </c>
      <c r="C152" s="524"/>
      <c r="D152" s="518"/>
      <c r="E152" s="524"/>
      <c r="F152" s="524"/>
      <c r="G152" s="524"/>
      <c r="H152" s="137"/>
      <c r="I152" s="519">
        <f>SUM(I147:I151)</f>
        <v>0</v>
      </c>
      <c r="K152" s="504"/>
      <c r="L152" s="504"/>
      <c r="M152" s="504"/>
    </row>
    <row r="153" spans="2:15" ht="15" hidden="1" customHeight="1" outlineLevel="2" collapsed="1" x14ac:dyDescent="0.2">
      <c r="B153" s="184"/>
      <c r="C153" s="524"/>
      <c r="D153" s="518"/>
      <c r="E153" s="524"/>
      <c r="F153" s="524"/>
      <c r="G153" s="524"/>
      <c r="H153" s="137"/>
      <c r="I153" s="97"/>
      <c r="K153" s="136"/>
      <c r="L153" s="136"/>
      <c r="M153" s="136"/>
    </row>
    <row r="154" spans="2:15" ht="15" hidden="1" customHeight="1" outlineLevel="1" collapsed="1" x14ac:dyDescent="0.2">
      <c r="B154" s="181" t="str">
        <f>IF(topdowntables!$N$4=1, " Smågrise", " weaners")</f>
        <v xml:space="preserve"> Smågrise</v>
      </c>
      <c r="C154" s="510"/>
      <c r="H154" s="272"/>
      <c r="I154" s="272"/>
      <c r="K154" s="272"/>
      <c r="L154" s="272"/>
      <c r="M154" s="272"/>
    </row>
    <row r="155" spans="2:15" ht="15" hidden="1" customHeight="1" outlineLevel="2" x14ac:dyDescent="0.2">
      <c r="B155" s="182" t="str">
        <f>IF(topdowntables!$N$4=1, "  Kraftfoder:", "  Concentrated feed:")</f>
        <v xml:space="preserve">  Kraftfoder:</v>
      </c>
      <c r="C155" s="510"/>
      <c r="H155" s="272"/>
      <c r="I155" s="272"/>
      <c r="K155" s="272"/>
      <c r="L155" s="272"/>
      <c r="M155" s="272"/>
    </row>
    <row r="156" spans="2:15" ht="15" hidden="1" customHeight="1" outlineLevel="3" x14ac:dyDescent="0.2">
      <c r="B156" s="110" t="str">
        <f>IF(topdowntables!$N$4=1, "     FE per kg tilvækst", "     FU per kg gain")</f>
        <v xml:space="preserve">     FE per kg tilvækst</v>
      </c>
      <c r="D156" s="63"/>
      <c r="E156" s="912"/>
      <c r="F156" s="912"/>
      <c r="G156" s="63"/>
      <c r="H156" s="903"/>
      <c r="I156" s="903"/>
      <c r="K156" s="504"/>
      <c r="L156" s="504"/>
      <c r="M156" s="504"/>
    </row>
    <row r="157" spans="2:15" ht="15" hidden="1" customHeight="1" outlineLevel="3" x14ac:dyDescent="0.2">
      <c r="B157" s="183" t="str">
        <f>IF(topdowntables!$N$4=1, "    blanding 1, for vægtinterval, kg:", "    mixture 1, for weight interval, kg:")</f>
        <v xml:space="preserve">    blanding 1, for vægtinterval, kg:</v>
      </c>
      <c r="C157" s="510"/>
      <c r="D157" s="63"/>
      <c r="E157" s="512" t="str">
        <f>IF(topdowntables!$N$4=1, "fra indsættelse, kg:", "from input, kg:")</f>
        <v>fra indsættelse, kg:</v>
      </c>
      <c r="F157" s="528">
        <f>IFERROR(((((E18*E15*E14)-E22)*'input-data'!E21)+('input-data'!E27*'input-data'!E28))/(((E18*E15*E14)-E22)+'input-data'!E27), 0)</f>
        <v>0</v>
      </c>
      <c r="G157" s="512" t="str">
        <f>IF(topdowntables!$N$4=1, "til, kg:", "to, kg:")</f>
        <v>til, kg:</v>
      </c>
      <c r="H157" s="529"/>
      <c r="I157" s="530"/>
      <c r="K157" s="272"/>
      <c r="L157" s="272"/>
      <c r="M157" s="272"/>
    </row>
    <row r="158" spans="2:15" ht="15" hidden="1" customHeight="1" outlineLevel="4" x14ac:dyDescent="0.2">
      <c r="B158" s="110" t="str">
        <f>IF(topdowntables!$N$4=1, "     Indhold:", "     Composition:")</f>
        <v xml:space="preserve">     Indhold:</v>
      </c>
      <c r="C158" s="510"/>
      <c r="E158" s="888" t="str">
        <f>IF(topdowntables!$N$4=1, "Indhold:", "Composition:")</f>
        <v>Indhold:</v>
      </c>
      <c r="F158" s="889"/>
      <c r="G158" s="888"/>
      <c r="H158" s="888"/>
      <c r="I158" s="662" t="str">
        <f>IF(topdowntables!$N$4=1, "% af kg", "% of ")</f>
        <v>% af kg</v>
      </c>
      <c r="J158" s="669"/>
      <c r="K158" s="668"/>
      <c r="L158" s="661"/>
      <c r="M158" s="272"/>
      <c r="O158" s="808" t="str">
        <f>IF(topdowntables!$N$4=1, "Tilgængelig på gård, kg", "Available at farm, kg")</f>
        <v>Tilgængelig på gård, kg</v>
      </c>
    </row>
    <row r="159" spans="2:15" ht="15" hidden="1" customHeight="1" outlineLevel="4" x14ac:dyDescent="0.2">
      <c r="B159" s="110" t="str">
        <f>IF(topdowntables!$N$4=1, "       foderkomponent 1", "       feedstuff 1")</f>
        <v xml:space="preserve">       foderkomponent 1</v>
      </c>
      <c r="E159" s="905"/>
      <c r="F159" s="905"/>
      <c r="G159" s="905"/>
      <c r="H159" s="905"/>
      <c r="I159" s="516"/>
      <c r="K159" s="504"/>
      <c r="L159" s="504"/>
      <c r="M159" s="504"/>
      <c r="O159" s="809">
        <f t="shared" ref="O159:O173" si="4">IF(OR(E159=$E$429, E159=$E$439, E159=$E$449, E159=$E$459, E159=$E$469, E159=$E$479), VLOOKUP(E159, feedavailability, 3, FALSE)-VLOOKUP(E159, feedavailability, 5, FALSE), 0)</f>
        <v>0</v>
      </c>
    </row>
    <row r="160" spans="2:15" ht="15" hidden="1" customHeight="1" outlineLevel="4" x14ac:dyDescent="0.2">
      <c r="B160" s="110" t="str">
        <f>IF(topdowntables!$N$4=1, "       foderkomponent 2", "       feedstuff 2")</f>
        <v xml:space="preserve">       foderkomponent 2</v>
      </c>
      <c r="E160" s="905"/>
      <c r="F160" s="905"/>
      <c r="G160" s="905"/>
      <c r="H160" s="905"/>
      <c r="I160" s="516"/>
      <c r="K160" s="504"/>
      <c r="L160" s="504"/>
      <c r="M160" s="504"/>
      <c r="O160" s="809">
        <f t="shared" si="4"/>
        <v>0</v>
      </c>
    </row>
    <row r="161" spans="2:15" ht="15" hidden="1" customHeight="1" outlineLevel="4" x14ac:dyDescent="0.2">
      <c r="B161" s="110" t="str">
        <f>IF(topdowntables!$N$4=1, "       foderkomponent 3", "       feedstuff 3")</f>
        <v xml:space="preserve">       foderkomponent 3</v>
      </c>
      <c r="E161" s="905"/>
      <c r="F161" s="905"/>
      <c r="G161" s="905"/>
      <c r="H161" s="905"/>
      <c r="I161" s="516"/>
      <c r="K161" s="504"/>
      <c r="L161" s="504"/>
      <c r="M161" s="504"/>
      <c r="O161" s="809">
        <f t="shared" si="4"/>
        <v>0</v>
      </c>
    </row>
    <row r="162" spans="2:15" ht="15" hidden="1" customHeight="1" outlineLevel="4" x14ac:dyDescent="0.2">
      <c r="B162" s="110" t="str">
        <f>IF(topdowntables!$N$4=1, "       foderkomponent 4", "       feedstuff 4")</f>
        <v xml:space="preserve">       foderkomponent 4</v>
      </c>
      <c r="E162" s="905"/>
      <c r="F162" s="905"/>
      <c r="G162" s="905"/>
      <c r="H162" s="905"/>
      <c r="I162" s="516"/>
      <c r="K162" s="504"/>
      <c r="L162" s="504"/>
      <c r="M162" s="504"/>
      <c r="O162" s="809">
        <f t="shared" si="4"/>
        <v>0</v>
      </c>
    </row>
    <row r="163" spans="2:15" ht="15" hidden="1" customHeight="1" outlineLevel="4" x14ac:dyDescent="0.2">
      <c r="B163" s="110" t="str">
        <f>IF(topdowntables!$N$4=1, "       foderkomponent 5", "       feedstuff 5")</f>
        <v xml:space="preserve">       foderkomponent 5</v>
      </c>
      <c r="E163" s="905"/>
      <c r="F163" s="905"/>
      <c r="G163" s="905"/>
      <c r="H163" s="905"/>
      <c r="I163" s="516"/>
      <c r="K163" s="504"/>
      <c r="L163" s="504"/>
      <c r="M163" s="504"/>
      <c r="O163" s="809">
        <f t="shared" si="4"/>
        <v>0</v>
      </c>
    </row>
    <row r="164" spans="2:15" ht="15" hidden="1" customHeight="1" outlineLevel="4" x14ac:dyDescent="0.2">
      <c r="B164" s="110" t="str">
        <f>IF(topdowntables!$N$4=1, "       foderkomponent 6", "       feedstuff 6")</f>
        <v xml:space="preserve">       foderkomponent 6</v>
      </c>
      <c r="E164" s="905"/>
      <c r="F164" s="905"/>
      <c r="G164" s="905"/>
      <c r="H164" s="905"/>
      <c r="I164" s="516"/>
      <c r="K164" s="504"/>
      <c r="L164" s="504"/>
      <c r="M164" s="504"/>
      <c r="O164" s="809">
        <f t="shared" si="4"/>
        <v>0</v>
      </c>
    </row>
    <row r="165" spans="2:15" ht="15" hidden="1" customHeight="1" outlineLevel="4" x14ac:dyDescent="0.2">
      <c r="B165" s="110" t="str">
        <f>IF(topdowntables!$N$4=1, "       foderkomponent 7", "       feedstuff 7")</f>
        <v xml:space="preserve">       foderkomponent 7</v>
      </c>
      <c r="E165" s="905"/>
      <c r="F165" s="905"/>
      <c r="G165" s="905"/>
      <c r="H165" s="905"/>
      <c r="I165" s="516"/>
      <c r="K165" s="504"/>
      <c r="L165" s="504"/>
      <c r="M165" s="504"/>
      <c r="O165" s="809">
        <f t="shared" si="4"/>
        <v>0</v>
      </c>
    </row>
    <row r="166" spans="2:15" ht="15" hidden="1" customHeight="1" outlineLevel="4" x14ac:dyDescent="0.2">
      <c r="B166" s="110" t="str">
        <f>IF(topdowntables!$N$4=1, "       foderkomponent 8", "       feedstuff 8")</f>
        <v xml:space="preserve">       foderkomponent 8</v>
      </c>
      <c r="E166" s="905"/>
      <c r="F166" s="905"/>
      <c r="G166" s="905"/>
      <c r="H166" s="905"/>
      <c r="I166" s="516"/>
      <c r="K166" s="504"/>
      <c r="L166" s="504"/>
      <c r="M166" s="504"/>
      <c r="O166" s="809">
        <f t="shared" si="4"/>
        <v>0</v>
      </c>
    </row>
    <row r="167" spans="2:15" ht="15" hidden="1" customHeight="1" outlineLevel="4" x14ac:dyDescent="0.2">
      <c r="B167" s="110" t="str">
        <f>IF(topdowntables!$N$4=1, "       foderkomponent 9", "       feedstuff 9")</f>
        <v xml:space="preserve">       foderkomponent 9</v>
      </c>
      <c r="E167" s="905"/>
      <c r="F167" s="905"/>
      <c r="G167" s="905"/>
      <c r="H167" s="905"/>
      <c r="I167" s="516"/>
      <c r="K167" s="504"/>
      <c r="L167" s="504"/>
      <c r="M167" s="504"/>
      <c r="O167" s="809">
        <f t="shared" si="4"/>
        <v>0</v>
      </c>
    </row>
    <row r="168" spans="2:15" ht="15" hidden="1" customHeight="1" outlineLevel="4" x14ac:dyDescent="0.2">
      <c r="B168" s="110" t="str">
        <f>IF(topdowntables!$N$4=1, "       foderkomponent 10", "       feedstuff 10")</f>
        <v xml:space="preserve">       foderkomponent 10</v>
      </c>
      <c r="E168" s="905"/>
      <c r="F168" s="905"/>
      <c r="G168" s="905"/>
      <c r="H168" s="905"/>
      <c r="I168" s="516"/>
      <c r="K168" s="504"/>
      <c r="L168" s="504"/>
      <c r="M168" s="504"/>
      <c r="O168" s="809">
        <f t="shared" si="4"/>
        <v>0</v>
      </c>
    </row>
    <row r="169" spans="2:15" ht="15" hidden="1" customHeight="1" outlineLevel="4" x14ac:dyDescent="0.2">
      <c r="B169" s="110" t="str">
        <f>IF(topdowntables!$N$4=1, "       foderkomponent 11", "       feedstuff 11")</f>
        <v xml:space="preserve">       foderkomponent 11</v>
      </c>
      <c r="E169" s="905"/>
      <c r="F169" s="905"/>
      <c r="G169" s="905"/>
      <c r="H169" s="905"/>
      <c r="I169" s="516"/>
      <c r="K169" s="504"/>
      <c r="L169" s="504"/>
      <c r="M169" s="504"/>
      <c r="O169" s="809">
        <f t="shared" si="4"/>
        <v>0</v>
      </c>
    </row>
    <row r="170" spans="2:15" ht="15" hidden="1" customHeight="1" outlineLevel="4" x14ac:dyDescent="0.2">
      <c r="B170" s="110" t="str">
        <f>IF(topdowntables!$N$4=1, "       foderkomponent 12", "       feedstuff 12")</f>
        <v xml:space="preserve">       foderkomponent 12</v>
      </c>
      <c r="E170" s="905"/>
      <c r="F170" s="905"/>
      <c r="G170" s="905"/>
      <c r="H170" s="905"/>
      <c r="I170" s="516"/>
      <c r="K170" s="504"/>
      <c r="L170" s="504"/>
      <c r="M170" s="504"/>
      <c r="O170" s="809">
        <f t="shared" si="4"/>
        <v>0</v>
      </c>
    </row>
    <row r="171" spans="2:15" ht="15" hidden="1" customHeight="1" outlineLevel="4" x14ac:dyDescent="0.2">
      <c r="B171" s="110" t="str">
        <f>IF(topdowntables!$N$4=1, "       foderkomponent 13", "       feedstuff 13")</f>
        <v xml:space="preserve">       foderkomponent 13</v>
      </c>
      <c r="E171" s="905"/>
      <c r="F171" s="905"/>
      <c r="G171" s="905"/>
      <c r="H171" s="905"/>
      <c r="I171" s="516"/>
      <c r="K171" s="504"/>
      <c r="L171" s="504"/>
      <c r="M171" s="504"/>
      <c r="O171" s="809">
        <f t="shared" si="4"/>
        <v>0</v>
      </c>
    </row>
    <row r="172" spans="2:15" ht="15" hidden="1" customHeight="1" outlineLevel="4" x14ac:dyDescent="0.2">
      <c r="B172" s="110" t="str">
        <f>IF(topdowntables!$N$4=1, "       foderkomponent 14", "       feedstuff 14")</f>
        <v xml:space="preserve">       foderkomponent 14</v>
      </c>
      <c r="E172" s="905"/>
      <c r="F172" s="905"/>
      <c r="G172" s="905"/>
      <c r="H172" s="905"/>
      <c r="I172" s="516"/>
      <c r="K172" s="504"/>
      <c r="L172" s="504"/>
      <c r="M172" s="504"/>
      <c r="O172" s="809">
        <f t="shared" si="4"/>
        <v>0</v>
      </c>
    </row>
    <row r="173" spans="2:15" ht="15" hidden="1" customHeight="1" outlineLevel="4" x14ac:dyDescent="0.2">
      <c r="B173" s="110" t="str">
        <f>IF(topdowntables!$N$4=1, "       foderkomponent 15", "       feedstuff 15")</f>
        <v xml:space="preserve">       foderkomponent 15</v>
      </c>
      <c r="E173" s="905"/>
      <c r="F173" s="905"/>
      <c r="G173" s="905"/>
      <c r="H173" s="905"/>
      <c r="I173" s="523"/>
      <c r="K173" s="504"/>
      <c r="L173" s="504"/>
      <c r="M173" s="504"/>
      <c r="O173" s="809">
        <f t="shared" si="4"/>
        <v>0</v>
      </c>
    </row>
    <row r="174" spans="2:15" ht="15" hidden="1" customHeight="1" outlineLevel="4" x14ac:dyDescent="0.2">
      <c r="B174" s="184" t="str">
        <f>IF(topdowntables!$N$4=1,IF(I174=100,"       Tryk '-' for at slutte","       Tjeck, skal være 100"),IF(I174=100,"       Click '-' to finalize","       Check total"))</f>
        <v xml:space="preserve">       Tjeck, skal være 100</v>
      </c>
      <c r="C174" s="517"/>
      <c r="D174" s="518"/>
      <c r="E174" s="517"/>
      <c r="F174" s="517"/>
      <c r="G174" s="517"/>
      <c r="H174" s="137"/>
      <c r="I174" s="519">
        <f>SUM(I159:I173)</f>
        <v>0</v>
      </c>
      <c r="K174" s="504"/>
      <c r="L174" s="504"/>
      <c r="M174" s="504"/>
    </row>
    <row r="175" spans="2:15" ht="15" hidden="1" customHeight="1" outlineLevel="3" collapsed="1" x14ac:dyDescent="0.2">
      <c r="B175" s="531"/>
      <c r="C175" s="517"/>
      <c r="D175" s="518"/>
      <c r="E175" s="517"/>
      <c r="F175" s="517"/>
      <c r="G175" s="517"/>
      <c r="H175" s="137"/>
      <c r="I175" s="520"/>
      <c r="K175" s="504"/>
      <c r="L175" s="504"/>
      <c r="M175" s="504"/>
    </row>
    <row r="176" spans="2:15" ht="15" hidden="1" customHeight="1" outlineLevel="3" x14ac:dyDescent="0.2">
      <c r="B176" s="183" t="str">
        <f>IF(topdowntables!$N$4=1, "    blanding 2, for vægtinterval, kg:", "    mixture 2, for weight interval, kg:")</f>
        <v xml:space="preserve">    blanding 2, for vægtinterval, kg:</v>
      </c>
      <c r="C176" s="510"/>
      <c r="E176" s="512" t="str">
        <f>IF(topdowntables!$N$4=1, "fra, kg:", "from, kg:")</f>
        <v>fra, kg:</v>
      </c>
      <c r="F176" s="532">
        <f>IF(F157&gt;H157,F157,H157)</f>
        <v>0</v>
      </c>
      <c r="G176" s="512" t="str">
        <f>IF(topdowntables!$N$4=1, "til, kg:", "to, kg:")</f>
        <v>til, kg:</v>
      </c>
      <c r="H176" s="533"/>
      <c r="I176" s="534"/>
      <c r="K176" s="272"/>
      <c r="L176" s="272"/>
      <c r="M176" s="272"/>
    </row>
    <row r="177" spans="2:15" ht="15" hidden="1" customHeight="1" outlineLevel="4" x14ac:dyDescent="0.2">
      <c r="B177" s="110" t="str">
        <f>IF(topdowntables!$N$4=1, "     Indhold:", "     Composition:")</f>
        <v xml:space="preserve">     Indhold:</v>
      </c>
      <c r="C177" s="510"/>
      <c r="E177" s="888" t="str">
        <f>IF(topdowntables!$N$4=1, "Indhold:", "Composition:")</f>
        <v>Indhold:</v>
      </c>
      <c r="F177" s="889"/>
      <c r="G177" s="888"/>
      <c r="H177" s="888"/>
      <c r="I177" s="662" t="str">
        <f>IF(topdowntables!$N$4=1, "% af kg", "% of ")</f>
        <v>% af kg</v>
      </c>
      <c r="J177" s="669"/>
      <c r="K177" s="668"/>
      <c r="L177" s="661"/>
      <c r="M177" s="272"/>
      <c r="O177" s="808" t="str">
        <f>IF(topdowntables!$N$4=1, "Tilgængelig på gård, kg", "Available at farm, kg")</f>
        <v>Tilgængelig på gård, kg</v>
      </c>
    </row>
    <row r="178" spans="2:15" ht="15" hidden="1" customHeight="1" outlineLevel="4" x14ac:dyDescent="0.2">
      <c r="B178" s="110" t="str">
        <f>IF(topdowntables!$N$4=1, "       foderkomponent 1", "       feedstuff 1")</f>
        <v xml:space="preserve">       foderkomponent 1</v>
      </c>
      <c r="E178" s="905"/>
      <c r="F178" s="905"/>
      <c r="G178" s="905"/>
      <c r="H178" s="905"/>
      <c r="I178" s="516"/>
      <c r="K178" s="504"/>
      <c r="L178" s="504"/>
      <c r="M178" s="504"/>
      <c r="O178" s="809">
        <f t="shared" ref="O178:O192" si="5">IF(OR(E178=$E$429, E178=$E$439, E178=$E$449, E178=$E$459, E178=$E$469, E178=$E$479), VLOOKUP(E178, feedavailability, 3, FALSE)-VLOOKUP(E178, feedavailability, 5, FALSE), 0)</f>
        <v>0</v>
      </c>
    </row>
    <row r="179" spans="2:15" ht="15" hidden="1" customHeight="1" outlineLevel="4" x14ac:dyDescent="0.2">
      <c r="B179" s="110" t="str">
        <f>IF(topdowntables!$N$4=1, "       foderkomponent 2", "       feedstuff 2")</f>
        <v xml:space="preserve">       foderkomponent 2</v>
      </c>
      <c r="E179" s="905"/>
      <c r="F179" s="905"/>
      <c r="G179" s="905"/>
      <c r="H179" s="905"/>
      <c r="I179" s="516"/>
      <c r="K179" s="504"/>
      <c r="L179" s="504"/>
      <c r="M179" s="504"/>
      <c r="O179" s="809">
        <f t="shared" si="5"/>
        <v>0</v>
      </c>
    </row>
    <row r="180" spans="2:15" ht="15" hidden="1" customHeight="1" outlineLevel="4" x14ac:dyDescent="0.2">
      <c r="B180" s="110" t="str">
        <f>IF(topdowntables!$N$4=1, "       foderkomponent 3", "       feedstuff 3")</f>
        <v xml:space="preserve">       foderkomponent 3</v>
      </c>
      <c r="E180" s="905"/>
      <c r="F180" s="905"/>
      <c r="G180" s="905"/>
      <c r="H180" s="905"/>
      <c r="I180" s="516"/>
      <c r="K180" s="504"/>
      <c r="L180" s="504"/>
      <c r="M180" s="504"/>
      <c r="O180" s="809">
        <f t="shared" si="5"/>
        <v>0</v>
      </c>
    </row>
    <row r="181" spans="2:15" ht="15" hidden="1" customHeight="1" outlineLevel="4" x14ac:dyDescent="0.2">
      <c r="B181" s="110" t="str">
        <f>IF(topdowntables!$N$4=1, "       foderkomponent 4", "       feedstuff 4")</f>
        <v xml:space="preserve">       foderkomponent 4</v>
      </c>
      <c r="E181" s="905"/>
      <c r="F181" s="905"/>
      <c r="G181" s="905"/>
      <c r="H181" s="905"/>
      <c r="I181" s="516"/>
      <c r="K181" s="504"/>
      <c r="L181" s="504"/>
      <c r="M181" s="504"/>
      <c r="O181" s="809">
        <f t="shared" si="5"/>
        <v>0</v>
      </c>
    </row>
    <row r="182" spans="2:15" ht="15" hidden="1" customHeight="1" outlineLevel="4" x14ac:dyDescent="0.2">
      <c r="B182" s="110" t="str">
        <f>IF(topdowntables!$N$4=1, "       foderkomponent 5", "       feedstuff 5")</f>
        <v xml:space="preserve">       foderkomponent 5</v>
      </c>
      <c r="E182" s="905"/>
      <c r="F182" s="905"/>
      <c r="G182" s="905"/>
      <c r="H182" s="905"/>
      <c r="I182" s="516"/>
      <c r="K182" s="504"/>
      <c r="L182" s="504"/>
      <c r="M182" s="504"/>
      <c r="O182" s="809">
        <f t="shared" si="5"/>
        <v>0</v>
      </c>
    </row>
    <row r="183" spans="2:15" ht="15" hidden="1" customHeight="1" outlineLevel="4" x14ac:dyDescent="0.2">
      <c r="B183" s="110" t="str">
        <f>IF(topdowntables!$N$4=1, "       foderkomponent 6", "       feedstuff 6")</f>
        <v xml:space="preserve">       foderkomponent 6</v>
      </c>
      <c r="E183" s="905"/>
      <c r="F183" s="905"/>
      <c r="G183" s="905"/>
      <c r="H183" s="905"/>
      <c r="I183" s="516"/>
      <c r="K183" s="504"/>
      <c r="L183" s="504"/>
      <c r="M183" s="504"/>
      <c r="O183" s="809">
        <f t="shared" si="5"/>
        <v>0</v>
      </c>
    </row>
    <row r="184" spans="2:15" ht="15" hidden="1" customHeight="1" outlineLevel="4" x14ac:dyDescent="0.2">
      <c r="B184" s="110" t="str">
        <f>IF(topdowntables!$N$4=1, "       foderkomponent 7", "       feedstuff 7")</f>
        <v xml:space="preserve">       foderkomponent 7</v>
      </c>
      <c r="E184" s="905"/>
      <c r="F184" s="905"/>
      <c r="G184" s="905"/>
      <c r="H184" s="905"/>
      <c r="I184" s="516"/>
      <c r="K184" s="504"/>
      <c r="L184" s="504"/>
      <c r="M184" s="504"/>
      <c r="O184" s="809">
        <f t="shared" si="5"/>
        <v>0</v>
      </c>
    </row>
    <row r="185" spans="2:15" ht="15" hidden="1" customHeight="1" outlineLevel="4" x14ac:dyDescent="0.2">
      <c r="B185" s="110" t="str">
        <f>IF(topdowntables!$N$4=1, "       foderkomponent 8", "       feedstuff 8")</f>
        <v xml:space="preserve">       foderkomponent 8</v>
      </c>
      <c r="E185" s="905"/>
      <c r="F185" s="905"/>
      <c r="G185" s="905"/>
      <c r="H185" s="905"/>
      <c r="I185" s="516"/>
      <c r="K185" s="504"/>
      <c r="L185" s="504"/>
      <c r="M185" s="504"/>
      <c r="O185" s="809">
        <f t="shared" si="5"/>
        <v>0</v>
      </c>
    </row>
    <row r="186" spans="2:15" ht="15" hidden="1" customHeight="1" outlineLevel="4" x14ac:dyDescent="0.2">
      <c r="B186" s="110" t="str">
        <f>IF(topdowntables!$N$4=1, "       foderkomponent 9", "       feedstuff 9")</f>
        <v xml:space="preserve">       foderkomponent 9</v>
      </c>
      <c r="E186" s="905"/>
      <c r="F186" s="905"/>
      <c r="G186" s="905"/>
      <c r="H186" s="905"/>
      <c r="I186" s="516"/>
      <c r="K186" s="504"/>
      <c r="L186" s="504"/>
      <c r="M186" s="504"/>
      <c r="O186" s="809">
        <f t="shared" si="5"/>
        <v>0</v>
      </c>
    </row>
    <row r="187" spans="2:15" ht="15" hidden="1" customHeight="1" outlineLevel="4" x14ac:dyDescent="0.2">
      <c r="B187" s="110" t="str">
        <f>IF(topdowntables!$N$4=1, "       foderkomponent 10", "       feedstuff 10")</f>
        <v xml:space="preserve">       foderkomponent 10</v>
      </c>
      <c r="E187" s="905"/>
      <c r="F187" s="905"/>
      <c r="G187" s="905"/>
      <c r="H187" s="905"/>
      <c r="I187" s="516"/>
      <c r="K187" s="504"/>
      <c r="L187" s="504"/>
      <c r="M187" s="504"/>
      <c r="O187" s="809">
        <f t="shared" si="5"/>
        <v>0</v>
      </c>
    </row>
    <row r="188" spans="2:15" ht="15" hidden="1" customHeight="1" outlineLevel="4" x14ac:dyDescent="0.2">
      <c r="B188" s="110" t="str">
        <f>IF(topdowntables!$N$4=1, "       foderkomponent 11", "       feedstuff 11")</f>
        <v xml:space="preserve">       foderkomponent 11</v>
      </c>
      <c r="E188" s="905"/>
      <c r="F188" s="905"/>
      <c r="G188" s="905"/>
      <c r="H188" s="905"/>
      <c r="I188" s="516"/>
      <c r="K188" s="504"/>
      <c r="L188" s="504"/>
      <c r="M188" s="504"/>
      <c r="O188" s="809">
        <f t="shared" si="5"/>
        <v>0</v>
      </c>
    </row>
    <row r="189" spans="2:15" ht="15" hidden="1" customHeight="1" outlineLevel="4" x14ac:dyDescent="0.2">
      <c r="B189" s="110" t="str">
        <f>IF(topdowntables!$N$4=1, "       foderkomponent 12", "       feedstuff 12")</f>
        <v xml:space="preserve">       foderkomponent 12</v>
      </c>
      <c r="E189" s="905"/>
      <c r="F189" s="905"/>
      <c r="G189" s="905"/>
      <c r="H189" s="905"/>
      <c r="I189" s="516"/>
      <c r="K189" s="504"/>
      <c r="L189" s="504"/>
      <c r="M189" s="504"/>
      <c r="O189" s="809">
        <f t="shared" si="5"/>
        <v>0</v>
      </c>
    </row>
    <row r="190" spans="2:15" ht="15" hidden="1" customHeight="1" outlineLevel="4" x14ac:dyDescent="0.2">
      <c r="B190" s="110" t="str">
        <f>IF(topdowntables!$N$4=1, "       foderkomponent 13", "       feedstuff 13")</f>
        <v xml:space="preserve">       foderkomponent 13</v>
      </c>
      <c r="E190" s="905"/>
      <c r="F190" s="905"/>
      <c r="G190" s="905"/>
      <c r="H190" s="905"/>
      <c r="I190" s="516"/>
      <c r="K190" s="504"/>
      <c r="L190" s="504"/>
      <c r="M190" s="504"/>
      <c r="O190" s="809">
        <f t="shared" si="5"/>
        <v>0</v>
      </c>
    </row>
    <row r="191" spans="2:15" ht="15" hidden="1" customHeight="1" outlineLevel="4" x14ac:dyDescent="0.2">
      <c r="B191" s="110" t="str">
        <f>IF(topdowntables!$N$4=1, "       foderkomponent 14", "       feedstuff 14")</f>
        <v xml:space="preserve">       foderkomponent 14</v>
      </c>
      <c r="E191" s="905"/>
      <c r="F191" s="905"/>
      <c r="G191" s="905"/>
      <c r="H191" s="905"/>
      <c r="I191" s="516"/>
      <c r="K191" s="504"/>
      <c r="L191" s="504"/>
      <c r="M191" s="504"/>
      <c r="O191" s="809">
        <f t="shared" si="5"/>
        <v>0</v>
      </c>
    </row>
    <row r="192" spans="2:15" ht="15" hidden="1" customHeight="1" outlineLevel="4" x14ac:dyDescent="0.2">
      <c r="B192" s="110" t="str">
        <f>IF(topdowntables!$N$4=1, "       foderkomponent 15", "       feedstuff 15")</f>
        <v xml:space="preserve">       foderkomponent 15</v>
      </c>
      <c r="E192" s="905"/>
      <c r="F192" s="905"/>
      <c r="G192" s="905"/>
      <c r="H192" s="905"/>
      <c r="I192" s="523"/>
      <c r="K192" s="504"/>
      <c r="L192" s="504"/>
      <c r="M192" s="504"/>
      <c r="O192" s="809">
        <f t="shared" si="5"/>
        <v>0</v>
      </c>
    </row>
    <row r="193" spans="2:15" ht="15" hidden="1" customHeight="1" outlineLevel="4" x14ac:dyDescent="0.2">
      <c r="B193" s="184" t="str">
        <f>IF(topdowntables!$N$4=1,IF(I193=100,"       Tryk '-' for at slutte","       Tjeck, skal være 100"),IF(I193=100,"       Click '-' to finalize","       Check total"))</f>
        <v xml:space="preserve">       Tjeck, skal være 100</v>
      </c>
      <c r="C193" s="517"/>
      <c r="D193" s="518"/>
      <c r="E193" s="517"/>
      <c r="F193" s="517"/>
      <c r="G193" s="517"/>
      <c r="H193" s="137"/>
      <c r="I193" s="519">
        <f>SUM(I178:I192)</f>
        <v>0</v>
      </c>
      <c r="K193" s="504"/>
      <c r="L193" s="504"/>
      <c r="M193" s="504"/>
    </row>
    <row r="194" spans="2:15" ht="15" hidden="1" customHeight="1" outlineLevel="3" collapsed="1" x14ac:dyDescent="0.2">
      <c r="B194" s="531"/>
      <c r="C194" s="517"/>
      <c r="D194" s="518"/>
      <c r="E194" s="517"/>
      <c r="F194" s="517"/>
      <c r="G194" s="517"/>
      <c r="H194" s="137"/>
      <c r="I194" s="535"/>
      <c r="K194" s="136"/>
      <c r="L194" s="136"/>
      <c r="M194" s="136"/>
    </row>
    <row r="195" spans="2:15" ht="15" hidden="1" customHeight="1" outlineLevel="3" x14ac:dyDescent="0.2">
      <c r="B195" s="183" t="str">
        <f>IF(topdowntables!$N$4=1, "    blanding 3, for vægtinterval, kg:", "    mixture 3, for weight interval, kg:")</f>
        <v xml:space="preserve">    blanding 3, for vægtinterval, kg:</v>
      </c>
      <c r="C195" s="510"/>
      <c r="E195" s="512" t="str">
        <f>IF(topdowntables!$N$4=1, "fra, kg:", "from, kg:")</f>
        <v>fra, kg:</v>
      </c>
      <c r="F195" s="536">
        <f>IF(F176&gt;H176,F176,H176)</f>
        <v>0</v>
      </c>
      <c r="G195" s="512" t="str">
        <f>IF(topdowntables!$N$4=1, "til afgang, ved kg:", "to, kg:")</f>
        <v>til afgang, ved kg:</v>
      </c>
      <c r="H195" s="537">
        <f>E29</f>
        <v>0</v>
      </c>
      <c r="I195" s="136"/>
      <c r="K195" s="272"/>
      <c r="L195" s="272"/>
      <c r="M195" s="272"/>
    </row>
    <row r="196" spans="2:15" ht="15" hidden="1" customHeight="1" outlineLevel="4" x14ac:dyDescent="0.2">
      <c r="B196" s="110" t="str">
        <f>IF(topdowntables!$N$4=1, "     Indhold:", "     Composition:")</f>
        <v xml:space="preserve">     Indhold:</v>
      </c>
      <c r="C196" s="510"/>
      <c r="E196" s="888" t="str">
        <f>IF(topdowntables!$N$4=1, "Indhold:", "Composition:")</f>
        <v>Indhold:</v>
      </c>
      <c r="F196" s="889"/>
      <c r="G196" s="888"/>
      <c r="H196" s="888"/>
      <c r="I196" s="662" t="str">
        <f>IF(topdowntables!$N$4=1, "% af kg", "% of ")</f>
        <v>% af kg</v>
      </c>
      <c r="J196" s="669"/>
      <c r="K196" s="668"/>
      <c r="L196" s="661"/>
      <c r="M196" s="272"/>
      <c r="O196" s="808" t="str">
        <f>IF(topdowntables!$N$4=1, "Tilgængelig på gård, kg", "Available at farm, kg")</f>
        <v>Tilgængelig på gård, kg</v>
      </c>
    </row>
    <row r="197" spans="2:15" ht="15" hidden="1" customHeight="1" outlineLevel="4" x14ac:dyDescent="0.2">
      <c r="B197" s="110" t="str">
        <f>IF(topdowntables!$N$4=1, "       foderkomponent 1", "       feedstuff 1")</f>
        <v xml:space="preserve">       foderkomponent 1</v>
      </c>
      <c r="E197" s="905"/>
      <c r="F197" s="905"/>
      <c r="G197" s="905"/>
      <c r="H197" s="905"/>
      <c r="I197" s="516"/>
      <c r="K197" s="504"/>
      <c r="L197" s="504"/>
      <c r="M197" s="504"/>
      <c r="O197" s="809">
        <f t="shared" ref="O197:O211" si="6">IF(OR(E197=$E$429, E197=$E$439, E197=$E$449, E197=$E$459, E197=$E$469, E197=$E$479), VLOOKUP(E197, feedavailability, 3, FALSE)-VLOOKUP(E197, feedavailability, 5, FALSE), 0)</f>
        <v>0</v>
      </c>
    </row>
    <row r="198" spans="2:15" ht="15" hidden="1" customHeight="1" outlineLevel="4" x14ac:dyDescent="0.2">
      <c r="B198" s="110" t="str">
        <f>IF(topdowntables!$N$4=1, "       foderkomponent 2", "       feedstuff 2")</f>
        <v xml:space="preserve">       foderkomponent 2</v>
      </c>
      <c r="E198" s="905"/>
      <c r="F198" s="905"/>
      <c r="G198" s="905"/>
      <c r="H198" s="905"/>
      <c r="I198" s="516"/>
      <c r="K198" s="504"/>
      <c r="L198" s="504"/>
      <c r="M198" s="504"/>
      <c r="O198" s="809">
        <f t="shared" si="6"/>
        <v>0</v>
      </c>
    </row>
    <row r="199" spans="2:15" ht="15" hidden="1" customHeight="1" outlineLevel="4" x14ac:dyDescent="0.2">
      <c r="B199" s="110" t="str">
        <f>IF(topdowntables!$N$4=1, "       foderkomponent 3", "       feedstuff 3")</f>
        <v xml:space="preserve">       foderkomponent 3</v>
      </c>
      <c r="E199" s="905"/>
      <c r="F199" s="905"/>
      <c r="G199" s="905"/>
      <c r="H199" s="905"/>
      <c r="I199" s="516"/>
      <c r="K199" s="504"/>
      <c r="L199" s="504"/>
      <c r="M199" s="504"/>
      <c r="O199" s="809">
        <f t="shared" si="6"/>
        <v>0</v>
      </c>
    </row>
    <row r="200" spans="2:15" ht="15" hidden="1" customHeight="1" outlineLevel="4" x14ac:dyDescent="0.2">
      <c r="B200" s="110" t="str">
        <f>IF(topdowntables!$N$4=1, "       foderkomponent 4", "       feedstuff 4")</f>
        <v xml:space="preserve">       foderkomponent 4</v>
      </c>
      <c r="E200" s="905"/>
      <c r="F200" s="905"/>
      <c r="G200" s="905"/>
      <c r="H200" s="905"/>
      <c r="I200" s="516"/>
      <c r="K200" s="504"/>
      <c r="L200" s="504"/>
      <c r="M200" s="504"/>
      <c r="O200" s="809">
        <f t="shared" si="6"/>
        <v>0</v>
      </c>
    </row>
    <row r="201" spans="2:15" ht="15" hidden="1" customHeight="1" outlineLevel="4" x14ac:dyDescent="0.2">
      <c r="B201" s="110" t="str">
        <f>IF(topdowntables!$N$4=1, "       foderkomponent 5", "       feedstuff 5")</f>
        <v xml:space="preserve">       foderkomponent 5</v>
      </c>
      <c r="E201" s="905"/>
      <c r="F201" s="905"/>
      <c r="G201" s="905"/>
      <c r="H201" s="905"/>
      <c r="I201" s="516"/>
      <c r="K201" s="504"/>
      <c r="L201" s="504"/>
      <c r="M201" s="504"/>
      <c r="O201" s="809">
        <f t="shared" si="6"/>
        <v>0</v>
      </c>
    </row>
    <row r="202" spans="2:15" ht="15" hidden="1" customHeight="1" outlineLevel="4" x14ac:dyDescent="0.2">
      <c r="B202" s="110" t="str">
        <f>IF(topdowntables!$N$4=1, "       foderkomponent 6", "       feedstuff 6")</f>
        <v xml:space="preserve">       foderkomponent 6</v>
      </c>
      <c r="E202" s="905"/>
      <c r="F202" s="905"/>
      <c r="G202" s="905"/>
      <c r="H202" s="905"/>
      <c r="I202" s="516"/>
      <c r="K202" s="504"/>
      <c r="L202" s="504"/>
      <c r="M202" s="504"/>
      <c r="O202" s="809">
        <f t="shared" si="6"/>
        <v>0</v>
      </c>
    </row>
    <row r="203" spans="2:15" ht="15" hidden="1" customHeight="1" outlineLevel="4" x14ac:dyDescent="0.2">
      <c r="B203" s="110" t="str">
        <f>IF(topdowntables!$N$4=1, "       foderkomponent 7", "       feedstuff 7")</f>
        <v xml:space="preserve">       foderkomponent 7</v>
      </c>
      <c r="E203" s="905"/>
      <c r="F203" s="905"/>
      <c r="G203" s="905"/>
      <c r="H203" s="905"/>
      <c r="I203" s="516"/>
      <c r="K203" s="504"/>
      <c r="L203" s="504"/>
      <c r="M203" s="504"/>
      <c r="O203" s="809">
        <f t="shared" si="6"/>
        <v>0</v>
      </c>
    </row>
    <row r="204" spans="2:15" ht="15" hidden="1" customHeight="1" outlineLevel="4" x14ac:dyDescent="0.2">
      <c r="B204" s="110" t="str">
        <f>IF(topdowntables!$N$4=1, "       foderkomponent 8", "       feedstuff 8")</f>
        <v xml:space="preserve">       foderkomponent 8</v>
      </c>
      <c r="E204" s="905"/>
      <c r="F204" s="905"/>
      <c r="G204" s="905"/>
      <c r="H204" s="905"/>
      <c r="I204" s="516"/>
      <c r="K204" s="504"/>
      <c r="L204" s="504"/>
      <c r="M204" s="504"/>
      <c r="O204" s="809">
        <f t="shared" si="6"/>
        <v>0</v>
      </c>
    </row>
    <row r="205" spans="2:15" ht="15" hidden="1" customHeight="1" outlineLevel="4" x14ac:dyDescent="0.2">
      <c r="B205" s="110" t="str">
        <f>IF(topdowntables!$N$4=1, "       foderkomponent 9", "       feedstuff 9")</f>
        <v xml:space="preserve">       foderkomponent 9</v>
      </c>
      <c r="E205" s="905"/>
      <c r="F205" s="905"/>
      <c r="G205" s="905"/>
      <c r="H205" s="905"/>
      <c r="I205" s="516"/>
      <c r="K205" s="504"/>
      <c r="L205" s="504"/>
      <c r="M205" s="504"/>
      <c r="O205" s="809">
        <f t="shared" si="6"/>
        <v>0</v>
      </c>
    </row>
    <row r="206" spans="2:15" ht="15" hidden="1" customHeight="1" outlineLevel="4" x14ac:dyDescent="0.2">
      <c r="B206" s="110" t="str">
        <f>IF(topdowntables!$N$4=1, "       foderkomponent 10", "       feedstuff 10")</f>
        <v xml:space="preserve">       foderkomponent 10</v>
      </c>
      <c r="E206" s="905"/>
      <c r="F206" s="905"/>
      <c r="G206" s="905"/>
      <c r="H206" s="905"/>
      <c r="I206" s="516"/>
      <c r="K206" s="504"/>
      <c r="L206" s="504"/>
      <c r="M206" s="504"/>
      <c r="O206" s="809">
        <f t="shared" si="6"/>
        <v>0</v>
      </c>
    </row>
    <row r="207" spans="2:15" ht="15" hidden="1" customHeight="1" outlineLevel="4" x14ac:dyDescent="0.2">
      <c r="B207" s="110" t="str">
        <f>IF(topdowntables!$N$4=1, "       foderkomponent 11", "       feedstuff 11")</f>
        <v xml:space="preserve">       foderkomponent 11</v>
      </c>
      <c r="E207" s="905"/>
      <c r="F207" s="905"/>
      <c r="G207" s="905"/>
      <c r="H207" s="905"/>
      <c r="I207" s="516"/>
      <c r="K207" s="504"/>
      <c r="L207" s="504"/>
      <c r="M207" s="504"/>
      <c r="O207" s="809">
        <f t="shared" si="6"/>
        <v>0</v>
      </c>
    </row>
    <row r="208" spans="2:15" ht="15" hidden="1" customHeight="1" outlineLevel="4" x14ac:dyDescent="0.2">
      <c r="B208" s="110" t="str">
        <f>IF(topdowntables!$N$4=1, "       foderkomponent 12", "       feedstuff 12")</f>
        <v xml:space="preserve">       foderkomponent 12</v>
      </c>
      <c r="E208" s="905"/>
      <c r="F208" s="905"/>
      <c r="G208" s="905"/>
      <c r="H208" s="905"/>
      <c r="I208" s="516"/>
      <c r="K208" s="504"/>
      <c r="L208" s="504"/>
      <c r="M208" s="504"/>
      <c r="O208" s="809">
        <f t="shared" si="6"/>
        <v>0</v>
      </c>
    </row>
    <row r="209" spans="2:15" ht="15" hidden="1" customHeight="1" outlineLevel="4" x14ac:dyDescent="0.2">
      <c r="B209" s="110" t="str">
        <f>IF(topdowntables!$N$4=1, "       foderkomponent 13", "       feedstuff 13")</f>
        <v xml:space="preserve">       foderkomponent 13</v>
      </c>
      <c r="E209" s="905"/>
      <c r="F209" s="905"/>
      <c r="G209" s="905"/>
      <c r="H209" s="905"/>
      <c r="I209" s="516"/>
      <c r="K209" s="504"/>
      <c r="L209" s="504"/>
      <c r="M209" s="504"/>
      <c r="O209" s="809">
        <f t="shared" si="6"/>
        <v>0</v>
      </c>
    </row>
    <row r="210" spans="2:15" ht="15" hidden="1" customHeight="1" outlineLevel="4" x14ac:dyDescent="0.2">
      <c r="B210" s="110" t="str">
        <f>IF(topdowntables!$N$4=1, "       foderkomponent 14", "       feedstuff 14")</f>
        <v xml:space="preserve">       foderkomponent 14</v>
      </c>
      <c r="E210" s="905"/>
      <c r="F210" s="905"/>
      <c r="G210" s="905"/>
      <c r="H210" s="905"/>
      <c r="I210" s="516"/>
      <c r="K210" s="504"/>
      <c r="L210" s="504"/>
      <c r="M210" s="504"/>
      <c r="O210" s="809">
        <f t="shared" si="6"/>
        <v>0</v>
      </c>
    </row>
    <row r="211" spans="2:15" ht="15" hidden="1" customHeight="1" outlineLevel="4" x14ac:dyDescent="0.2">
      <c r="B211" s="110" t="str">
        <f>IF(topdowntables!$N$4=1, "       foderkomponent 15", "       feedstuff 15")</f>
        <v xml:space="preserve">       foderkomponent 15</v>
      </c>
      <c r="E211" s="905"/>
      <c r="F211" s="905"/>
      <c r="G211" s="905"/>
      <c r="H211" s="905"/>
      <c r="I211" s="523"/>
      <c r="K211" s="504"/>
      <c r="L211" s="504"/>
      <c r="M211" s="504"/>
      <c r="O211" s="809">
        <f t="shared" si="6"/>
        <v>0</v>
      </c>
    </row>
    <row r="212" spans="2:15" ht="15" hidden="1" customHeight="1" outlineLevel="4" x14ac:dyDescent="0.2">
      <c r="B212" s="184" t="str">
        <f>IF(topdowntables!$N$4=1,IF(I212=100,"       Tryk '-' for at slutte","       Tjeck, skal være 100"),IF(I212=100,"       Click '-' to finalize","       Check total"))</f>
        <v xml:space="preserve">       Tjeck, skal være 100</v>
      </c>
      <c r="C212" s="517"/>
      <c r="D212" s="518"/>
      <c r="E212" s="517"/>
      <c r="F212" s="517"/>
      <c r="G212" s="517"/>
      <c r="H212" s="137"/>
      <c r="I212" s="519">
        <f>SUM(I197:I211)</f>
        <v>0</v>
      </c>
      <c r="K212" s="504"/>
      <c r="L212" s="504"/>
      <c r="M212" s="504"/>
    </row>
    <row r="213" spans="2:15" ht="15" hidden="1" customHeight="1" outlineLevel="3" collapsed="1" x14ac:dyDescent="0.2">
      <c r="B213" s="531"/>
      <c r="C213" s="517"/>
      <c r="D213" s="518"/>
      <c r="E213" s="517"/>
      <c r="F213" s="517"/>
      <c r="G213" s="517"/>
      <c r="H213" s="137"/>
      <c r="I213" s="97"/>
      <c r="K213" s="504"/>
      <c r="L213" s="504"/>
      <c r="M213" s="504"/>
    </row>
    <row r="214" spans="2:15" ht="15" hidden="1" customHeight="1" outlineLevel="2" collapsed="1" x14ac:dyDescent="0.2">
      <c r="B214" s="182" t="str">
        <f>IF(topdowntables!$N$4=1, "  Grovfoder:", "  Roughage:")</f>
        <v xml:space="preserve">  Grovfoder:</v>
      </c>
      <c r="C214" s="517"/>
      <c r="D214" s="518"/>
      <c r="E214" s="517"/>
      <c r="F214" s="517"/>
      <c r="G214" s="517"/>
      <c r="H214" s="137"/>
      <c r="I214" s="520"/>
      <c r="K214" s="504"/>
      <c r="L214" s="504"/>
      <c r="M214" s="504"/>
    </row>
    <row r="215" spans="2:15" ht="15" hidden="1" customHeight="1" outlineLevel="3" x14ac:dyDescent="0.2">
      <c r="B215" s="110" t="str">
        <f>IF(topdowntables!$N$4=1, "     kg per dyr per dag", "     kg per animal per day")</f>
        <v xml:space="preserve">     kg per dyr per dag</v>
      </c>
      <c r="D215" s="63"/>
      <c r="E215" s="912"/>
      <c r="F215" s="912"/>
      <c r="H215" s="136"/>
      <c r="I215" s="136"/>
      <c r="K215" s="504"/>
      <c r="L215" s="504"/>
      <c r="M215" s="504"/>
    </row>
    <row r="216" spans="2:15" ht="15" hidden="1" customHeight="1" outlineLevel="3" x14ac:dyDescent="0.2">
      <c r="B216" s="110" t="str">
        <f>IF(topdowntables!$N$4=1, "     grovfodertildeling, dage per år", "     period of use, days per year")</f>
        <v xml:space="preserve">     grovfodertildeling, dage per år</v>
      </c>
      <c r="D216" s="63"/>
      <c r="E216" s="912"/>
      <c r="F216" s="912"/>
      <c r="H216" s="136"/>
      <c r="I216" s="136"/>
      <c r="K216" s="136"/>
      <c r="L216" s="136"/>
      <c r="M216" s="136"/>
    </row>
    <row r="217" spans="2:15" ht="15" hidden="1" customHeight="1" outlineLevel="3" x14ac:dyDescent="0.2">
      <c r="B217" s="110" t="str">
        <f>IF(topdowntables!$N$4=1, "     Grovfodertyper, anvendt:", "     Roughage type, used:")</f>
        <v xml:space="preserve">     Grovfodertyper, anvendt:</v>
      </c>
      <c r="E217" s="888" t="str">
        <f>IF(topdowntables!$N$4=1, "Indhold:", "Composition:")</f>
        <v>Indhold:</v>
      </c>
      <c r="F217" s="889"/>
      <c r="G217" s="888"/>
      <c r="H217" s="888"/>
      <c r="I217" s="888" t="str">
        <f>IF(topdowntables!$N$4=1, "% af kg", "% of ")</f>
        <v>% af kg</v>
      </c>
      <c r="J217" s="889"/>
      <c r="K217" s="888"/>
      <c r="L217" s="888"/>
      <c r="M217" s="136"/>
      <c r="O217" s="808" t="str">
        <f>IF(topdowntables!$N$4=1, "Tilgængelig på gård, kg", "Available at farm, kg")</f>
        <v>Tilgængelig på gård, kg</v>
      </c>
    </row>
    <row r="218" spans="2:15" ht="15" hidden="1" customHeight="1" outlineLevel="3" x14ac:dyDescent="0.2">
      <c r="B218" s="110" t="str">
        <f>IF(topdowntables!$N$4=1, "       grovfodertype 1", "       roughage type 1")</f>
        <v xml:space="preserve">       grovfodertype 1</v>
      </c>
      <c r="E218" s="905"/>
      <c r="F218" s="905"/>
      <c r="G218" s="905"/>
      <c r="H218" s="905"/>
      <c r="I218" s="516"/>
      <c r="K218" s="504"/>
      <c r="L218" s="504"/>
      <c r="M218" s="504"/>
      <c r="O218" s="809">
        <f>IF(OR(E218=$E$429, E218=$E$439, E218=$E$449, E218=$E$459, E218=$E$469, E218=$E$479), VLOOKUP(E218, feedavailability, 3, FALSE)-VLOOKUP(E218, feedavailability, 5, FALSE), 0)</f>
        <v>0</v>
      </c>
    </row>
    <row r="219" spans="2:15" ht="15" hidden="1" customHeight="1" outlineLevel="3" x14ac:dyDescent="0.2">
      <c r="B219" s="110" t="str">
        <f>IF(topdowntables!$N$4=1, "       grovfodertype 2", "       roughage type 2")</f>
        <v xml:space="preserve">       grovfodertype 2</v>
      </c>
      <c r="E219" s="905"/>
      <c r="F219" s="905"/>
      <c r="G219" s="905"/>
      <c r="H219" s="905"/>
      <c r="I219" s="516"/>
      <c r="K219" s="504"/>
      <c r="L219" s="504"/>
      <c r="M219" s="504"/>
      <c r="O219" s="809">
        <f>IF(OR(E219=$E$429, E219=$E$439, E219=$E$449, E219=$E$459, E219=$E$469, E219=$E$479), VLOOKUP(E219, feedavailability, 3, FALSE)-VLOOKUP(E219, feedavailability, 5, FALSE), 0)</f>
        <v>0</v>
      </c>
    </row>
    <row r="220" spans="2:15" ht="15" hidden="1" customHeight="1" outlineLevel="3" x14ac:dyDescent="0.2">
      <c r="B220" s="110" t="str">
        <f>IF(topdowntables!$N$4=1, "       grovfodertype 3", "       roughage type 3")</f>
        <v xml:space="preserve">       grovfodertype 3</v>
      </c>
      <c r="E220" s="905"/>
      <c r="F220" s="905"/>
      <c r="G220" s="905"/>
      <c r="H220" s="905"/>
      <c r="I220" s="516"/>
      <c r="K220" s="504"/>
      <c r="L220" s="504"/>
      <c r="M220" s="504"/>
      <c r="O220" s="809">
        <f>IF(OR(E220=$E$429, E220=$E$439, E220=$E$449, E220=$E$459, E220=$E$469, E220=$E$479), VLOOKUP(E220, feedavailability, 3, FALSE)-VLOOKUP(E220, feedavailability, 5, FALSE), 0)</f>
        <v>0</v>
      </c>
    </row>
    <row r="221" spans="2:15" ht="15" hidden="1" customHeight="1" outlineLevel="3" x14ac:dyDescent="0.2">
      <c r="B221" s="110" t="str">
        <f>IF(topdowntables!$N$4=1, "       grovfodertype 4", "       roughage type 4")</f>
        <v xml:space="preserve">       grovfodertype 4</v>
      </c>
      <c r="C221" s="521"/>
      <c r="E221" s="905"/>
      <c r="F221" s="905"/>
      <c r="G221" s="905"/>
      <c r="H221" s="905"/>
      <c r="I221" s="516"/>
      <c r="K221" s="504"/>
      <c r="L221" s="504"/>
      <c r="M221" s="504"/>
      <c r="O221" s="809">
        <f>IF(OR(E221=$E$429, E221=$E$439, E221=$E$449, E221=$E$459, E221=$E$469, E221=$E$479), VLOOKUP(E221, feedavailability, 3, FALSE)-VLOOKUP(E221, feedavailability, 5, FALSE), 0)</f>
        <v>0</v>
      </c>
    </row>
    <row r="222" spans="2:15" ht="15" hidden="1" customHeight="1" outlineLevel="3" x14ac:dyDescent="0.2">
      <c r="B222" s="110" t="str">
        <f>IF(topdowntables!$N$4=1, "       grovfodertype 5", "       roughage type 5")</f>
        <v xml:space="preserve">       grovfodertype 5</v>
      </c>
      <c r="D222" s="522"/>
      <c r="E222" s="905"/>
      <c r="F222" s="905"/>
      <c r="G222" s="905"/>
      <c r="H222" s="905"/>
      <c r="I222" s="523"/>
      <c r="K222" s="504"/>
      <c r="L222" s="504"/>
      <c r="M222" s="504"/>
      <c r="O222" s="809">
        <f>IF(OR(E222=$E$429, E222=$E$439, E222=$E$449, E222=$E$459, E222=$E$469, E222=$E$479), VLOOKUP(E222, feedavailability, 3, FALSE)-VLOOKUP(E222, feedavailability, 5, FALSE), 0)</f>
        <v>0</v>
      </c>
    </row>
    <row r="223" spans="2:15" ht="15" hidden="1" customHeight="1" outlineLevel="3" x14ac:dyDescent="0.2">
      <c r="B223" s="184" t="str">
        <f>IF(topdowntables!$N$4=1,IF(I223=100,"       Tryk '-' for at slutte","       Tjeck, skal være 100"),IF(I223=100,"       Click '-' to finalize","       Check total"))</f>
        <v xml:space="preserve">       Tjeck, skal være 100</v>
      </c>
      <c r="C223" s="524"/>
      <c r="D223" s="518"/>
      <c r="E223" s="524"/>
      <c r="F223" s="524"/>
      <c r="G223" s="524"/>
      <c r="H223" s="137"/>
      <c r="I223" s="519">
        <f>SUM(I218:I222)</f>
        <v>0</v>
      </c>
      <c r="K223" s="504"/>
      <c r="L223" s="504"/>
      <c r="M223" s="504"/>
    </row>
    <row r="224" spans="2:15" ht="15" hidden="1" customHeight="1" outlineLevel="2" collapsed="1" x14ac:dyDescent="0.2">
      <c r="B224" s="184"/>
      <c r="C224" s="524"/>
      <c r="D224" s="518"/>
      <c r="E224" s="524"/>
      <c r="F224" s="524"/>
      <c r="G224" s="524"/>
      <c r="H224" s="137"/>
      <c r="I224" s="97"/>
      <c r="K224" s="136"/>
      <c r="L224" s="136"/>
      <c r="M224" s="136"/>
    </row>
    <row r="225" spans="2:18" ht="15" hidden="1" customHeight="1" outlineLevel="1" collapsed="1" x14ac:dyDescent="0.2">
      <c r="B225" s="181" t="str">
        <f>IF(topdowntables!$N$4=1, " Slagtesvin", " Slaughter pigs")</f>
        <v xml:space="preserve"> Slagtesvin</v>
      </c>
      <c r="C225" s="510"/>
      <c r="H225" s="272"/>
      <c r="I225" s="272"/>
      <c r="K225" s="272"/>
      <c r="L225" s="272"/>
      <c r="M225" s="272"/>
    </row>
    <row r="226" spans="2:18" ht="15" hidden="1" customHeight="1" outlineLevel="2" x14ac:dyDescent="0.2">
      <c r="B226" s="182" t="str">
        <f>IF(topdowntables!$N$4=1, "  Kraftfoder:", "  Concentrated feed:")</f>
        <v xml:space="preserve">  Kraftfoder:</v>
      </c>
      <c r="C226" s="510"/>
      <c r="H226" s="272"/>
      <c r="I226" s="272"/>
      <c r="K226" s="272"/>
      <c r="L226" s="272"/>
      <c r="M226" s="272"/>
    </row>
    <row r="227" spans="2:18" ht="15" hidden="1" customHeight="1" outlineLevel="3" x14ac:dyDescent="0.2">
      <c r="B227" s="110" t="str">
        <f>IF(topdowntables!$N$4=1, "     FE per kg tilvækst", "     FU per kg gain")</f>
        <v xml:space="preserve">     FE per kg tilvækst</v>
      </c>
      <c r="D227" s="63"/>
      <c r="E227" s="912"/>
      <c r="F227" s="912"/>
      <c r="H227" s="136"/>
      <c r="I227" s="136"/>
      <c r="K227" s="504"/>
      <c r="L227" s="504"/>
      <c r="M227" s="504"/>
    </row>
    <row r="228" spans="2:18" ht="15" hidden="1" customHeight="1" outlineLevel="3" x14ac:dyDescent="0.2">
      <c r="B228" s="183" t="str">
        <f>IF(topdowntables!$N$4=1, "    blanding 1, for vægtinterval, kg:", "    mixture 1, for weight interval, kg:")</f>
        <v xml:space="preserve">    blanding 1, for vægtinterval, kg:</v>
      </c>
      <c r="C228" s="510"/>
      <c r="E228" s="512" t="str">
        <f>IF(topdowntables!$N$4=1, "fra indsættelse, kg:", "from input, kg:")</f>
        <v>fra indsættelse, kg:</v>
      </c>
      <c r="F228" s="532">
        <f>E29</f>
        <v>0</v>
      </c>
      <c r="G228" s="512" t="str">
        <f>IF(topdowntables!$N$4=1, "til, kg:", "to, kg:")</f>
        <v>til, kg:</v>
      </c>
      <c r="H228" s="538"/>
      <c r="I228" s="534"/>
      <c r="K228" s="272"/>
      <c r="L228" s="272"/>
      <c r="M228" s="272"/>
    </row>
    <row r="229" spans="2:18" ht="15" hidden="1" customHeight="1" outlineLevel="4" x14ac:dyDescent="0.2">
      <c r="B229" s="110" t="str">
        <f>IF(topdowntables!$N$4=1, "     Indhold:", "     Composition:")</f>
        <v xml:space="preserve">     Indhold:</v>
      </c>
      <c r="C229" s="510"/>
      <c r="E229" s="888" t="str">
        <f>IF(topdowntables!$N$4=1, "Indhold:", "Composition:")</f>
        <v>Indhold:</v>
      </c>
      <c r="F229" s="889"/>
      <c r="G229" s="888"/>
      <c r="H229" s="888"/>
      <c r="I229" s="662" t="str">
        <f>IF(topdowntables!$N$4=1, "% af kg", "% of kg ")</f>
        <v>% af kg</v>
      </c>
      <c r="J229" s="669"/>
      <c r="K229" s="668"/>
      <c r="L229" s="661"/>
      <c r="M229" s="272"/>
      <c r="O229" s="808" t="str">
        <f>IF(topdowntables!$N$4=1, "Tilgængelig på gård, kg", "Available at farm, kg")</f>
        <v>Tilgængelig på gård, kg</v>
      </c>
      <c r="P229" s="669"/>
      <c r="Q229" s="669"/>
      <c r="R229" s="669"/>
    </row>
    <row r="230" spans="2:18" ht="15" hidden="1" customHeight="1" outlineLevel="4" x14ac:dyDescent="0.2">
      <c r="B230" s="110" t="str">
        <f>IF(topdowntables!$N$4=1, "       foderkomponent 1", "       feedstuff 1")</f>
        <v xml:space="preserve">       foderkomponent 1</v>
      </c>
      <c r="E230" s="905"/>
      <c r="F230" s="905"/>
      <c r="G230" s="905"/>
      <c r="H230" s="905"/>
      <c r="I230" s="516"/>
      <c r="K230" s="504"/>
      <c r="L230" s="504"/>
      <c r="M230" s="504"/>
      <c r="O230" s="809">
        <f t="shared" ref="O230:O244" si="7">IF(OR(E230=$E$429, E230=$E$439, E230=$E$449, E230=$E$459, E230=$E$469, E230=$E$479), VLOOKUP(E230, feedavailability, 3, FALSE)-VLOOKUP(E230, feedavailability, 5, FALSE), 0)</f>
        <v>0</v>
      </c>
    </row>
    <row r="231" spans="2:18" ht="15" hidden="1" customHeight="1" outlineLevel="4" x14ac:dyDescent="0.2">
      <c r="B231" s="110" t="str">
        <f>IF(topdowntables!$N$4=1, "       foderkomponent 2", "       feedstuff 2")</f>
        <v xml:space="preserve">       foderkomponent 2</v>
      </c>
      <c r="E231" s="905"/>
      <c r="F231" s="905"/>
      <c r="G231" s="905"/>
      <c r="H231" s="905"/>
      <c r="I231" s="516"/>
      <c r="K231" s="504"/>
      <c r="L231" s="504"/>
      <c r="M231" s="504"/>
      <c r="O231" s="809">
        <f t="shared" si="7"/>
        <v>0</v>
      </c>
    </row>
    <row r="232" spans="2:18" ht="15" hidden="1" customHeight="1" outlineLevel="4" x14ac:dyDescent="0.2">
      <c r="B232" s="110" t="str">
        <f>IF(topdowntables!$N$4=1, "       foderkomponent 3", "       feedstuff 3")</f>
        <v xml:space="preserve">       foderkomponent 3</v>
      </c>
      <c r="E232" s="905"/>
      <c r="F232" s="905"/>
      <c r="G232" s="905"/>
      <c r="H232" s="905"/>
      <c r="I232" s="516"/>
      <c r="K232" s="504"/>
      <c r="L232" s="504"/>
      <c r="M232" s="504"/>
      <c r="O232" s="809">
        <f t="shared" si="7"/>
        <v>0</v>
      </c>
    </row>
    <row r="233" spans="2:18" ht="15" hidden="1" customHeight="1" outlineLevel="4" x14ac:dyDescent="0.2">
      <c r="B233" s="110" t="str">
        <f>IF(topdowntables!$N$4=1, "       foderkomponent 4", "       feedstuff 4")</f>
        <v xml:space="preserve">       foderkomponent 4</v>
      </c>
      <c r="E233" s="905"/>
      <c r="F233" s="905"/>
      <c r="G233" s="905"/>
      <c r="H233" s="905"/>
      <c r="I233" s="516"/>
      <c r="K233" s="504"/>
      <c r="L233" s="504"/>
      <c r="M233" s="504"/>
      <c r="O233" s="809">
        <f t="shared" si="7"/>
        <v>0</v>
      </c>
    </row>
    <row r="234" spans="2:18" ht="15" hidden="1" customHeight="1" outlineLevel="4" x14ac:dyDescent="0.2">
      <c r="B234" s="110" t="str">
        <f>IF(topdowntables!$N$4=1, "       foderkomponent 5", "       feedstuff 5")</f>
        <v xml:space="preserve">       foderkomponent 5</v>
      </c>
      <c r="E234" s="905"/>
      <c r="F234" s="905"/>
      <c r="G234" s="905"/>
      <c r="H234" s="905"/>
      <c r="I234" s="516"/>
      <c r="K234" s="504"/>
      <c r="L234" s="504"/>
      <c r="M234" s="504"/>
      <c r="O234" s="809">
        <f t="shared" si="7"/>
        <v>0</v>
      </c>
    </row>
    <row r="235" spans="2:18" ht="15" hidden="1" customHeight="1" outlineLevel="4" x14ac:dyDescent="0.2">
      <c r="B235" s="110" t="str">
        <f>IF(topdowntables!$N$4=1, "       foderkomponent 6", "       feedstuff 6")</f>
        <v xml:space="preserve">       foderkomponent 6</v>
      </c>
      <c r="E235" s="905"/>
      <c r="F235" s="905"/>
      <c r="G235" s="905"/>
      <c r="H235" s="905"/>
      <c r="I235" s="516"/>
      <c r="K235" s="504"/>
      <c r="L235" s="504"/>
      <c r="M235" s="504"/>
      <c r="O235" s="809">
        <f t="shared" si="7"/>
        <v>0</v>
      </c>
    </row>
    <row r="236" spans="2:18" ht="15" hidden="1" customHeight="1" outlineLevel="4" x14ac:dyDescent="0.2">
      <c r="B236" s="110" t="str">
        <f>IF(topdowntables!$N$4=1, "       foderkomponent 7", "       feedstuff 7")</f>
        <v xml:space="preserve">       foderkomponent 7</v>
      </c>
      <c r="E236" s="905"/>
      <c r="F236" s="905"/>
      <c r="G236" s="905"/>
      <c r="H236" s="905"/>
      <c r="I236" s="516"/>
      <c r="K236" s="504"/>
      <c r="L236" s="504"/>
      <c r="M236" s="504"/>
      <c r="O236" s="809">
        <f t="shared" si="7"/>
        <v>0</v>
      </c>
    </row>
    <row r="237" spans="2:18" ht="15" hidden="1" customHeight="1" outlineLevel="4" x14ac:dyDescent="0.2">
      <c r="B237" s="110" t="str">
        <f>IF(topdowntables!$N$4=1, "       foderkomponent 8", "       feedstuff 8")</f>
        <v xml:space="preserve">       foderkomponent 8</v>
      </c>
      <c r="E237" s="905"/>
      <c r="F237" s="905"/>
      <c r="G237" s="905"/>
      <c r="H237" s="905"/>
      <c r="I237" s="516"/>
      <c r="K237" s="504"/>
      <c r="L237" s="504"/>
      <c r="M237" s="504"/>
      <c r="O237" s="809">
        <f t="shared" si="7"/>
        <v>0</v>
      </c>
    </row>
    <row r="238" spans="2:18" ht="15" hidden="1" customHeight="1" outlineLevel="4" x14ac:dyDescent="0.2">
      <c r="B238" s="110" t="str">
        <f>IF(topdowntables!$N$4=1, "       foderkomponent 9", "       feedstuff 9")</f>
        <v xml:space="preserve">       foderkomponent 9</v>
      </c>
      <c r="E238" s="905"/>
      <c r="F238" s="905"/>
      <c r="G238" s="905"/>
      <c r="H238" s="905"/>
      <c r="I238" s="516"/>
      <c r="K238" s="504"/>
      <c r="L238" s="504"/>
      <c r="M238" s="504"/>
      <c r="O238" s="809">
        <f t="shared" si="7"/>
        <v>0</v>
      </c>
    </row>
    <row r="239" spans="2:18" ht="15" hidden="1" customHeight="1" outlineLevel="4" x14ac:dyDescent="0.2">
      <c r="B239" s="110" t="str">
        <f>IF(topdowntables!$N$4=1, "       foderkomponent 10", "       feedstuff 10")</f>
        <v xml:space="preserve">       foderkomponent 10</v>
      </c>
      <c r="E239" s="905"/>
      <c r="F239" s="905"/>
      <c r="G239" s="905"/>
      <c r="H239" s="905"/>
      <c r="I239" s="516"/>
      <c r="K239" s="504"/>
      <c r="L239" s="504"/>
      <c r="M239" s="504"/>
      <c r="O239" s="809">
        <f t="shared" si="7"/>
        <v>0</v>
      </c>
    </row>
    <row r="240" spans="2:18" ht="15" hidden="1" customHeight="1" outlineLevel="4" x14ac:dyDescent="0.2">
      <c r="B240" s="110" t="str">
        <f>IF(topdowntables!$N$4=1, "       foderkomponent 11", "       feedstuff 11")</f>
        <v xml:space="preserve">       foderkomponent 11</v>
      </c>
      <c r="E240" s="905"/>
      <c r="F240" s="905"/>
      <c r="G240" s="905"/>
      <c r="H240" s="905"/>
      <c r="I240" s="516"/>
      <c r="K240" s="504"/>
      <c r="L240" s="504"/>
      <c r="M240" s="504"/>
      <c r="O240" s="809">
        <f t="shared" si="7"/>
        <v>0</v>
      </c>
    </row>
    <row r="241" spans="2:18" ht="15" hidden="1" customHeight="1" outlineLevel="4" x14ac:dyDescent="0.2">
      <c r="B241" s="110" t="str">
        <f>IF(topdowntables!$N$4=1, "       foderkomponent 12", "       feedstuff 12")</f>
        <v xml:space="preserve">       foderkomponent 12</v>
      </c>
      <c r="E241" s="905"/>
      <c r="F241" s="905"/>
      <c r="G241" s="905"/>
      <c r="H241" s="905"/>
      <c r="I241" s="516"/>
      <c r="K241" s="504"/>
      <c r="L241" s="504"/>
      <c r="M241" s="504"/>
      <c r="O241" s="809">
        <f t="shared" si="7"/>
        <v>0</v>
      </c>
    </row>
    <row r="242" spans="2:18" ht="15" hidden="1" customHeight="1" outlineLevel="4" x14ac:dyDescent="0.2">
      <c r="B242" s="110" t="str">
        <f>IF(topdowntables!$N$4=1, "       foderkomponent 13", "       feedstuff 13")</f>
        <v xml:space="preserve">       foderkomponent 13</v>
      </c>
      <c r="E242" s="905"/>
      <c r="F242" s="905"/>
      <c r="G242" s="905"/>
      <c r="H242" s="905"/>
      <c r="I242" s="516"/>
      <c r="K242" s="504"/>
      <c r="L242" s="504"/>
      <c r="M242" s="504"/>
      <c r="O242" s="809">
        <f t="shared" si="7"/>
        <v>0</v>
      </c>
    </row>
    <row r="243" spans="2:18" ht="15" hidden="1" customHeight="1" outlineLevel="4" x14ac:dyDescent="0.2">
      <c r="B243" s="110" t="str">
        <f>IF(topdowntables!$N$4=1, "       foderkomponent 14", "       feedstuff 14")</f>
        <v xml:space="preserve">       foderkomponent 14</v>
      </c>
      <c r="E243" s="905"/>
      <c r="F243" s="905"/>
      <c r="G243" s="905"/>
      <c r="H243" s="905"/>
      <c r="I243" s="516"/>
      <c r="K243" s="504"/>
      <c r="L243" s="504"/>
      <c r="M243" s="504"/>
      <c r="O243" s="809">
        <f t="shared" si="7"/>
        <v>0</v>
      </c>
    </row>
    <row r="244" spans="2:18" ht="15" hidden="1" customHeight="1" outlineLevel="4" x14ac:dyDescent="0.2">
      <c r="B244" s="110" t="str">
        <f>IF(topdowntables!$N$4=1, "       foderkomponent 15", "       feedstuff 15")</f>
        <v xml:space="preserve">       foderkomponent 15</v>
      </c>
      <c r="E244" s="905"/>
      <c r="F244" s="905"/>
      <c r="G244" s="905"/>
      <c r="H244" s="905"/>
      <c r="I244" s="523"/>
      <c r="K244" s="504"/>
      <c r="L244" s="504"/>
      <c r="M244" s="504"/>
      <c r="O244" s="809">
        <f t="shared" si="7"/>
        <v>0</v>
      </c>
    </row>
    <row r="245" spans="2:18" ht="15" hidden="1" customHeight="1" outlineLevel="4" x14ac:dyDescent="0.2">
      <c r="B245" s="184" t="str">
        <f>IF(topdowntables!$N$4=1,IF(I245=100,"       Tryk '-' for at slutte","       Tjeck, skal være 100"),IF(I245=100,"       Click '-' to finalize","       Check total"))</f>
        <v xml:space="preserve">       Tjeck, skal være 100</v>
      </c>
      <c r="C245" s="517"/>
      <c r="D245" s="518"/>
      <c r="E245" s="517"/>
      <c r="F245" s="517"/>
      <c r="G245" s="517"/>
      <c r="H245" s="137"/>
      <c r="I245" s="539">
        <f>SUM(I230:I244)</f>
        <v>0</v>
      </c>
      <c r="K245" s="504"/>
      <c r="L245" s="504"/>
      <c r="M245" s="504"/>
    </row>
    <row r="246" spans="2:18" ht="15" hidden="1" customHeight="1" outlineLevel="3" collapsed="1" x14ac:dyDescent="0.2">
      <c r="B246" s="531"/>
      <c r="C246" s="517"/>
      <c r="D246" s="518"/>
      <c r="E246" s="517"/>
      <c r="F246" s="517"/>
      <c r="G246" s="517"/>
      <c r="H246" s="137"/>
      <c r="I246" s="97"/>
      <c r="K246" s="136"/>
      <c r="L246" s="136"/>
      <c r="M246" s="136"/>
    </row>
    <row r="247" spans="2:18" ht="15" hidden="1" customHeight="1" outlineLevel="3" x14ac:dyDescent="0.2">
      <c r="B247" s="183" t="str">
        <f>IF(topdowntables!$N$4=1, "    blanding 2, for vægtinterval, kg:", "    mixture 2, for weight interval, kg:")</f>
        <v xml:space="preserve">    blanding 2, for vægtinterval, kg:</v>
      </c>
      <c r="C247" s="510"/>
      <c r="E247" s="512" t="str">
        <f>IF(topdowntables!$N$4=1, "fra, kg:", "from, kg:")</f>
        <v>fra, kg:</v>
      </c>
      <c r="F247" s="532">
        <f>IF(F228&gt;H228,F228,H228)</f>
        <v>0</v>
      </c>
      <c r="G247" s="512" t="str">
        <f>IF(topdowntables!$N$4=1, "til, kg:", "to, kg:")</f>
        <v>til, kg:</v>
      </c>
      <c r="H247" s="538"/>
      <c r="I247" s="534"/>
      <c r="K247" s="272"/>
      <c r="L247" s="272"/>
      <c r="M247" s="272"/>
    </row>
    <row r="248" spans="2:18" ht="15" hidden="1" customHeight="1" outlineLevel="4" x14ac:dyDescent="0.2">
      <c r="B248" s="110" t="str">
        <f>IF(topdowntables!$N$4=1, "     Indhold:", "     Composition:")</f>
        <v xml:space="preserve">     Indhold:</v>
      </c>
      <c r="C248" s="510"/>
      <c r="E248" s="888" t="str">
        <f>IF(topdowntables!$N$4=1, "Indhold:", "Composition:")</f>
        <v>Indhold:</v>
      </c>
      <c r="F248" s="889"/>
      <c r="G248" s="888"/>
      <c r="H248" s="888"/>
      <c r="I248" s="662" t="str">
        <f>IF(topdowntables!$N$4=1, "% af kg", "% of ")</f>
        <v>% af kg</v>
      </c>
      <c r="J248" s="669"/>
      <c r="K248" s="668"/>
      <c r="L248" s="661"/>
      <c r="M248" s="272"/>
      <c r="O248" s="808" t="str">
        <f>IF(topdowntables!$N$4=1, "Tilgængelig på gård, kg", "Available at farm, kg")</f>
        <v>Tilgængelig på gård, kg</v>
      </c>
      <c r="P248" s="669"/>
      <c r="Q248" s="669"/>
      <c r="R248" s="669"/>
    </row>
    <row r="249" spans="2:18" ht="15" hidden="1" customHeight="1" outlineLevel="4" x14ac:dyDescent="0.2">
      <c r="B249" s="110" t="str">
        <f>IF(topdowntables!$N$4=1, "       foderkomponent 1", "       feedstuff 1")</f>
        <v xml:space="preserve">       foderkomponent 1</v>
      </c>
      <c r="E249" s="905"/>
      <c r="F249" s="905"/>
      <c r="G249" s="905"/>
      <c r="H249" s="905"/>
      <c r="I249" s="504"/>
      <c r="K249" s="504"/>
      <c r="L249" s="504"/>
      <c r="M249" s="504"/>
      <c r="O249" s="809">
        <f t="shared" ref="O249:O263" si="8">IF(OR(E249=$E$429, E249=$E$439, E249=$E$449, E249=$E$459, E249=$E$469, E249=$E$479), VLOOKUP(E249, feedavailability, 3, FALSE)-VLOOKUP(E249, feedavailability, 5, FALSE), 0)</f>
        <v>0</v>
      </c>
    </row>
    <row r="250" spans="2:18" ht="15" hidden="1" customHeight="1" outlineLevel="4" x14ac:dyDescent="0.2">
      <c r="B250" s="110" t="str">
        <f>IF(topdowntables!$N$4=1, "       foderkomponent 2", "       feedstuff 2")</f>
        <v xml:space="preserve">       foderkomponent 2</v>
      </c>
      <c r="E250" s="905"/>
      <c r="F250" s="905"/>
      <c r="G250" s="905"/>
      <c r="H250" s="905"/>
      <c r="I250" s="504"/>
      <c r="K250" s="504"/>
      <c r="L250" s="504"/>
      <c r="M250" s="504"/>
      <c r="O250" s="809">
        <f t="shared" si="8"/>
        <v>0</v>
      </c>
    </row>
    <row r="251" spans="2:18" ht="15" hidden="1" customHeight="1" outlineLevel="4" x14ac:dyDescent="0.2">
      <c r="B251" s="110" t="str">
        <f>IF(topdowntables!$N$4=1, "       foderkomponent 3", "       feedstuff 3")</f>
        <v xml:space="preserve">       foderkomponent 3</v>
      </c>
      <c r="E251" s="905"/>
      <c r="F251" s="905"/>
      <c r="G251" s="905"/>
      <c r="H251" s="905"/>
      <c r="I251" s="504"/>
      <c r="K251" s="504"/>
      <c r="L251" s="504"/>
      <c r="M251" s="504"/>
      <c r="O251" s="809">
        <f t="shared" si="8"/>
        <v>0</v>
      </c>
    </row>
    <row r="252" spans="2:18" ht="15" hidden="1" customHeight="1" outlineLevel="4" x14ac:dyDescent="0.2">
      <c r="B252" s="110" t="str">
        <f>IF(topdowntables!$N$4=1, "       foderkomponent 4", "       feedstuff 4")</f>
        <v xml:space="preserve">       foderkomponent 4</v>
      </c>
      <c r="E252" s="905"/>
      <c r="F252" s="905"/>
      <c r="G252" s="905"/>
      <c r="H252" s="905"/>
      <c r="I252" s="504"/>
      <c r="K252" s="504"/>
      <c r="L252" s="504"/>
      <c r="M252" s="504"/>
      <c r="O252" s="809">
        <f t="shared" si="8"/>
        <v>0</v>
      </c>
    </row>
    <row r="253" spans="2:18" ht="15" hidden="1" customHeight="1" outlineLevel="4" x14ac:dyDescent="0.2">
      <c r="B253" s="110" t="str">
        <f>IF(topdowntables!$N$4=1, "       foderkomponent 5", "       feedstuff 5")</f>
        <v xml:space="preserve">       foderkomponent 5</v>
      </c>
      <c r="E253" s="905"/>
      <c r="F253" s="905"/>
      <c r="G253" s="905"/>
      <c r="H253" s="905"/>
      <c r="I253" s="504"/>
      <c r="K253" s="504"/>
      <c r="L253" s="504"/>
      <c r="M253" s="504"/>
      <c r="O253" s="809">
        <f t="shared" si="8"/>
        <v>0</v>
      </c>
    </row>
    <row r="254" spans="2:18" ht="15" hidden="1" customHeight="1" outlineLevel="4" x14ac:dyDescent="0.2">
      <c r="B254" s="110" t="str">
        <f>IF(topdowntables!$N$4=1, "       foderkomponent 6", "       feedstuff 6")</f>
        <v xml:space="preserve">       foderkomponent 6</v>
      </c>
      <c r="E254" s="905"/>
      <c r="F254" s="905"/>
      <c r="G254" s="905"/>
      <c r="H254" s="905"/>
      <c r="I254" s="504"/>
      <c r="K254" s="504"/>
      <c r="L254" s="504"/>
      <c r="M254" s="504"/>
      <c r="O254" s="809">
        <f t="shared" si="8"/>
        <v>0</v>
      </c>
    </row>
    <row r="255" spans="2:18" ht="15" hidden="1" customHeight="1" outlineLevel="4" x14ac:dyDescent="0.2">
      <c r="B255" s="110" t="str">
        <f>IF(topdowntables!$N$4=1, "       foderkomponent 7", "       feedstuff 7")</f>
        <v xml:space="preserve">       foderkomponent 7</v>
      </c>
      <c r="E255" s="905"/>
      <c r="F255" s="905"/>
      <c r="G255" s="905"/>
      <c r="H255" s="905"/>
      <c r="I255" s="504"/>
      <c r="K255" s="504"/>
      <c r="L255" s="504"/>
      <c r="M255" s="504"/>
      <c r="O255" s="809">
        <f t="shared" si="8"/>
        <v>0</v>
      </c>
    </row>
    <row r="256" spans="2:18" ht="15" hidden="1" customHeight="1" outlineLevel="4" x14ac:dyDescent="0.2">
      <c r="B256" s="110" t="str">
        <f>IF(topdowntables!$N$4=1, "       foderkomponent 8", "       feedstuff 8")</f>
        <v xml:space="preserve">       foderkomponent 8</v>
      </c>
      <c r="E256" s="905"/>
      <c r="F256" s="905"/>
      <c r="G256" s="905"/>
      <c r="H256" s="905"/>
      <c r="I256" s="504"/>
      <c r="K256" s="504"/>
      <c r="L256" s="504"/>
      <c r="M256" s="504"/>
      <c r="O256" s="809">
        <f t="shared" si="8"/>
        <v>0</v>
      </c>
    </row>
    <row r="257" spans="2:18" ht="15" hidden="1" customHeight="1" outlineLevel="4" x14ac:dyDescent="0.2">
      <c r="B257" s="110" t="str">
        <f>IF(topdowntables!$N$4=1, "       foderkomponent 9", "       feedstuff 9")</f>
        <v xml:space="preserve">       foderkomponent 9</v>
      </c>
      <c r="E257" s="905"/>
      <c r="F257" s="905"/>
      <c r="G257" s="905"/>
      <c r="H257" s="905"/>
      <c r="I257" s="504"/>
      <c r="K257" s="504"/>
      <c r="L257" s="504"/>
      <c r="M257" s="504"/>
      <c r="O257" s="809">
        <f t="shared" si="8"/>
        <v>0</v>
      </c>
    </row>
    <row r="258" spans="2:18" ht="15" hidden="1" customHeight="1" outlineLevel="4" x14ac:dyDescent="0.2">
      <c r="B258" s="110" t="str">
        <f>IF(topdowntables!$N$4=1, "       foderkomponent 10", "       feedstuff 10")</f>
        <v xml:space="preserve">       foderkomponent 10</v>
      </c>
      <c r="E258" s="905"/>
      <c r="F258" s="905"/>
      <c r="G258" s="905"/>
      <c r="H258" s="905"/>
      <c r="I258" s="504"/>
      <c r="K258" s="504"/>
      <c r="L258" s="504"/>
      <c r="M258" s="504"/>
      <c r="O258" s="809">
        <f t="shared" si="8"/>
        <v>0</v>
      </c>
    </row>
    <row r="259" spans="2:18" ht="15" hidden="1" customHeight="1" outlineLevel="4" x14ac:dyDescent="0.2">
      <c r="B259" s="110" t="str">
        <f>IF(topdowntables!$N$4=1, "       foderkomponent 11", "       feedstuff 11")</f>
        <v xml:space="preserve">       foderkomponent 11</v>
      </c>
      <c r="E259" s="905"/>
      <c r="F259" s="905"/>
      <c r="G259" s="905"/>
      <c r="H259" s="905"/>
      <c r="I259" s="504"/>
      <c r="K259" s="504"/>
      <c r="L259" s="504"/>
      <c r="M259" s="504"/>
      <c r="O259" s="809">
        <f t="shared" si="8"/>
        <v>0</v>
      </c>
    </row>
    <row r="260" spans="2:18" ht="15" hidden="1" customHeight="1" outlineLevel="4" x14ac:dyDescent="0.2">
      <c r="B260" s="110" t="str">
        <f>IF(topdowntables!$N$4=1, "       foderkomponent 12", "       feedstuff 12")</f>
        <v xml:space="preserve">       foderkomponent 12</v>
      </c>
      <c r="E260" s="905"/>
      <c r="F260" s="905"/>
      <c r="G260" s="905"/>
      <c r="H260" s="905"/>
      <c r="I260" s="504"/>
      <c r="K260" s="504"/>
      <c r="L260" s="504"/>
      <c r="M260" s="504"/>
      <c r="O260" s="809">
        <f t="shared" si="8"/>
        <v>0</v>
      </c>
    </row>
    <row r="261" spans="2:18" ht="15" hidden="1" customHeight="1" outlineLevel="4" x14ac:dyDescent="0.2">
      <c r="B261" s="110" t="str">
        <f>IF(topdowntables!$N$4=1, "       foderkomponent 13", "       feedstuff 13")</f>
        <v xml:space="preserve">       foderkomponent 13</v>
      </c>
      <c r="E261" s="905"/>
      <c r="F261" s="905"/>
      <c r="G261" s="905"/>
      <c r="H261" s="905"/>
      <c r="I261" s="504"/>
      <c r="K261" s="504"/>
      <c r="L261" s="504"/>
      <c r="M261" s="504"/>
      <c r="O261" s="809">
        <f t="shared" si="8"/>
        <v>0</v>
      </c>
    </row>
    <row r="262" spans="2:18" ht="15" hidden="1" customHeight="1" outlineLevel="4" x14ac:dyDescent="0.2">
      <c r="B262" s="110" t="str">
        <f>IF(topdowntables!$N$4=1, "       foderkomponent 14", "       feedstuff 14")</f>
        <v xml:space="preserve">       foderkomponent 14</v>
      </c>
      <c r="E262" s="905"/>
      <c r="F262" s="905"/>
      <c r="G262" s="905"/>
      <c r="H262" s="905"/>
      <c r="I262" s="504"/>
      <c r="K262" s="504"/>
      <c r="L262" s="504"/>
      <c r="M262" s="504"/>
      <c r="O262" s="809">
        <f t="shared" si="8"/>
        <v>0</v>
      </c>
    </row>
    <row r="263" spans="2:18" ht="15" hidden="1" customHeight="1" outlineLevel="4" x14ac:dyDescent="0.2">
      <c r="B263" s="110" t="str">
        <f>IF(topdowntables!$N$4=1, "       foderkomponent 15", "       feedstuff 15")</f>
        <v xml:space="preserve">       foderkomponent 15</v>
      </c>
      <c r="E263" s="905"/>
      <c r="F263" s="905"/>
      <c r="G263" s="905"/>
      <c r="H263" s="905"/>
      <c r="I263" s="541"/>
      <c r="K263" s="504"/>
      <c r="L263" s="504"/>
      <c r="M263" s="504"/>
      <c r="O263" s="809">
        <f t="shared" si="8"/>
        <v>0</v>
      </c>
    </row>
    <row r="264" spans="2:18" ht="15" hidden="1" customHeight="1" outlineLevel="4" x14ac:dyDescent="0.2">
      <c r="B264" s="184" t="str">
        <f>IF(topdowntables!$N$4=1,IF(I264=100,"       Tryk '-' for at slutte","       Tjeck, skal være 100"),IF(I264=100,"       Click '-' to finalize","       Check total"))</f>
        <v xml:space="preserve">       Tjeck, skal være 100</v>
      </c>
      <c r="C264" s="517"/>
      <c r="D264" s="518"/>
      <c r="E264" s="517"/>
      <c r="F264" s="517"/>
      <c r="G264" s="517"/>
      <c r="H264" s="137"/>
      <c r="I264" s="542">
        <f>SUM(I249:I263)</f>
        <v>0</v>
      </c>
      <c r="K264" s="504"/>
      <c r="L264" s="504"/>
      <c r="M264" s="504"/>
    </row>
    <row r="265" spans="2:18" ht="15" hidden="1" customHeight="1" outlineLevel="3" collapsed="1" x14ac:dyDescent="0.2">
      <c r="B265" s="531"/>
      <c r="C265" s="517"/>
      <c r="D265" s="518"/>
      <c r="E265" s="517"/>
      <c r="F265" s="517"/>
      <c r="G265" s="517"/>
      <c r="H265" s="137"/>
      <c r="I265" s="520"/>
      <c r="K265" s="136"/>
      <c r="L265" s="136"/>
      <c r="M265" s="136"/>
    </row>
    <row r="266" spans="2:18" ht="15" hidden="1" customHeight="1" outlineLevel="3" x14ac:dyDescent="0.2">
      <c r="B266" s="183" t="str">
        <f>IF(topdowntables!$N$4=1, "    blanding 3, for vægtinterval, kg:", "    mixture 3, for weight interval, kg:")</f>
        <v xml:space="preserve">    blanding 3, for vægtinterval, kg:</v>
      </c>
      <c r="C266" s="510"/>
      <c r="E266" s="512" t="str">
        <f>IF(topdowntables!$N$4=1, "fra, kg:", "from, kg:")</f>
        <v>fra, kg:</v>
      </c>
      <c r="F266" s="543">
        <f>IF(F247&gt;H247,F247,H247)</f>
        <v>0</v>
      </c>
      <c r="G266" s="512" t="str">
        <f>IF(topdowntables!$N$4=1, "til afgang, ved kg:", "to, kg:")</f>
        <v>til afgang, ved kg:</v>
      </c>
      <c r="H266" s="536">
        <f>E36</f>
        <v>0</v>
      </c>
      <c r="I266" s="534"/>
      <c r="K266" s="272"/>
      <c r="L266" s="272"/>
      <c r="M266" s="272"/>
    </row>
    <row r="267" spans="2:18" ht="15" hidden="1" customHeight="1" outlineLevel="4" x14ac:dyDescent="0.2">
      <c r="B267" s="110" t="str">
        <f>IF(topdowntables!$N$4=1, "     Indhold:", "     Composition:")</f>
        <v xml:space="preserve">     Indhold:</v>
      </c>
      <c r="C267" s="510"/>
      <c r="E267" s="888" t="str">
        <f>IF(topdowntables!$N$4=1, "Indhold:", "Composition:")</f>
        <v>Indhold:</v>
      </c>
      <c r="F267" s="889"/>
      <c r="G267" s="888"/>
      <c r="H267" s="888"/>
      <c r="I267" s="514" t="str">
        <f>IF(topdowntables!$N$4=1, "% af kg", "% of ")</f>
        <v>% af kg</v>
      </c>
      <c r="K267" s="272"/>
      <c r="L267" s="272"/>
      <c r="M267" s="272"/>
      <c r="O267" s="808" t="str">
        <f>IF(topdowntables!$N$4=1, "Tilgængelig på gård, kg", "Available at farm, kg")</f>
        <v>Tilgængelig på gård, kg</v>
      </c>
      <c r="P267" s="669"/>
      <c r="Q267" s="669"/>
      <c r="R267" s="669"/>
    </row>
    <row r="268" spans="2:18" ht="15" hidden="1" customHeight="1" outlineLevel="4" x14ac:dyDescent="0.2">
      <c r="B268" s="110" t="str">
        <f>IF(topdowntables!$N$4=1, "       foderkomponent 1", "       feedstuff 1")</f>
        <v xml:space="preserve">       foderkomponent 1</v>
      </c>
      <c r="E268" s="905"/>
      <c r="F268" s="905"/>
      <c r="G268" s="905"/>
      <c r="H268" s="905"/>
      <c r="I268" s="516"/>
      <c r="K268" s="504"/>
      <c r="L268" s="504"/>
      <c r="M268" s="504"/>
      <c r="O268" s="809">
        <f t="shared" ref="O268:O282" si="9">IF(OR(E268=$E$429, E268=$E$439, E268=$E$449, E268=$E$459, E268=$E$469, E268=$E$479), VLOOKUP(E268, feedavailability, 3, FALSE)-VLOOKUP(E268, feedavailability, 5, FALSE), 0)</f>
        <v>0</v>
      </c>
    </row>
    <row r="269" spans="2:18" ht="15" hidden="1" customHeight="1" outlineLevel="4" x14ac:dyDescent="0.2">
      <c r="B269" s="110" t="str">
        <f>IF(topdowntables!$N$4=1, "       foderkomponent 2", "       feedstuff 2")</f>
        <v xml:space="preserve">       foderkomponent 2</v>
      </c>
      <c r="E269" s="905"/>
      <c r="F269" s="905"/>
      <c r="G269" s="905"/>
      <c r="H269" s="905"/>
      <c r="I269" s="516"/>
      <c r="K269" s="504"/>
      <c r="L269" s="504"/>
      <c r="M269" s="504"/>
      <c r="O269" s="809">
        <f t="shared" si="9"/>
        <v>0</v>
      </c>
    </row>
    <row r="270" spans="2:18" ht="15" hidden="1" customHeight="1" outlineLevel="4" x14ac:dyDescent="0.2">
      <c r="B270" s="110" t="str">
        <f>IF(topdowntables!$N$4=1, "       foderkomponent 3", "       feedstuff 3")</f>
        <v xml:space="preserve">       foderkomponent 3</v>
      </c>
      <c r="E270" s="905"/>
      <c r="F270" s="905"/>
      <c r="G270" s="905"/>
      <c r="H270" s="905"/>
      <c r="I270" s="516"/>
      <c r="K270" s="504"/>
      <c r="L270" s="504"/>
      <c r="M270" s="504"/>
      <c r="O270" s="809">
        <f t="shared" si="9"/>
        <v>0</v>
      </c>
    </row>
    <row r="271" spans="2:18" ht="15" hidden="1" customHeight="1" outlineLevel="4" x14ac:dyDescent="0.2">
      <c r="B271" s="110" t="str">
        <f>IF(topdowntables!$N$4=1, "       foderkomponent 4", "       feedstuff 4")</f>
        <v xml:space="preserve">       foderkomponent 4</v>
      </c>
      <c r="E271" s="905"/>
      <c r="F271" s="905"/>
      <c r="G271" s="905"/>
      <c r="H271" s="905"/>
      <c r="I271" s="516"/>
      <c r="K271" s="504"/>
      <c r="L271" s="504"/>
      <c r="M271" s="504"/>
      <c r="O271" s="809">
        <f t="shared" si="9"/>
        <v>0</v>
      </c>
    </row>
    <row r="272" spans="2:18" ht="15" hidden="1" customHeight="1" outlineLevel="4" x14ac:dyDescent="0.2">
      <c r="B272" s="110" t="str">
        <f>IF(topdowntables!$N$4=1, "       foderkomponent 5", "       feedstuff 5")</f>
        <v xml:space="preserve">       foderkomponent 5</v>
      </c>
      <c r="E272" s="905"/>
      <c r="F272" s="905"/>
      <c r="G272" s="905"/>
      <c r="H272" s="905"/>
      <c r="I272" s="516"/>
      <c r="K272" s="504"/>
      <c r="L272" s="504"/>
      <c r="M272" s="504"/>
      <c r="O272" s="809">
        <f t="shared" si="9"/>
        <v>0</v>
      </c>
    </row>
    <row r="273" spans="2:18" ht="15" hidden="1" customHeight="1" outlineLevel="4" x14ac:dyDescent="0.2">
      <c r="B273" s="110" t="str">
        <f>IF(topdowntables!$N$4=1, "       foderkomponent 6", "       feedstuff 6")</f>
        <v xml:space="preserve">       foderkomponent 6</v>
      </c>
      <c r="E273" s="905"/>
      <c r="F273" s="905"/>
      <c r="G273" s="905"/>
      <c r="H273" s="905"/>
      <c r="I273" s="516"/>
      <c r="K273" s="504"/>
      <c r="L273" s="504"/>
      <c r="M273" s="504"/>
      <c r="O273" s="809">
        <f t="shared" si="9"/>
        <v>0</v>
      </c>
    </row>
    <row r="274" spans="2:18" ht="15" hidden="1" customHeight="1" outlineLevel="4" x14ac:dyDescent="0.2">
      <c r="B274" s="110" t="str">
        <f>IF(topdowntables!$N$4=1, "       foderkomponent 7", "       feedstuff 7")</f>
        <v xml:space="preserve">       foderkomponent 7</v>
      </c>
      <c r="E274" s="905"/>
      <c r="F274" s="905"/>
      <c r="G274" s="905"/>
      <c r="H274" s="905"/>
      <c r="I274" s="516"/>
      <c r="K274" s="504"/>
      <c r="L274" s="504"/>
      <c r="M274" s="504"/>
      <c r="O274" s="809">
        <f t="shared" si="9"/>
        <v>0</v>
      </c>
    </row>
    <row r="275" spans="2:18" ht="15" hidden="1" customHeight="1" outlineLevel="4" x14ac:dyDescent="0.2">
      <c r="B275" s="110" t="str">
        <f>IF(topdowntables!$N$4=1, "       foderkomponent 8", "       feedstuff 8")</f>
        <v xml:space="preserve">       foderkomponent 8</v>
      </c>
      <c r="E275" s="905"/>
      <c r="F275" s="905"/>
      <c r="G275" s="905"/>
      <c r="H275" s="905"/>
      <c r="I275" s="516"/>
      <c r="K275" s="504"/>
      <c r="L275" s="504"/>
      <c r="M275" s="504"/>
      <c r="O275" s="809">
        <f t="shared" si="9"/>
        <v>0</v>
      </c>
    </row>
    <row r="276" spans="2:18" ht="15" hidden="1" customHeight="1" outlineLevel="4" x14ac:dyDescent="0.2">
      <c r="B276" s="110" t="str">
        <f>IF(topdowntables!$N$4=1, "       foderkomponent 9", "       feedstuff 9")</f>
        <v xml:space="preserve">       foderkomponent 9</v>
      </c>
      <c r="E276" s="905"/>
      <c r="F276" s="905"/>
      <c r="G276" s="905"/>
      <c r="H276" s="905"/>
      <c r="I276" s="516"/>
      <c r="K276" s="504"/>
      <c r="L276" s="504"/>
      <c r="M276" s="504"/>
      <c r="O276" s="809">
        <f t="shared" si="9"/>
        <v>0</v>
      </c>
    </row>
    <row r="277" spans="2:18" ht="15" hidden="1" customHeight="1" outlineLevel="4" x14ac:dyDescent="0.2">
      <c r="B277" s="110" t="str">
        <f>IF(topdowntables!$N$4=1, "       foderkomponent 10", "       feedstuff 10")</f>
        <v xml:space="preserve">       foderkomponent 10</v>
      </c>
      <c r="E277" s="905"/>
      <c r="F277" s="905"/>
      <c r="G277" s="905"/>
      <c r="H277" s="905"/>
      <c r="I277" s="516"/>
      <c r="K277" s="504"/>
      <c r="L277" s="504"/>
      <c r="M277" s="504"/>
      <c r="O277" s="809">
        <f t="shared" si="9"/>
        <v>0</v>
      </c>
    </row>
    <row r="278" spans="2:18" ht="15" hidden="1" customHeight="1" outlineLevel="4" x14ac:dyDescent="0.2">
      <c r="B278" s="110" t="str">
        <f>IF(topdowntables!$N$4=1, "       foderkomponent 11", "       feedstuff 11")</f>
        <v xml:space="preserve">       foderkomponent 11</v>
      </c>
      <c r="E278" s="905"/>
      <c r="F278" s="905"/>
      <c r="G278" s="905"/>
      <c r="H278" s="905"/>
      <c r="I278" s="516"/>
      <c r="K278" s="504"/>
      <c r="L278" s="504"/>
      <c r="M278" s="504"/>
      <c r="O278" s="809">
        <f t="shared" si="9"/>
        <v>0</v>
      </c>
    </row>
    <row r="279" spans="2:18" ht="15" hidden="1" customHeight="1" outlineLevel="4" x14ac:dyDescent="0.2">
      <c r="B279" s="110" t="str">
        <f>IF(topdowntables!$N$4=1, "       foderkomponent 12", "       feedstuff 12")</f>
        <v xml:space="preserve">       foderkomponent 12</v>
      </c>
      <c r="E279" s="905"/>
      <c r="F279" s="905"/>
      <c r="G279" s="905"/>
      <c r="H279" s="905"/>
      <c r="I279" s="516"/>
      <c r="K279" s="504"/>
      <c r="L279" s="504"/>
      <c r="M279" s="504"/>
      <c r="O279" s="809">
        <f t="shared" si="9"/>
        <v>0</v>
      </c>
    </row>
    <row r="280" spans="2:18" ht="15" hidden="1" customHeight="1" outlineLevel="4" x14ac:dyDescent="0.2">
      <c r="B280" s="110" t="str">
        <f>IF(topdowntables!$N$4=1, "       foderkomponent 13", "       feedstuff 13")</f>
        <v xml:space="preserve">       foderkomponent 13</v>
      </c>
      <c r="E280" s="905"/>
      <c r="F280" s="905"/>
      <c r="G280" s="905"/>
      <c r="H280" s="905"/>
      <c r="I280" s="516"/>
      <c r="K280" s="504"/>
      <c r="L280" s="504"/>
      <c r="M280" s="504"/>
      <c r="O280" s="809">
        <f t="shared" si="9"/>
        <v>0</v>
      </c>
    </row>
    <row r="281" spans="2:18" ht="15" hidden="1" customHeight="1" outlineLevel="4" x14ac:dyDescent="0.2">
      <c r="B281" s="110" t="str">
        <f>IF(topdowntables!$N$4=1, "       foderkomponent 14", "       feedstuff 14")</f>
        <v xml:space="preserve">       foderkomponent 14</v>
      </c>
      <c r="E281" s="905"/>
      <c r="F281" s="905"/>
      <c r="G281" s="905"/>
      <c r="H281" s="905"/>
      <c r="I281" s="516"/>
      <c r="K281" s="504"/>
      <c r="L281" s="504"/>
      <c r="M281" s="504"/>
      <c r="O281" s="809">
        <f t="shared" si="9"/>
        <v>0</v>
      </c>
    </row>
    <row r="282" spans="2:18" ht="15" hidden="1" customHeight="1" outlineLevel="4" x14ac:dyDescent="0.2">
      <c r="B282" s="110" t="str">
        <f>IF(topdowntables!$N$4=1, "       foderkomponent 15", "       feedstuff 15")</f>
        <v xml:space="preserve">       foderkomponent 15</v>
      </c>
      <c r="E282" s="905"/>
      <c r="F282" s="905"/>
      <c r="G282" s="905"/>
      <c r="H282" s="905"/>
      <c r="I282" s="523"/>
      <c r="K282" s="504"/>
      <c r="L282" s="504"/>
      <c r="M282" s="504"/>
      <c r="O282" s="809">
        <f t="shared" si="9"/>
        <v>0</v>
      </c>
    </row>
    <row r="283" spans="2:18" ht="15" hidden="1" customHeight="1" outlineLevel="4" x14ac:dyDescent="0.2">
      <c r="B283" s="184" t="str">
        <f>IF(topdowntables!$N$4=1,IF(I283=100,"       Tryk '-' for at slutte","       Tjeck, skal være 100"),IF(I283=100,"       Click '-' to finalize","       Check total"))</f>
        <v xml:space="preserve">       Tjeck, skal være 100</v>
      </c>
      <c r="C283" s="517"/>
      <c r="D283" s="518"/>
      <c r="E283" s="517"/>
      <c r="F283" s="517"/>
      <c r="G283" s="517"/>
      <c r="H283" s="137"/>
      <c r="I283" s="539">
        <f>SUM(I268:I282)</f>
        <v>0</v>
      </c>
      <c r="K283" s="504"/>
      <c r="L283" s="504"/>
      <c r="M283" s="504"/>
    </row>
    <row r="284" spans="2:18" ht="15" hidden="1" customHeight="1" outlineLevel="3" collapsed="1" x14ac:dyDescent="0.2">
      <c r="B284" s="184"/>
      <c r="C284" s="517"/>
      <c r="D284" s="518"/>
      <c r="E284" s="517"/>
      <c r="F284" s="517"/>
      <c r="G284" s="517"/>
      <c r="H284" s="137"/>
      <c r="I284" s="97"/>
      <c r="K284" s="504"/>
      <c r="L284" s="504"/>
      <c r="M284" s="504"/>
    </row>
    <row r="285" spans="2:18" ht="15" hidden="1" customHeight="1" outlineLevel="2" collapsed="1" x14ac:dyDescent="0.2">
      <c r="B285" s="182" t="str">
        <f>IF(topdowntables!$N$4=1, "  Grovfoder:", "  Roughage:")</f>
        <v xml:space="preserve">  Grovfoder:</v>
      </c>
      <c r="C285" s="517"/>
      <c r="D285" s="518"/>
      <c r="E285" s="517"/>
      <c r="F285" s="517"/>
      <c r="G285" s="517"/>
      <c r="H285" s="137"/>
      <c r="I285" s="520"/>
      <c r="K285" s="504"/>
      <c r="L285" s="504"/>
      <c r="M285" s="504"/>
    </row>
    <row r="286" spans="2:18" ht="15" hidden="1" customHeight="1" outlineLevel="3" x14ac:dyDescent="0.2">
      <c r="B286" s="110" t="str">
        <f>IF(topdowntables!$N$4=1, "     kg per dyr per dag", "     kg per animal per day")</f>
        <v xml:space="preserve">     kg per dyr per dag</v>
      </c>
      <c r="D286" s="63"/>
      <c r="E286" s="912"/>
      <c r="F286" s="912"/>
      <c r="H286" s="136"/>
      <c r="I286" s="136"/>
      <c r="K286" s="504"/>
      <c r="L286" s="504"/>
      <c r="M286" s="504"/>
    </row>
    <row r="287" spans="2:18" ht="15" hidden="1" customHeight="1" outlineLevel="3" x14ac:dyDescent="0.2">
      <c r="B287" s="110" t="str">
        <f>IF(topdowntables!$N$4=1, "     grovfodertildeling, dage per år", "     period of use, days per year")</f>
        <v xml:space="preserve">     grovfodertildeling, dage per år</v>
      </c>
      <c r="D287" s="63"/>
      <c r="E287" s="913"/>
      <c r="F287" s="914"/>
      <c r="H287" s="136"/>
      <c r="I287" s="136"/>
      <c r="K287" s="136"/>
      <c r="L287" s="136"/>
      <c r="M287" s="136"/>
    </row>
    <row r="288" spans="2:18" ht="15" hidden="1" customHeight="1" outlineLevel="3" x14ac:dyDescent="0.2">
      <c r="B288" s="110" t="str">
        <f>IF(topdowntables!$N$4=1, "     Grovfodertyper, anvendt:", "     Roughage type, used:")</f>
        <v xml:space="preserve">     Grovfodertyper, anvendt:</v>
      </c>
      <c r="E288" s="888" t="str">
        <f>IF(topdowntables!$N$4=1, "Indhold:", "Composition:")</f>
        <v>Indhold:</v>
      </c>
      <c r="F288" s="889"/>
      <c r="G288" s="888"/>
      <c r="H288" s="888"/>
      <c r="I288" s="744" t="str">
        <f>IF(topdowntables!$N$4=1, "% af kg", "% of kg ")</f>
        <v>% af kg</v>
      </c>
      <c r="K288" s="136"/>
      <c r="L288" s="136"/>
      <c r="M288" s="136"/>
      <c r="O288" s="808" t="str">
        <f>IF(topdowntables!$N$4=1, "Tilgængelig på gård, kg", "Available at farm, kg")</f>
        <v>Tilgængelig på gård, kg</v>
      </c>
      <c r="P288" s="669"/>
      <c r="Q288" s="669"/>
      <c r="R288" s="669"/>
    </row>
    <row r="289" spans="2:15" ht="15" hidden="1" customHeight="1" outlineLevel="3" x14ac:dyDescent="0.2">
      <c r="B289" s="110" t="str">
        <f>IF(topdowntables!$N$4=1, "       grovfodertype 1", "       roughage type 1")</f>
        <v xml:space="preserve">       grovfodertype 1</v>
      </c>
      <c r="E289" s="905"/>
      <c r="F289" s="905"/>
      <c r="G289" s="905"/>
      <c r="H289" s="905"/>
      <c r="I289" s="516"/>
      <c r="K289" s="504"/>
      <c r="L289" s="504"/>
      <c r="M289" s="504"/>
      <c r="O289" s="823">
        <f>IF(OR(E289=$E$429, E289=$E$439, E289=$E$449, E289=$E$459, E289=$E$469, E289=$E$479), VLOOKUP(E289, feedavailability, 3, FALSE)-VLOOKUP(E289, feedavailability, 5, FALSE), 0)</f>
        <v>0</v>
      </c>
    </row>
    <row r="290" spans="2:15" ht="15" hidden="1" customHeight="1" outlineLevel="3" x14ac:dyDescent="0.2">
      <c r="B290" s="110" t="str">
        <f>IF(topdowntables!$N$4=1, "       grovfodertype 2", "       roughage type 2")</f>
        <v xml:space="preserve">       grovfodertype 2</v>
      </c>
      <c r="E290" s="917"/>
      <c r="F290" s="917"/>
      <c r="G290" s="917"/>
      <c r="H290" s="917"/>
      <c r="I290" s="516"/>
      <c r="K290" s="504"/>
      <c r="L290" s="504"/>
      <c r="M290" s="504"/>
      <c r="O290" s="823">
        <f>IF(OR(E290=$E$429, E290=$E$439, E290=$E$449, E290=$E$459, E290=$E$469, E290=$E$479), VLOOKUP(E290, feedavailability, 3, FALSE)-VLOOKUP(E290, feedavailability, 5, FALSE), 0)</f>
        <v>0</v>
      </c>
    </row>
    <row r="291" spans="2:15" ht="15" hidden="1" customHeight="1" outlineLevel="3" x14ac:dyDescent="0.2">
      <c r="B291" s="110" t="str">
        <f>IF(topdowntables!$N$4=1, "       grovfodertype 3", "       roughage type 3")</f>
        <v xml:space="preserve">       grovfodertype 3</v>
      </c>
      <c r="E291" s="905"/>
      <c r="F291" s="905"/>
      <c r="G291" s="905"/>
      <c r="H291" s="905"/>
      <c r="I291" s="516"/>
      <c r="K291" s="504"/>
      <c r="L291" s="504"/>
      <c r="M291" s="504"/>
      <c r="O291" s="823">
        <f>IF(OR(E291=$E$429, E291=$E$439, E291=$E$449, E291=$E$459, E291=$E$469, E291=$E$479), VLOOKUP(E291, feedavailability, 3, FALSE)-VLOOKUP(E291, feedavailability, 5, FALSE), 0)</f>
        <v>0</v>
      </c>
    </row>
    <row r="292" spans="2:15" ht="15" hidden="1" customHeight="1" outlineLevel="3" x14ac:dyDescent="0.2">
      <c r="B292" s="110" t="str">
        <f>IF(topdowntables!$N$4=1, "       grovfodertype 4", "       roughage type 4")</f>
        <v xml:space="preserve">       grovfodertype 4</v>
      </c>
      <c r="C292" s="521"/>
      <c r="E292" s="905"/>
      <c r="F292" s="905"/>
      <c r="G292" s="905"/>
      <c r="H292" s="905"/>
      <c r="I292" s="516"/>
      <c r="K292" s="504"/>
      <c r="L292" s="504"/>
      <c r="M292" s="504"/>
      <c r="O292" s="823">
        <f>IF(OR(E292=$E$429, E292=$E$439, E292=$E$449, E292=$E$459, E292=$E$469, E292=$E$479), VLOOKUP(E292, feedavailability, 3, FALSE)-VLOOKUP(E292, feedavailability, 5, FALSE), 0)</f>
        <v>0</v>
      </c>
    </row>
    <row r="293" spans="2:15" ht="15" hidden="1" customHeight="1" outlineLevel="3" x14ac:dyDescent="0.2">
      <c r="B293" s="110" t="str">
        <f>IF(topdowntables!$N$4=1, "       grovfodertype 5", "       roughage type 5")</f>
        <v xml:space="preserve">       grovfodertype 5</v>
      </c>
      <c r="D293" s="522"/>
      <c r="E293" s="905"/>
      <c r="F293" s="905"/>
      <c r="G293" s="905"/>
      <c r="H293" s="905"/>
      <c r="I293" s="523"/>
      <c r="K293" s="504"/>
      <c r="L293" s="504"/>
      <c r="M293" s="504"/>
      <c r="O293" s="823">
        <f>IF(OR(E293=$E$429, E293=$E$439, E293=$E$449, E293=$E$459, E293=$E$469, E293=$E$479), VLOOKUP(E293, feedavailability, 3, FALSE)-VLOOKUP(E293, feedavailability, 5, FALSE), 0)</f>
        <v>0</v>
      </c>
    </row>
    <row r="294" spans="2:15" ht="15" hidden="1" customHeight="1" outlineLevel="3" x14ac:dyDescent="0.2">
      <c r="B294" s="184" t="str">
        <f>IF(topdowntables!$N$4=1,IF(I294=100,"       Tryk '-' for at slutte","       Tjeck, skal være 100"),IF(I294=100,"       Click '-' to finalize","       Check total"))</f>
        <v xml:space="preserve">       Tjeck, skal være 100</v>
      </c>
      <c r="C294" s="524"/>
      <c r="D294" s="518"/>
      <c r="E294" s="524"/>
      <c r="F294" s="524"/>
      <c r="G294" s="524"/>
      <c r="H294" s="137"/>
      <c r="I294" s="519">
        <f>SUM(I289:I293)</f>
        <v>0</v>
      </c>
      <c r="K294" s="504"/>
      <c r="L294" s="504"/>
      <c r="M294" s="504"/>
    </row>
    <row r="295" spans="2:15" ht="15" hidden="1" customHeight="1" outlineLevel="2" collapsed="1" x14ac:dyDescent="0.2">
      <c r="B295" s="510"/>
      <c r="C295" s="510"/>
      <c r="H295" s="272"/>
      <c r="I295" s="272"/>
      <c r="K295" s="272"/>
      <c r="L295" s="272"/>
      <c r="M295" s="272"/>
    </row>
    <row r="296" spans="2:15" ht="15" hidden="1" customHeight="1" outlineLevel="1" collapsed="1" x14ac:dyDescent="0.2">
      <c r="B296" s="510"/>
      <c r="C296" s="510"/>
      <c r="H296" s="272"/>
      <c r="I296" s="272"/>
      <c r="K296" s="272"/>
      <c r="L296" s="272"/>
      <c r="M296" s="272"/>
    </row>
    <row r="297" spans="2:15" ht="15" customHeight="1" collapsed="1" x14ac:dyDescent="0.2">
      <c r="B297" s="510"/>
      <c r="C297" s="510"/>
      <c r="H297" s="272"/>
      <c r="I297" s="272"/>
      <c r="K297" s="272"/>
      <c r="L297" s="272"/>
      <c r="M297" s="272"/>
    </row>
    <row r="298" spans="2:15" ht="15" customHeight="1" x14ac:dyDescent="0.2">
      <c r="B298" s="178" t="str">
        <f>IF(topdowntables!$N$4=1, " Stalde/Folde", "Stable/Paddock")</f>
        <v xml:space="preserve"> Stalde/Folde</v>
      </c>
      <c r="C298" s="500"/>
      <c r="H298" s="272"/>
      <c r="I298" s="272"/>
      <c r="K298" s="272"/>
      <c r="L298" s="272"/>
      <c r="M298" s="272"/>
    </row>
    <row r="299" spans="2:15" ht="15" customHeight="1" x14ac:dyDescent="0.2">
      <c r="C299" s="500"/>
      <c r="H299" s="272"/>
      <c r="I299" s="272"/>
      <c r="K299" s="272"/>
      <c r="L299" s="272"/>
      <c r="M299" s="272"/>
    </row>
    <row r="300" spans="2:15" ht="15" hidden="1" customHeight="1" outlineLevel="1" x14ac:dyDescent="0.2">
      <c r="B300" s="181" t="str">
        <f>IF(topdowntables!$N$4=1, " Diegivning søer", "Lactating sows")</f>
        <v xml:space="preserve"> Diegivning søer</v>
      </c>
      <c r="C300" s="510"/>
      <c r="H300" s="110"/>
      <c r="I300" s="110"/>
      <c r="K300" s="504"/>
      <c r="L300" s="504"/>
      <c r="M300" s="504"/>
    </row>
    <row r="301" spans="2:15" ht="15" hidden="1" customHeight="1" outlineLevel="2" x14ac:dyDescent="0.2">
      <c r="B301" s="181"/>
      <c r="C301" s="510"/>
      <c r="H301" s="110"/>
      <c r="I301" s="110"/>
      <c r="K301" s="136"/>
      <c r="L301" s="136"/>
      <c r="M301" s="136"/>
    </row>
    <row r="302" spans="2:15" ht="15" hidden="1" customHeight="1" outlineLevel="2" x14ac:dyDescent="0.2">
      <c r="B302" s="182" t="str">
        <f>IF(topdowntables!$N$4=1, "   Opstaldningsform (inde/ude)", "   Housing type (indoor/outdoor)")</f>
        <v xml:space="preserve">   Opstaldningsform (inde/ude)</v>
      </c>
      <c r="C302" s="510"/>
      <c r="E302" s="544" t="s">
        <v>1011</v>
      </c>
      <c r="F302" s="545"/>
      <c r="H302" s="110"/>
      <c r="I302" s="110"/>
    </row>
    <row r="303" spans="2:15" ht="15" hidden="1" customHeight="1" outlineLevel="2" x14ac:dyDescent="0.2">
      <c r="B303" s="510"/>
      <c r="C303" s="510"/>
      <c r="E303" s="110" t="str">
        <f xml:space="preserve"> IFERROR(IF(topdowntables!$N$4=1, VLOOKUP('input-data'!$E$302,So_flyt,3,FALSE), VLOOKUP('input-data'!$E$302,topdowntables!C9:G11,3,FALSE)), "")</f>
        <v/>
      </c>
      <c r="F303" s="546"/>
      <c r="H303" s="110"/>
      <c r="I303" s="110"/>
    </row>
    <row r="304" spans="2:15" ht="15" hidden="1" customHeight="1" outlineLevel="2" x14ac:dyDescent="0.2">
      <c r="B304" s="182" t="str">
        <f>IF(topdowntables!$N$4=1, "   Opstaldning udendørs:", "   Housing, outdoor:")</f>
        <v xml:space="preserve">   Opstaldning udendørs:</v>
      </c>
      <c r="C304" s="547"/>
      <c r="H304" s="110"/>
      <c r="I304" s="110"/>
      <c r="K304" s="504"/>
      <c r="L304" s="504"/>
      <c r="M304" s="504"/>
    </row>
    <row r="305" spans="2:13" ht="15" hidden="1" customHeight="1" outlineLevel="2" x14ac:dyDescent="0.2">
      <c r="B305" s="110" t="str">
        <f>IF(topdowntables!$N$4=1, "    farefolde i alt, ha", "    paddock area for lactating sows, ha")</f>
        <v xml:space="preserve">    farefolde i alt, ha</v>
      </c>
      <c r="C305" s="505"/>
      <c r="E305" s="912"/>
      <c r="F305" s="912"/>
      <c r="H305" s="110"/>
      <c r="I305" s="110"/>
      <c r="K305" s="504"/>
      <c r="L305" s="504"/>
      <c r="M305" s="504"/>
    </row>
    <row r="306" spans="2:13" ht="15" hidden="1" customHeight="1" outlineLevel="2" x14ac:dyDescent="0.2">
      <c r="B306" s="110" t="str">
        <f>IF(topdowntables!$N$4=1, "    farefoldetype", "    paddock type")</f>
        <v xml:space="preserve">    farefoldetype</v>
      </c>
      <c r="C306" s="505"/>
      <c r="E306" s="913" t="s">
        <v>1381</v>
      </c>
      <c r="F306" s="914"/>
      <c r="H306" s="110"/>
      <c r="I306" s="110"/>
      <c r="K306" s="504"/>
      <c r="L306" s="504"/>
      <c r="M306" s="504"/>
    </row>
    <row r="307" spans="2:13" ht="15" hidden="1" customHeight="1" outlineLevel="2" x14ac:dyDescent="0.2">
      <c r="C307" s="505"/>
      <c r="E307" s="548" t="str">
        <f>IF(topdowntables!N4=1, IF('input-data'!E306:F306='Opstaldingsform-Housing '!$B$34, "treer areal, %:", ""),  IF('input-data'!E306:F306='Opstaldingsform-Housing '!$B$71, "trees area, %:", ""))</f>
        <v/>
      </c>
      <c r="F307" s="549"/>
      <c r="H307" s="110"/>
      <c r="I307" s="110"/>
      <c r="K307" s="504"/>
      <c r="L307" s="504"/>
      <c r="M307" s="504"/>
    </row>
    <row r="308" spans="2:13" ht="15" hidden="1" customHeight="1" outlineLevel="2" x14ac:dyDescent="0.2">
      <c r="C308" s="505"/>
      <c r="E308" s="513"/>
      <c r="F308" s="549"/>
      <c r="H308" s="110"/>
      <c r="I308" s="110"/>
      <c r="K308" s="504"/>
      <c r="L308" s="504"/>
      <c r="M308" s="504"/>
    </row>
    <row r="309" spans="2:13" ht="15" hidden="1" customHeight="1" outlineLevel="2" x14ac:dyDescent="0.2">
      <c r="B309" s="505" t="str">
        <f>IF(topdowntables!$N$4=1, "    strøelse forbrug, kg per faring", "    straw, kg per farrowing")</f>
        <v xml:space="preserve">    strøelse forbrug, kg per faring</v>
      </c>
      <c r="C309" s="505"/>
      <c r="E309" s="891"/>
      <c r="F309" s="892"/>
      <c r="H309" s="63"/>
      <c r="I309" s="63"/>
      <c r="K309" s="504"/>
      <c r="L309" s="504"/>
      <c r="M309" s="504"/>
    </row>
    <row r="310" spans="2:13" ht="15" hidden="1" customHeight="1" outlineLevel="2" x14ac:dyDescent="0.2">
      <c r="B310" s="110" t="str">
        <f>IF(topdowntables!$N$4=1, "    strøelse type", "    straw type")</f>
        <v xml:space="preserve">    strøelse type</v>
      </c>
      <c r="C310" s="505"/>
      <c r="E310" s="891" t="s">
        <v>440</v>
      </c>
      <c r="F310" s="892"/>
      <c r="H310" s="110"/>
      <c r="I310" s="110"/>
      <c r="K310" s="504" t="s">
        <v>440</v>
      </c>
      <c r="L310" s="504" t="s">
        <v>440</v>
      </c>
      <c r="M310" s="504" t="s">
        <v>440</v>
      </c>
    </row>
    <row r="311" spans="2:13" ht="15" hidden="1" customHeight="1" outlineLevel="2" x14ac:dyDescent="0.2">
      <c r="B311" s="505"/>
      <c r="C311" s="505"/>
      <c r="E311" s="136"/>
      <c r="F311" s="136"/>
      <c r="H311" s="110"/>
      <c r="I311" s="110"/>
      <c r="K311" s="551"/>
      <c r="L311" s="551"/>
      <c r="M311" s="551"/>
    </row>
    <row r="312" spans="2:13" ht="15" hidden="1" customHeight="1" outlineLevel="2" x14ac:dyDescent="0.2">
      <c r="B312" s="182" t="str">
        <f>IF(topdowntables!$N$4=1, "   Opstaldning indendørs:", "   Housing, indoor:")</f>
        <v xml:space="preserve">   Opstaldning indendørs:</v>
      </c>
      <c r="C312" s="510"/>
      <c r="E312" s="916" t="str">
        <f>IF(topdowntables!N4=1, "Gulvtype:", "Floor type:")</f>
        <v>Gulvtype:</v>
      </c>
      <c r="F312" s="916"/>
      <c r="G312" s="226"/>
      <c r="H312" s="110" t="str">
        <f>IF(E312=0, IF(topdowntables!$N$4=1, "&lt;- Input data", "Input data"), "")</f>
        <v/>
      </c>
      <c r="I312" s="110"/>
    </row>
    <row r="313" spans="2:13" ht="15" hidden="1" customHeight="1" outlineLevel="2" x14ac:dyDescent="0.2">
      <c r="B313" s="110" t="str">
        <f>IF(topdowntables!$N$4=1, "     indendørs areal, type", "     indoor area, type")</f>
        <v xml:space="preserve">     indendørs areal, type</v>
      </c>
      <c r="C313" s="552"/>
      <c r="E313" s="915"/>
      <c r="F313" s="915"/>
      <c r="G313" s="747"/>
      <c r="H313" s="338" t="str">
        <f>IF(OR($E$302=topdowntables!$C$5, $E$302=topdowntables!$C$6, $E$302=topdowntables!$C$10, $E$302=topdowntables!$C$11), IF(E313=0, IF(topdowntables!$N$4=1, "&lt;- Indtast data", "&lt;- Please select floor type"), ""), "")</f>
        <v/>
      </c>
      <c r="I313" s="110"/>
    </row>
    <row r="314" spans="2:13" ht="15" hidden="1" customHeight="1" outlineLevel="2" x14ac:dyDescent="0.2">
      <c r="B314" s="110" t="str">
        <f>IF(topdowntables!$N$4=1, "     udendørs areal, type", "     outdoor area, type")</f>
        <v xml:space="preserve">     udendørs areal, type</v>
      </c>
      <c r="C314" s="552"/>
      <c r="E314" s="915"/>
      <c r="F314" s="915"/>
      <c r="G314" s="747"/>
      <c r="H314" s="338" t="str">
        <f>IF(OR($E$302=topdowntables!$C$5, $E$302=topdowntables!$C$6, $E$302=topdowntables!$C$10, $E$302=topdowntables!$C$11), IF(E314=0, IF(topdowntables!$N$4=1, "&lt;- Indtast data", "&lt;- Please select floor type"), ""), "")</f>
        <v/>
      </c>
      <c r="I314" s="110"/>
    </row>
    <row r="315" spans="2:13" ht="15" hidden="1" customHeight="1" outlineLevel="2" x14ac:dyDescent="0.2">
      <c r="C315" s="552"/>
      <c r="G315" s="747"/>
      <c r="H315" s="63"/>
      <c r="I315" s="110"/>
    </row>
    <row r="316" spans="2:13" ht="15" hidden="1" customHeight="1" outlineLevel="2" x14ac:dyDescent="0.2">
      <c r="B316" s="505" t="str">
        <f>IF(topdowntables!$N$4=1, "     strøelse forbrug, kg per faring", "     straw, kg per farrowing")</f>
        <v xml:space="preserve">     strøelse forbrug, kg per faring</v>
      </c>
      <c r="C316" s="505"/>
      <c r="E316" s="550"/>
      <c r="F316" s="780"/>
      <c r="G316" s="63"/>
      <c r="H316" s="63"/>
      <c r="I316" s="110"/>
    </row>
    <row r="317" spans="2:13" ht="15" hidden="1" customHeight="1" outlineLevel="2" x14ac:dyDescent="0.2">
      <c r="B317" s="110" t="str">
        <f>IF(topdowntables!$N$4=1, "     strøelse type", "     straw type")</f>
        <v xml:space="preserve">     strøelse type</v>
      </c>
      <c r="C317" s="505"/>
      <c r="E317" s="891" t="s">
        <v>440</v>
      </c>
      <c r="F317" s="892"/>
      <c r="H317" s="110"/>
      <c r="I317" s="110"/>
      <c r="K317" s="504" t="s">
        <v>440</v>
      </c>
      <c r="L317" s="504" t="s">
        <v>440</v>
      </c>
      <c r="M317" s="504" t="s">
        <v>440</v>
      </c>
    </row>
    <row r="318" spans="2:13" ht="15" hidden="1" customHeight="1" outlineLevel="2" x14ac:dyDescent="0.2">
      <c r="B318" s="110" t="str">
        <f>IF(topdowntables!$N$4=1, "     gødning til biogas, %", "     manure delivered to biogas plants, %")</f>
        <v xml:space="preserve">     gødning til biogas, %</v>
      </c>
      <c r="C318" s="505"/>
      <c r="E318" s="915"/>
      <c r="F318" s="915"/>
      <c r="H318" s="110"/>
      <c r="I318" s="110"/>
      <c r="K318" s="136"/>
      <c r="L318" s="136"/>
      <c r="M318" s="136"/>
    </row>
    <row r="319" spans="2:13" ht="15" hidden="1" customHeight="1" outlineLevel="2" x14ac:dyDescent="0.2">
      <c r="B319" s="110" t="str">
        <f>IF(topdowntables!$N$4=1, "     gylle forsuring, %", "     slurry, acidified in stable, %")</f>
        <v xml:space="preserve">     gylle forsuring, %</v>
      </c>
      <c r="C319" s="505"/>
      <c r="E319" s="915"/>
      <c r="F319" s="915"/>
      <c r="H319" s="110"/>
      <c r="I319" s="110"/>
      <c r="K319" s="136"/>
      <c r="L319" s="136"/>
      <c r="M319" s="136"/>
    </row>
    <row r="320" spans="2:13" ht="15" hidden="1" customHeight="1" outlineLevel="2" x14ac:dyDescent="0.2">
      <c r="B320" s="110" t="str">
        <f>IF(topdowntables!$N$4=1, "     fast staldgødning/dybstrøelse til mark, %", "     solid manure/deep litter, directly applied to fields, %")</f>
        <v xml:space="preserve">     fast staldgødning/dybstrøelse til mark, %</v>
      </c>
      <c r="C320" s="505"/>
      <c r="E320" s="915"/>
      <c r="F320" s="915"/>
      <c r="H320" s="110"/>
      <c r="I320" s="110"/>
      <c r="K320" s="136"/>
      <c r="L320" s="136"/>
      <c r="M320" s="136"/>
    </row>
    <row r="321" spans="2:14" ht="15" hidden="1" customHeight="1" outlineLevel="1" collapsed="1" x14ac:dyDescent="0.2">
      <c r="E321" s="136"/>
      <c r="F321" s="136"/>
      <c r="H321" s="110"/>
      <c r="I321" s="110"/>
      <c r="K321" s="136"/>
      <c r="L321" s="136"/>
      <c r="M321" s="136"/>
    </row>
    <row r="322" spans="2:14" ht="15" hidden="1" customHeight="1" outlineLevel="1" x14ac:dyDescent="0.2">
      <c r="B322" s="181" t="str">
        <f>IF(topdowntables!$N$4=1, " Drægtige søer", "Gestating sows")</f>
        <v xml:space="preserve"> Drægtige søer</v>
      </c>
      <c r="C322" s="510"/>
      <c r="D322" s="63"/>
      <c r="G322" s="63"/>
      <c r="H322" s="110"/>
      <c r="I322" s="110"/>
      <c r="J322" s="63"/>
      <c r="K322" s="551"/>
      <c r="L322" s="551"/>
      <c r="M322" s="551"/>
      <c r="N322" s="63"/>
    </row>
    <row r="323" spans="2:14" ht="15" hidden="1" customHeight="1" outlineLevel="2" x14ac:dyDescent="0.2">
      <c r="B323" s="181"/>
      <c r="C323" s="510"/>
      <c r="D323" s="63"/>
      <c r="G323" s="63"/>
      <c r="H323" s="110"/>
      <c r="I323" s="110"/>
      <c r="J323" s="63"/>
      <c r="K323" s="136"/>
      <c r="L323" s="136"/>
      <c r="M323" s="136"/>
      <c r="N323" s="63"/>
    </row>
    <row r="324" spans="2:14" ht="15" hidden="1" customHeight="1" outlineLevel="2" x14ac:dyDescent="0.2">
      <c r="B324" s="182" t="str">
        <f>IF(topdowntables!$N$4=1, "   Opstaldningsform (inde/ude)", "   Housing type (indoor/outdoor)")</f>
        <v xml:space="preserve">   Opstaldningsform (inde/ude)</v>
      </c>
      <c r="C324" s="510"/>
      <c r="E324" s="544" t="s">
        <v>1011</v>
      </c>
      <c r="F324" s="553"/>
      <c r="H324" s="110"/>
      <c r="I324" s="110"/>
    </row>
    <row r="325" spans="2:14" ht="15" hidden="1" customHeight="1" outlineLevel="2" x14ac:dyDescent="0.2">
      <c r="B325" s="510"/>
      <c r="C325" s="510"/>
      <c r="E325" s="110" t="str">
        <f xml:space="preserve"> IFERROR(IF(topdowntables!$N$4=1, VLOOKUP('input-data'!$E$324,So_flyt,3,FALSE), VLOOKUP('input-data'!$E$324,topdowntables!$C$9:$G$11,3,FALSE)), "")</f>
        <v/>
      </c>
      <c r="F325" s="546"/>
      <c r="H325" s="110"/>
      <c r="I325" s="110"/>
    </row>
    <row r="326" spans="2:14" ht="15" hidden="1" customHeight="1" outlineLevel="2" x14ac:dyDescent="0.2">
      <c r="B326" s="182" t="str">
        <f>IF(topdowntables!$N$4=1, "   Opstaldning udendørs:", "   Housing, outdoor:")</f>
        <v xml:space="preserve">   Opstaldning udendørs:</v>
      </c>
      <c r="C326" s="547"/>
      <c r="H326" s="110"/>
      <c r="I326" s="110"/>
      <c r="K326" s="504"/>
      <c r="L326" s="504"/>
      <c r="M326" s="504"/>
    </row>
    <row r="327" spans="2:14" ht="15" hidden="1" customHeight="1" outlineLevel="2" x14ac:dyDescent="0.2">
      <c r="B327" s="110" t="str">
        <f>IF(topdowntables!$N$4=1, "    drægtidhedfolde i alt, ha", "    paddock area for gestating sows, ha")</f>
        <v xml:space="preserve">    drægtidhedfolde i alt, ha</v>
      </c>
      <c r="C327" s="510"/>
      <c r="E327" s="912"/>
      <c r="F327" s="912"/>
      <c r="H327" s="110"/>
      <c r="I327" s="110"/>
      <c r="K327" s="504"/>
      <c r="L327" s="504"/>
      <c r="M327" s="504"/>
    </row>
    <row r="328" spans="2:14" ht="15" hidden="1" customHeight="1" outlineLevel="2" x14ac:dyDescent="0.2">
      <c r="B328" s="110" t="str">
        <f>IF(topdowntables!$N$4=1, "    drægtighedsfolde, type", "    paddock type")</f>
        <v xml:space="preserve">    drægtighedsfolde, type</v>
      </c>
      <c r="C328" s="510"/>
      <c r="E328" s="913" t="s">
        <v>1381</v>
      </c>
      <c r="F328" s="914"/>
      <c r="H328" s="110"/>
      <c r="I328" s="110"/>
      <c r="K328" s="504"/>
      <c r="L328" s="504"/>
      <c r="M328" s="504"/>
    </row>
    <row r="329" spans="2:14" ht="15" hidden="1" customHeight="1" outlineLevel="2" x14ac:dyDescent="0.2">
      <c r="C329" s="510"/>
      <c r="E329" s="548" t="str">
        <f>IF(topdowntables!$N$4=1, IF('input-data'!E328:F328='Opstaldingsform-Housing '!$B$34, "treer areal, %:", ""),  IF('input-data'!E328:F328='Opstaldingsform-Housing '!$B$73, "trees area, %:", ""))</f>
        <v/>
      </c>
      <c r="F329" s="548"/>
      <c r="H329" s="110"/>
      <c r="I329" s="110"/>
      <c r="K329" s="504"/>
      <c r="L329" s="504"/>
      <c r="M329" s="504"/>
    </row>
    <row r="330" spans="2:14" ht="15" hidden="1" customHeight="1" outlineLevel="2" x14ac:dyDescent="0.2">
      <c r="C330" s="510"/>
      <c r="E330" s="513"/>
      <c r="F330" s="548"/>
      <c r="H330" s="110"/>
      <c r="I330" s="110"/>
      <c r="K330" s="504"/>
      <c r="L330" s="504"/>
      <c r="M330" s="504"/>
    </row>
    <row r="331" spans="2:14" ht="15" hidden="1" customHeight="1" outlineLevel="2" x14ac:dyDescent="0.2">
      <c r="B331" s="505" t="str">
        <f>IF(topdowntables!$N$4=1, "     strøelse forbrug, kg per dyr per dag", "     straw, kg per animal per day")</f>
        <v xml:space="preserve">     strøelse forbrug, kg per dyr per dag</v>
      </c>
      <c r="C331" s="505"/>
      <c r="E331" s="915">
        <v>0.1</v>
      </c>
      <c r="F331" s="915"/>
      <c r="H331" s="110"/>
      <c r="I331" s="110"/>
      <c r="K331" s="504"/>
      <c r="L331" s="504"/>
      <c r="M331" s="504"/>
    </row>
    <row r="332" spans="2:14" ht="15" hidden="1" customHeight="1" outlineLevel="2" x14ac:dyDescent="0.2">
      <c r="B332" s="110" t="str">
        <f>IF(topdowntables!$N$4=1, "     strøelse type", "     straw type")</f>
        <v xml:space="preserve">     strøelse type</v>
      </c>
      <c r="C332" s="505"/>
      <c r="E332" s="891" t="s">
        <v>440</v>
      </c>
      <c r="F332" s="892"/>
      <c r="G332" s="63"/>
      <c r="H332" s="63"/>
      <c r="I332" s="63"/>
      <c r="K332" s="504" t="s">
        <v>440</v>
      </c>
      <c r="L332" s="504" t="s">
        <v>440</v>
      </c>
      <c r="M332" s="504" t="s">
        <v>440</v>
      </c>
    </row>
    <row r="333" spans="2:14" ht="15" hidden="1" customHeight="1" outlineLevel="2" x14ac:dyDescent="0.2">
      <c r="B333" s="505"/>
      <c r="C333" s="505"/>
      <c r="G333" s="63"/>
      <c r="H333" s="63"/>
      <c r="I333" s="63"/>
    </row>
    <row r="334" spans="2:14" ht="15" hidden="1" customHeight="1" outlineLevel="2" x14ac:dyDescent="0.2">
      <c r="B334" s="182" t="str">
        <f>IF(topdowntables!$N$4=1, "   Opstaldning indendørs:", "   Housing, indoor:")</f>
        <v xml:space="preserve">   Opstaldning indendørs:</v>
      </c>
      <c r="C334" s="510"/>
      <c r="E334" s="916" t="str">
        <f>IF(topdowntables!$N$4=1, "Gulvtype:", "Floor type:")</f>
        <v>Gulvtype:</v>
      </c>
      <c r="F334" s="916"/>
      <c r="G334" s="226"/>
      <c r="H334" s="63"/>
      <c r="I334" s="63"/>
    </row>
    <row r="335" spans="2:14" ht="15" hidden="1" customHeight="1" outlineLevel="2" x14ac:dyDescent="0.2">
      <c r="B335" s="110" t="str">
        <f>IF(topdowntables!$N$4=1, "     indendørs areal, type", "     indoor area, type")</f>
        <v xml:space="preserve">     indendørs areal, type</v>
      </c>
      <c r="C335" s="552"/>
      <c r="E335" s="915"/>
      <c r="F335" s="915"/>
      <c r="G335" s="747"/>
      <c r="H335" s="338" t="str">
        <f>IF(OR($E$324=topdowntables!$C$5, $E$324=topdowntables!$C$6, $E$324=topdowntables!$C$10, $E$324=topdowntables!$C$11), IF(E335=0, IF(topdowntables!$N$4=1, "&lt;- Indtast data", "&lt;- Please select floor type"), ""), "")</f>
        <v/>
      </c>
      <c r="I335" s="63"/>
    </row>
    <row r="336" spans="2:14" ht="15" hidden="1" customHeight="1" outlineLevel="2" x14ac:dyDescent="0.2">
      <c r="B336" s="110" t="str">
        <f>IF(topdowntables!$N$4=1, "     udendørs areal, type", "     outdoor area, type")</f>
        <v xml:space="preserve">     udendørs areal, type</v>
      </c>
      <c r="C336" s="552"/>
      <c r="E336" s="915"/>
      <c r="F336" s="915"/>
      <c r="G336" s="747"/>
      <c r="H336" s="338" t="str">
        <f>IF(OR($E$324=topdowntables!$C$5, $E$324=topdowntables!$C$6, $E$324=topdowntables!$C$10, $E$324=topdowntables!$C$11), IF(E336=0, IF(topdowntables!$N$4=1, "&lt;- Indtast data", "&lt;- Please select floor type"), ""), "")</f>
        <v/>
      </c>
      <c r="I336" s="63"/>
    </row>
    <row r="337" spans="2:13" ht="15" hidden="1" customHeight="1" outlineLevel="2" x14ac:dyDescent="0.2">
      <c r="C337" s="552"/>
      <c r="G337" s="747"/>
      <c r="H337" s="63"/>
      <c r="I337" s="63"/>
    </row>
    <row r="338" spans="2:13" ht="15" hidden="1" customHeight="1" outlineLevel="2" x14ac:dyDescent="0.2">
      <c r="B338" s="505" t="str">
        <f>IF(topdowntables!$N$4=1, "     strøelse forbrug, kg per dyr per dag", "     straw, kg per animal per day")</f>
        <v xml:space="preserve">     strøelse forbrug, kg per dyr per dag</v>
      </c>
      <c r="C338" s="505"/>
      <c r="E338" s="748"/>
      <c r="F338" s="748"/>
      <c r="G338" s="63"/>
      <c r="H338" s="63"/>
      <c r="I338" s="63"/>
    </row>
    <row r="339" spans="2:13" ht="15" hidden="1" customHeight="1" outlineLevel="2" x14ac:dyDescent="0.2">
      <c r="B339" s="110" t="str">
        <f>IF(topdowntables!$N$4=1, "     strøelse type", "     straw type")</f>
        <v xml:space="preserve">     strøelse type</v>
      </c>
      <c r="C339" s="505"/>
      <c r="E339" s="891"/>
      <c r="F339" s="892"/>
      <c r="G339" s="63"/>
      <c r="H339" s="63"/>
      <c r="I339" s="63"/>
      <c r="K339" s="504" t="s">
        <v>440</v>
      </c>
      <c r="L339" s="504" t="s">
        <v>440</v>
      </c>
      <c r="M339" s="504" t="s">
        <v>440</v>
      </c>
    </row>
    <row r="340" spans="2:13" ht="15" hidden="1" customHeight="1" outlineLevel="2" x14ac:dyDescent="0.2">
      <c r="B340" s="110" t="str">
        <f>IF(topdowntables!$N$4=1, "     gødning til biogas, %", "     manure delivered to biogas plants, %")</f>
        <v xml:space="preserve">     gødning til biogas, %</v>
      </c>
      <c r="C340" s="505"/>
      <c r="E340" s="915"/>
      <c r="F340" s="915"/>
      <c r="H340" s="110"/>
      <c r="I340" s="110"/>
      <c r="K340" s="136"/>
      <c r="L340" s="136"/>
      <c r="M340" s="136"/>
    </row>
    <row r="341" spans="2:13" ht="15" hidden="1" customHeight="1" outlineLevel="2" x14ac:dyDescent="0.2">
      <c r="B341" s="110" t="str">
        <f>IF(topdowntables!$N$4=1, "     gylle forsuring, %", "     slurry, acidified in stable, %")</f>
        <v xml:space="preserve">     gylle forsuring, %</v>
      </c>
      <c r="C341" s="505"/>
      <c r="E341" s="915"/>
      <c r="F341" s="915"/>
      <c r="H341" s="110"/>
      <c r="I341" s="110"/>
      <c r="K341" s="136"/>
      <c r="L341" s="136"/>
      <c r="M341" s="136"/>
    </row>
    <row r="342" spans="2:13" ht="15" hidden="1" customHeight="1" outlineLevel="2" x14ac:dyDescent="0.2">
      <c r="B342" s="110" t="str">
        <f>IF(topdowntables!$N$4=1, "     fast staldgødning/dybstrøelse til mark, %", "     solid manure/deep litter, directly applied to fields, %")</f>
        <v xml:space="preserve">     fast staldgødning/dybstrøelse til mark, %</v>
      </c>
      <c r="C342" s="505"/>
      <c r="E342" s="915"/>
      <c r="F342" s="915"/>
      <c r="H342" s="110"/>
      <c r="I342" s="110"/>
      <c r="K342" s="136"/>
      <c r="L342" s="136"/>
      <c r="M342" s="136"/>
    </row>
    <row r="343" spans="2:13" ht="15" hidden="1" customHeight="1" outlineLevel="1" collapsed="1" x14ac:dyDescent="0.2">
      <c r="E343" s="136"/>
      <c r="F343" s="136"/>
      <c r="H343" s="110"/>
      <c r="I343" s="110"/>
      <c r="K343" s="136"/>
      <c r="L343" s="136"/>
      <c r="M343" s="136"/>
    </row>
    <row r="344" spans="2:13" ht="15" hidden="1" customHeight="1" outlineLevel="1" x14ac:dyDescent="0.2">
      <c r="B344" s="181" t="str">
        <f>IF(topdowntables!$N$4=1, " Smågrise", " Piglets")</f>
        <v xml:space="preserve"> Smågrise</v>
      </c>
      <c r="C344" s="510"/>
      <c r="H344" s="110"/>
      <c r="I344" s="110"/>
    </row>
    <row r="345" spans="2:13" ht="15" hidden="1" customHeight="1" outlineLevel="1" x14ac:dyDescent="0.2">
      <c r="B345" s="181"/>
      <c r="C345" s="510"/>
      <c r="H345" s="110"/>
      <c r="I345" s="110"/>
    </row>
    <row r="346" spans="2:13" ht="15" hidden="1" customHeight="1" outlineLevel="2" x14ac:dyDescent="0.2">
      <c r="B346" s="182" t="str">
        <f>IF(topdowntables!$N$4=1, "   Opstaldningsform (inde/ude)", "   Housing type (indoor/outdoor)")</f>
        <v xml:space="preserve">   Opstaldningsform (inde/ude)</v>
      </c>
      <c r="C346" s="510"/>
      <c r="E346" s="913" t="s">
        <v>986</v>
      </c>
      <c r="F346" s="914"/>
      <c r="H346" s="110"/>
      <c r="I346" s="110"/>
    </row>
    <row r="347" spans="2:13" ht="15" hidden="1" customHeight="1" outlineLevel="2" x14ac:dyDescent="0.2">
      <c r="B347" s="510"/>
      <c r="C347" s="510"/>
      <c r="E347" s="272" t="str">
        <f>IFERROR( IF(topdowntables!$N$4=1, (VLOOKUP($E$346,Opstald_flyt,3,FALSE)), (VLOOKUP($E$346, topdowntables!$C$19:$G$21,3,FALSE))), "")</f>
        <v/>
      </c>
      <c r="F347" s="549"/>
      <c r="H347" s="110"/>
      <c r="I347" s="110"/>
    </row>
    <row r="348" spans="2:13" ht="15" hidden="1" customHeight="1" outlineLevel="2" x14ac:dyDescent="0.2">
      <c r="B348" s="182" t="str">
        <f>IF(topdowntables!$N$4=1, "   Opstaldning udendørs:", "   Housing, outdoor:")</f>
        <v xml:space="preserve">   Opstaldning udendørs:</v>
      </c>
      <c r="C348" s="547"/>
      <c r="H348" s="110"/>
      <c r="I348" s="110"/>
      <c r="K348" s="504"/>
      <c r="L348" s="504"/>
      <c r="M348" s="504"/>
    </row>
    <row r="349" spans="2:13" ht="15" hidden="1" customHeight="1" outlineLevel="2" x14ac:dyDescent="0.2">
      <c r="B349" s="110" t="str">
        <f>IF(topdowntables!$N$4=1, "     smågrisefolde i alt, ha", "     paddock area for piglets, ha")</f>
        <v xml:space="preserve">     smågrisefolde i alt, ha</v>
      </c>
      <c r="C349" s="510"/>
      <c r="E349" s="912"/>
      <c r="F349" s="912"/>
      <c r="H349" s="110"/>
      <c r="I349" s="110"/>
      <c r="K349" s="504"/>
      <c r="L349" s="504"/>
      <c r="M349" s="504"/>
    </row>
    <row r="350" spans="2:13" ht="15" hidden="1" customHeight="1" outlineLevel="2" x14ac:dyDescent="0.2">
      <c r="B350" s="110" t="str">
        <f>IF(topdowntables!$N$4=1, "     smågrisefoldetype", "     paddock type")</f>
        <v xml:space="preserve">     smågrisefoldetype</v>
      </c>
      <c r="C350" s="510"/>
      <c r="E350" s="913" t="s">
        <v>1381</v>
      </c>
      <c r="F350" s="914"/>
      <c r="H350" s="110"/>
      <c r="I350" s="110"/>
      <c r="K350" s="504"/>
      <c r="L350" s="504"/>
      <c r="M350" s="504"/>
    </row>
    <row r="351" spans="2:13" ht="15" hidden="1" customHeight="1" outlineLevel="2" x14ac:dyDescent="0.2">
      <c r="C351" s="510"/>
      <c r="E351" s="548" t="str">
        <f>IF(topdowntables!$N$4=1, IF('input-data'!E350:F350='Opstaldingsform-Housing '!$B$34, "treer areal, %:", ""),  IF('input-data'!E350:F350='Opstaldingsform-Housing '!$B$73, "trees area, %:", ""))</f>
        <v/>
      </c>
      <c r="F351" s="548"/>
      <c r="H351" s="110"/>
      <c r="I351" s="110"/>
      <c r="K351" s="504"/>
      <c r="L351" s="504"/>
      <c r="M351" s="504"/>
    </row>
    <row r="352" spans="2:13" ht="15" hidden="1" customHeight="1" outlineLevel="2" x14ac:dyDescent="0.2">
      <c r="C352" s="510"/>
      <c r="E352" s="513"/>
      <c r="F352" s="549"/>
      <c r="H352" s="110"/>
      <c r="I352" s="110"/>
      <c r="K352" s="504"/>
      <c r="L352" s="504"/>
      <c r="M352" s="504"/>
    </row>
    <row r="353" spans="2:13" ht="15" hidden="1" customHeight="1" outlineLevel="2" x14ac:dyDescent="0.2">
      <c r="B353" s="505" t="str">
        <f>IF(topdowntables!$N$4=1, "     strøelse forbrug, kg per dyr per dag", "     straw, kg per animal per day")</f>
        <v xml:space="preserve">     strøelse forbrug, kg per dyr per dag</v>
      </c>
      <c r="C353" s="505"/>
      <c r="E353" s="915">
        <v>0.5</v>
      </c>
      <c r="F353" s="915"/>
      <c r="H353" s="110"/>
      <c r="I353" s="110"/>
      <c r="K353" s="504"/>
      <c r="L353" s="504"/>
      <c r="M353" s="504"/>
    </row>
    <row r="354" spans="2:13" ht="15" hidden="1" customHeight="1" outlineLevel="2" x14ac:dyDescent="0.2">
      <c r="B354" s="110" t="str">
        <f>IF(topdowntables!$N$4=1, "     strøelse type", "     straw type")</f>
        <v xml:space="preserve">     strøelse type</v>
      </c>
      <c r="C354" s="505"/>
      <c r="E354" s="891" t="s">
        <v>440</v>
      </c>
      <c r="F354" s="892"/>
      <c r="G354" s="511"/>
      <c r="H354" s="110"/>
      <c r="I354" s="110"/>
      <c r="K354" s="504" t="s">
        <v>440</v>
      </c>
      <c r="L354" s="504" t="s">
        <v>440</v>
      </c>
      <c r="M354" s="504" t="s">
        <v>440</v>
      </c>
    </row>
    <row r="355" spans="2:13" s="63" customFormat="1" ht="15" hidden="1" customHeight="1" outlineLevel="2" x14ac:dyDescent="0.2">
      <c r="B355" s="520"/>
      <c r="C355" s="520"/>
      <c r="G355" s="511"/>
      <c r="H355" s="136"/>
      <c r="I355" s="136"/>
      <c r="K355" s="136"/>
      <c r="L355" s="136"/>
      <c r="M355" s="136"/>
    </row>
    <row r="356" spans="2:13" ht="15" hidden="1" customHeight="1" outlineLevel="2" x14ac:dyDescent="0.2">
      <c r="B356" s="182" t="str">
        <f>IF(topdowntables!$N$4=1, "   Opstaldning indendørs:", "   Housing, indoor:")</f>
        <v xml:space="preserve">   Opstaldning indendørs:</v>
      </c>
      <c r="C356" s="510"/>
      <c r="E356" s="916" t="str">
        <f>IF(topdowntables!$N$4=1, "Gulvtype:", "Floor type:")</f>
        <v>Gulvtype:</v>
      </c>
      <c r="F356" s="916"/>
      <c r="G356" s="226"/>
      <c r="H356" s="110"/>
      <c r="I356" s="110"/>
      <c r="K356" s="554" t="s">
        <v>809</v>
      </c>
      <c r="L356" s="554" t="s">
        <v>809</v>
      </c>
      <c r="M356" s="554" t="s">
        <v>809</v>
      </c>
    </row>
    <row r="357" spans="2:13" ht="15" hidden="1" customHeight="1" outlineLevel="2" x14ac:dyDescent="0.2">
      <c r="B357" s="110" t="str">
        <f>IF(topdowntables!$N$4=1, "     indendørs areal, type", "     indoor area, type")</f>
        <v xml:space="preserve">     indendørs areal, type</v>
      </c>
      <c r="C357" s="552"/>
      <c r="E357" s="915"/>
      <c r="F357" s="915"/>
      <c r="G357" s="747"/>
      <c r="H357" s="338" t="str">
        <f>IF(OR($E$346=topdowntables!$C$14, $E$346=topdowntables!$C$16, $E$346=topdowntables!$C$19, $E$346=topdowntables!$C$21), IF(E357=0, IF(topdowntables!$N$4=1, "&lt;- Indtast data", "&lt;- Please select floor type"), ""), "")</f>
        <v/>
      </c>
      <c r="I357" s="110"/>
    </row>
    <row r="358" spans="2:13" ht="15" hidden="1" customHeight="1" outlineLevel="2" x14ac:dyDescent="0.2">
      <c r="B358" s="110" t="str">
        <f>IF(topdowntables!$N$4=1, "     udendørs areal, type", "     outdoor area, type")</f>
        <v xml:space="preserve">     udendørs areal, type</v>
      </c>
      <c r="C358" s="552"/>
      <c r="E358" s="915"/>
      <c r="F358" s="915"/>
      <c r="G358" s="747"/>
      <c r="H358" s="338" t="str">
        <f>IF(OR($E$346=topdowntables!$C$14, $E$346=topdowntables!$C$16, $E$346=topdowntables!$C$19, $E$346=topdowntables!$C$21), IF(E358=0, IF(topdowntables!$N$4=1, "&lt;- Indtast data", "&lt;- Please select floor type"), ""), "")</f>
        <v/>
      </c>
      <c r="I358" s="110"/>
    </row>
    <row r="359" spans="2:13" ht="15" hidden="1" customHeight="1" outlineLevel="2" x14ac:dyDescent="0.2">
      <c r="C359" s="552"/>
      <c r="G359" s="747"/>
      <c r="H359" s="110"/>
      <c r="I359" s="110"/>
    </row>
    <row r="360" spans="2:13" ht="15" hidden="1" customHeight="1" outlineLevel="2" x14ac:dyDescent="0.2">
      <c r="B360" s="505" t="str">
        <f>IF(topdowntables!$N$4=1, "     strøelse forbrug, kg per dyr per dag", "     straw, kg per animal per day")</f>
        <v xml:space="preserve">     strøelse forbrug, kg per dyr per dag</v>
      </c>
      <c r="C360" s="505"/>
      <c r="E360" s="915"/>
      <c r="F360" s="891"/>
      <c r="G360" s="511"/>
      <c r="H360" s="110"/>
      <c r="I360" s="110"/>
    </row>
    <row r="361" spans="2:13" ht="15" hidden="1" customHeight="1" outlineLevel="2" x14ac:dyDescent="0.2">
      <c r="B361" s="110" t="str">
        <f>IF(topdowntables!$N$4=1, "     strøelse type", "     straw type")</f>
        <v xml:space="preserve">     strøelse type</v>
      </c>
      <c r="C361" s="505"/>
      <c r="E361" s="891"/>
      <c r="F361" s="892"/>
      <c r="H361" s="110"/>
      <c r="I361" s="110"/>
      <c r="K361" s="504" t="s">
        <v>440</v>
      </c>
      <c r="L361" s="504" t="s">
        <v>440</v>
      </c>
      <c r="M361" s="504" t="s">
        <v>440</v>
      </c>
    </row>
    <row r="362" spans="2:13" ht="15" hidden="1" customHeight="1" outlineLevel="2" x14ac:dyDescent="0.2">
      <c r="B362" s="110" t="str">
        <f>IF(topdowntables!$N$4=1, "     gødning til biogas, %", "     manure delivered to biogas plants, %")</f>
        <v xml:space="preserve">     gødning til biogas, %</v>
      </c>
      <c r="C362" s="505"/>
      <c r="E362" s="915"/>
      <c r="F362" s="915"/>
      <c r="H362" s="110"/>
      <c r="I362" s="110"/>
      <c r="K362" s="136"/>
      <c r="L362" s="136"/>
      <c r="M362" s="136"/>
    </row>
    <row r="363" spans="2:13" ht="15" hidden="1" customHeight="1" outlineLevel="2" x14ac:dyDescent="0.2">
      <c r="B363" s="110" t="str">
        <f>IF(topdowntables!$N$4=1, "     gylle forsuring, %", "     slurry, acidified in stable, %")</f>
        <v xml:space="preserve">     gylle forsuring, %</v>
      </c>
      <c r="C363" s="505"/>
      <c r="E363" s="915"/>
      <c r="F363" s="915"/>
      <c r="H363" s="110"/>
      <c r="I363" s="110"/>
      <c r="K363" s="136"/>
      <c r="L363" s="136"/>
      <c r="M363" s="136"/>
    </row>
    <row r="364" spans="2:13" ht="15" hidden="1" customHeight="1" outlineLevel="2" x14ac:dyDescent="0.2">
      <c r="B364" s="110" t="str">
        <f>IF(topdowntables!$N$4=1, "     fast staldgødning/dybstræelse til mark, %", "     solid manure/deep litter, directly applied to fields, %")</f>
        <v xml:space="preserve">     fast staldgødning/dybstræelse til mark, %</v>
      </c>
      <c r="C364" s="505"/>
      <c r="E364" s="915"/>
      <c r="F364" s="915"/>
      <c r="H364" s="110"/>
      <c r="I364" s="110"/>
      <c r="K364" s="136"/>
      <c r="L364" s="136"/>
      <c r="M364" s="136"/>
    </row>
    <row r="365" spans="2:13" ht="15" hidden="1" customHeight="1" outlineLevel="1" collapsed="1" x14ac:dyDescent="0.2">
      <c r="E365" s="63"/>
      <c r="F365" s="63"/>
      <c r="H365" s="136"/>
      <c r="I365" s="136"/>
      <c r="K365" s="478"/>
      <c r="L365" s="478"/>
      <c r="M365" s="478"/>
    </row>
    <row r="366" spans="2:13" ht="15" hidden="1" customHeight="1" outlineLevel="1" x14ac:dyDescent="0.2">
      <c r="B366" s="181" t="str">
        <f>IF(topdowntables!$N$4=1, " Slagtesvin", " Slaughter pigs")</f>
        <v xml:space="preserve"> Slagtesvin</v>
      </c>
      <c r="C366" s="510"/>
      <c r="H366" s="63"/>
      <c r="I366" s="63"/>
    </row>
    <row r="367" spans="2:13" ht="15" hidden="1" customHeight="1" outlineLevel="1" x14ac:dyDescent="0.2">
      <c r="B367" s="181"/>
      <c r="C367" s="510"/>
      <c r="H367" s="63"/>
      <c r="I367" s="63"/>
    </row>
    <row r="368" spans="2:13" ht="15" hidden="1" customHeight="1" outlineLevel="2" x14ac:dyDescent="0.2">
      <c r="B368" s="182" t="str">
        <f>IF(topdowntables!$N$4=1, "   Opstaldningsform (inde/ude)", "   Housing type (indoor/outdoor)")</f>
        <v xml:space="preserve">   Opstaldningsform (inde/ude)</v>
      </c>
      <c r="C368" s="510"/>
      <c r="E368" s="913" t="s">
        <v>1016</v>
      </c>
      <c r="F368" s="914"/>
      <c r="H368" s="110"/>
      <c r="I368" s="110"/>
    </row>
    <row r="369" spans="2:13" ht="15" hidden="1" customHeight="1" outlineLevel="2" x14ac:dyDescent="0.2">
      <c r="B369" s="510"/>
      <c r="C369" s="510"/>
      <c r="E369" s="272" t="str">
        <f>IFERROR( IF(topdowntables!$N$4=1, (VLOOKUP($E$368,topdowntables!C25:G27,3,FALSE)), (VLOOKUP($E$368, topdowntables!$C$30:$G$32,3,FALSE))), "")</f>
        <v/>
      </c>
      <c r="F369" s="549"/>
      <c r="H369" s="110"/>
      <c r="I369" s="110"/>
    </row>
    <row r="370" spans="2:13" ht="15" hidden="1" customHeight="1" outlineLevel="2" x14ac:dyDescent="0.2">
      <c r="B370" s="182" t="str">
        <f>IF(topdowntables!$N$4=1, "   Opstaldning udendørs:", "   Housing, outdoor:")</f>
        <v xml:space="preserve">   Opstaldning udendørs:</v>
      </c>
      <c r="C370" s="547"/>
      <c r="H370" s="110"/>
      <c r="I370" s="110"/>
      <c r="K370" s="504"/>
      <c r="L370" s="504"/>
      <c r="M370" s="504"/>
    </row>
    <row r="371" spans="2:13" ht="15" hidden="1" customHeight="1" outlineLevel="2" x14ac:dyDescent="0.2">
      <c r="B371" s="110" t="str">
        <f>IF(topdowntables!$N$4=1, "     slagtersvinefolde i alt, ha", "     paddock area, ha")</f>
        <v xml:space="preserve">     slagtersvinefolde i alt, ha</v>
      </c>
      <c r="C371" s="510"/>
      <c r="E371" s="912"/>
      <c r="F371" s="912"/>
      <c r="H371" s="110"/>
      <c r="I371" s="110"/>
      <c r="K371" s="504"/>
      <c r="L371" s="504"/>
      <c r="M371" s="504"/>
    </row>
    <row r="372" spans="2:13" ht="15" hidden="1" customHeight="1" outlineLevel="2" x14ac:dyDescent="0.2">
      <c r="B372" s="110" t="str">
        <f>IF(topdowntables!$N$4=1, "     slagtesvinefoldetype", "     paddock type")</f>
        <v xml:space="preserve">     slagtesvinefoldetype</v>
      </c>
      <c r="C372" s="510"/>
      <c r="E372" s="913" t="s">
        <v>1277</v>
      </c>
      <c r="F372" s="914"/>
      <c r="H372" s="110"/>
      <c r="I372" s="110"/>
      <c r="K372" s="504"/>
      <c r="L372" s="504"/>
      <c r="M372" s="504"/>
    </row>
    <row r="373" spans="2:13" ht="15" hidden="1" customHeight="1" outlineLevel="2" x14ac:dyDescent="0.2">
      <c r="C373" s="510"/>
      <c r="E373" s="548" t="str">
        <f>IF(topdowntables!$N$4=1, IF('input-data'!E372:F372='Opstaldingsform-Housing '!$B$34, "treer areal, %:", ""),  IF('input-data'!E372:F372='Opstaldingsform-Housing '!$B$73, "trees area, %:", ""))</f>
        <v/>
      </c>
      <c r="F373" s="549"/>
      <c r="H373" s="110"/>
      <c r="I373" s="110"/>
      <c r="K373" s="504"/>
      <c r="L373" s="504"/>
      <c r="M373" s="504"/>
    </row>
    <row r="374" spans="2:13" ht="15" hidden="1" customHeight="1" outlineLevel="2" x14ac:dyDescent="0.2">
      <c r="C374" s="510"/>
      <c r="E374" s="513"/>
      <c r="F374" s="513"/>
      <c r="H374" s="110"/>
      <c r="I374" s="110"/>
      <c r="K374" s="504"/>
      <c r="L374" s="504"/>
      <c r="M374" s="504"/>
    </row>
    <row r="375" spans="2:13" ht="15" hidden="1" customHeight="1" outlineLevel="2" x14ac:dyDescent="0.2">
      <c r="B375" s="110" t="str">
        <f>IF(topdowntables!$N$4=1, "     strøelse forbrug, kg per dyr per dag", "     straw, kg per animal per dag")</f>
        <v xml:space="preserve">     strøelse forbrug, kg per dyr per dag</v>
      </c>
      <c r="C375" s="505"/>
      <c r="E375" s="915"/>
      <c r="F375" s="915"/>
      <c r="G375" s="63"/>
      <c r="H375" s="110"/>
      <c r="I375" s="110"/>
      <c r="K375" s="504"/>
      <c r="L375" s="504"/>
      <c r="M375" s="504"/>
    </row>
    <row r="376" spans="2:13" ht="15" hidden="1" customHeight="1" outlineLevel="2" x14ac:dyDescent="0.2">
      <c r="B376" s="110" t="str">
        <f>IF(topdowntables!$N$4=1, "     strøelse type", "     straw type")</f>
        <v xml:space="preserve">     strøelse type</v>
      </c>
      <c r="C376" s="505"/>
      <c r="E376" s="891"/>
      <c r="F376" s="892"/>
      <c r="G376" s="63"/>
      <c r="H376" s="110"/>
      <c r="I376" s="110"/>
      <c r="K376" s="504" t="s">
        <v>440</v>
      </c>
      <c r="L376" s="504" t="s">
        <v>440</v>
      </c>
      <c r="M376" s="504" t="s">
        <v>440</v>
      </c>
    </row>
    <row r="377" spans="2:13" s="63" customFormat="1" ht="15" hidden="1" customHeight="1" outlineLevel="2" x14ac:dyDescent="0.2">
      <c r="B377" s="520"/>
      <c r="C377" s="520"/>
      <c r="H377" s="136"/>
      <c r="I377" s="136"/>
      <c r="K377" s="136"/>
      <c r="L377" s="136"/>
      <c r="M377" s="136"/>
    </row>
    <row r="378" spans="2:13" ht="15" hidden="1" customHeight="1" outlineLevel="2" x14ac:dyDescent="0.2">
      <c r="B378" s="182" t="str">
        <f>IF(topdowntables!$N$4=1, "   Opstaldning indendørs:", "   Housing, indoor:")</f>
        <v xml:space="preserve">   Opstaldning indendørs:</v>
      </c>
      <c r="C378" s="510"/>
      <c r="E378" s="916" t="str">
        <f>IF(topdowntables!$N$4=1, "Gulvtype:", "Floor type:")</f>
        <v>Gulvtype:</v>
      </c>
      <c r="F378" s="916"/>
      <c r="G378" s="226"/>
      <c r="H378" s="110"/>
      <c r="I378" s="110"/>
      <c r="K378" s="554" t="s">
        <v>809</v>
      </c>
      <c r="L378" s="554" t="s">
        <v>809</v>
      </c>
      <c r="M378" s="554" t="s">
        <v>809</v>
      </c>
    </row>
    <row r="379" spans="2:13" ht="15" hidden="1" customHeight="1" outlineLevel="2" x14ac:dyDescent="0.2">
      <c r="B379" s="110" t="str">
        <f>IF(topdowntables!$N$4=1, "     indendørs areal, type", "     indoor area, type")</f>
        <v xml:space="preserve">     indendørs areal, type</v>
      </c>
      <c r="C379" s="552"/>
      <c r="E379" s="915"/>
      <c r="F379" s="915"/>
      <c r="G379" s="747"/>
      <c r="H379" s="338" t="str">
        <f>IF(OR($E$368=topdowntables!$C$25, $E$368=topdowntables!$C$27, $E$368=topdowntables!$C$30, $E$368=topdowntables!$C$32), IF(E379=0, IF(topdowntables!$N$4=1, "&lt;- Indtast data", "&lt;- Please select floor type"), ""), "")</f>
        <v>&lt;- Indtast data</v>
      </c>
      <c r="I379" s="110"/>
    </row>
    <row r="380" spans="2:13" ht="15" hidden="1" customHeight="1" outlineLevel="2" x14ac:dyDescent="0.2">
      <c r="B380" s="110" t="str">
        <f>IF(topdowntables!$N$4=1, "     udendørs areal, type", "     outdoor area, type")</f>
        <v xml:space="preserve">     udendørs areal, type</v>
      </c>
      <c r="C380" s="552"/>
      <c r="E380" s="915"/>
      <c r="F380" s="915"/>
      <c r="G380" s="747"/>
      <c r="H380" s="338" t="str">
        <f>IF(OR($E$368=topdowntables!$C$25, $E$368=topdowntables!$C$27, $E$368=topdowntables!$C$30, $E$368=topdowntables!$C$32), IF(E380=0, IF(topdowntables!$N$4=1, "&lt;- Indtast data", "&lt;- Please select floor type"), ""), "")</f>
        <v>&lt;- Indtast data</v>
      </c>
      <c r="I380" s="110"/>
    </row>
    <row r="381" spans="2:13" ht="15" hidden="1" customHeight="1" outlineLevel="2" x14ac:dyDescent="0.2">
      <c r="C381" s="552"/>
      <c r="G381" s="747"/>
      <c r="H381" s="110"/>
      <c r="I381" s="110"/>
    </row>
    <row r="382" spans="2:13" ht="15" hidden="1" customHeight="1" outlineLevel="2" x14ac:dyDescent="0.2">
      <c r="B382" s="110" t="str">
        <f>IF(topdowntables!$N$4=1, "     strøelse forbrug, kg per dyr per dag", "     straw, kg per animal per day")</f>
        <v xml:space="preserve">     strøelse forbrug, kg per dyr per dag</v>
      </c>
      <c r="C382" s="505"/>
      <c r="E382" s="915"/>
      <c r="F382" s="915"/>
      <c r="G382" s="63"/>
      <c r="H382" s="110"/>
      <c r="I382" s="110"/>
    </row>
    <row r="383" spans="2:13" ht="15" hidden="1" customHeight="1" outlineLevel="2" x14ac:dyDescent="0.2">
      <c r="B383" s="110" t="str">
        <f>IF(topdowntables!$N$4=1, "     strøelse type", "     straw type")</f>
        <v xml:space="preserve">     strøelse type</v>
      </c>
      <c r="C383" s="505"/>
      <c r="E383" s="891" t="s">
        <v>440</v>
      </c>
      <c r="F383" s="892"/>
      <c r="G383" s="63"/>
      <c r="H383" s="110"/>
      <c r="I383" s="110"/>
      <c r="K383" s="504" t="s">
        <v>440</v>
      </c>
      <c r="L383" s="504" t="s">
        <v>440</v>
      </c>
      <c r="M383" s="504" t="s">
        <v>440</v>
      </c>
    </row>
    <row r="384" spans="2:13" ht="15" hidden="1" customHeight="1" outlineLevel="2" x14ac:dyDescent="0.2">
      <c r="B384" s="110" t="str">
        <f>IF(topdowntables!$N$4=1, "     gødning til biogas, %", "     manure delivered to biogas plants, %")</f>
        <v xml:space="preserve">     gødning til biogas, %</v>
      </c>
      <c r="C384" s="505"/>
      <c r="E384" s="915"/>
      <c r="F384" s="915"/>
      <c r="G384" s="63"/>
      <c r="H384" s="110"/>
      <c r="I384" s="110"/>
      <c r="K384" s="136"/>
      <c r="L384" s="136"/>
      <c r="M384" s="136"/>
    </row>
    <row r="385" spans="2:13" ht="15" hidden="1" customHeight="1" outlineLevel="2" x14ac:dyDescent="0.2">
      <c r="B385" s="110" t="str">
        <f>IF(topdowntables!$N$4=1, "     gylle forsuring, %", "     slurry, acidified in stable, %")</f>
        <v xml:space="preserve">     gylle forsuring, %</v>
      </c>
      <c r="C385" s="505"/>
      <c r="E385" s="915"/>
      <c r="F385" s="915"/>
      <c r="H385" s="110"/>
      <c r="I385" s="110"/>
      <c r="K385" s="136"/>
      <c r="L385" s="136"/>
      <c r="M385" s="136"/>
    </row>
    <row r="386" spans="2:13" ht="15" hidden="1" customHeight="1" outlineLevel="2" x14ac:dyDescent="0.2">
      <c r="B386" s="110" t="str">
        <f>IF(topdowntables!$N$4=1, "     fast staldgødning/dybstrøelse til mark, %", "     solid manure/deep litter, directly applied to fields, %")</f>
        <v xml:space="preserve">     fast staldgødning/dybstrøelse til mark, %</v>
      </c>
      <c r="C386" s="505"/>
      <c r="E386" s="915"/>
      <c r="F386" s="915"/>
      <c r="H386" s="110"/>
      <c r="I386" s="110"/>
      <c r="K386" s="136"/>
      <c r="L386" s="136"/>
      <c r="M386" s="136"/>
    </row>
    <row r="387" spans="2:13" ht="15" hidden="1" customHeight="1" outlineLevel="1" collapsed="1" x14ac:dyDescent="0.2">
      <c r="H387" s="272"/>
      <c r="I387" s="272"/>
      <c r="K387" s="272"/>
      <c r="L387" s="272"/>
      <c r="M387" s="272"/>
    </row>
    <row r="388" spans="2:13" ht="15" customHeight="1" collapsed="1" x14ac:dyDescent="0.2">
      <c r="H388" s="272"/>
      <c r="I388" s="272"/>
      <c r="K388" s="272"/>
      <c r="L388" s="272"/>
      <c r="M388" s="272"/>
    </row>
    <row r="389" spans="2:13" ht="15" customHeight="1" x14ac:dyDescent="0.2">
      <c r="B389" s="178" t="str">
        <f>IF(topdowntables!$N$4=1, " Lagring af gødning", "Storage of manure")</f>
        <v xml:space="preserve"> Lagring af gødning</v>
      </c>
      <c r="C389" s="500"/>
      <c r="H389" s="272"/>
      <c r="I389" s="272"/>
      <c r="K389" s="272"/>
      <c r="L389" s="272"/>
      <c r="M389" s="272"/>
    </row>
    <row r="390" spans="2:13" ht="15" customHeight="1" x14ac:dyDescent="0.2">
      <c r="B390" s="178"/>
      <c r="C390" s="500"/>
      <c r="E390" s="270"/>
      <c r="H390" s="272"/>
      <c r="I390" s="272"/>
      <c r="K390" s="272"/>
      <c r="L390" s="272"/>
      <c r="M390" s="272"/>
    </row>
    <row r="391" spans="2:13" ht="15" hidden="1" customHeight="1" outlineLevel="1" x14ac:dyDescent="0.2">
      <c r="B391" s="181" t="str">
        <f>IF($B$3="Dansk", "Gødningstyper", "Manure types")</f>
        <v>Gødningstyper</v>
      </c>
      <c r="C391" s="510"/>
      <c r="E391" s="916"/>
      <c r="F391" s="916"/>
      <c r="H391" s="272"/>
      <c r="I391" s="272"/>
      <c r="K391" s="272"/>
      <c r="L391" s="272"/>
      <c r="M391" s="272"/>
    </row>
    <row r="392" spans="2:13" ht="15" hidden="1" customHeight="1" outlineLevel="1" x14ac:dyDescent="0.2">
      <c r="B392" s="110" t="str">
        <f>IF($B$3="Dansk", "   gylle", "   slurry")</f>
        <v xml:space="preserve">   gylle</v>
      </c>
      <c r="E392" s="891" t="s">
        <v>1542</v>
      </c>
      <c r="F392" s="892"/>
      <c r="H392" s="555"/>
      <c r="I392" s="63"/>
      <c r="K392" s="556"/>
      <c r="L392" s="556"/>
      <c r="M392" s="556"/>
    </row>
    <row r="393" spans="2:13" ht="15" hidden="1" customHeight="1" outlineLevel="1" x14ac:dyDescent="0.2">
      <c r="B393" s="110" t="str">
        <f>IF($B$3="Dansk", "   dybstrøelse", "   deep litter")</f>
        <v xml:space="preserve">   dybstrøelse</v>
      </c>
      <c r="E393" s="891"/>
      <c r="F393" s="892"/>
      <c r="H393" s="272"/>
      <c r="I393" s="63"/>
      <c r="K393" s="556"/>
      <c r="L393" s="556"/>
      <c r="M393" s="556"/>
    </row>
    <row r="394" spans="2:13" ht="15" hidden="1" customHeight="1" outlineLevel="1" x14ac:dyDescent="0.2">
      <c r="H394" s="272"/>
      <c r="I394" s="272"/>
      <c r="K394" s="272"/>
      <c r="L394" s="272"/>
      <c r="M394" s="272"/>
    </row>
    <row r="395" spans="2:13" ht="15" hidden="1" customHeight="1" outlineLevel="1" x14ac:dyDescent="0.2">
      <c r="B395" s="181" t="str">
        <f>IF(topdowntables!$N$4=1, "Indkøb/Salg af gødning", " Purchase/Sale of manure")</f>
        <v>Indkøb/Salg af gødning</v>
      </c>
      <c r="H395" s="272"/>
      <c r="I395" s="272"/>
      <c r="K395" s="272"/>
      <c r="L395" s="272"/>
      <c r="M395" s="272"/>
    </row>
    <row r="396" spans="2:13" ht="15" hidden="1" customHeight="1" outlineLevel="1" x14ac:dyDescent="0.2">
      <c r="B396" s="500"/>
      <c r="E396" s="916" t="str">
        <f>IF(B3="Dansk", "Type", "Type")</f>
        <v>Type</v>
      </c>
      <c r="F396" s="916"/>
      <c r="G396" s="540" t="s">
        <v>974</v>
      </c>
      <c r="H396" s="272"/>
      <c r="I396" s="272"/>
      <c r="K396" s="272"/>
      <c r="L396" s="272"/>
      <c r="M396" s="272"/>
    </row>
    <row r="397" spans="2:13" ht="15" hidden="1" customHeight="1" outlineLevel="1" x14ac:dyDescent="0.2">
      <c r="B397" s="110" t="str">
        <f>IF(B3="Dansk", "Gødning solgt", "Sold manure")</f>
        <v>Gødning solgt</v>
      </c>
      <c r="E397" s="912"/>
      <c r="F397" s="912"/>
      <c r="G397" s="557"/>
      <c r="H397" s="272"/>
      <c r="I397" s="272"/>
      <c r="K397" s="272"/>
      <c r="L397" s="272"/>
      <c r="M397" s="272"/>
    </row>
    <row r="398" spans="2:13" ht="15" hidden="1" customHeight="1" outlineLevel="1" x14ac:dyDescent="0.2">
      <c r="B398" s="110" t="str">
        <f>IF($B$3="Dansk", "Gødning købt", "Bought-in manure")</f>
        <v>Gødning købt</v>
      </c>
      <c r="E398" s="912"/>
      <c r="F398" s="912"/>
      <c r="G398" s="557"/>
      <c r="H398" s="272"/>
      <c r="I398" s="272"/>
      <c r="K398" s="272"/>
      <c r="L398" s="272"/>
      <c r="M398" s="272"/>
    </row>
    <row r="399" spans="2:13" ht="15" customHeight="1" collapsed="1" x14ac:dyDescent="0.2">
      <c r="E399" s="63"/>
      <c r="F399" s="63"/>
      <c r="G399" s="63"/>
      <c r="H399" s="272"/>
      <c r="I399" s="272"/>
      <c r="K399" s="272"/>
      <c r="L399" s="272"/>
      <c r="M399" s="272"/>
    </row>
    <row r="400" spans="2:13" ht="15" customHeight="1" x14ac:dyDescent="0.2">
      <c r="E400" s="63"/>
      <c r="F400" s="63"/>
      <c r="G400" s="63"/>
      <c r="H400" s="272"/>
      <c r="I400" s="272"/>
      <c r="K400" s="272"/>
      <c r="L400" s="272"/>
      <c r="M400" s="272"/>
    </row>
    <row r="401" spans="2:13" ht="15" customHeight="1" x14ac:dyDescent="0.2">
      <c r="B401" s="178" t="str">
        <f>IF(topdowntables!$N$4=1, " Mark", "Fields")</f>
        <v xml:space="preserve"> Mark</v>
      </c>
      <c r="C401" s="500"/>
      <c r="H401" s="272"/>
      <c r="I401" s="272"/>
      <c r="K401" s="272"/>
      <c r="L401" s="272"/>
      <c r="M401" s="272"/>
    </row>
    <row r="402" spans="2:13" ht="15" customHeight="1" x14ac:dyDescent="0.2">
      <c r="B402" s="178"/>
      <c r="C402" s="500"/>
      <c r="H402" s="272"/>
      <c r="I402" s="272"/>
      <c r="K402" s="272"/>
      <c r="L402" s="272"/>
      <c r="M402" s="272"/>
    </row>
    <row r="403" spans="2:13" ht="15" hidden="1" customHeight="1" outlineLevel="1" x14ac:dyDescent="0.2">
      <c r="H403" s="136"/>
      <c r="I403" s="136"/>
      <c r="K403" s="136"/>
      <c r="L403" s="136"/>
      <c r="M403" s="136"/>
    </row>
    <row r="404" spans="2:13" ht="15" hidden="1" customHeight="1" outlineLevel="1" x14ac:dyDescent="0.2">
      <c r="B404" s="181" t="str">
        <f>IF($B$3="Dansk","Græsareal", "Activities in the paddock")</f>
        <v>Græsareal</v>
      </c>
      <c r="C404" s="510"/>
      <c r="H404" s="136"/>
      <c r="I404" s="136"/>
      <c r="K404" s="136"/>
      <c r="L404" s="136"/>
      <c r="M404" s="136"/>
    </row>
    <row r="405" spans="2:13" ht="15" hidden="1" customHeight="1" outlineLevel="2" x14ac:dyDescent="0.2">
      <c r="B405" s="181"/>
      <c r="C405" s="510"/>
      <c r="H405" s="136"/>
      <c r="I405" s="136"/>
      <c r="K405" s="136"/>
      <c r="L405" s="136"/>
      <c r="M405" s="136"/>
    </row>
    <row r="406" spans="2:13" ht="15" hidden="1" customHeight="1" outlineLevel="2" x14ac:dyDescent="0.2">
      <c r="B406" s="110" t="str">
        <f>IF(topdowntables!$N$4=1, "farefolde", "paddock for lactating sows")</f>
        <v>farefolde</v>
      </c>
      <c r="E406" s="894" t="str">
        <f>$E$306</f>
        <v xml:space="preserve">kløvergræs </v>
      </c>
      <c r="F406" s="894"/>
      <c r="H406" s="110"/>
      <c r="I406" s="110"/>
      <c r="K406" s="136"/>
      <c r="L406" s="136"/>
      <c r="M406" s="136"/>
    </row>
    <row r="407" spans="2:13" ht="15" hidden="1" customHeight="1" outlineLevel="2" x14ac:dyDescent="0.2">
      <c r="B407" s="110" t="str">
        <f>IF($B$3="Dansk", "      areal, ha", "      area, ha")</f>
        <v xml:space="preserve">      areal, ha</v>
      </c>
      <c r="C407" s="281"/>
      <c r="E407" s="894">
        <f>E305</f>
        <v>0</v>
      </c>
      <c r="F407" s="894"/>
      <c r="H407" s="110"/>
      <c r="I407" s="110"/>
      <c r="K407" s="504"/>
      <c r="L407" s="504"/>
      <c r="M407" s="504"/>
    </row>
    <row r="408" spans="2:13" ht="15" hidden="1" customHeight="1" outlineLevel="2" x14ac:dyDescent="0.2">
      <c r="B408" s="110" t="str">
        <f>IF($B$3="Dansk", "      slæt til ensilage, FE per ha", "      cut for silage, FU per ha")</f>
        <v xml:space="preserve">      slæt til ensilage, FE per ha</v>
      </c>
      <c r="E408" s="895"/>
      <c r="F408" s="895"/>
      <c r="H408" s="110"/>
      <c r="I408" s="110"/>
      <c r="K408" s="504"/>
      <c r="L408" s="504"/>
      <c r="M408" s="504"/>
    </row>
    <row r="409" spans="2:13" ht="15" hidden="1" customHeight="1" outlineLevel="2" x14ac:dyDescent="0.2">
      <c r="B409" s="110" t="str">
        <f>IF($B$3="Dansk",IF(E406='Opstaldingsform-Housing '!$B$34,"      handling af treer",""),IF(E406='Opstaldingsform-Housing '!$B$73,"      handling of trees",""))</f>
        <v/>
      </c>
      <c r="E409" s="895"/>
      <c r="F409" s="895"/>
      <c r="H409" s="110"/>
      <c r="I409" s="110"/>
      <c r="K409" s="136"/>
      <c r="L409" s="136"/>
      <c r="M409" s="136"/>
    </row>
    <row r="410" spans="2:13" ht="15" hidden="1" customHeight="1" outlineLevel="2" x14ac:dyDescent="0.2">
      <c r="E410" s="906"/>
      <c r="F410" s="907"/>
      <c r="H410" s="110"/>
      <c r="I410" s="110"/>
      <c r="K410" s="136"/>
      <c r="L410" s="136"/>
      <c r="M410" s="136"/>
    </row>
    <row r="411" spans="2:13" ht="15" hidden="1" customHeight="1" outlineLevel="2" x14ac:dyDescent="0.2">
      <c r="B411" s="110" t="str">
        <f>IF(topdowntables!$N$4=1, "drægtighedsfolde", "paddock for gestating sows, ha")</f>
        <v>drægtighedsfolde</v>
      </c>
      <c r="E411" s="894" t="str">
        <f>$E$328</f>
        <v xml:space="preserve">kløvergræs </v>
      </c>
      <c r="F411" s="894"/>
      <c r="H411" s="110"/>
      <c r="I411" s="110"/>
      <c r="K411" s="136"/>
      <c r="L411" s="136"/>
      <c r="M411" s="136"/>
    </row>
    <row r="412" spans="2:13" ht="15" hidden="1" customHeight="1" outlineLevel="2" x14ac:dyDescent="0.2">
      <c r="B412" s="110" t="str">
        <f>IF($B$3="Dansk", "      areal, ha", "      area, ha")</f>
        <v xml:space="preserve">      areal, ha</v>
      </c>
      <c r="C412" s="281"/>
      <c r="E412" s="896">
        <f>E327</f>
        <v>0</v>
      </c>
      <c r="F412" s="896"/>
      <c r="H412" s="110"/>
      <c r="I412" s="110"/>
      <c r="K412" s="504"/>
      <c r="L412" s="504"/>
      <c r="M412" s="504"/>
    </row>
    <row r="413" spans="2:13" ht="15" hidden="1" customHeight="1" outlineLevel="2" x14ac:dyDescent="0.2">
      <c r="B413" s="110" t="str">
        <f>IF($B$3="Dansk", "      slæt til ensilage, FE per ha", "      cut for silage, FU per ha")</f>
        <v xml:space="preserve">      slæt til ensilage, FE per ha</v>
      </c>
      <c r="E413" s="895"/>
      <c r="F413" s="895"/>
      <c r="H413" s="110"/>
      <c r="I413" s="110"/>
      <c r="K413" s="504"/>
      <c r="L413" s="504"/>
      <c r="M413" s="504"/>
    </row>
    <row r="414" spans="2:13" ht="15" hidden="1" customHeight="1" outlineLevel="2" x14ac:dyDescent="0.2">
      <c r="B414" s="110" t="str">
        <f>IF($B$3="Dansk",IF(E411='Opstaldingsform-Housing '!$B$34,"      handling af treer",""),IF(E411='Opstaldingsform-Housing '!$B$73,"      handling of trees",""))</f>
        <v/>
      </c>
      <c r="E414" s="895"/>
      <c r="F414" s="895"/>
      <c r="H414" s="110"/>
      <c r="I414" s="110"/>
      <c r="K414" s="136"/>
      <c r="L414" s="136"/>
      <c r="M414" s="136"/>
    </row>
    <row r="415" spans="2:13" ht="15" hidden="1" customHeight="1" outlineLevel="2" x14ac:dyDescent="0.2">
      <c r="E415" s="906"/>
      <c r="F415" s="907"/>
      <c r="H415" s="110"/>
      <c r="I415" s="110"/>
      <c r="K415" s="136"/>
      <c r="L415" s="136"/>
      <c r="M415" s="136"/>
    </row>
    <row r="416" spans="2:13" ht="15" hidden="1" customHeight="1" outlineLevel="2" x14ac:dyDescent="0.2">
      <c r="B416" s="110" t="str">
        <f>IF(topdowntables!$N$4=1, "smågrisefolde", "paddock for piglets")</f>
        <v>smågrisefolde</v>
      </c>
      <c r="E416" s="894" t="str">
        <f>$E$350</f>
        <v xml:space="preserve">kløvergræs </v>
      </c>
      <c r="F416" s="894"/>
      <c r="H416" s="110"/>
      <c r="I416" s="110"/>
      <c r="K416" s="136"/>
      <c r="L416" s="136"/>
      <c r="M416" s="136"/>
    </row>
    <row r="417" spans="2:13" ht="15" hidden="1" customHeight="1" outlineLevel="2" x14ac:dyDescent="0.2">
      <c r="B417" s="110" t="str">
        <f>IF($B$3="Dansk", "      areal, ha", "      area, ha")</f>
        <v xml:space="preserve">      areal, ha</v>
      </c>
      <c r="C417" s="281"/>
      <c r="E417" s="896">
        <f>E349</f>
        <v>0</v>
      </c>
      <c r="F417" s="896"/>
      <c r="H417" s="110"/>
      <c r="I417" s="110"/>
      <c r="K417" s="504"/>
      <c r="L417" s="504"/>
      <c r="M417" s="504"/>
    </row>
    <row r="418" spans="2:13" ht="15" hidden="1" customHeight="1" outlineLevel="2" x14ac:dyDescent="0.2">
      <c r="B418" s="110" t="str">
        <f>IF($B$3="Dansk", "      slæt til ensilage, FE per ha", "      cut for silage, FU per ha")</f>
        <v xml:space="preserve">      slæt til ensilage, FE per ha</v>
      </c>
      <c r="E418" s="895"/>
      <c r="F418" s="895"/>
      <c r="H418" s="110"/>
      <c r="I418" s="110"/>
      <c r="K418" s="504"/>
      <c r="L418" s="504"/>
      <c r="M418" s="504"/>
    </row>
    <row r="419" spans="2:13" ht="15" hidden="1" customHeight="1" outlineLevel="2" x14ac:dyDescent="0.2">
      <c r="B419" s="110" t="str">
        <f>IF($B$3="Dansk",IF(E416='Opstaldingsform-Housing '!$B$34,"      handling af treer",""),IF(E416='Opstaldingsform-Housing '!$B$73,"      handling of trees",""))</f>
        <v/>
      </c>
      <c r="E419" s="895"/>
      <c r="F419" s="895"/>
      <c r="H419" s="110"/>
      <c r="I419" s="110"/>
      <c r="K419" s="136"/>
      <c r="L419" s="136"/>
      <c r="M419" s="136"/>
    </row>
    <row r="420" spans="2:13" ht="15" hidden="1" customHeight="1" outlineLevel="2" x14ac:dyDescent="0.2">
      <c r="E420" s="906"/>
      <c r="F420" s="907"/>
      <c r="H420" s="110"/>
      <c r="I420" s="110"/>
      <c r="K420" s="136"/>
      <c r="L420" s="136"/>
      <c r="M420" s="136"/>
    </row>
    <row r="421" spans="2:13" ht="15" hidden="1" customHeight="1" outlineLevel="2" x14ac:dyDescent="0.2">
      <c r="B421" s="110" t="str">
        <f>IF(topdowntables!$N$4=1, "slagtesvinefolde", "paddock for slaughter pigs")</f>
        <v>slagtesvinefolde</v>
      </c>
      <c r="E421" s="894" t="str">
        <f>$E$372</f>
        <v>Vælg……………………………..</v>
      </c>
      <c r="F421" s="894"/>
      <c r="H421" s="110"/>
      <c r="I421" s="110"/>
      <c r="K421" s="136"/>
      <c r="L421" s="136"/>
      <c r="M421" s="136"/>
    </row>
    <row r="422" spans="2:13" ht="15" hidden="1" customHeight="1" outlineLevel="2" x14ac:dyDescent="0.2">
      <c r="B422" s="110" t="str">
        <f>IF($B$3="Dansk", "      areal, ha", "      area, ha")</f>
        <v xml:space="preserve">      areal, ha</v>
      </c>
      <c r="C422" s="281"/>
      <c r="E422" s="896">
        <f>E371</f>
        <v>0</v>
      </c>
      <c r="F422" s="896"/>
      <c r="H422" s="110"/>
      <c r="I422" s="110"/>
      <c r="K422" s="504"/>
      <c r="L422" s="504"/>
      <c r="M422" s="504"/>
    </row>
    <row r="423" spans="2:13" ht="15" hidden="1" customHeight="1" outlineLevel="2" x14ac:dyDescent="0.2">
      <c r="B423" s="110" t="str">
        <f>IF($B$3="Dansk", "      slæt til ensilage, FE per ha", "      cut for silage, FU per ha")</f>
        <v xml:space="preserve">      slæt til ensilage, FE per ha</v>
      </c>
      <c r="E423" s="895">
        <v>0</v>
      </c>
      <c r="F423" s="895"/>
      <c r="H423" s="110"/>
      <c r="I423" s="110"/>
      <c r="K423" s="504"/>
      <c r="L423" s="504"/>
      <c r="M423" s="504"/>
    </row>
    <row r="424" spans="2:13" ht="15" hidden="1" customHeight="1" outlineLevel="2" x14ac:dyDescent="0.2">
      <c r="B424" s="110" t="str">
        <f>IF($B$3="Dansk",IF(E421='Opstaldingsform-Housing '!$B$34,"      handling af treer",""),IF(E421='Opstaldingsform-Housing '!$B$73,"      handling of trees",""))</f>
        <v/>
      </c>
      <c r="E424" s="895"/>
      <c r="F424" s="895"/>
      <c r="H424" s="110"/>
      <c r="I424" s="110"/>
      <c r="K424" s="504" t="s">
        <v>814</v>
      </c>
      <c r="L424" s="504" t="s">
        <v>814</v>
      </c>
      <c r="M424" s="504" t="s">
        <v>814</v>
      </c>
    </row>
    <row r="425" spans="2:13" ht="15" hidden="1" customHeight="1" outlineLevel="1" collapsed="1" x14ac:dyDescent="0.2">
      <c r="E425" s="901"/>
      <c r="F425" s="902"/>
      <c r="H425" s="110"/>
      <c r="I425" s="110"/>
      <c r="K425" s="504" t="s">
        <v>814</v>
      </c>
      <c r="L425" s="504" t="s">
        <v>814</v>
      </c>
      <c r="M425" s="504" t="s">
        <v>814</v>
      </c>
    </row>
    <row r="426" spans="2:13" ht="15" hidden="1" customHeight="1" outlineLevel="1" x14ac:dyDescent="0.2">
      <c r="E426" s="63"/>
      <c r="F426" s="63"/>
      <c r="H426" s="110"/>
      <c r="I426" s="110"/>
      <c r="K426" s="136"/>
      <c r="L426" s="136"/>
      <c r="M426" s="136"/>
    </row>
    <row r="427" spans="2:13" ht="15" hidden="1" customHeight="1" outlineLevel="1" x14ac:dyDescent="0.2">
      <c r="B427" s="181" t="str">
        <f>IF(B3="Dansk", "Afgrøder, ha", "Crops, ha")</f>
        <v>Afgrøder, ha</v>
      </c>
      <c r="C427" s="510"/>
      <c r="E427" s="903"/>
      <c r="F427" s="903"/>
      <c r="K427" s="272"/>
      <c r="L427" s="272"/>
      <c r="M427" s="272"/>
    </row>
    <row r="428" spans="2:13" ht="15" hidden="1" customHeight="1" outlineLevel="2" x14ac:dyDescent="0.2">
      <c r="B428" s="181"/>
      <c r="C428" s="510"/>
      <c r="E428" s="136"/>
      <c r="F428" s="136"/>
      <c r="K428" s="272"/>
      <c r="L428" s="272"/>
      <c r="M428" s="272"/>
    </row>
    <row r="429" spans="2:13" ht="15" hidden="1" customHeight="1" outlineLevel="2" x14ac:dyDescent="0.2">
      <c r="B429" s="110" t="str">
        <f>IF($B$3="Dansk", "afgrøde 1", "crop 1")</f>
        <v>afgrøde 1</v>
      </c>
      <c r="E429" s="897" t="s">
        <v>1395</v>
      </c>
      <c r="F429" s="898"/>
      <c r="K429" s="504"/>
      <c r="L429" s="504"/>
      <c r="M429" s="504"/>
    </row>
    <row r="430" spans="2:13" ht="15" hidden="1" customHeight="1" outlineLevel="3" x14ac:dyDescent="0.2">
      <c r="B430" s="110" t="str">
        <f>IF($B$3="Dansk", "   areal, ha", "   area, ha")</f>
        <v xml:space="preserve">   areal, ha</v>
      </c>
      <c r="E430" s="554"/>
      <c r="F430" s="534"/>
      <c r="G430" s="338"/>
      <c r="K430" s="504"/>
      <c r="L430" s="504"/>
      <c r="M430" s="504"/>
    </row>
    <row r="431" spans="2:13" ht="15" hidden="1" customHeight="1" outlineLevel="3" x14ac:dyDescent="0.2">
      <c r="B431" s="110" t="str">
        <f>IF($B$3="Dansk",IF(OR(E429=topdowntables!$R$11, E429=topdowntables!$R$12), "   udbytte, FE per ha","   udbytte, kg per ha"), IF(OR(E429=topdowntables!$R$23, E429=topdowntables!$R$24), "   yield, FU per ha",  "   yield, kg per ha"))</f>
        <v xml:space="preserve">   udbytte, kg per ha</v>
      </c>
      <c r="C431" s="281"/>
      <c r="E431" s="554"/>
      <c r="F431" s="534"/>
      <c r="K431" s="504"/>
      <c r="L431" s="504"/>
      <c r="M431" s="504"/>
    </row>
    <row r="432" spans="2:13" ht="15" hidden="1" customHeight="1" outlineLevel="3" x14ac:dyDescent="0.2">
      <c r="B432" s="110" t="str">
        <f>IF($B$3="Dansk", "   høstet halm, %", "   harvested straw, %")</f>
        <v xml:space="preserve">   høstet halm, %</v>
      </c>
      <c r="C432" s="281"/>
      <c r="E432" s="554"/>
      <c r="F432" s="534"/>
      <c r="K432" s="504"/>
      <c r="L432" s="504"/>
      <c r="M432" s="504"/>
    </row>
    <row r="433" spans="2:13" ht="15" hidden="1" customHeight="1" outlineLevel="3" x14ac:dyDescent="0.2">
      <c r="B433" s="110" t="str">
        <f>IF($B$3="Dansk", "   input per ha:", "   input per ha:")</f>
        <v xml:space="preserve">   input per ha:</v>
      </c>
      <c r="C433" s="281"/>
      <c r="E433" s="551"/>
      <c r="F433" s="136"/>
      <c r="K433" s="504"/>
      <c r="L433" s="504"/>
      <c r="M433" s="504"/>
    </row>
    <row r="434" spans="2:13" ht="15" hidden="1" customHeight="1" outlineLevel="3" x14ac:dyDescent="0.2">
      <c r="B434" s="110" t="str">
        <f>IF($B$3="Dansk", "      udsæd, kg per ha", "      seed, kg per ha")</f>
        <v xml:space="preserve">      udsæd, kg per ha</v>
      </c>
      <c r="C434" s="281"/>
      <c r="E434" s="554"/>
      <c r="F434" s="534"/>
      <c r="K434" s="504"/>
      <c r="L434" s="504"/>
      <c r="M434" s="504"/>
    </row>
    <row r="435" spans="2:13" ht="15" hidden="1" customHeight="1" outlineLevel="3" x14ac:dyDescent="0.2">
      <c r="B435" s="110" t="str">
        <f>IF($B$3="Dansk", "      kalk, kg per ha", "      lime, kg per ha")</f>
        <v xml:space="preserve">      kalk, kg per ha</v>
      </c>
      <c r="C435" s="281"/>
      <c r="E435" s="554"/>
      <c r="F435" s="534"/>
      <c r="K435" s="504"/>
      <c r="L435" s="504"/>
      <c r="M435" s="504"/>
    </row>
    <row r="436" spans="2:13" ht="15" hidden="1" customHeight="1" outlineLevel="3" x14ac:dyDescent="0.2">
      <c r="B436" s="110" t="str">
        <f>IF($B$3="Dansk", "      vanding, %", "      irrigation, %")</f>
        <v xml:space="preserve">      vanding, %</v>
      </c>
      <c r="C436" s="281"/>
      <c r="E436" s="554"/>
      <c r="F436" s="534"/>
      <c r="K436" s="504"/>
      <c r="L436" s="504"/>
      <c r="M436" s="504"/>
    </row>
    <row r="437" spans="2:13" ht="15" hidden="1" customHeight="1" outlineLevel="3" x14ac:dyDescent="0.2">
      <c r="B437" s="110" t="str">
        <f>IF($B$3="Dansk", "      vand forbrug, mm per ha", "      water for irrigation, mm per ha")</f>
        <v xml:space="preserve">      vand forbrug, mm per ha</v>
      </c>
      <c r="C437" s="281"/>
      <c r="E437" s="554"/>
      <c r="F437" s="534"/>
      <c r="K437" s="504"/>
      <c r="L437" s="504"/>
      <c r="M437" s="504"/>
    </row>
    <row r="438" spans="2:13" ht="15" hidden="1" customHeight="1" outlineLevel="2" collapsed="1" x14ac:dyDescent="0.2">
      <c r="C438" s="281"/>
      <c r="E438" s="551"/>
      <c r="F438" s="136"/>
      <c r="K438" s="504"/>
      <c r="L438" s="504"/>
      <c r="M438" s="504"/>
    </row>
    <row r="439" spans="2:13" ht="15" hidden="1" customHeight="1" outlineLevel="2" x14ac:dyDescent="0.2">
      <c r="B439" s="110" t="str">
        <f>IF($B$3="Dansk", "afgrøde 2", "crop 2")</f>
        <v>afgrøde 2</v>
      </c>
      <c r="E439" s="897" t="s">
        <v>1395</v>
      </c>
      <c r="F439" s="898"/>
      <c r="K439" s="504"/>
      <c r="L439" s="504"/>
      <c r="M439" s="504"/>
    </row>
    <row r="440" spans="2:13" ht="15" hidden="1" customHeight="1" outlineLevel="3" x14ac:dyDescent="0.2">
      <c r="B440" s="110" t="str">
        <f>IF($B$3="Dansk", "   areal, ha", "   area, ha")</f>
        <v xml:space="preserve">   areal, ha</v>
      </c>
      <c r="E440" s="554"/>
      <c r="F440" s="534"/>
      <c r="G440" s="338"/>
      <c r="K440" s="504"/>
      <c r="L440" s="504"/>
      <c r="M440" s="504"/>
    </row>
    <row r="441" spans="2:13" ht="15" hidden="1" customHeight="1" outlineLevel="3" x14ac:dyDescent="0.2">
      <c r="B441" s="110" t="str">
        <f>IF($B$3="Dansk",IF(OR(E439=topdowntables!$R$11, E439=topdowntables!$R$12), "   udbytte, FE per ha","   udbytte, kg per ha"), IF(OR(E439=topdowntables!$R$23, E439=topdowntables!$R$24), "   yield, FU per ha",  "   yield, kg per ha"))</f>
        <v xml:space="preserve">   udbytte, kg per ha</v>
      </c>
      <c r="C441" s="281"/>
      <c r="E441" s="554"/>
      <c r="F441" s="534"/>
      <c r="K441" s="504"/>
      <c r="L441" s="504"/>
      <c r="M441" s="504"/>
    </row>
    <row r="442" spans="2:13" ht="15" hidden="1" customHeight="1" outlineLevel="3" x14ac:dyDescent="0.2">
      <c r="B442" s="110" t="str">
        <f>IF($B$3="Dansk", "   høstet halm, %", "   harvested straw, %")</f>
        <v xml:space="preserve">   høstet halm, %</v>
      </c>
      <c r="C442" s="281"/>
      <c r="E442" s="554"/>
      <c r="F442" s="534"/>
      <c r="K442" s="504"/>
      <c r="L442" s="504"/>
      <c r="M442" s="504"/>
    </row>
    <row r="443" spans="2:13" ht="15" hidden="1" customHeight="1" outlineLevel="3" x14ac:dyDescent="0.2">
      <c r="B443" s="110" t="str">
        <f>IF($B$3="Dansk", "   input per ha:", "   input per ha:")</f>
        <v xml:space="preserve">   input per ha:</v>
      </c>
      <c r="C443" s="281"/>
      <c r="E443" s="551"/>
      <c r="F443" s="136"/>
      <c r="K443" s="504"/>
      <c r="L443" s="504"/>
      <c r="M443" s="504"/>
    </row>
    <row r="444" spans="2:13" ht="15" hidden="1" customHeight="1" outlineLevel="3" x14ac:dyDescent="0.2">
      <c r="B444" s="110" t="str">
        <f>IF($B$3="Dansk", "      udsæd, kg per ha", "      seed, kg per ha")</f>
        <v xml:space="preserve">      udsæd, kg per ha</v>
      </c>
      <c r="C444" s="281"/>
      <c r="E444" s="554"/>
      <c r="F444" s="534"/>
      <c r="K444" s="504"/>
      <c r="L444" s="504"/>
      <c r="M444" s="504"/>
    </row>
    <row r="445" spans="2:13" ht="15" hidden="1" customHeight="1" outlineLevel="3" x14ac:dyDescent="0.2">
      <c r="B445" s="110" t="str">
        <f>IF($B$3="Dansk", "      kalk, kg per ha", "      lime, kg per ha")</f>
        <v xml:space="preserve">      kalk, kg per ha</v>
      </c>
      <c r="C445" s="281"/>
      <c r="E445" s="554"/>
      <c r="F445" s="534"/>
      <c r="K445" s="504"/>
      <c r="L445" s="504"/>
      <c r="M445" s="504"/>
    </row>
    <row r="446" spans="2:13" ht="15" hidden="1" customHeight="1" outlineLevel="3" x14ac:dyDescent="0.2">
      <c r="B446" s="110" t="str">
        <f>IF($B$3="Dansk", "      vanding, %", "      irrigation, %")</f>
        <v xml:space="preserve">      vanding, %</v>
      </c>
      <c r="C446" s="281"/>
      <c r="E446" s="554"/>
      <c r="F446" s="534"/>
      <c r="K446" s="504"/>
      <c r="L446" s="504"/>
      <c r="M446" s="504"/>
    </row>
    <row r="447" spans="2:13" ht="15" hidden="1" customHeight="1" outlineLevel="3" x14ac:dyDescent="0.2">
      <c r="B447" s="110" t="str">
        <f>IF($B$3="Dansk", "      vand forbrug, mm per ha", "      water for irrigation, mm per ha")</f>
        <v xml:space="preserve">      vand forbrug, mm per ha</v>
      </c>
      <c r="C447" s="281"/>
      <c r="E447" s="554"/>
      <c r="F447" s="534"/>
      <c r="K447" s="504"/>
      <c r="L447" s="504"/>
      <c r="M447" s="504"/>
    </row>
    <row r="448" spans="2:13" ht="15" hidden="1" customHeight="1" outlineLevel="2" collapsed="1" x14ac:dyDescent="0.2">
      <c r="B448" s="281"/>
      <c r="C448" s="281"/>
      <c r="E448" s="899"/>
      <c r="F448" s="900"/>
      <c r="K448" s="504"/>
      <c r="L448" s="504"/>
      <c r="M448" s="504"/>
    </row>
    <row r="449" spans="2:13" ht="15" hidden="1" customHeight="1" outlineLevel="2" x14ac:dyDescent="0.2">
      <c r="B449" s="110" t="str">
        <f>IF($B$3="Dansk", "afgrøde 3", "crop 3")</f>
        <v>afgrøde 3</v>
      </c>
      <c r="E449" s="897" t="s">
        <v>1395</v>
      </c>
      <c r="F449" s="898"/>
      <c r="K449" s="504"/>
      <c r="L449" s="504"/>
      <c r="M449" s="504"/>
    </row>
    <row r="450" spans="2:13" ht="15" hidden="1" customHeight="1" outlineLevel="3" x14ac:dyDescent="0.2">
      <c r="B450" s="110" t="str">
        <f>IF($B$3="Dansk", "   areal, ha", "   area, ha")</f>
        <v xml:space="preserve">   areal, ha</v>
      </c>
      <c r="E450" s="554"/>
      <c r="F450" s="534"/>
      <c r="G450" s="338"/>
      <c r="K450" s="504"/>
      <c r="L450" s="504"/>
      <c r="M450" s="504"/>
    </row>
    <row r="451" spans="2:13" ht="15" hidden="1" customHeight="1" outlineLevel="3" x14ac:dyDescent="0.2">
      <c r="B451" s="110" t="str">
        <f>IF($B$3="Dansk",IF(OR(E449=topdowntables!$R$11, E449=topdowntables!$R$12), "   udbytte, FE per ha","   udbytte, kg per ha"), IF(OR(E449=topdowntables!$R$23, E449=topdowntables!$R$24), "   yield, FU per ha",  "   yield, kg per ha"))</f>
        <v xml:space="preserve">   udbytte, kg per ha</v>
      </c>
      <c r="C451" s="281"/>
      <c r="E451" s="554"/>
      <c r="F451" s="534"/>
      <c r="K451" s="504"/>
      <c r="L451" s="504"/>
      <c r="M451" s="504"/>
    </row>
    <row r="452" spans="2:13" ht="15" hidden="1" customHeight="1" outlineLevel="3" x14ac:dyDescent="0.2">
      <c r="B452" s="110" t="str">
        <f>IF($B$3="Dansk", "   høstet halm, %", "   harvested straw, %")</f>
        <v xml:space="preserve">   høstet halm, %</v>
      </c>
      <c r="C452" s="281"/>
      <c r="E452" s="554"/>
      <c r="F452" s="534"/>
      <c r="K452" s="504"/>
      <c r="L452" s="504"/>
      <c r="M452" s="504"/>
    </row>
    <row r="453" spans="2:13" ht="15" hidden="1" customHeight="1" outlineLevel="3" x14ac:dyDescent="0.2">
      <c r="B453" s="110" t="str">
        <f>IF($B$3="Dansk", "   input per ha:", "   input per ha:")</f>
        <v xml:space="preserve">   input per ha:</v>
      </c>
      <c r="C453" s="281"/>
      <c r="E453" s="551"/>
      <c r="F453" s="136"/>
      <c r="K453" s="504"/>
      <c r="L453" s="504"/>
      <c r="M453" s="504"/>
    </row>
    <row r="454" spans="2:13" ht="15" hidden="1" customHeight="1" outlineLevel="3" x14ac:dyDescent="0.2">
      <c r="B454" s="110" t="str">
        <f>IF($B$3="Dansk", "      udsæd, kg per ha", "      seed, kg per ha")</f>
        <v xml:space="preserve">      udsæd, kg per ha</v>
      </c>
      <c r="C454" s="281"/>
      <c r="E454" s="554"/>
      <c r="F454" s="534"/>
      <c r="K454" s="504"/>
      <c r="L454" s="504"/>
      <c r="M454" s="504"/>
    </row>
    <row r="455" spans="2:13" ht="15" hidden="1" customHeight="1" outlineLevel="3" x14ac:dyDescent="0.2">
      <c r="B455" s="110" t="str">
        <f>IF($B$3="Dansk", "      kalk, kg per ha", "      lime, kg per ha")</f>
        <v xml:space="preserve">      kalk, kg per ha</v>
      </c>
      <c r="C455" s="281"/>
      <c r="E455" s="554"/>
      <c r="F455" s="534"/>
      <c r="K455" s="504"/>
      <c r="L455" s="504"/>
      <c r="M455" s="504"/>
    </row>
    <row r="456" spans="2:13" ht="15" hidden="1" customHeight="1" outlineLevel="3" x14ac:dyDescent="0.2">
      <c r="B456" s="110" t="str">
        <f>IF($B$3="Dansk", "      vanding, %", "      irrigation, %")</f>
        <v xml:space="preserve">      vanding, %</v>
      </c>
      <c r="C456" s="281"/>
      <c r="E456" s="554"/>
      <c r="F456" s="534"/>
      <c r="K456" s="504"/>
      <c r="L456" s="504"/>
      <c r="M456" s="504"/>
    </row>
    <row r="457" spans="2:13" ht="15" hidden="1" customHeight="1" outlineLevel="3" x14ac:dyDescent="0.2">
      <c r="B457" s="110" t="str">
        <f>IF($B$3="Dansk", "      vand forbrug, mm per ha", "      water for irrigation, mm per ha")</f>
        <v xml:space="preserve">      vand forbrug, mm per ha</v>
      </c>
      <c r="C457" s="281"/>
      <c r="E457" s="554"/>
      <c r="F457" s="534"/>
      <c r="K457" s="504"/>
      <c r="L457" s="504"/>
      <c r="M457" s="504"/>
    </row>
    <row r="458" spans="2:13" ht="15" hidden="1" customHeight="1" outlineLevel="2" collapsed="1" x14ac:dyDescent="0.2">
      <c r="B458" s="281"/>
      <c r="C458" s="281"/>
      <c r="E458" s="899"/>
      <c r="F458" s="900"/>
      <c r="K458" s="504"/>
      <c r="L458" s="504"/>
      <c r="M458" s="504"/>
    </row>
    <row r="459" spans="2:13" ht="15" hidden="1" customHeight="1" outlineLevel="2" x14ac:dyDescent="0.2">
      <c r="B459" s="110" t="str">
        <f>IF($B$3="Dansk", "afgrøde 4", "crop 4")</f>
        <v>afgrøde 4</v>
      </c>
      <c r="E459" s="897" t="s">
        <v>1395</v>
      </c>
      <c r="F459" s="898"/>
      <c r="K459" s="504"/>
      <c r="L459" s="504"/>
      <c r="M459" s="504"/>
    </row>
    <row r="460" spans="2:13" ht="15" hidden="1" customHeight="1" outlineLevel="3" x14ac:dyDescent="0.2">
      <c r="B460" s="110" t="str">
        <f>IF($B$3="Dansk", "   areal, ha", "   area, ha")</f>
        <v xml:space="preserve">   areal, ha</v>
      </c>
      <c r="E460" s="554"/>
      <c r="F460" s="534"/>
      <c r="G460" s="338"/>
      <c r="K460" s="504"/>
      <c r="L460" s="504"/>
      <c r="M460" s="504"/>
    </row>
    <row r="461" spans="2:13" ht="15" hidden="1" customHeight="1" outlineLevel="3" x14ac:dyDescent="0.2">
      <c r="B461" s="110" t="str">
        <f>IF($B$3="Dansk",IF(OR(E459=topdowntables!$R$11, E459=topdowntables!$R$12), "   udbytte, FE per ha","   udbytte, kg per ha"), IF(OR(E459=topdowntables!$R$23, E459=topdowntables!$R$24), "   yield, FU per ha",  "   yield, kg per ha"))</f>
        <v xml:space="preserve">   udbytte, kg per ha</v>
      </c>
      <c r="C461" s="281"/>
      <c r="E461" s="554"/>
      <c r="F461" s="534"/>
      <c r="K461" s="504"/>
      <c r="L461" s="504"/>
      <c r="M461" s="504"/>
    </row>
    <row r="462" spans="2:13" ht="15" hidden="1" customHeight="1" outlineLevel="3" x14ac:dyDescent="0.2">
      <c r="B462" s="110" t="str">
        <f>IF($B$3="Dansk", "   høstet halm, %", "   harvested straw, %")</f>
        <v xml:space="preserve">   høstet halm, %</v>
      </c>
      <c r="C462" s="281"/>
      <c r="E462" s="554"/>
      <c r="F462" s="534"/>
      <c r="K462" s="504"/>
      <c r="L462" s="504"/>
      <c r="M462" s="504"/>
    </row>
    <row r="463" spans="2:13" ht="15" hidden="1" customHeight="1" outlineLevel="3" x14ac:dyDescent="0.2">
      <c r="B463" s="110" t="str">
        <f>IF($B$3="Dansk", "   input per ha:", "   input per ha:")</f>
        <v xml:space="preserve">   input per ha:</v>
      </c>
      <c r="C463" s="281"/>
      <c r="E463" s="551"/>
      <c r="F463" s="136"/>
      <c r="K463" s="504"/>
      <c r="L463" s="504"/>
      <c r="M463" s="504"/>
    </row>
    <row r="464" spans="2:13" ht="15" hidden="1" customHeight="1" outlineLevel="3" x14ac:dyDescent="0.2">
      <c r="B464" s="110" t="str">
        <f>IF($B$3="Dansk", "      udsæd, kg per ha", "      seed, kg per ha")</f>
        <v xml:space="preserve">      udsæd, kg per ha</v>
      </c>
      <c r="C464" s="281"/>
      <c r="E464" s="554"/>
      <c r="F464" s="534"/>
      <c r="K464" s="504"/>
      <c r="L464" s="504"/>
      <c r="M464" s="504"/>
    </row>
    <row r="465" spans="2:13" ht="15" hidden="1" customHeight="1" outlineLevel="3" x14ac:dyDescent="0.2">
      <c r="B465" s="110" t="str">
        <f>IF($B$3="Dansk", "      kalk, kg per ha", "      lime, kg per ha")</f>
        <v xml:space="preserve">      kalk, kg per ha</v>
      </c>
      <c r="C465" s="281"/>
      <c r="E465" s="554"/>
      <c r="F465" s="534"/>
      <c r="K465" s="504"/>
      <c r="L465" s="504"/>
      <c r="M465" s="504"/>
    </row>
    <row r="466" spans="2:13" ht="15" hidden="1" customHeight="1" outlineLevel="3" x14ac:dyDescent="0.2">
      <c r="B466" s="110" t="str">
        <f>IF($B$3="Dansk", "      vanding, %", "      irrigation, %")</f>
        <v xml:space="preserve">      vanding, %</v>
      </c>
      <c r="C466" s="281"/>
      <c r="E466" s="554"/>
      <c r="F466" s="534"/>
      <c r="K466" s="504"/>
      <c r="L466" s="504"/>
      <c r="M466" s="504"/>
    </row>
    <row r="467" spans="2:13" ht="15" hidden="1" customHeight="1" outlineLevel="3" x14ac:dyDescent="0.2">
      <c r="B467" s="110" t="str">
        <f>IF($B$3="Dansk", "      vand forbrug, mm per ha", "      water for irrigation, mm per ha")</f>
        <v xml:space="preserve">      vand forbrug, mm per ha</v>
      </c>
      <c r="C467" s="281"/>
      <c r="E467" s="554"/>
      <c r="F467" s="534"/>
      <c r="K467" s="504"/>
      <c r="L467" s="504"/>
      <c r="M467" s="504"/>
    </row>
    <row r="468" spans="2:13" ht="15" hidden="1" customHeight="1" outlineLevel="2" collapsed="1" x14ac:dyDescent="0.2">
      <c r="B468" s="281"/>
      <c r="C468" s="281"/>
      <c r="E468" s="899"/>
      <c r="F468" s="900"/>
      <c r="K468" s="504"/>
      <c r="L468" s="504"/>
      <c r="M468" s="504"/>
    </row>
    <row r="469" spans="2:13" ht="15" hidden="1" customHeight="1" outlineLevel="2" x14ac:dyDescent="0.2">
      <c r="B469" s="110" t="str">
        <f>IF($B$3="Dansk", "afgrøde 5", "crop 5")</f>
        <v>afgrøde 5</v>
      </c>
      <c r="E469" s="897" t="s">
        <v>1395</v>
      </c>
      <c r="F469" s="898"/>
      <c r="K469" s="504"/>
      <c r="L469" s="504"/>
      <c r="M469" s="504"/>
    </row>
    <row r="470" spans="2:13" ht="15" hidden="1" customHeight="1" outlineLevel="3" x14ac:dyDescent="0.2">
      <c r="B470" s="110" t="str">
        <f>IF($B$3="Dansk", "   areal, ha", "   area, ha")</f>
        <v xml:space="preserve">   areal, ha</v>
      </c>
      <c r="E470" s="554"/>
      <c r="F470" s="534"/>
      <c r="G470" s="338"/>
      <c r="K470" s="504"/>
      <c r="L470" s="504"/>
      <c r="M470" s="504"/>
    </row>
    <row r="471" spans="2:13" ht="15" hidden="1" customHeight="1" outlineLevel="3" x14ac:dyDescent="0.2">
      <c r="B471" s="110" t="str">
        <f>IF($B$3="Dansk",IF(OR(E469=topdowntables!$R$11, E469=topdowntables!$R$12), "   udbytte, FE per ha","   udbytte, kg per ha"), IF(OR(E469=topdowntables!$R$23, E469=topdowntables!$R$24), "   yield, FU per ha",  "   yield, kg per ha"))</f>
        <v xml:space="preserve">   udbytte, kg per ha</v>
      </c>
      <c r="C471" s="281"/>
      <c r="E471" s="554"/>
      <c r="F471" s="534"/>
      <c r="K471" s="504"/>
      <c r="L471" s="504"/>
      <c r="M471" s="504"/>
    </row>
    <row r="472" spans="2:13" ht="15" hidden="1" customHeight="1" outlineLevel="3" x14ac:dyDescent="0.2">
      <c r="B472" s="110" t="str">
        <f>IF($B$3="Dansk", "   høstet halm, %", "   harvested straw, %")</f>
        <v xml:space="preserve">   høstet halm, %</v>
      </c>
      <c r="C472" s="281"/>
      <c r="E472" s="554"/>
      <c r="F472" s="534"/>
      <c r="K472" s="504"/>
      <c r="L472" s="504"/>
      <c r="M472" s="504"/>
    </row>
    <row r="473" spans="2:13" ht="15" hidden="1" customHeight="1" outlineLevel="3" x14ac:dyDescent="0.2">
      <c r="B473" s="110" t="str">
        <f>IF($B$3="Dansk", "   input per ha:", "   input per ha:")</f>
        <v xml:space="preserve">   input per ha:</v>
      </c>
      <c r="C473" s="281"/>
      <c r="E473" s="551"/>
      <c r="F473" s="136"/>
      <c r="K473" s="504"/>
      <c r="L473" s="504"/>
      <c r="M473" s="504"/>
    </row>
    <row r="474" spans="2:13" ht="15" hidden="1" customHeight="1" outlineLevel="3" x14ac:dyDescent="0.2">
      <c r="B474" s="110" t="str">
        <f>IF($B$3="Dansk", "      udsæd, kg per ha", "      seed, kg per ha")</f>
        <v xml:space="preserve">      udsæd, kg per ha</v>
      </c>
      <c r="C474" s="281"/>
      <c r="E474" s="554"/>
      <c r="F474" s="534"/>
      <c r="K474" s="504"/>
      <c r="L474" s="504"/>
      <c r="M474" s="504"/>
    </row>
    <row r="475" spans="2:13" ht="15" hidden="1" customHeight="1" outlineLevel="3" x14ac:dyDescent="0.2">
      <c r="B475" s="110" t="str">
        <f>IF($B$3="Dansk", "      kalk, kg per ha", "      lime, kg per ha")</f>
        <v xml:space="preserve">      kalk, kg per ha</v>
      </c>
      <c r="C475" s="281"/>
      <c r="E475" s="554"/>
      <c r="F475" s="534"/>
      <c r="K475" s="504"/>
      <c r="L475" s="504"/>
      <c r="M475" s="504"/>
    </row>
    <row r="476" spans="2:13" ht="15" hidden="1" customHeight="1" outlineLevel="3" x14ac:dyDescent="0.2">
      <c r="B476" s="110" t="str">
        <f>IF($B$3="Dansk", "      vanding, %", "      irrigation, %")</f>
        <v xml:space="preserve">      vanding, %</v>
      </c>
      <c r="C476" s="281"/>
      <c r="E476" s="554"/>
      <c r="F476" s="534"/>
      <c r="K476" s="504"/>
      <c r="L476" s="504"/>
      <c r="M476" s="504"/>
    </row>
    <row r="477" spans="2:13" ht="15" hidden="1" customHeight="1" outlineLevel="3" x14ac:dyDescent="0.2">
      <c r="B477" s="110" t="str">
        <f>IF($B$3="Dansk", "      vand forbrug, mm per ha", "      water for irrigation, mm per ha")</f>
        <v xml:space="preserve">      vand forbrug, mm per ha</v>
      </c>
      <c r="C477" s="281"/>
      <c r="E477" s="554"/>
      <c r="F477" s="534"/>
      <c r="K477" s="504"/>
      <c r="L477" s="504"/>
      <c r="M477" s="504"/>
    </row>
    <row r="478" spans="2:13" ht="15" hidden="1" customHeight="1" outlineLevel="2" collapsed="1" x14ac:dyDescent="0.2">
      <c r="B478" s="281"/>
      <c r="C478" s="281"/>
      <c r="E478" s="899"/>
      <c r="F478" s="900"/>
      <c r="K478" s="504"/>
      <c r="L478" s="504"/>
      <c r="M478" s="504"/>
    </row>
    <row r="479" spans="2:13" ht="15" hidden="1" customHeight="1" outlineLevel="2" x14ac:dyDescent="0.2">
      <c r="B479" s="110" t="str">
        <f>IF($B$3="Dansk", "afgrøde 6", "crop 6")</f>
        <v>afgrøde 6</v>
      </c>
      <c r="E479" s="897" t="s">
        <v>1395</v>
      </c>
      <c r="F479" s="898"/>
      <c r="K479" s="504"/>
      <c r="L479" s="504"/>
      <c r="M479" s="504"/>
    </row>
    <row r="480" spans="2:13" ht="15" hidden="1" customHeight="1" outlineLevel="3" x14ac:dyDescent="0.2">
      <c r="B480" s="110" t="str">
        <f>IF($B$3="Dansk", "   areal, ha", "   area, ha")</f>
        <v xml:space="preserve">   areal, ha</v>
      </c>
      <c r="E480" s="554"/>
      <c r="F480" s="534"/>
      <c r="G480" s="338"/>
      <c r="K480" s="504"/>
      <c r="L480" s="504"/>
      <c r="M480" s="504"/>
    </row>
    <row r="481" spans="2:13" ht="15" hidden="1" customHeight="1" outlineLevel="3" x14ac:dyDescent="0.2">
      <c r="B481" s="110" t="str">
        <f>IF($B$3="Dansk",IF(OR(E479=topdowntables!$R$11, E479=topdowntables!$R$12), "   udbytte, FE per ha","   udbytte, kg per ha"), IF(OR(E479=topdowntables!$R$23, E479=topdowntables!$R$24), "   yield, FU per ha",  "   yield, kg per ha"))</f>
        <v xml:space="preserve">   udbytte, kg per ha</v>
      </c>
      <c r="C481" s="281"/>
      <c r="E481" s="554"/>
      <c r="F481" s="534"/>
      <c r="K481" s="504"/>
      <c r="L481" s="504"/>
      <c r="M481" s="504"/>
    </row>
    <row r="482" spans="2:13" ht="15" hidden="1" customHeight="1" outlineLevel="3" x14ac:dyDescent="0.2">
      <c r="B482" s="110" t="str">
        <f>IF($B$3="Dansk", "   høstet halm, %", "   harvested straw, %")</f>
        <v xml:space="preserve">   høstet halm, %</v>
      </c>
      <c r="C482" s="281"/>
      <c r="E482" s="554"/>
      <c r="F482" s="534"/>
      <c r="K482" s="504"/>
      <c r="L482" s="504"/>
      <c r="M482" s="504"/>
    </row>
    <row r="483" spans="2:13" ht="15" hidden="1" customHeight="1" outlineLevel="3" x14ac:dyDescent="0.2">
      <c r="B483" s="110" t="str">
        <f>IF($B$3="Dansk", "   input per ha:", "   input per ha:")</f>
        <v xml:space="preserve">   input per ha:</v>
      </c>
      <c r="C483" s="281"/>
      <c r="E483" s="551"/>
      <c r="F483" s="136"/>
      <c r="K483" s="504"/>
      <c r="L483" s="504"/>
      <c r="M483" s="504"/>
    </row>
    <row r="484" spans="2:13" ht="15" hidden="1" customHeight="1" outlineLevel="3" x14ac:dyDescent="0.2">
      <c r="B484" s="110" t="str">
        <f>IF($B$3="Dansk", "      udsæd, kg per ha", "      seed, kg per ha")</f>
        <v xml:space="preserve">      udsæd, kg per ha</v>
      </c>
      <c r="C484" s="281"/>
      <c r="E484" s="554"/>
      <c r="F484" s="534"/>
      <c r="K484" s="504"/>
      <c r="L484" s="504"/>
      <c r="M484" s="504"/>
    </row>
    <row r="485" spans="2:13" ht="15" hidden="1" customHeight="1" outlineLevel="3" x14ac:dyDescent="0.2">
      <c r="B485" s="110" t="str">
        <f>IF($B$3="Dansk", "      kalk, kg per ha", "      lime, kg per ha")</f>
        <v xml:space="preserve">      kalk, kg per ha</v>
      </c>
      <c r="C485" s="281"/>
      <c r="E485" s="554"/>
      <c r="F485" s="534"/>
      <c r="K485" s="504"/>
      <c r="L485" s="504"/>
      <c r="M485" s="504"/>
    </row>
    <row r="486" spans="2:13" ht="15" hidden="1" customHeight="1" outlineLevel="3" x14ac:dyDescent="0.2">
      <c r="B486" s="110" t="str">
        <f>IF($B$3="Dansk", "      vanding, %", "      irrigation, %")</f>
        <v xml:space="preserve">      vanding, %</v>
      </c>
      <c r="C486" s="281"/>
      <c r="E486" s="554"/>
      <c r="F486" s="534"/>
      <c r="K486" s="504"/>
      <c r="L486" s="504"/>
      <c r="M486" s="504"/>
    </row>
    <row r="487" spans="2:13" ht="15" hidden="1" customHeight="1" outlineLevel="3" x14ac:dyDescent="0.2">
      <c r="B487" s="110" t="str">
        <f>IF($B$3="Dansk", "      vand forbrug, mm per ha", "      water for irrigation, mm per ha")</f>
        <v xml:space="preserve">      vand forbrug, mm per ha</v>
      </c>
      <c r="C487" s="281"/>
      <c r="E487" s="554"/>
      <c r="F487" s="534"/>
      <c r="K487" s="504"/>
      <c r="L487" s="504"/>
      <c r="M487" s="504"/>
    </row>
    <row r="488" spans="2:13" ht="15" hidden="1" customHeight="1" outlineLevel="2" collapsed="1" x14ac:dyDescent="0.2">
      <c r="B488" s="281"/>
      <c r="C488" s="281"/>
      <c r="E488" s="890"/>
      <c r="F488" s="903"/>
      <c r="K488" s="504"/>
      <c r="L488" s="504"/>
      <c r="M488" s="504"/>
    </row>
    <row r="489" spans="2:13" ht="15" hidden="1" customHeight="1" outlineLevel="1" collapsed="1" x14ac:dyDescent="0.2">
      <c r="E489" s="903"/>
      <c r="F489" s="903"/>
      <c r="K489" s="272"/>
      <c r="L489" s="272"/>
      <c r="M489" s="272"/>
    </row>
    <row r="490" spans="2:13" ht="15" customHeight="1" collapsed="1" x14ac:dyDescent="0.2">
      <c r="E490" s="893"/>
      <c r="F490" s="893"/>
      <c r="K490" s="272"/>
      <c r="L490" s="272"/>
      <c r="M490" s="272"/>
    </row>
    <row r="491" spans="2:13" ht="15" customHeight="1" x14ac:dyDescent="0.2">
      <c r="B491" s="178" t="str">
        <f>IF(B3="Dansk", "Energiforbrug", "Energy use")</f>
        <v>Energiforbrug</v>
      </c>
      <c r="C491" s="500"/>
      <c r="E491" s="900"/>
      <c r="F491" s="900"/>
      <c r="K491" s="272"/>
      <c r="L491" s="272"/>
      <c r="M491" s="272"/>
    </row>
    <row r="492" spans="2:13" ht="15" hidden="1" customHeight="1" outlineLevel="1" x14ac:dyDescent="0.2">
      <c r="B492" s="110" t="str">
        <f>IF(B3="Dansk", "elektricitet i stalde, kWh", "electricity used in stable")</f>
        <v>elektricitet i stalde, kWh</v>
      </c>
      <c r="E492" s="891"/>
      <c r="F492" s="892"/>
      <c r="K492" s="504"/>
      <c r="L492" s="504"/>
      <c r="M492" s="504"/>
    </row>
    <row r="493" spans="2:13" ht="15" hidden="1" customHeight="1" outlineLevel="1" x14ac:dyDescent="0.2">
      <c r="B493" s="110" t="str">
        <f>IF(B3="Dansk", "diesel til mark operationer, l per ha", "disel, used for field operations, l per ha")</f>
        <v>diesel til mark operationer, l per ha</v>
      </c>
      <c r="E493" s="891"/>
      <c r="F493" s="892"/>
      <c r="H493" s="111" t="str">
        <f>IF(E493=0, IF(B3="Dansk", "info: Typisk diesel forbrug er 64 liter per ha", "info: Typical diesel consumption is 64 l per ha"), "")</f>
        <v>info: Typisk diesel forbrug er 64 liter per ha</v>
      </c>
      <c r="K493" s="504"/>
      <c r="L493" s="504"/>
      <c r="M493" s="504"/>
    </row>
    <row r="494" spans="2:13" ht="15" hidden="1" customHeight="1" outlineLevel="1" x14ac:dyDescent="0.2">
      <c r="E494" s="890"/>
      <c r="F494" s="890"/>
      <c r="K494" s="272"/>
      <c r="L494" s="272"/>
      <c r="M494" s="272"/>
    </row>
    <row r="495" spans="2:13" ht="15" hidden="1" customHeight="1" outlineLevel="1" x14ac:dyDescent="0.2">
      <c r="E495" s="893"/>
      <c r="F495" s="893"/>
      <c r="K495" s="272"/>
      <c r="L495" s="272"/>
      <c r="M495" s="272"/>
    </row>
    <row r="496" spans="2:13" ht="15" customHeight="1" collapsed="1" x14ac:dyDescent="0.2">
      <c r="E496" s="893"/>
      <c r="F496" s="893"/>
      <c r="K496" s="272"/>
      <c r="L496" s="272"/>
      <c r="M496" s="272"/>
    </row>
    <row r="497" spans="2:13" ht="15" customHeight="1" x14ac:dyDescent="0.2">
      <c r="B497" s="178" t="str">
        <f>IF(B3="Dansk", "Produktion", "Output")</f>
        <v>Produktion</v>
      </c>
      <c r="C497" s="500"/>
      <c r="E497" s="900"/>
      <c r="F497" s="903"/>
      <c r="K497" s="272"/>
      <c r="L497" s="272"/>
      <c r="M497" s="272"/>
    </row>
    <row r="498" spans="2:13" ht="15" hidden="1" customHeight="1" outlineLevel="1" x14ac:dyDescent="0.2">
      <c r="B498" s="110" t="str">
        <f>IF(B3="Dansk", "solgt ved fravænning, stk. per år", "piglets, sold after weaning, p. per year")</f>
        <v>solgt ved fravænning, stk. per år</v>
      </c>
      <c r="C498" s="338"/>
      <c r="E498" s="558">
        <f>'Flow sohold'!D19</f>
        <v>0</v>
      </c>
      <c r="F498" s="545"/>
      <c r="K498" s="504"/>
      <c r="L498" s="504"/>
      <c r="M498" s="504"/>
    </row>
    <row r="499" spans="2:13" ht="15" hidden="1" customHeight="1" outlineLevel="1" x14ac:dyDescent="0.2">
      <c r="B499" s="110" t="str">
        <f>IF(B3="Dansk", "søer til udsætning, stk. per år", "cull sows, p. per year")</f>
        <v>søer til udsætning, stk. per år</v>
      </c>
      <c r="C499" s="338"/>
      <c r="E499" s="559">
        <f>'Flow sohold'!D7+'Flow sohold'!D8</f>
        <v>0</v>
      </c>
      <c r="F499" s="545"/>
      <c r="K499" s="504"/>
      <c r="L499" s="504"/>
      <c r="M499" s="504"/>
    </row>
    <row r="500" spans="2:13" ht="15" hidden="1" customHeight="1" outlineLevel="1" x14ac:dyDescent="0.2">
      <c r="B500" s="110" t="str">
        <f>IF(B3="Dansk", "solgte smågrise, stk. per år", "sold piglets, p. per year")</f>
        <v>solgte smågrise, stk. per år</v>
      </c>
      <c r="C500" s="338"/>
      <c r="E500" s="559">
        <f>'Flow smågrise'!D11</f>
        <v>0</v>
      </c>
      <c r="F500" s="545"/>
      <c r="K500" s="504"/>
      <c r="L500" s="504"/>
      <c r="M500" s="504"/>
    </row>
    <row r="501" spans="2:13" ht="15" hidden="1" customHeight="1" outlineLevel="1" x14ac:dyDescent="0.2">
      <c r="B501" s="110" t="str">
        <f>IF(B3="Dansk", "producerede slagtesvin, stk. per år", "produced slaughter pigs, p. per year")</f>
        <v>producerede slagtesvin, stk. per år</v>
      </c>
      <c r="C501" s="338"/>
      <c r="E501" s="559">
        <f>'Flow slagtesvin'!D8</f>
        <v>0</v>
      </c>
      <c r="F501" s="560"/>
      <c r="K501" s="504"/>
      <c r="L501" s="504"/>
      <c r="M501" s="504"/>
    </row>
    <row r="502" spans="2:13" ht="15" hidden="1" customHeight="1" outlineLevel="1" x14ac:dyDescent="0.2">
      <c r="B502" s="110" t="str">
        <f>IF(B3="Dansk", "salgsafgrøder, solgte t per år", "cash crops, t per year")</f>
        <v>salgsafgrøder, solgte t per år</v>
      </c>
      <c r="C502" s="338"/>
      <c r="E502" s="561" t="str">
        <f>IF($B$3="Dansk", "cash afgrøder type", "cash crop type")</f>
        <v>cash afgrøder type</v>
      </c>
      <c r="F502" s="561" t="str">
        <f>IF($B$3="Dansk", "t", "t")</f>
        <v>t</v>
      </c>
      <c r="K502" s="136"/>
      <c r="L502" s="136"/>
      <c r="M502" s="136"/>
    </row>
    <row r="503" spans="2:13" ht="15" hidden="1" customHeight="1" outlineLevel="1" x14ac:dyDescent="0.2">
      <c r="B503" s="338"/>
      <c r="C503" s="338"/>
      <c r="E503" s="609" t="str">
        <f>IF(OR(E429="Vælg……………………………………",E429="Select…………………………………"),"",E429)</f>
        <v/>
      </c>
      <c r="F503" s="647">
        <f t="shared" ref="F503:F508" si="10">IFERROR(IFERROR(IF( (VLOOKUP(E503, feedavailability, 3, FALSE)-VLOOKUP(E503, feedavailability, 5, FALSE))/1000&gt;= 0, (VLOOKUP(E503, feedavailability, 3, FALSE)-VLOOKUP(E503, feedavailability, 5, FALSE))/1000,0), VLOOKUP(E503, feedavailability, 3, FALSE)/1000), 0)</f>
        <v>0</v>
      </c>
      <c r="K503" s="136"/>
      <c r="L503" s="136"/>
      <c r="M503" s="136"/>
    </row>
    <row r="504" spans="2:13" ht="15" hidden="1" customHeight="1" outlineLevel="1" x14ac:dyDescent="0.2">
      <c r="B504" s="338"/>
      <c r="C504" s="338"/>
      <c r="E504" s="609" t="str">
        <f>IF(OR(E439="Vælg……………………………………",E439="Select…………………………………"),"",E439)</f>
        <v/>
      </c>
      <c r="F504" s="647">
        <f t="shared" si="10"/>
        <v>0</v>
      </c>
      <c r="K504" s="136"/>
      <c r="L504" s="136"/>
      <c r="M504" s="136"/>
    </row>
    <row r="505" spans="2:13" ht="15" hidden="1" customHeight="1" outlineLevel="1" x14ac:dyDescent="0.2">
      <c r="B505" s="338"/>
      <c r="C505" s="338"/>
      <c r="E505" s="609" t="str">
        <f>IF(OR(E449="Vælg……………………………………",E449="Select…………………………………"),"",E449)</f>
        <v/>
      </c>
      <c r="F505" s="647">
        <f t="shared" si="10"/>
        <v>0</v>
      </c>
      <c r="K505" s="136"/>
      <c r="L505" s="136"/>
      <c r="M505" s="136"/>
    </row>
    <row r="506" spans="2:13" ht="15" hidden="1" customHeight="1" outlineLevel="1" x14ac:dyDescent="0.2">
      <c r="B506" s="338"/>
      <c r="C506" s="338"/>
      <c r="E506" s="609" t="str">
        <f>IF(OR(E459="Vælg……………………………………",E459="Select…………………………………"),"",E459)</f>
        <v/>
      </c>
      <c r="F506" s="647">
        <f t="shared" si="10"/>
        <v>0</v>
      </c>
      <c r="K506" s="136"/>
      <c r="L506" s="136"/>
      <c r="M506" s="136"/>
    </row>
    <row r="507" spans="2:13" ht="15" hidden="1" customHeight="1" outlineLevel="1" x14ac:dyDescent="0.2">
      <c r="B507" s="338"/>
      <c r="C507" s="338"/>
      <c r="E507" s="609" t="str">
        <f>IF(OR(E469="Vælg……………………………………",E469="Select…………………………………"),"",E469)</f>
        <v/>
      </c>
      <c r="F507" s="647">
        <f t="shared" si="10"/>
        <v>0</v>
      </c>
      <c r="K507" s="136"/>
      <c r="L507" s="136"/>
      <c r="M507" s="136"/>
    </row>
    <row r="508" spans="2:13" ht="15" hidden="1" customHeight="1" outlineLevel="1" x14ac:dyDescent="0.2">
      <c r="B508" s="338"/>
      <c r="C508" s="338"/>
      <c r="E508" s="609" t="str">
        <f>IF(OR(E479="Vælg……………………………………",E479="Select…………………………………"),"",E479)</f>
        <v/>
      </c>
      <c r="F508" s="647">
        <f t="shared" si="10"/>
        <v>0</v>
      </c>
      <c r="K508" s="136"/>
      <c r="L508" s="136"/>
      <c r="M508" s="136"/>
    </row>
    <row r="509" spans="2:13" ht="15" customHeight="1" collapsed="1" x14ac:dyDescent="0.2">
      <c r="E509" s="890"/>
      <c r="F509" s="890"/>
      <c r="K509" s="272"/>
      <c r="L509" s="272"/>
      <c r="M509" s="272"/>
    </row>
    <row r="510" spans="2:13" ht="15" customHeight="1" x14ac:dyDescent="0.2">
      <c r="E510" s="904"/>
      <c r="F510" s="904"/>
    </row>
    <row r="511" spans="2:13" ht="15" customHeight="1" x14ac:dyDescent="0.2">
      <c r="B511" s="338"/>
    </row>
    <row r="525" spans="15:15" ht="15" customHeight="1" x14ac:dyDescent="0.2">
      <c r="O525" s="110" t="s">
        <v>821</v>
      </c>
    </row>
  </sheetData>
  <sheetProtection algorithmName="SHA-512" hashValue="ZKwoWKUDyVdWp3iyTaqXUEmIHt+zCojGXiaiZTyrQIONGjIqquiNSCHx5EEOw5SFNUBlE6cRpgQ/uzXTTbTvvg==" saltValue="zQVFA8Mf/+sbRnYhb/MAMg==" spinCount="100000" sheet="1" objects="1" scenarios="1"/>
  <protectedRanges>
    <protectedRange sqref="E156:F156" name="Range8"/>
    <protectedRange sqref="E408:F409 E413:F414 E418:F419 E423:F424 E429:E432 E434:E437 E439:E442 E444:E447 E449:E452 E454:E457 E459:E462 E464:E467 E469:E472 E474:E477 E479:E482 E484:E487" name="fields"/>
    <protectedRange sqref="E392:F393 E397:G398" name="storage"/>
    <protectedRange sqref="I197:I211 E215:F216 E218:I222 E227 H228 E230:I244 H247 E249:I263 E268:I282 E286:F287 E289:I293" name="feed2"/>
    <protectedRange sqref="E46:F47 F48 E50:I64 E67:F68 E70:I74 F79 H79 E81:I95 E101 H102 E104:I118 E122 E125:I139 E144:F145 E147:I151 E156 H157 E159:I173 H176 E178:I192 E197:H211" name="feed"/>
    <protectedRange sqref="E14:F18 E20:F25 E27:F32 E34:F38" name="herd"/>
    <protectedRange sqref="E302 F303 E305:F306 F307 E309:F310 E313:F314 E316:F320 E324 F325 E327:F328 F329 E331:F332 E335:F336 E338:F342 E346 F347 E349:F350 F351 E353:F354 E357:F358 E360:F364 E368 F369 E371:F372 F373 E375:F376 E379:F380 E382:F386" name="stables"/>
    <protectedRange sqref="E492:F493" name="energy"/>
  </protectedRanges>
  <dataConsolidate/>
  <mergeCells count="326">
    <mergeCell ref="E309:F309"/>
    <mergeCell ref="E237:H237"/>
    <mergeCell ref="E252:H252"/>
    <mergeCell ref="E211:H211"/>
    <mergeCell ref="E191:H191"/>
    <mergeCell ref="E239:H239"/>
    <mergeCell ref="E253:H253"/>
    <mergeCell ref="E254:H254"/>
    <mergeCell ref="E207:H207"/>
    <mergeCell ref="E198:H198"/>
    <mergeCell ref="E199:H199"/>
    <mergeCell ref="E200:H200"/>
    <mergeCell ref="E201:H201"/>
    <mergeCell ref="E202:H202"/>
    <mergeCell ref="E231:H231"/>
    <mergeCell ref="E232:H232"/>
    <mergeCell ref="E234:H234"/>
    <mergeCell ref="E235:H235"/>
    <mergeCell ref="E236:H236"/>
    <mergeCell ref="E240:H240"/>
    <mergeCell ref="E251:H251"/>
    <mergeCell ref="E203:H203"/>
    <mergeCell ref="E204:H204"/>
    <mergeCell ref="E205:H205"/>
    <mergeCell ref="E104:H104"/>
    <mergeCell ref="E105:H105"/>
    <mergeCell ref="E271:H271"/>
    <mergeCell ref="E272:H272"/>
    <mergeCell ref="E273:H273"/>
    <mergeCell ref="E233:H233"/>
    <mergeCell ref="E243:H243"/>
    <mergeCell ref="E229:H229"/>
    <mergeCell ref="E230:H230"/>
    <mergeCell ref="E241:H241"/>
    <mergeCell ref="E242:H242"/>
    <mergeCell ref="E261:H261"/>
    <mergeCell ref="E262:H262"/>
    <mergeCell ref="E263:H263"/>
    <mergeCell ref="E250:H250"/>
    <mergeCell ref="E258:H258"/>
    <mergeCell ref="E257:H257"/>
    <mergeCell ref="E256:H256"/>
    <mergeCell ref="E238:H238"/>
    <mergeCell ref="E259:H259"/>
    <mergeCell ref="E260:H260"/>
    <mergeCell ref="E255:H255"/>
    <mergeCell ref="E267:H267"/>
    <mergeCell ref="E268:H268"/>
    <mergeCell ref="E137:H137"/>
    <mergeCell ref="E129:H129"/>
    <mergeCell ref="E130:H130"/>
    <mergeCell ref="N6:R6"/>
    <mergeCell ref="N8:R8"/>
    <mergeCell ref="E46:F46"/>
    <mergeCell ref="E125:H125"/>
    <mergeCell ref="E126:H126"/>
    <mergeCell ref="E127:H127"/>
    <mergeCell ref="E128:H128"/>
    <mergeCell ref="E14:F14"/>
    <mergeCell ref="E15:F15"/>
    <mergeCell ref="E16:F16"/>
    <mergeCell ref="E17:F17"/>
    <mergeCell ref="E18:F18"/>
    <mergeCell ref="E19:F19"/>
    <mergeCell ref="E27:F27"/>
    <mergeCell ref="E28:F28"/>
    <mergeCell ref="E29:F29"/>
    <mergeCell ref="E115:H115"/>
    <mergeCell ref="E30:F30"/>
    <mergeCell ref="E37:F37"/>
    <mergeCell ref="E20:F20"/>
    <mergeCell ref="E21:F21"/>
    <mergeCell ref="E149:H149"/>
    <mergeCell ref="E150:H150"/>
    <mergeCell ref="E151:H151"/>
    <mergeCell ref="E170:H170"/>
    <mergeCell ref="E171:H171"/>
    <mergeCell ref="E159:H159"/>
    <mergeCell ref="E158:H158"/>
    <mergeCell ref="E160:H160"/>
    <mergeCell ref="H156:I156"/>
    <mergeCell ref="E161:H161"/>
    <mergeCell ref="E162:H162"/>
    <mergeCell ref="E163:H163"/>
    <mergeCell ref="E164:H164"/>
    <mergeCell ref="E165:H165"/>
    <mergeCell ref="E166:H166"/>
    <mergeCell ref="E167:H167"/>
    <mergeCell ref="E169:H169"/>
    <mergeCell ref="E60:H60"/>
    <mergeCell ref="E184:H184"/>
    <mergeCell ref="E244:H244"/>
    <mergeCell ref="E248:H248"/>
    <mergeCell ref="E249:H249"/>
    <mergeCell ref="E179:H179"/>
    <mergeCell ref="E189:H189"/>
    <mergeCell ref="E180:H180"/>
    <mergeCell ref="E215:F215"/>
    <mergeCell ref="E216:F216"/>
    <mergeCell ref="E208:H208"/>
    <mergeCell ref="E209:H209"/>
    <mergeCell ref="E210:H210"/>
    <mergeCell ref="E185:H185"/>
    <mergeCell ref="E186:H186"/>
    <mergeCell ref="E187:H187"/>
    <mergeCell ref="E192:H192"/>
    <mergeCell ref="E196:H196"/>
    <mergeCell ref="E190:H190"/>
    <mergeCell ref="E197:H197"/>
    <mergeCell ref="E188:H188"/>
    <mergeCell ref="E168:H168"/>
    <mergeCell ref="E116:H116"/>
    <mergeCell ref="E139:H139"/>
    <mergeCell ref="E35:F35"/>
    <mergeCell ref="E36:F36"/>
    <mergeCell ref="E38:F38"/>
    <mergeCell ref="E54:H54"/>
    <mergeCell ref="E55:H55"/>
    <mergeCell ref="E56:H56"/>
    <mergeCell ref="E57:H57"/>
    <mergeCell ref="E112:H112"/>
    <mergeCell ref="E113:H113"/>
    <mergeCell ref="E68:F68"/>
    <mergeCell ref="E101:F101"/>
    <mergeCell ref="E103:H103"/>
    <mergeCell ref="E107:H107"/>
    <mergeCell ref="E69:H69"/>
    <mergeCell ref="E70:H70"/>
    <mergeCell ref="E71:H71"/>
    <mergeCell ref="E72:H72"/>
    <mergeCell ref="E73:H73"/>
    <mergeCell ref="E74:H74"/>
    <mergeCell ref="E106:H106"/>
    <mergeCell ref="E58:H58"/>
    <mergeCell ref="E59:H59"/>
    <mergeCell ref="E110:H110"/>
    <mergeCell ref="E111:H111"/>
    <mergeCell ref="E22:F22"/>
    <mergeCell ref="E23:F23"/>
    <mergeCell ref="E24:F24"/>
    <mergeCell ref="E25:F25"/>
    <mergeCell ref="E31:F31"/>
    <mergeCell ref="E32:F32"/>
    <mergeCell ref="E26:F26"/>
    <mergeCell ref="E33:F33"/>
    <mergeCell ref="E34:F34"/>
    <mergeCell ref="E124:H124"/>
    <mergeCell ref="E122:F122"/>
    <mergeCell ref="E133:H133"/>
    <mergeCell ref="E313:F313"/>
    <mergeCell ref="E310:F310"/>
    <mergeCell ref="E362:F362"/>
    <mergeCell ref="E363:F363"/>
    <mergeCell ref="E364:F364"/>
    <mergeCell ref="E331:F331"/>
    <mergeCell ref="E332:F332"/>
    <mergeCell ref="E349:F349"/>
    <mergeCell ref="E353:F353"/>
    <mergeCell ref="E339:F339"/>
    <mergeCell ref="E334:F334"/>
    <mergeCell ref="E335:F335"/>
    <mergeCell ref="E336:F336"/>
    <mergeCell ref="E350:F350"/>
    <mergeCell ref="E319:F319"/>
    <mergeCell ref="E356:F356"/>
    <mergeCell ref="E134:H134"/>
    <mergeCell ref="E135:H135"/>
    <mergeCell ref="E131:H131"/>
    <mergeCell ref="E132:H132"/>
    <mergeCell ref="E144:F144"/>
    <mergeCell ref="E406:F406"/>
    <mergeCell ref="E276:H276"/>
    <mergeCell ref="E368:F368"/>
    <mergeCell ref="E206:H206"/>
    <mergeCell ref="E181:H181"/>
    <mergeCell ref="E182:H182"/>
    <mergeCell ref="E61:H61"/>
    <mergeCell ref="E62:H62"/>
    <mergeCell ref="E63:H63"/>
    <mergeCell ref="E64:H64"/>
    <mergeCell ref="E108:H108"/>
    <mergeCell ref="E109:H109"/>
    <mergeCell ref="E114:H114"/>
    <mergeCell ref="E136:H136"/>
    <mergeCell ref="E145:F145"/>
    <mergeCell ref="E138:H138"/>
    <mergeCell ref="E146:H146"/>
    <mergeCell ref="E147:H147"/>
    <mergeCell ref="E148:H148"/>
    <mergeCell ref="E178:H178"/>
    <mergeCell ref="E172:H172"/>
    <mergeCell ref="E173:H173"/>
    <mergeCell ref="E177:H177"/>
    <mergeCell ref="E183:H183"/>
    <mergeCell ref="E269:H269"/>
    <mergeCell ref="E270:H270"/>
    <mergeCell ref="E281:H281"/>
    <mergeCell ref="E318:F318"/>
    <mergeCell ref="E371:F371"/>
    <mergeCell ref="E378:F378"/>
    <mergeCell ref="E379:F379"/>
    <mergeCell ref="E380:F380"/>
    <mergeCell ref="E385:F385"/>
    <mergeCell ref="E293:H293"/>
    <mergeCell ref="E312:F312"/>
    <mergeCell ref="E282:H282"/>
    <mergeCell ref="E372:F372"/>
    <mergeCell ref="E384:F384"/>
    <mergeCell ref="E354:F354"/>
    <mergeCell ref="E375:F375"/>
    <mergeCell ref="E274:H274"/>
    <mergeCell ref="E275:H275"/>
    <mergeCell ref="E306:F306"/>
    <mergeCell ref="E328:F328"/>
    <mergeCell ref="E376:F376"/>
    <mergeCell ref="E289:H289"/>
    <mergeCell ref="E290:H290"/>
    <mergeCell ref="E317:F317"/>
    <mergeCell ref="E398:F398"/>
    <mergeCell ref="E382:F382"/>
    <mergeCell ref="E396:F396"/>
    <mergeCell ref="E397:F397"/>
    <mergeCell ref="E286:F286"/>
    <mergeCell ref="E278:H278"/>
    <mergeCell ref="E279:H279"/>
    <mergeCell ref="E383:F383"/>
    <mergeCell ref="E320:F320"/>
    <mergeCell ref="E340:F340"/>
    <mergeCell ref="E341:F341"/>
    <mergeCell ref="E342:F342"/>
    <mergeCell ref="E287:F287"/>
    <mergeCell ref="E291:H291"/>
    <mergeCell ref="E305:F305"/>
    <mergeCell ref="E327:F327"/>
    <mergeCell ref="E361:F361"/>
    <mergeCell ref="E292:H292"/>
    <mergeCell ref="E386:F386"/>
    <mergeCell ref="E391:F391"/>
    <mergeCell ref="E357:F357"/>
    <mergeCell ref="E314:F314"/>
    <mergeCell ref="E358:F358"/>
    <mergeCell ref="E360:F360"/>
    <mergeCell ref="E13:F13"/>
    <mergeCell ref="E392:F392"/>
    <mergeCell ref="E393:F393"/>
    <mergeCell ref="E47:F47"/>
    <mergeCell ref="E217:H217"/>
    <mergeCell ref="E218:H218"/>
    <mergeCell ref="E219:H219"/>
    <mergeCell ref="E220:H220"/>
    <mergeCell ref="E221:H221"/>
    <mergeCell ref="E222:H222"/>
    <mergeCell ref="E227:F227"/>
    <mergeCell ref="E67:F67"/>
    <mergeCell ref="E49:H49"/>
    <mergeCell ref="E50:H50"/>
    <mergeCell ref="E51:H51"/>
    <mergeCell ref="E52:H52"/>
    <mergeCell ref="E53:H53"/>
    <mergeCell ref="E280:H280"/>
    <mergeCell ref="E117:H117"/>
    <mergeCell ref="E118:H118"/>
    <mergeCell ref="E346:F346"/>
    <mergeCell ref="E156:F156"/>
    <mergeCell ref="E288:H288"/>
    <mergeCell ref="E277:H277"/>
    <mergeCell ref="E412:F412"/>
    <mergeCell ref="E413:F413"/>
    <mergeCell ref="E417:F417"/>
    <mergeCell ref="E418:F418"/>
    <mergeCell ref="E420:F420"/>
    <mergeCell ref="E409:F409"/>
    <mergeCell ref="E410:F410"/>
    <mergeCell ref="E414:F414"/>
    <mergeCell ref="E411:F411"/>
    <mergeCell ref="E416:F416"/>
    <mergeCell ref="E415:F415"/>
    <mergeCell ref="E419:F419"/>
    <mergeCell ref="E510:F510"/>
    <mergeCell ref="E80:H80"/>
    <mergeCell ref="E81:H81"/>
    <mergeCell ref="E82:H82"/>
    <mergeCell ref="E83:H83"/>
    <mergeCell ref="E84:H84"/>
    <mergeCell ref="E85:H85"/>
    <mergeCell ref="E86:H86"/>
    <mergeCell ref="E87:H87"/>
    <mergeCell ref="E88:H88"/>
    <mergeCell ref="E89:H89"/>
    <mergeCell ref="E90:H90"/>
    <mergeCell ref="E91:H91"/>
    <mergeCell ref="E92:H92"/>
    <mergeCell ref="E93:H93"/>
    <mergeCell ref="E94:H94"/>
    <mergeCell ref="E95:H95"/>
    <mergeCell ref="E448:F448"/>
    <mergeCell ref="E497:F497"/>
    <mergeCell ref="E459:F459"/>
    <mergeCell ref="E468:F468"/>
    <mergeCell ref="E489:F489"/>
    <mergeCell ref="E490:F490"/>
    <mergeCell ref="E491:F491"/>
    <mergeCell ref="I217:L217"/>
    <mergeCell ref="I124:L124"/>
    <mergeCell ref="E509:F509"/>
    <mergeCell ref="E492:F492"/>
    <mergeCell ref="E493:F493"/>
    <mergeCell ref="E494:F494"/>
    <mergeCell ref="E495:F495"/>
    <mergeCell ref="E496:F496"/>
    <mergeCell ref="E421:F421"/>
    <mergeCell ref="E423:F423"/>
    <mergeCell ref="E422:F422"/>
    <mergeCell ref="E449:F449"/>
    <mergeCell ref="E439:F439"/>
    <mergeCell ref="E469:F469"/>
    <mergeCell ref="E478:F478"/>
    <mergeCell ref="E479:F479"/>
    <mergeCell ref="E458:F458"/>
    <mergeCell ref="E424:F424"/>
    <mergeCell ref="E425:F425"/>
    <mergeCell ref="E427:F427"/>
    <mergeCell ref="E429:F429"/>
    <mergeCell ref="E488:F488"/>
    <mergeCell ref="E407:F407"/>
    <mergeCell ref="E408:F408"/>
  </mergeCells>
  <dataValidations count="12">
    <dataValidation type="list" allowBlank="1" showInputMessage="1" showErrorMessage="1" sqref="K339:M342 K376:M376 K317:M320 K310:M311 E311 K354:M354 K332:M332 K361:M364 K383:M386">
      <formula1>#REF!</formula1>
    </dataValidation>
    <dataValidation type="list" allowBlank="1" showInputMessage="1" showErrorMessage="1" sqref="K392:M392">
      <formula1>$G$6:$G$11</formula1>
    </dataValidation>
    <dataValidation type="list" allowBlank="1" showInputMessage="1" showErrorMessage="1" sqref="K365:M365 H365">
      <formula1>$AB$5:$AB$7</formula1>
    </dataValidation>
    <dataValidation type="list" allowBlank="1" showInputMessage="1" showErrorMessage="1" sqref="K322:M323 K356:M356 K378:M378">
      <formula1>$B$5:$B$33</formula1>
    </dataValidation>
    <dataValidation type="list" allowBlank="1" showInputMessage="1" showErrorMessage="1" sqref="E397:F398">
      <formula1>$B$392:$B$393</formula1>
    </dataValidation>
    <dataValidation type="list" allowBlank="1" showInputMessage="1" showErrorMessage="1" sqref="E81:H95">
      <formula1>IF($B$3="Dansk", Fodermiddel, ENfoder)</formula1>
    </dataValidation>
    <dataValidation type="list" allowBlank="1" showInputMessage="1" showErrorMessage="1" sqref="E104:H118 E125:H139 E70:H74 E147:H151 E218:H222 E289:H293 E159:H173 E178:H192 E197:H211 E268:H282 E249:H263 E230:H244">
      <formula1>IF($B$3="Dansk", Fodermiddel,ENfoder)</formula1>
    </dataValidation>
    <dataValidation type="list" allowBlank="1" showInputMessage="1" showErrorMessage="1" sqref="K393:M393">
      <formula1>$I$6:$I$11</formula1>
    </dataValidation>
    <dataValidation type="list" allowBlank="1" showInputMessage="1" showErrorMessage="1" sqref="F362">
      <formula1>IF($AB$4=1, $D$121:$D$122, $D$491:$D$492)</formula1>
    </dataValidation>
    <dataValidation type="list" allowBlank="1" showInputMessage="1" showErrorMessage="1" sqref="F318">
      <formula1>IF($AB$4=1, $D$121:$D$122, $D$491:$D$492)</formula1>
    </dataValidation>
    <dataValidation type="list" allowBlank="1" showInputMessage="1" showErrorMessage="1" sqref="F340">
      <formula1>IF($AB$4=1, $D$121:$D$122, $D$491:$D$492)</formula1>
    </dataValidation>
    <dataValidation type="whole" operator="lessThanOrEqual" allowBlank="1" showInputMessage="1" showErrorMessage="1" errorTitle="OBS" error="Kan ikke være højre end 116 dage (drægtighedslængden" sqref="H102">
      <formula1>116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9">
        <x14:dataValidation type="list" allowBlank="1" showInputMessage="1" showErrorMessage="1">
          <x14:formula1>
            <xm:f>IF(topdowntables!$N$4=1, Opstald_so, topdowntables!$C$9:$C$11)</xm:f>
          </x14:formula1>
          <xm:sqref>E324 E302</xm:sqref>
        </x14:dataValidation>
        <x14:dataValidation type="list" allowBlank="1" showInputMessage="1" showErrorMessage="1">
          <x14:formula1>
            <xm:f>topdowntables!$M$3:$M$4</xm:f>
          </x14:formula1>
          <xm:sqref>B3</xm:sqref>
        </x14:dataValidation>
        <x14:dataValidation type="list" allowBlank="1" showInputMessage="1" showErrorMessage="1">
          <x14:formula1>
            <xm:f>IF(topdowntables!$N$4=1, Fodermiddel,ENfoder)</xm:f>
          </x14:formula1>
          <xm:sqref>E50:H64</xm:sqref>
        </x14:dataValidation>
        <x14:dataValidation type="list" allowBlank="1" showInputMessage="1" showErrorMessage="1">
          <x14:formula1>
            <xm:f>IF(topdowntables!$N$4=1, Indendørs_areal, Indoor_area)</xm:f>
          </x14:formula1>
          <xm:sqref>E313:F313 E335:F335 E357:F357 E379:F379</xm:sqref>
        </x14:dataValidation>
        <x14:dataValidation type="list" allowBlank="1" showInputMessage="1" showErrorMessage="1">
          <x14:formula1>
            <xm:f>IF(topdowntables!$N$4=1, Udendørs_areal, Outdoor_area)</xm:f>
          </x14:formula1>
          <xm:sqref>E314:F314 E336:F336 E358:F358 E380:F380</xm:sqref>
        </x14:dataValidation>
        <x14:dataValidation type="list" allowBlank="1" showInputMessage="1" showErrorMessage="1">
          <x14:formula1>
            <xm:f>IF(topdowntables!$N$4=1, Fodertabel!$D$121:$D$122, Fodertabel!$D$491:$D$492)</xm:f>
          </x14:formula1>
          <xm:sqref>E339:F339 E317:F317</xm:sqref>
        </x14:dataValidation>
        <x14:dataValidation type="list" allowBlank="1" showInputMessage="1" showErrorMessage="1">
          <x14:formula1>
            <xm:f>IF($AB$4=1, Fodertabel!$D$121:$D$122, Fodertabel!$D$491:$D$492)</xm:f>
          </x14:formula1>
          <xm:sqref>F384</xm:sqref>
        </x14:dataValidation>
        <x14:dataValidation type="list" allowBlank="1" showInputMessage="1" showErrorMessage="1">
          <x14:formula1>
            <xm:f>IF(topdowntables!$N$4=1, topdowntables!$R$4:$R$14, topdowntables!$R$16:$R$26)</xm:f>
          </x14:formula1>
          <xm:sqref>E479:F479 E439:F439 E449:F449 E459:F459 E469:F469</xm:sqref>
        </x14:dataValidation>
        <x14:dataValidation type="list" allowBlank="1" showInputMessage="1" showErrorMessage="1">
          <x14:formula1>
            <xm:f>topdowntables!#REF!</xm:f>
          </x14:formula1>
          <xm:sqref>K424:M425</xm:sqref>
        </x14:dataValidation>
        <x14:dataValidation type="list" allowBlank="1" showInputMessage="1" showErrorMessage="1">
          <x14:formula1>
            <xm:f>IF(topdowntables!$N$4=1, lagerGylle,StorageSlurry)</xm:f>
          </x14:formula1>
          <xm:sqref>E392:F392</xm:sqref>
        </x14:dataValidation>
        <x14:dataValidation type="list" allowBlank="1" showInputMessage="1" showErrorMessage="1">
          <x14:formula1>
            <xm:f>IF(topdowntables!$N$4=1,LagerDybstrøelse,StorageDeepLitter)</xm:f>
          </x14:formula1>
          <xm:sqref>E393:F393</xm:sqref>
        </x14:dataValidation>
        <x14:dataValidation type="list" allowBlank="1" showInputMessage="1" showErrorMessage="1">
          <x14:formula1>
            <xm:f>IF(topdowntables!$N$4=1, Opstaldningsform, topdowntables!$C$19:$C$21)</xm:f>
          </x14:formula1>
          <xm:sqref>E346:F346</xm:sqref>
        </x14:dataValidation>
        <x14:dataValidation type="list" allowBlank="1" showInputMessage="1" showErrorMessage="1">
          <x14:formula1>
            <xm:f>IF(topdowntables!$N$4=1, Opstald_sl, topdowntables!$C$30:$C$32)</xm:f>
          </x14:formula1>
          <xm:sqref>E368:F368</xm:sqref>
        </x14:dataValidation>
        <x14:dataValidation type="list" allowBlank="1" showInputMessage="1" showErrorMessage="1">
          <x14:formula1>
            <xm:f>IF(topdowntables!$N$4=1, topdowntables!$C$34:$C$38, topdowntables!$C$39:$C$43)</xm:f>
          </x14:formula1>
          <xm:sqref>E409:F409 E414:F414 E419:F419</xm:sqref>
        </x14:dataValidation>
        <x14:dataValidation type="list" allowBlank="1" showInputMessage="1" showErrorMessage="1">
          <x14:formula1>
            <xm:f>IF(topdowntables!$N$4=1, lagerGylle, StorageSlurry)</xm:f>
          </x14:formula1>
          <xm:sqref>H392</xm:sqref>
        </x14:dataValidation>
        <x14:dataValidation type="list" allowBlank="1" showInputMessage="1" showErrorMessage="1">
          <x14:formula1>
            <xm:f>IF(topdowntables!$N$4=1, 'Opstaldingsform-Housing '!$B$32:$B$38, 'Opstaldingsform-Housing '!$B$69:$B$75)</xm:f>
          </x14:formula1>
          <xm:sqref>E306:F306 E372:F372 E350:F350 E328:F328</xm:sqref>
        </x14:dataValidation>
        <x14:dataValidation type="list" allowBlank="1" showInputMessage="1" showErrorMessage="1">
          <x14:formula1>
            <xm:f>IF(topdowntables!$N$4=1, topdowntables!$C$34:$C$38, topdowntables!$C$39:$C$43)</xm:f>
          </x14:formula1>
          <xm:sqref>E424:F424</xm:sqref>
        </x14:dataValidation>
        <x14:dataValidation type="list" allowBlank="1" showInputMessage="1" showErrorMessage="1">
          <x14:formula1>
            <xm:f>IF(topdowntables!$N$4=1, topdowntables!$R$4:$R$14, topdowntables!$R$16:$R$26)</xm:f>
          </x14:formula1>
          <xm:sqref>E429:F429</xm:sqref>
        </x14:dataValidation>
        <x14:dataValidation type="list" allowBlank="1" showInputMessage="1" showErrorMessage="1">
          <x14:formula1>
            <xm:f>IF(topdowntables!$N$4=1, Fodertabel!$D$121:$D$122, Fodertabel!$D$491:$D$492)</xm:f>
          </x14:formula1>
          <xm:sqref>E310:F310 E354:F354 E376:F376 E332:F332 E383:F383 E361:F361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4913B"/>
  </sheetPr>
  <dimension ref="C2:N170"/>
  <sheetViews>
    <sheetView topLeftCell="B1" workbookViewId="0">
      <selection activeCell="F112" sqref="F112"/>
    </sheetView>
  </sheetViews>
  <sheetFormatPr defaultColWidth="8.85546875" defaultRowHeight="14.25" outlineLevelRow="3" x14ac:dyDescent="0.2"/>
  <cols>
    <col min="1" max="2" width="8.42578125" style="110" customWidth="1"/>
    <col min="3" max="3" width="2.42578125" style="63" customWidth="1"/>
    <col min="4" max="4" width="25.42578125" style="110" customWidth="1"/>
    <col min="5" max="5" width="21.7109375" style="110" customWidth="1"/>
    <col min="6" max="6" width="19.28515625" style="110" customWidth="1"/>
    <col min="7" max="7" width="10.42578125" style="110" customWidth="1"/>
    <col min="8" max="8" width="13.28515625" style="110" customWidth="1"/>
    <col min="9" max="9" width="15" style="110" customWidth="1"/>
    <col min="10" max="10" width="11.42578125" style="110" customWidth="1"/>
    <col min="11" max="11" width="17.5703125" style="110" customWidth="1"/>
    <col min="12" max="12" width="1.42578125" style="110" customWidth="1"/>
    <col min="13" max="13" width="17.42578125" style="110" customWidth="1"/>
    <col min="14" max="14" width="11.5703125" style="110" customWidth="1"/>
    <col min="15" max="16384" width="8.85546875" style="110"/>
  </cols>
  <sheetData>
    <row r="2" spans="3:14" x14ac:dyDescent="0.2">
      <c r="D2" s="718" t="str">
        <f>IF('input-data'!$B$3="Dansk", "N balancer", "N balances")</f>
        <v>N balancer</v>
      </c>
    </row>
    <row r="3" spans="3:14" hidden="1" outlineLevel="1" x14ac:dyDescent="0.2"/>
    <row r="4" spans="3:14" hidden="1" outlineLevel="1" x14ac:dyDescent="0.2">
      <c r="D4" s="718" t="str">
        <f>IF('input-data'!$B$3="Dansk", "Dyr N balance", "Herd N balance")</f>
        <v>Dyr N balance</v>
      </c>
    </row>
    <row r="5" spans="3:14" hidden="1" outlineLevel="2" x14ac:dyDescent="0.2">
      <c r="D5" s="718"/>
    </row>
    <row r="6" spans="3:14" hidden="1" outlineLevel="2" x14ac:dyDescent="0.2">
      <c r="D6" s="718" t="str">
        <f>IF('input-data'!$B$3="Dansk", "  Stalde", "  Stables")</f>
        <v xml:space="preserve">  Stalde</v>
      </c>
    </row>
    <row r="7" spans="3:14" ht="15.75" hidden="1" customHeight="1" outlineLevel="3" x14ac:dyDescent="0.2"/>
    <row r="8" spans="3:14" hidden="1" outlineLevel="3" x14ac:dyDescent="0.2">
      <c r="C8" s="466"/>
      <c r="D8" s="467" t="str">
        <f>IF('input-data'!$B$3="Dansk", "Dyr", "Herd")</f>
        <v>Dyr</v>
      </c>
      <c r="E8" s="466"/>
      <c r="F8" s="466"/>
      <c r="G8" s="466"/>
      <c r="H8" s="939" t="str">
        <f>'input-data'!B43</f>
        <v xml:space="preserve"> Diegivning søer</v>
      </c>
      <c r="I8" s="939" t="str">
        <f>'input-data'!B98</f>
        <v xml:space="preserve"> Drægtige søer</v>
      </c>
      <c r="J8" s="468" t="str">
        <f>'input-data'!B154</f>
        <v xml:space="preserve"> Smågrise</v>
      </c>
      <c r="K8" s="468" t="str">
        <f>'input-data'!B225</f>
        <v xml:space="preserve"> Slagtesvin</v>
      </c>
      <c r="L8" s="468"/>
      <c r="M8" s="468" t="str">
        <f>IF('input-data'!$B$3="Dansk","Totalt", "Total")</f>
        <v>Totalt</v>
      </c>
      <c r="N8" s="468" t="str">
        <f>IF('input-data'!$B$3="Dansk","Totalt", "Total")</f>
        <v>Totalt</v>
      </c>
    </row>
    <row r="9" spans="3:14" hidden="1" outlineLevel="3" x14ac:dyDescent="0.2">
      <c r="C9" s="235"/>
      <c r="D9" s="235"/>
      <c r="E9" s="235"/>
      <c r="F9" s="235"/>
      <c r="G9" s="469" t="str">
        <f>IF('input-data'!$B$3="Dansk", "Enhed", "Unit")</f>
        <v>Enhed</v>
      </c>
      <c r="H9" s="940"/>
      <c r="I9" s="940"/>
      <c r="J9" s="470"/>
      <c r="K9" s="470"/>
      <c r="L9" s="470"/>
      <c r="M9" s="471" t="str">
        <f>IF('input-data'!$B$3="Dansk","per gård", "per farm")</f>
        <v>per gård</v>
      </c>
      <c r="N9" s="471" t="str">
        <f>IF('input-data'!$B$3="Dansk","per ha", "per ha")</f>
        <v>per ha</v>
      </c>
    </row>
    <row r="10" spans="3:14" hidden="1" outlineLevel="3" x14ac:dyDescent="0.2">
      <c r="C10" s="466"/>
      <c r="D10" s="467" t="str">
        <f>IF('input-data'!$B$3="Dansk", "Stalde", "Stables")</f>
        <v>Stalde</v>
      </c>
      <c r="E10" s="466"/>
      <c r="F10" s="466"/>
      <c r="G10" s="466"/>
      <c r="H10" s="708"/>
      <c r="I10" s="708"/>
      <c r="J10" s="472"/>
      <c r="K10" s="472"/>
      <c r="L10" s="472"/>
      <c r="M10" s="468"/>
      <c r="N10" s="468"/>
    </row>
    <row r="11" spans="3:14" hidden="1" outlineLevel="3" x14ac:dyDescent="0.2">
      <c r="C11" s="466"/>
      <c r="D11" s="473" t="str">
        <f>IF('input-data'!$B$3="Dansk", "N-ind", "N input")</f>
        <v>N-ind</v>
      </c>
      <c r="E11" s="466" t="str">
        <f>IF('input-data'!$B$3="Dansk","Dyr", "Animals")</f>
        <v>Dyr</v>
      </c>
      <c r="F11" s="466"/>
      <c r="G11" s="466" t="s">
        <v>3</v>
      </c>
      <c r="H11" s="474">
        <f>'N-P balance sohold'!C6-H39</f>
        <v>0</v>
      </c>
      <c r="I11" s="475"/>
      <c r="J11" s="488">
        <f>IF(OR('input-data'!$E$346=topdowntables!$C$14, 'input-data'!$E$346=topdowntables!$C$19), 'N-P balance smågrise'!$C$6, IF( OR('input-data'!$E$346=topdowntables!$C$15, 'input-data'!$E$346=topdowntables!$C$20), 0, 'input-data'!F347*'Flow smågrise'!D9*'NPK tal'!B5/1000))</f>
        <v>0</v>
      </c>
      <c r="K11" s="488">
        <f>IF(OR('input-data'!$E$368=topdowntables!$C$25,'input-data'!$E$368=topdowntables!$C$30),'N-P balance slagtesvin'!$C$6,IF(OR('input-data'!$E$368=topdowntables!$C$26, 'input-data'!$E$368=topdowntables!$C$31), 0, 'input-data'!$F$369*'Flow slagtesvin'!$D$8*'NPK tal'!$B$6/1000))</f>
        <v>0</v>
      </c>
      <c r="L11" s="719"/>
      <c r="M11" s="488">
        <f>SUM(H11:K11)</f>
        <v>0</v>
      </c>
      <c r="N11" s="488">
        <f>IFERROR(M11/('Mark-Fields'!$M$6-'Mark-Fields'!$C$6-'Mark-Fields'!$D$6-'Mark-Fields'!$E$6-'Mark-Fields'!$F$6),0)</f>
        <v>0</v>
      </c>
    </row>
    <row r="12" spans="3:14" hidden="1" outlineLevel="3" x14ac:dyDescent="0.2">
      <c r="C12" s="235"/>
      <c r="D12" s="235"/>
      <c r="E12" s="469" t="str">
        <f>IF('input-data'!$B$3="Dansk","Foder", "Feed")</f>
        <v>Foder</v>
      </c>
      <c r="F12" s="469" t="str">
        <f>IF('input-data'!$B$3="Dansk","Kraftoder", "Concentrated feed")</f>
        <v>Kraftoder</v>
      </c>
      <c r="G12" s="469" t="s">
        <v>3</v>
      </c>
      <c r="H12" s="476">
        <f>'N-P balance sohold'!C8+'N-P balance sohold'!C9-H40</f>
        <v>0</v>
      </c>
      <c r="I12" s="476">
        <f>'N-P balance sohold'!C114-I40</f>
        <v>0</v>
      </c>
      <c r="J12" s="476">
        <f>'N-P balance smågrise'!C9</f>
        <v>0</v>
      </c>
      <c r="K12" s="489">
        <f>'N-P balance slagtesvin'!C9</f>
        <v>0</v>
      </c>
      <c r="L12" s="720"/>
      <c r="M12" s="601">
        <f t="shared" ref="M12:M14" si="0">SUM(H12:K12)</f>
        <v>0</v>
      </c>
      <c r="N12" s="601">
        <f>IFERROR(M12/('Mark-Fields'!$M$6-'Mark-Fields'!$C$6-'Mark-Fields'!$D$6-'Mark-Fields'!$E$6-'Mark-Fields'!$F$6),0)</f>
        <v>0</v>
      </c>
    </row>
    <row r="13" spans="3:14" hidden="1" outlineLevel="3" x14ac:dyDescent="0.2">
      <c r="C13" s="235"/>
      <c r="D13" s="235"/>
      <c r="E13" s="469"/>
      <c r="F13" s="469" t="str">
        <f>IF('input-data'!$B$3="Dansk","Grovfoder", "Roughage")</f>
        <v>Grovfoder</v>
      </c>
      <c r="G13" s="469" t="s">
        <v>3</v>
      </c>
      <c r="H13" s="476">
        <f>'N-P balance sohold'!C12</f>
        <v>0</v>
      </c>
      <c r="I13" s="476">
        <f>'N-P balance sohold'!C117</f>
        <v>0</v>
      </c>
      <c r="J13" s="476">
        <f>'N-P balance smågrise'!C12</f>
        <v>0</v>
      </c>
      <c r="K13" s="489">
        <f>IFERROR('N-P balance slagtesvin'!C12,0)</f>
        <v>0</v>
      </c>
      <c r="L13" s="720"/>
      <c r="M13" s="601">
        <f t="shared" si="0"/>
        <v>0</v>
      </c>
      <c r="N13" s="601">
        <f>IFERROR(M13/('Mark-Fields'!$M$6-'Mark-Fields'!$C$6-'Mark-Fields'!$D$6-'Mark-Fields'!$E$6-'Mark-Fields'!$F$6),0)</f>
        <v>0</v>
      </c>
    </row>
    <row r="14" spans="3:14" hidden="1" outlineLevel="3" x14ac:dyDescent="0.2">
      <c r="C14" s="235"/>
      <c r="D14" s="235"/>
      <c r="E14" s="235" t="str">
        <f>IF('input-data'!$B$3="Dansk","Strøelse", "Bedding materials")</f>
        <v>Strøelse</v>
      </c>
      <c r="F14" s="235"/>
      <c r="G14" s="235" t="s">
        <v>3</v>
      </c>
      <c r="H14" s="476">
        <f>'N-P balance sohold'!C15</f>
        <v>0</v>
      </c>
      <c r="I14" s="476">
        <f>'N-P balance sohold'!C120</f>
        <v>0</v>
      </c>
      <c r="J14" s="476">
        <f>IFERROR('N-P balance smågrise'!C15,0)</f>
        <v>0</v>
      </c>
      <c r="K14" s="489">
        <f>'N-P balance slagtesvin'!C15</f>
        <v>0</v>
      </c>
      <c r="L14" s="720"/>
      <c r="M14" s="489">
        <f t="shared" si="0"/>
        <v>0</v>
      </c>
      <c r="N14" s="489">
        <f>IFERROR(M14/('Mark-Fields'!$M$6-'Mark-Fields'!$C$6-'Mark-Fields'!$D$6-'Mark-Fields'!$E$6-'Mark-Fields'!$F$6),0)</f>
        <v>0</v>
      </c>
    </row>
    <row r="15" spans="3:14" hidden="1" outlineLevel="3" x14ac:dyDescent="0.2">
      <c r="C15" s="479"/>
      <c r="D15" s="480" t="str">
        <f>IF('input-data'!$B$3="Dansk","Total N - ind", "Total N input")</f>
        <v>Total N - ind</v>
      </c>
      <c r="E15" s="479"/>
      <c r="F15" s="479"/>
      <c r="G15" s="479" t="s">
        <v>3</v>
      </c>
      <c r="H15" s="481">
        <f>SUM(H11:H14)</f>
        <v>0</v>
      </c>
      <c r="I15" s="481">
        <f>SUM(I11:I14)</f>
        <v>0</v>
      </c>
      <c r="J15" s="481">
        <f t="shared" ref="J15:K15" si="1">SUM(J11:J14)</f>
        <v>0</v>
      </c>
      <c r="K15" s="602">
        <f t="shared" si="1"/>
        <v>0</v>
      </c>
      <c r="L15" s="721"/>
      <c r="M15" s="602">
        <f>SUM(M11:M14)</f>
        <v>0</v>
      </c>
      <c r="N15" s="602">
        <f>IFERROR(M15/('Mark-Fields'!$M$6-'Mark-Fields'!$C$6-'Mark-Fields'!$D$6-'Mark-Fields'!$E$6-'Mark-Fields'!$F$6),0)</f>
        <v>0</v>
      </c>
    </row>
    <row r="16" spans="3:14" hidden="1" outlineLevel="3" x14ac:dyDescent="0.2">
      <c r="C16" s="235"/>
      <c r="D16" s="473" t="str">
        <f>IF('input-data'!$B$3="Dansk","N-ud", "N output")</f>
        <v>N-ud</v>
      </c>
      <c r="E16" s="466" t="str">
        <f>IF('input-data'!$B$3="Dansk","Dyr", "Animals")</f>
        <v>Dyr</v>
      </c>
      <c r="F16" s="469" t="str">
        <f>IF('input-data'!$B$3="Dansk","Overførte / Solgt", "Transffered / Sold")</f>
        <v>Overførte / Solgt</v>
      </c>
      <c r="G16" s="469" t="s">
        <v>3</v>
      </c>
      <c r="H16" s="476">
        <f>'N-P balance sohold'!C19-H45</f>
        <v>0</v>
      </c>
      <c r="I16" s="476">
        <f>'N-P balance sohold'!C124-I45</f>
        <v>0</v>
      </c>
      <c r="J16" s="489">
        <f>'N-P balance smågrise'!C19-J45</f>
        <v>0</v>
      </c>
      <c r="K16" s="489">
        <f>'N-P balance slagtesvin'!C19</f>
        <v>0</v>
      </c>
      <c r="L16" s="720"/>
      <c r="M16" s="601">
        <f>H16+I16+J16+K16</f>
        <v>0</v>
      </c>
      <c r="N16" s="601">
        <f>IFERROR(M16/('Mark-Fields'!$M$6-'Mark-Fields'!$C$6-'Mark-Fields'!$D$6-'Mark-Fields'!$E$6-'Mark-Fields'!$F$6),0)</f>
        <v>0</v>
      </c>
    </row>
    <row r="17" spans="3:14" hidden="1" outlineLevel="3" x14ac:dyDescent="0.2">
      <c r="C17" s="235"/>
      <c r="D17" s="235"/>
      <c r="E17" s="469"/>
      <c r="F17" s="469" t="str">
        <f>IF('input-data'!$B$3="Dansk","Døde", "Dead")</f>
        <v>Døde</v>
      </c>
      <c r="G17" s="469" t="s">
        <v>3</v>
      </c>
      <c r="H17" s="476">
        <f>'N-P balance sohold'!C20-H46</f>
        <v>0</v>
      </c>
      <c r="I17" s="477"/>
      <c r="J17" s="603">
        <f>IF(OR('input-data'!$E$346=topdowntables!$C$14, 'input-data'!$E$346=topdowntables!$C$19), 'N-P balance smågrise'!$C$20, IF( OR('input-data'!$E$346=topdowntables!$C$15, 'input-data'!$E$346=topdowntables!$C$20), 0,'N-P balance smågrise'!$C$20/2 ))</f>
        <v>0</v>
      </c>
      <c r="K17" s="603">
        <f>IF(OR('input-data'!$E$368=topdowntables!$C$25,'input-data'!$E$368=topdowntables!$C$30),'N-P balance slagtesvin'!$C$20,IF(OR('input-data'!$E$368=topdowntables!$C$26, 'input-data'!$E$368=topdowntables!$C$31), 0, 'N-P balance slagtesvin'!$C$20/2))</f>
        <v>0</v>
      </c>
      <c r="L17" s="720"/>
      <c r="M17" s="601">
        <f>SUM(H17:K17)</f>
        <v>0</v>
      </c>
      <c r="N17" s="601">
        <f>IFERROR(M17/('Mark-Fields'!$M$6-'Mark-Fields'!$C$6-'Mark-Fields'!$D$6-'Mark-Fields'!$E$6-'Mark-Fields'!$F$6),0)</f>
        <v>0</v>
      </c>
    </row>
    <row r="18" spans="3:14" hidden="1" outlineLevel="3" x14ac:dyDescent="0.2">
      <c r="C18" s="479"/>
      <c r="D18" s="480" t="str">
        <f>IF('input-data'!$B$3="Dansk","Total N - ud", "Total N output")</f>
        <v>Total N - ud</v>
      </c>
      <c r="E18" s="479"/>
      <c r="F18" s="479"/>
      <c r="G18" s="479" t="s">
        <v>3</v>
      </c>
      <c r="H18" s="481">
        <f>SUM(H16:H17)</f>
        <v>0</v>
      </c>
      <c r="I18" s="481">
        <f>SUM(I16:I17)</f>
        <v>0</v>
      </c>
      <c r="J18" s="481">
        <f t="shared" ref="J18:K18" si="2">SUM(J16:J17)</f>
        <v>0</v>
      </c>
      <c r="K18" s="602">
        <f t="shared" si="2"/>
        <v>0</v>
      </c>
      <c r="L18" s="721"/>
      <c r="M18" s="602">
        <f>M16+M17</f>
        <v>0</v>
      </c>
      <c r="N18" s="602">
        <f>IFERROR(M18/('Mark-Fields'!$M$6-'Mark-Fields'!$C$6-'Mark-Fields'!$D$6-'Mark-Fields'!$E$6-'Mark-Fields'!$F$6),0)</f>
        <v>0</v>
      </c>
    </row>
    <row r="19" spans="3:14" hidden="1" outlineLevel="3" x14ac:dyDescent="0.2">
      <c r="C19" s="479"/>
      <c r="D19" s="480" t="str">
        <f>IF('input-data'!$B$3="Dansk", "N ab dyr + strøelse", "N ex-animal + straw")</f>
        <v>N ab dyr + strøelse</v>
      </c>
      <c r="E19" s="479"/>
      <c r="F19" s="479"/>
      <c r="G19" s="479" t="s">
        <v>3</v>
      </c>
      <c r="H19" s="481">
        <f>H15-H18</f>
        <v>0</v>
      </c>
      <c r="I19" s="481">
        <f t="shared" ref="I19" si="3">I15-I18</f>
        <v>0</v>
      </c>
      <c r="J19" s="602">
        <f>J15-J18</f>
        <v>0</v>
      </c>
      <c r="K19" s="602">
        <f>K15-K18</f>
        <v>0</v>
      </c>
      <c r="L19" s="482"/>
      <c r="M19" s="602">
        <f>M15-M18</f>
        <v>0</v>
      </c>
      <c r="N19" s="481">
        <f>IFERROR(M19/('Mark-Fields'!$M$6-'Mark-Fields'!$C$6-'Mark-Fields'!$D$6-'Mark-Fields'!$E$6-'Mark-Fields'!$F$6),0)</f>
        <v>0</v>
      </c>
    </row>
    <row r="20" spans="3:14" hidden="1" outlineLevel="3" x14ac:dyDescent="0.2">
      <c r="C20" s="479"/>
      <c r="D20" s="480" t="str">
        <f>IF('input-data'!$B$3="Dansk", "N ab dyr", "N ex-animal")</f>
        <v>N ab dyr</v>
      </c>
      <c r="E20" s="479"/>
      <c r="F20" s="479"/>
      <c r="G20" s="479" t="s">
        <v>3</v>
      </c>
      <c r="H20" s="481">
        <f>'N-P balance sohold'!C24</f>
        <v>0</v>
      </c>
      <c r="I20" s="481">
        <f>'N-P balance sohold'!C128</f>
        <v>0</v>
      </c>
      <c r="J20" s="602">
        <f>'N-P balance smågrise'!C24</f>
        <v>0</v>
      </c>
      <c r="K20" s="602">
        <f>'N-P balance slagtesvin'!C24</f>
        <v>0</v>
      </c>
      <c r="L20" s="482"/>
      <c r="M20" s="602">
        <f>SUM(H20:K20)</f>
        <v>0</v>
      </c>
      <c r="N20" s="481">
        <f>IFERROR(M20/('Mark-Fields'!$M$6-'Mark-Fields'!$C$6-'Mark-Fields'!$D$6-'Mark-Fields'!$E$6-'Mark-Fields'!$F$6),0)</f>
        <v>0</v>
      </c>
    </row>
    <row r="21" spans="3:14" hidden="1" outlineLevel="3" x14ac:dyDescent="0.2">
      <c r="C21" s="235"/>
      <c r="D21" s="273" t="str">
        <f>IF('input-data'!$B$3="Dansk", "N-Tab stald", "N loss stable")</f>
        <v>N-Tab stald</v>
      </c>
      <c r="E21" s="466" t="s">
        <v>1774</v>
      </c>
      <c r="F21" s="235" t="str">
        <f>IF('input-data'!$B$3="Dansk","Gødning", "Manure")</f>
        <v>Gødning</v>
      </c>
      <c r="G21" s="235" t="s">
        <v>3</v>
      </c>
      <c r="H21" s="604">
        <f>'N-P balance sohold'!C43</f>
        <v>0</v>
      </c>
      <c r="I21" s="476">
        <f>'N-P balance sohold'!C147</f>
        <v>0</v>
      </c>
      <c r="J21" s="476">
        <f>'N-P balance smågrise'!C43</f>
        <v>0</v>
      </c>
      <c r="K21" s="476">
        <f>'N-P balance slagtesvin'!C43</f>
        <v>0</v>
      </c>
      <c r="L21" s="477"/>
      <c r="M21" s="476">
        <f t="shared" ref="M21:M25" si="4">SUM(H21:K21)</f>
        <v>0</v>
      </c>
      <c r="N21" s="476">
        <f>IFERROR(M21/('Mark-Fields'!$M$6-'Mark-Fields'!$C$6-'Mark-Fields'!$D$6-'Mark-Fields'!$E$6-'Mark-Fields'!$F$6),0)</f>
        <v>0</v>
      </c>
    </row>
    <row r="22" spans="3:14" hidden="1" outlineLevel="3" x14ac:dyDescent="0.2">
      <c r="C22" s="235"/>
      <c r="D22" s="273"/>
      <c r="E22" s="235" t="str">
        <f>IF('input-data'!$B$3="Dansk","direkte N2O-N", "direct N2O-N")</f>
        <v>direkte N2O-N</v>
      </c>
      <c r="F22" s="235" t="str">
        <f>IF('input-data'!$B$3="Dansk","Gødning", "Manure")</f>
        <v>Gødning</v>
      </c>
      <c r="G22" s="235" t="s">
        <v>3</v>
      </c>
      <c r="H22" s="604">
        <f>'N-P balance sohold'!C44</f>
        <v>0</v>
      </c>
      <c r="I22" s="476">
        <f>'N-P balance sohold'!C148</f>
        <v>0</v>
      </c>
      <c r="J22" s="476">
        <f>'N-P balance smågrise'!C44</f>
        <v>0</v>
      </c>
      <c r="K22" s="476">
        <f>'N-P balance slagtesvin'!C44</f>
        <v>0</v>
      </c>
      <c r="L22" s="477"/>
      <c r="M22" s="476">
        <f t="shared" si="4"/>
        <v>0</v>
      </c>
      <c r="N22" s="476">
        <f>IFERROR(M22/('Mark-Fields'!$M$6-'Mark-Fields'!$C$6-'Mark-Fields'!$D$6-'Mark-Fields'!$E$6-'Mark-Fields'!$F$6),0)</f>
        <v>0</v>
      </c>
    </row>
    <row r="23" spans="3:14" hidden="1" outlineLevel="3" x14ac:dyDescent="0.2">
      <c r="C23" s="235"/>
      <c r="D23" s="273"/>
      <c r="E23" s="235" t="str">
        <f>IF('input-data'!$B$3="Dansk","indirekte N2O-N", "indirect N2O-N")</f>
        <v>indirekte N2O-N</v>
      </c>
      <c r="F23" s="235" t="s">
        <v>908</v>
      </c>
      <c r="G23" s="235" t="s">
        <v>3</v>
      </c>
      <c r="H23" s="810">
        <f>H21*0.01</f>
        <v>0</v>
      </c>
      <c r="I23" s="489">
        <f t="shared" ref="I23:K23" si="5">I21*0.01</f>
        <v>0</v>
      </c>
      <c r="J23" s="489">
        <f t="shared" si="5"/>
        <v>0</v>
      </c>
      <c r="K23" s="489">
        <f t="shared" si="5"/>
        <v>0</v>
      </c>
      <c r="L23" s="720"/>
      <c r="M23" s="489">
        <f>SUM(H23:K23)</f>
        <v>0</v>
      </c>
      <c r="N23" s="489">
        <f>IFERROR(M23/('Mark-Fields'!$M$6-'Mark-Fields'!$C$6-'Mark-Fields'!$D$6-'Mark-Fields'!$E$6-'Mark-Fields'!$F$6),0)</f>
        <v>0</v>
      </c>
    </row>
    <row r="24" spans="3:14" hidden="1" outlineLevel="3" x14ac:dyDescent="0.2">
      <c r="C24" s="235"/>
      <c r="D24" s="273"/>
      <c r="E24" s="235" t="s">
        <v>2087</v>
      </c>
      <c r="F24" s="235" t="str">
        <f>IF('input-data'!$B$3="Dansk","Gødning", "Manure")</f>
        <v>Gødning</v>
      </c>
      <c r="G24" s="235" t="s">
        <v>3</v>
      </c>
      <c r="H24" s="604">
        <f>'N-P balance sohold'!C46</f>
        <v>0</v>
      </c>
      <c r="I24" s="476">
        <f>'N-P balance sohold'!C150</f>
        <v>0</v>
      </c>
      <c r="J24" s="476">
        <f>'N-P balance smågrise'!C46</f>
        <v>0</v>
      </c>
      <c r="K24" s="476">
        <f>'N-P balance slagtesvin'!C46</f>
        <v>0</v>
      </c>
      <c r="L24" s="477"/>
      <c r="M24" s="476">
        <f t="shared" si="4"/>
        <v>0</v>
      </c>
      <c r="N24" s="476">
        <f>IFERROR(M24/('Mark-Fields'!$M$6-'Mark-Fields'!$C$6-'Mark-Fields'!$D$6-'Mark-Fields'!$E$6-'Mark-Fields'!$F$6),0)</f>
        <v>0</v>
      </c>
    </row>
    <row r="25" spans="3:14" hidden="1" outlineLevel="3" x14ac:dyDescent="0.2">
      <c r="C25" s="483"/>
      <c r="D25" s="483"/>
      <c r="E25" s="483" t="s">
        <v>1775</v>
      </c>
      <c r="F25" s="235" t="str">
        <f>IF('input-data'!$B$3="Dansk","Gødning", "Manure")</f>
        <v>Gødning</v>
      </c>
      <c r="G25" s="235" t="s">
        <v>3</v>
      </c>
      <c r="H25" s="811">
        <f>'N-P balance sohold'!C45</f>
        <v>0</v>
      </c>
      <c r="I25" s="484">
        <f>'N-P balance sohold'!C149</f>
        <v>0</v>
      </c>
      <c r="J25" s="484">
        <f>'N-P balance smågrise'!C45</f>
        <v>0</v>
      </c>
      <c r="K25" s="484">
        <f>'N-P balance slagtesvin'!C45</f>
        <v>0</v>
      </c>
      <c r="L25" s="722"/>
      <c r="M25" s="484">
        <f t="shared" si="4"/>
        <v>0</v>
      </c>
      <c r="N25" s="484">
        <f>IFERROR(M25/('Mark-Fields'!$M$6-'Mark-Fields'!$C$6-'Mark-Fields'!$D$6-'Mark-Fields'!$E$6-'Mark-Fields'!$F$6),0)</f>
        <v>0</v>
      </c>
    </row>
    <row r="26" spans="3:14" hidden="1" outlineLevel="3" x14ac:dyDescent="0.2">
      <c r="C26" s="235"/>
      <c r="D26" s="273" t="str">
        <f>IF('input-data'!$B$3="Dansk", "N-Tab lager", "N loss storage")</f>
        <v>N-Tab lager</v>
      </c>
      <c r="E26" s="466" t="s">
        <v>1774</v>
      </c>
      <c r="F26" s="466" t="str">
        <f>IF('input-data'!$B$3="Dansk","Gødning", "Manure")</f>
        <v>Gødning</v>
      </c>
      <c r="G26" s="466" t="s">
        <v>3</v>
      </c>
      <c r="H26" s="476">
        <f>'N-P balance sohold'!C54+'N-P balance sohold'!C61+'N-P balance sohold'!C68+'N-P balance sohold'!C75</f>
        <v>0</v>
      </c>
      <c r="I26" s="476">
        <f>'N-P balance sohold'!C158+'N-P balance sohold'!C165+'N-P balance sohold'!C172+'N-P balance sohold'!C179</f>
        <v>0</v>
      </c>
      <c r="J26" s="476">
        <f>'N-P balance smågrise'!C54+'N-P balance smågrise'!C61+'N-P balance smågrise'!C68+'N-P balance smågrise'!C75</f>
        <v>0</v>
      </c>
      <c r="K26" s="476">
        <f>'N-P balance slagtesvin'!C54+'N-P balance slagtesvin'!C61+'N-P balance slagtesvin'!C68+'N-P balance slagtesvin'!C75</f>
        <v>0</v>
      </c>
      <c r="L26" s="477"/>
      <c r="M26" s="476">
        <f>H26+I26+J26+K26</f>
        <v>0</v>
      </c>
      <c r="N26" s="476">
        <f>IFERROR(M26/('Mark-Fields'!$M$6-'Mark-Fields'!$C$6-'Mark-Fields'!$D$6-'Mark-Fields'!$E$6-'Mark-Fields'!$F$6),0)</f>
        <v>0</v>
      </c>
    </row>
    <row r="27" spans="3:14" hidden="1" outlineLevel="3" x14ac:dyDescent="0.2">
      <c r="C27" s="235"/>
      <c r="D27" s="235"/>
      <c r="E27" s="235" t="str">
        <f>IF('input-data'!$B$3="Dansk","direkte N2O-N", "direct N2O-N")</f>
        <v>direkte N2O-N</v>
      </c>
      <c r="F27" s="235" t="str">
        <f>IF('input-data'!$B$3="Dansk","Gødning", "Manure")</f>
        <v>Gødning</v>
      </c>
      <c r="G27" s="235" t="s">
        <v>3</v>
      </c>
      <c r="H27" s="476">
        <f>'N-P balance sohold'!C55+'N-P balance sohold'!C62+'N-P balance sohold'!C69+'N-P balance sohold'!C76</f>
        <v>0</v>
      </c>
      <c r="I27" s="476">
        <f>'N-P balance sohold'!C159+'N-P balance sohold'!C166+'N-P balance sohold'!C173+'N-P balance sohold'!C180</f>
        <v>0</v>
      </c>
      <c r="J27" s="476">
        <f>'N-P balance smågrise'!C55+'N-P balance smågrise'!C62+'N-P balance smågrise'!C69+'N-P balance smågrise'!C76</f>
        <v>0</v>
      </c>
      <c r="K27" s="476">
        <f>'N-P balance slagtesvin'!C55+'N-P balance slagtesvin'!C62+'N-P balance slagtesvin'!C69+'N-P balance slagtesvin'!C76</f>
        <v>0</v>
      </c>
      <c r="L27" s="477"/>
      <c r="M27" s="476">
        <f t="shared" ref="M27:M30" si="6">H27+I27+J27+K27</f>
        <v>0</v>
      </c>
      <c r="N27" s="476">
        <f>IFERROR(M27/('Mark-Fields'!$M$6-'Mark-Fields'!$C$6-'Mark-Fields'!$D$6-'Mark-Fields'!$E$6-'Mark-Fields'!$F$6),0)</f>
        <v>0</v>
      </c>
    </row>
    <row r="28" spans="3:14" hidden="1" outlineLevel="3" x14ac:dyDescent="0.2">
      <c r="C28" s="235"/>
      <c r="D28" s="235"/>
      <c r="E28" s="235" t="str">
        <f>IF('input-data'!$B$3="Dansk","indirekte N2O-N", "indirect N2O-N")</f>
        <v>indirekte N2O-N</v>
      </c>
      <c r="F28" s="235" t="s">
        <v>908</v>
      </c>
      <c r="G28" s="235" t="s">
        <v>3</v>
      </c>
      <c r="H28" s="489">
        <f>H26*0.01</f>
        <v>0</v>
      </c>
      <c r="I28" s="489">
        <f t="shared" ref="I28:K28" si="7">I26*0.01</f>
        <v>0</v>
      </c>
      <c r="J28" s="489">
        <f t="shared" si="7"/>
        <v>0</v>
      </c>
      <c r="K28" s="489">
        <f t="shared" si="7"/>
        <v>0</v>
      </c>
      <c r="L28" s="720"/>
      <c r="M28" s="489">
        <f t="shared" ref="M28" si="8">H28+I28+J28+K28</f>
        <v>0</v>
      </c>
      <c r="N28" s="489">
        <f>IFERROR(M28/('Mark-Fields'!$M$6-'Mark-Fields'!$C$6-'Mark-Fields'!$D$6-'Mark-Fields'!$E$6-'Mark-Fields'!$F$6),0)</f>
        <v>0</v>
      </c>
    </row>
    <row r="29" spans="3:14" hidden="1" outlineLevel="3" x14ac:dyDescent="0.2">
      <c r="C29" s="235"/>
      <c r="D29" s="235"/>
      <c r="E29" s="235" t="s">
        <v>2087</v>
      </c>
      <c r="F29" s="235" t="str">
        <f>IF('input-data'!$B$3="Dansk","Gødning", "Manure")</f>
        <v>Gødning</v>
      </c>
      <c r="G29" s="235" t="s">
        <v>3</v>
      </c>
      <c r="H29" s="476">
        <f>'N-P balance sohold'!C57+'N-P balance sohold'!C64+'N-P balance sohold'!C71+'N-P balance sohold'!C78</f>
        <v>0</v>
      </c>
      <c r="I29" s="476">
        <f>'N-P balance sohold'!C161+'N-P balance sohold'!C168+'N-P balance sohold'!C175+'N-P balance sohold'!C182</f>
        <v>0</v>
      </c>
      <c r="J29" s="476">
        <f>'N-P balance smågrise'!C57+'N-P balance smågrise'!C64+'N-P balance smågrise'!C71+'N-P balance smågrise'!C78</f>
        <v>0</v>
      </c>
      <c r="K29" s="476">
        <f>'N-P balance slagtesvin'!C64+'N-P balance slagtesvin'!C57+'N-P balance slagtesvin'!C71+'N-P balance slagtesvin'!C78</f>
        <v>0</v>
      </c>
      <c r="L29" s="477"/>
      <c r="M29" s="476">
        <f t="shared" si="6"/>
        <v>0</v>
      </c>
      <c r="N29" s="476">
        <f>IFERROR(M29/('Mark-Fields'!$M$6-'Mark-Fields'!$C$6-'Mark-Fields'!$D$6-'Mark-Fields'!$E$6-'Mark-Fields'!$F$6),0)</f>
        <v>0</v>
      </c>
    </row>
    <row r="30" spans="3:14" hidden="1" outlineLevel="3" x14ac:dyDescent="0.2">
      <c r="C30" s="235"/>
      <c r="D30" s="235"/>
      <c r="E30" s="235" t="s">
        <v>1775</v>
      </c>
      <c r="F30" s="483" t="str">
        <f>IF('input-data'!$B$3="Dansk","Gødning", "Manure")</f>
        <v>Gødning</v>
      </c>
      <c r="G30" s="235" t="s">
        <v>3</v>
      </c>
      <c r="H30" s="476">
        <f>'N-P balance sohold'!C56+'N-P balance sohold'!C63+'N-P balance sohold'!C70+'N-P balance sohold'!C77</f>
        <v>0</v>
      </c>
      <c r="I30" s="476">
        <f>'N-P balance sohold'!C160+'N-P balance sohold'!C167+'N-P balance sohold'!C174+'N-P balance sohold'!C181</f>
        <v>0</v>
      </c>
      <c r="J30" s="476">
        <f>'N-P balance smågrise'!C56+'N-P balance smågrise'!C63+'N-P balance smågrise'!C70+'N-P balance smågrise'!C77</f>
        <v>0</v>
      </c>
      <c r="K30" s="476">
        <f>'N-P balance slagtesvin'!C56+'N-P balance slagtesvin'!C63+'N-P balance slagtesvin'!C70+'N-P balance slagtesvin'!C77</f>
        <v>0</v>
      </c>
      <c r="L30" s="477"/>
      <c r="M30" s="476">
        <f t="shared" si="6"/>
        <v>0</v>
      </c>
      <c r="N30" s="476">
        <f>IFERROR(M30/('Mark-Fields'!$M$6-'Mark-Fields'!$C$6-'Mark-Fields'!$D$6-'Mark-Fields'!$E$6-'Mark-Fields'!$F$6),0)</f>
        <v>0</v>
      </c>
    </row>
    <row r="31" spans="3:14" hidden="1" outlineLevel="3" x14ac:dyDescent="0.2">
      <c r="C31" s="466"/>
      <c r="D31" s="473" t="str">
        <f>IF('input-data'!$B$3="Dansk", "Indsamlet N-gødning", "Collected N loss manure")</f>
        <v>Indsamlet N-gødning</v>
      </c>
      <c r="E31" s="466"/>
      <c r="F31" s="235" t="str">
        <f>IF('input-data'!$B$3="Dansk","Gødning", "Manure")</f>
        <v>Gødning</v>
      </c>
      <c r="G31" s="466" t="s">
        <v>3</v>
      </c>
      <c r="H31" s="474">
        <f>H20-H21-H22-H24-H25-H26-H27-H29-H30</f>
        <v>0</v>
      </c>
      <c r="I31" s="474">
        <f t="shared" ref="I31:K31" si="9">I20-I21-I22-I24-I25-I26-I27-I29-I30</f>
        <v>0</v>
      </c>
      <c r="J31" s="474">
        <f t="shared" si="9"/>
        <v>0</v>
      </c>
      <c r="K31" s="474">
        <f t="shared" si="9"/>
        <v>0</v>
      </c>
      <c r="L31" s="475"/>
      <c r="M31" s="474">
        <f>M20-M21-M22-M23-M24-M25-M26-M27-M28-M29-M30</f>
        <v>0</v>
      </c>
      <c r="N31" s="474">
        <f>IFERROR(M31/('Mark-Fields'!$M$6-'Mark-Fields'!$C$6-'Mark-Fields'!$D$6-'Mark-Fields'!$E$6-'Mark-Fields'!$F$6),0)</f>
        <v>0</v>
      </c>
    </row>
    <row r="32" spans="3:14" hidden="1" outlineLevel="3" x14ac:dyDescent="0.2">
      <c r="C32" s="235"/>
      <c r="D32" s="273"/>
      <c r="E32" s="491" t="str">
        <f>IF('input-data'!$B$3="Dansk","gylle", "slurry")</f>
        <v>gylle</v>
      </c>
      <c r="F32" s="491" t="str">
        <f>IF('input-data'!$B$3="Dansk","Gødning", "Manure")</f>
        <v>Gødning</v>
      </c>
      <c r="G32" s="491" t="s">
        <v>816</v>
      </c>
      <c r="H32" s="492">
        <f>IFERROR('N-P balance sohold'!C58/('N-P balance sohold'!$C$58+'N-P balance sohold'!$C$65+'N-P balance sohold'!$C$72+'N-P balance sohold'!$C$79)*100, 0)</f>
        <v>0</v>
      </c>
      <c r="I32" s="492">
        <f>IFERROR('N-P balance sohold'!C162/('N-P balance sohold'!$C$162+'N-P balance sohold'!$C$169+'N-P balance sohold'!$C$176+'N-P balance sohold'!$C$183)*100, 0)</f>
        <v>0</v>
      </c>
      <c r="J32" s="492">
        <f>IFERROR('N-P balance smågrise'!C58/('N-P balance smågrise'!$C$58+'N-P balance smågrise'!$C$65+'N-P balance smågrise'!$C$72+'N-P balance smågrise'!$C$79)*100,0)</f>
        <v>0</v>
      </c>
      <c r="K32" s="492">
        <f>IFERROR('N-P balance slagtesvin'!C58/('N-P balance slagtesvin'!$C$58+'N-P balance slagtesvin'!$C$65+'N-P balance slagtesvin'!$C$72+'N-P balance slagtesvin'!$C$79)*100, 0)</f>
        <v>0</v>
      </c>
      <c r="L32" s="493"/>
      <c r="M32" s="714">
        <f>IFERROR((H32/100*$H$31+I32/100*$I$31+J32/100*$J$31+K32/100*$K$31)/$M$31*100,0)</f>
        <v>0</v>
      </c>
      <c r="N32" s="492"/>
    </row>
    <row r="33" spans="3:14" hidden="1" outlineLevel="3" x14ac:dyDescent="0.2">
      <c r="C33" s="235"/>
      <c r="D33" s="273"/>
      <c r="E33" s="491" t="str">
        <f>IF('input-data'!$B$3="Dansk","afgasset gylle", "de-gassed slurry")</f>
        <v>afgasset gylle</v>
      </c>
      <c r="F33" s="491" t="str">
        <f>IF('input-data'!$B$3="Dansk","Gødning", "Manure")</f>
        <v>Gødning</v>
      </c>
      <c r="G33" s="491" t="s">
        <v>816</v>
      </c>
      <c r="H33" s="492">
        <f>IFERROR('N-P balance sohold'!C72/('N-P balance sohold'!$C$58+'N-P balance sohold'!$C$65+'N-P balance sohold'!$C$72+'N-P balance sohold'!$C$79)*100,0)</f>
        <v>0</v>
      </c>
      <c r="I33" s="492">
        <f>IFERROR('N-P balance sohold'!C176/('N-P balance sohold'!$C$162+'N-P balance sohold'!$C$169+'N-P balance sohold'!$C$176+'N-P balance sohold'!$C$183)*100, 0)</f>
        <v>0</v>
      </c>
      <c r="J33" s="492">
        <f>IFERROR('N-P balance smågrise'!C72/('N-P balance smågrise'!$C$58+'N-P balance smågrise'!$C$65+'N-P balance smågrise'!$C$72+'N-P balance smågrise'!$C$79)*100, 0)</f>
        <v>0</v>
      </c>
      <c r="K33" s="492">
        <f>IFERROR('N-P balance slagtesvin'!C65/('N-P balance slagtesvin'!$C$58+'N-P balance slagtesvin'!$C$65+'N-P balance slagtesvin'!$C$72+'N-P balance slagtesvin'!$C$79)*100, 0)</f>
        <v>0</v>
      </c>
      <c r="L33" s="493"/>
      <c r="M33" s="714">
        <f>IFERROR((H33/100*$H$31+I33/100*$I$31+J33/100*$J$31+K33/100*$K$31)/$M$31*100,0)</f>
        <v>0</v>
      </c>
      <c r="N33" s="492"/>
    </row>
    <row r="34" spans="3:14" hidden="1" outlineLevel="3" x14ac:dyDescent="0.2">
      <c r="C34" s="235"/>
      <c r="D34" s="273"/>
      <c r="E34" s="491" t="str">
        <f>IF('input-data'!$B$3="Dansk","forsuret gylle", "acidified slurry")</f>
        <v>forsuret gylle</v>
      </c>
      <c r="F34" s="491" t="str">
        <f>IF('input-data'!$B$3="Dansk","Gødning", "Manure")</f>
        <v>Gødning</v>
      </c>
      <c r="G34" s="491" t="s">
        <v>816</v>
      </c>
      <c r="H34" s="492">
        <f>IFERROR('N-P balance sohold'!C79/('N-P balance sohold'!$C$58+'N-P balance sohold'!$C$65+'N-P balance sohold'!$C$72+'N-P balance sohold'!$C$79)*100, 0)</f>
        <v>0</v>
      </c>
      <c r="I34" s="492">
        <f>IFERROR('N-P balance sohold'!C183/('N-P balance sohold'!$C$162+'N-P balance sohold'!$C$169+'N-P balance sohold'!$C$176+'N-P balance sohold'!$C$183)*100, 0)</f>
        <v>0</v>
      </c>
      <c r="J34" s="492">
        <f>IFERROR('N-P balance smågrise'!C79/('N-P balance smågrise'!$C$58+'N-P balance smågrise'!$C$65+'N-P balance smågrise'!$C$72+'N-P balance smågrise'!$C$79)*100, 0)</f>
        <v>0</v>
      </c>
      <c r="K34" s="492">
        <f>IFERROR('N-P balance slagtesvin'!C72/('N-P balance slagtesvin'!$C$58+'N-P balance slagtesvin'!$C$65+'N-P balance slagtesvin'!$C$72+'N-P balance slagtesvin'!$C$79)*100, 0)</f>
        <v>0</v>
      </c>
      <c r="L34" s="493"/>
      <c r="M34" s="714">
        <f>IFERROR((H34/100*$H$31+I34/100*$I$31+J34/100*$J$31+K34/100*$K$31)/$M$31*100,0)</f>
        <v>0</v>
      </c>
      <c r="N34" s="492"/>
    </row>
    <row r="35" spans="3:14" hidden="1" outlineLevel="3" x14ac:dyDescent="0.2">
      <c r="C35" s="235"/>
      <c r="D35" s="235"/>
      <c r="E35" s="491" t="str">
        <f>IF('input-data'!$B$3="Dansk","dybstrøelse", "deep litter")</f>
        <v>dybstrøelse</v>
      </c>
      <c r="F35" s="491" t="str">
        <f>IF('input-data'!$B$3="Dansk","Gødning", "Manure")</f>
        <v>Gødning</v>
      </c>
      <c r="G35" s="491" t="s">
        <v>816</v>
      </c>
      <c r="H35" s="492">
        <f>IFERROR('N-P balance sohold'!C65/('N-P balance sohold'!$C$58+'N-P balance sohold'!$C$65+'N-P balance sohold'!$C$72+'N-P balance sohold'!$C$79)*100,0)</f>
        <v>0</v>
      </c>
      <c r="I35" s="492">
        <f>IFERROR('N-P balance sohold'!C169/('N-P balance sohold'!$C$162+'N-P balance sohold'!$C$169+'N-P balance sohold'!$C$176+'N-P balance sohold'!$C$183)*100,0)</f>
        <v>0</v>
      </c>
      <c r="J35" s="492">
        <f>IFERROR('N-P balance smågrise'!C65/('N-P balance smågrise'!$C$58+'N-P balance smågrise'!$C$65+'N-P balance smågrise'!$C$72+'N-P balance smågrise'!$C$79)*100, 0)</f>
        <v>0</v>
      </c>
      <c r="K35" s="492">
        <f>IFERROR('N-P balance slagtesvin'!C79/('N-P balance slagtesvin'!$C$58+'N-P balance slagtesvin'!$C$65+'N-P balance slagtesvin'!$C$72+'N-P balance slagtesvin'!$C$79)*100, 0)</f>
        <v>0</v>
      </c>
      <c r="L35" s="493"/>
      <c r="M35" s="714">
        <f>IFERROR((H35/100*$H$31+I35/100*$I$31+J35/100*$J$31+K35/100*$K$31)/$M$31*100,0)</f>
        <v>0</v>
      </c>
      <c r="N35" s="493"/>
    </row>
    <row r="36" spans="3:14" ht="15.75" hidden="1" customHeight="1" outlineLevel="2" collapsed="1" x14ac:dyDescent="0.2">
      <c r="D36" s="177"/>
      <c r="E36" s="63"/>
      <c r="F36" s="63"/>
      <c r="G36" s="63"/>
      <c r="H36" s="337"/>
      <c r="I36" s="710"/>
      <c r="J36" s="710"/>
      <c r="K36" s="710"/>
      <c r="L36" s="710"/>
      <c r="M36" s="710"/>
      <c r="N36" s="710"/>
    </row>
    <row r="37" spans="3:14" ht="21" hidden="1" customHeight="1" outlineLevel="2" x14ac:dyDescent="0.2">
      <c r="D37" s="718" t="str">
        <f>IF('input-data'!$B$3="Dansk", "  Folde", "  Paddock")</f>
        <v xml:space="preserve">  Folde</v>
      </c>
      <c r="E37" s="63"/>
      <c r="F37" s="63"/>
      <c r="G37" s="63"/>
      <c r="H37" s="337"/>
      <c r="I37" s="710"/>
      <c r="J37" s="710"/>
      <c r="K37" s="710"/>
      <c r="L37" s="710"/>
      <c r="M37" s="710"/>
      <c r="N37" s="710"/>
    </row>
    <row r="38" spans="3:14" hidden="1" outlineLevel="3" x14ac:dyDescent="0.2">
      <c r="C38" s="479"/>
      <c r="D38" s="467" t="str">
        <f>IF('input-data'!$B$3="Dansk", "Folde", "Paddock")</f>
        <v>Folde</v>
      </c>
      <c r="E38" s="479"/>
      <c r="F38" s="479"/>
      <c r="G38" s="479"/>
      <c r="H38" s="726" t="str">
        <f>H8</f>
        <v xml:space="preserve"> Diegivning søer</v>
      </c>
      <c r="I38" s="726" t="str">
        <f t="shared" ref="I38:K38" si="10">I8</f>
        <v xml:space="preserve"> Drægtige søer</v>
      </c>
      <c r="J38" s="726" t="str">
        <f t="shared" si="10"/>
        <v xml:space="preserve"> Smågrise</v>
      </c>
      <c r="K38" s="726" t="str">
        <f t="shared" si="10"/>
        <v xml:space="preserve"> Slagtesvin</v>
      </c>
      <c r="L38" s="482"/>
      <c r="M38" s="468" t="str">
        <f>IF('input-data'!$B$3="Dansk","Totalt per gård", "Total per farm")</f>
        <v>Totalt per gård</v>
      </c>
      <c r="N38" s="726" t="s">
        <v>1773</v>
      </c>
    </row>
    <row r="39" spans="3:14" hidden="1" outlineLevel="3" x14ac:dyDescent="0.2">
      <c r="C39" s="466"/>
      <c r="D39" s="473" t="str">
        <f>IF('input-data'!$B$3="Dansk", "N-ind", "N input")</f>
        <v>N-ind</v>
      </c>
      <c r="E39" s="466" t="str">
        <f>IF('input-data'!$B$3="Dansk","Dyr", "Animals")</f>
        <v>Dyr</v>
      </c>
      <c r="F39" s="466"/>
      <c r="G39" s="466" t="s">
        <v>3</v>
      </c>
      <c r="H39" s="474">
        <f>IF(OR('input-data'!E302=topdowntables!C4,'input-data'!E302=topdowntables!C9),'N-P balance sohold'!C6,'N-P balance sohold'!C6*('input-data'!$F$303/365))</f>
        <v>0</v>
      </c>
      <c r="I39" s="475"/>
      <c r="J39" s="488">
        <f>IF(OR('input-data'!$E$346=topdowntables!$C$14, 'input-data'!$E$346=topdowntables!$C$19), 0, IF( OR('input-data'!$E$346=topdowntables!$C$15, 'input-data'!$E$346=topdowntables!$C$20), 'N-P balance smågrise'!$C$6, 'Flow sohold'!$D$18*'Flow sohold'!$D$21*'NPK tal'!$B$5/1000))</f>
        <v>0</v>
      </c>
      <c r="K39" s="488">
        <f>IF(OR('input-data'!$E$368=topdowntables!$C$25,'input-data'!$E$368=topdowntables!$C$30),0,IF(OR('input-data'!$E$368=topdowntables!$C$26, 'input-data'!$E$368=topdowntables!$C$31), 'N-P balance slagtesvin'!$C$6, 'Flow smågrise'!$D$12*'Flow smågrise'!$D$13*'NPK tal'!$B$6/1000))</f>
        <v>0</v>
      </c>
      <c r="L39" s="475"/>
      <c r="M39" s="488">
        <f>SUM(H39:K39)</f>
        <v>0</v>
      </c>
      <c r="N39" s="488">
        <f>IFERROR(M39/('Mark-Fields'!$C$6+'Mark-Fields'!$D$6+'Mark-Fields'!$E$6+'Mark-Fields'!$F$6),0)</f>
        <v>0</v>
      </c>
    </row>
    <row r="40" spans="3:14" hidden="1" outlineLevel="3" x14ac:dyDescent="0.2">
      <c r="C40" s="235"/>
      <c r="D40" s="235"/>
      <c r="E40" s="469" t="str">
        <f>IF('input-data'!$B$3="Dansk","Foder", "Feed")</f>
        <v>Foder</v>
      </c>
      <c r="F40" s="469" t="str">
        <f>IF('input-data'!$B$3="Dansk","Kraftoder", "Concentrated feed")</f>
        <v>Kraftoder</v>
      </c>
      <c r="G40" s="469" t="s">
        <v>3</v>
      </c>
      <c r="H40" s="476">
        <f>IF(OR('input-data'!E302=topdowntables!C4,'input-data'!E302=topdowntables!C9), ('N-P balance sohold'!C8+'N-P balance sohold'!C9), ('N-P balance sohold'!C8+'N-P balance sohold'!C9)*('input-data'!$F$303/365))</f>
        <v>0</v>
      </c>
      <c r="I40" s="476">
        <f>IF(OR('input-data'!E324=topdowntables!C4,'input-data'!E324=topdowntables!C9), 'N-P balance sohold'!C114, 'N-P balance sohold'!C114*'input-data'!$F$325/365)</f>
        <v>0</v>
      </c>
      <c r="J40" s="476">
        <f>'N-P balance smågrise'!C8</f>
        <v>0</v>
      </c>
      <c r="K40" s="476">
        <f>'N-P balance slagtesvin'!C8</f>
        <v>0</v>
      </c>
      <c r="L40" s="477"/>
      <c r="M40" s="489">
        <f t="shared" ref="M40:M53" si="11">SUM(H40:K40)</f>
        <v>0</v>
      </c>
      <c r="N40" s="489">
        <f>IFERROR(M40/('Mark-Fields'!$C$6+'Mark-Fields'!$D$6+'Mark-Fields'!$E$6+'Mark-Fields'!$F$6),0)</f>
        <v>0</v>
      </c>
    </row>
    <row r="41" spans="3:14" hidden="1" outlineLevel="3" x14ac:dyDescent="0.2">
      <c r="C41" s="235"/>
      <c r="D41" s="235"/>
      <c r="E41" s="469"/>
      <c r="F41" s="469" t="str">
        <f>IF('input-data'!$B$3="Dansk","Grovfoder", "Roughage")</f>
        <v>Grovfoder</v>
      </c>
      <c r="G41" s="469" t="s">
        <v>3</v>
      </c>
      <c r="H41" s="476">
        <f>'N-P balance sohold'!C11-H42</f>
        <v>0</v>
      </c>
      <c r="I41" s="476">
        <f>'N-P balance sohold'!C116-I42</f>
        <v>0</v>
      </c>
      <c r="J41" s="476">
        <f>'N-P balance smågrise'!C11-J42</f>
        <v>0</v>
      </c>
      <c r="K41" s="476">
        <f>'N-P balance slagtesvin'!C11-K42</f>
        <v>0</v>
      </c>
      <c r="L41" s="477"/>
      <c r="M41" s="489">
        <f t="shared" si="11"/>
        <v>0</v>
      </c>
      <c r="N41" s="489">
        <f>IFERROR(M41/('Mark-Fields'!$C$6+'Mark-Fields'!$D$6+'Mark-Fields'!$E$6+'Mark-Fields'!$F$6),0)</f>
        <v>0</v>
      </c>
    </row>
    <row r="42" spans="3:14" hidden="1" outlineLevel="3" x14ac:dyDescent="0.2">
      <c r="C42" s="235"/>
      <c r="D42" s="235"/>
      <c r="E42" s="469"/>
      <c r="F42" s="469" t="str">
        <f>IF('input-data'!$B$3="Dansk","Afgræsning", "Grazing")</f>
        <v>Afgræsning</v>
      </c>
      <c r="G42" s="469" t="s">
        <v>3</v>
      </c>
      <c r="H42" s="476">
        <f>'Flow sohold'!D40*Fodertabel!$L$319/100/6.25</f>
        <v>0</v>
      </c>
      <c r="I42" s="476">
        <f>'Flow sohold'!D44*Fodertabel!$L$319/100/6.25</f>
        <v>0</v>
      </c>
      <c r="J42" s="477">
        <f>'Flow smågrise'!D37*Fodertabel!L319/100/6.25</f>
        <v>0</v>
      </c>
      <c r="K42" s="477">
        <f>'Flow slagtesvin'!D36*Fodertabel!L322/100/6.25</f>
        <v>0</v>
      </c>
      <c r="L42" s="477"/>
      <c r="M42" s="489">
        <f t="shared" si="11"/>
        <v>0</v>
      </c>
      <c r="N42" s="489">
        <f>IFERROR(M42/('Mark-Fields'!$C$6+'Mark-Fields'!$D$6+'Mark-Fields'!$E$6+'Mark-Fields'!$F$6),0)</f>
        <v>0</v>
      </c>
    </row>
    <row r="43" spans="3:14" hidden="1" outlineLevel="3" x14ac:dyDescent="0.2">
      <c r="C43" s="483"/>
      <c r="D43" s="483"/>
      <c r="E43" s="235" t="str">
        <f>IF('input-data'!$B$3="Dansk","Strøelse", "Bedding materials")</f>
        <v>Strøelse</v>
      </c>
      <c r="F43" s="483"/>
      <c r="G43" s="483" t="s">
        <v>3</v>
      </c>
      <c r="H43" s="484">
        <f>'N-P balance sohold'!C14</f>
        <v>0</v>
      </c>
      <c r="I43" s="484">
        <f>'N-P balance sohold'!C119</f>
        <v>0</v>
      </c>
      <c r="J43" s="484">
        <f>'N-P balance smågrise'!C14</f>
        <v>0</v>
      </c>
      <c r="K43" s="603">
        <f>'N-P balance slagtesvin'!C14</f>
        <v>0</v>
      </c>
      <c r="L43" s="722"/>
      <c r="M43" s="603">
        <f t="shared" si="11"/>
        <v>0</v>
      </c>
      <c r="N43" s="603">
        <f>IFERROR(M43/('Mark-Fields'!$C$6+'Mark-Fields'!$D$6+'Mark-Fields'!$E$6+'Mark-Fields'!$F$6),0)</f>
        <v>0</v>
      </c>
    </row>
    <row r="44" spans="3:14" hidden="1" outlineLevel="3" x14ac:dyDescent="0.2">
      <c r="C44" s="479"/>
      <c r="D44" s="480" t="str">
        <f>IF('input-data'!$B$3="Dansk","Total N - ind", "Total N input")</f>
        <v>Total N - ind</v>
      </c>
      <c r="E44" s="479"/>
      <c r="F44" s="479"/>
      <c r="G44" s="479"/>
      <c r="H44" s="481">
        <f>SUM(H39:H43)</f>
        <v>0</v>
      </c>
      <c r="I44" s="481">
        <f>SUM(I39:I43)</f>
        <v>0</v>
      </c>
      <c r="J44" s="481">
        <f>SUM(J39:J43)</f>
        <v>0</v>
      </c>
      <c r="K44" s="481">
        <f>SUM(K39:K43)</f>
        <v>0</v>
      </c>
      <c r="L44" s="482"/>
      <c r="M44" s="602">
        <f t="shared" si="11"/>
        <v>0</v>
      </c>
      <c r="N44" s="602">
        <f>IFERROR(M44/('Mark-Fields'!$C$6+'Mark-Fields'!$D$6+'Mark-Fields'!$E$6+'Mark-Fields'!$F$6),0)</f>
        <v>0</v>
      </c>
    </row>
    <row r="45" spans="3:14" hidden="1" outlineLevel="3" x14ac:dyDescent="0.2">
      <c r="C45" s="235"/>
      <c r="D45" s="473" t="str">
        <f>IF('input-data'!$B$3="Dansk","N-ud", "N output")</f>
        <v>N-ud</v>
      </c>
      <c r="E45" s="466" t="str">
        <f>IF('input-data'!$B$3="Dansk","Dyr", "Animals")</f>
        <v>Dyr</v>
      </c>
      <c r="F45" s="469" t="str">
        <f>IF('input-data'!$B$3="Dansk","Overførte / Solgt", "Transffered / Sold")</f>
        <v>Overførte / Solgt</v>
      </c>
      <c r="G45" s="469" t="s">
        <v>3</v>
      </c>
      <c r="H45" s="474">
        <f>IF(OR('input-data'!E302=topdowntables!C4,'input-data'!E302=topdowntables!C9),'N-P balance sohold'!C19,'N-P balance sohold'!C19*('input-data'!$F$303/365))</f>
        <v>0</v>
      </c>
      <c r="I45" s="476">
        <f>IF(OR('input-data'!E324=topdowntables!C4, 'input-data'!E324=topdowntables!C9),'N-P balance sohold'!C124, 'N-P balance sohold'!C124*'input-data'!$F$325/365)</f>
        <v>0</v>
      </c>
      <c r="J45" s="489">
        <f>IF(OR('input-data'!E346=topdowntables!C15, 'input-data'!E346=topdowntables!C20),'N-P balance smågrise'!C19,'N-P balance smågrise'!C19*'input-data'!F347/'input-data'!E29 )</f>
        <v>0</v>
      </c>
      <c r="K45" s="476">
        <f>('Flow slagtesvin'!D5+'Flow slagtesvin'!D6)*('input-data'!F369)*'NPK tal'!B6/1000</f>
        <v>0</v>
      </c>
      <c r="L45" s="477"/>
      <c r="M45" s="489">
        <f t="shared" si="11"/>
        <v>0</v>
      </c>
      <c r="N45" s="489">
        <f>IFERROR(M45/('Mark-Fields'!$C$6+'Mark-Fields'!$D$6+'Mark-Fields'!$E$6+'Mark-Fields'!$F$6),0)</f>
        <v>0</v>
      </c>
    </row>
    <row r="46" spans="3:14" hidden="1" outlineLevel="3" x14ac:dyDescent="0.2">
      <c r="C46" s="235"/>
      <c r="D46" s="235"/>
      <c r="E46" s="469"/>
      <c r="F46" s="469" t="str">
        <f>IF('input-data'!$B$3="Dansk","Døde", "Dead")</f>
        <v>Døde</v>
      </c>
      <c r="G46" s="469" t="s">
        <v>3</v>
      </c>
      <c r="H46" s="484">
        <f>IF(OR('input-data'!E302=topdowntables!C4, 'input-data'!E302=topdowntables!C9),'N-P balance sohold'!C20, 'N-P balance sohold'!C20*('input-data'!$F$303/365))</f>
        <v>0</v>
      </c>
      <c r="I46" s="477"/>
      <c r="J46" s="603">
        <f>IF(OR('input-data'!$E$346=topdowntables!$C$14, 'input-data'!$E$346=topdowntables!$C$19), 0, IF( OR('input-data'!$E$346=topdowntables!$C$15, 'input-data'!$E$346=topdowntables!$C$20), 'N-P balance smågrise'!$C$20,'N-P balance smågrise'!$C$20/2 ))</f>
        <v>0</v>
      </c>
      <c r="K46" s="603">
        <f>IF(OR('input-data'!$E$368=topdowntables!$C$25,'input-data'!$E$368=topdowntables!$C$30),0,IF(OR('input-data'!$E$368=topdowntables!$C$26, 'input-data'!$E$368=topdowntables!$C$31), 'N-P balance slagtesvin'!$C$20, 'N-P balance slagtesvin'!$C$20/2))</f>
        <v>0</v>
      </c>
      <c r="L46" s="477"/>
      <c r="M46" s="489">
        <f t="shared" si="11"/>
        <v>0</v>
      </c>
      <c r="N46" s="489">
        <f>IFERROR(M46/('Mark-Fields'!$C$6+'Mark-Fields'!$D$6+'Mark-Fields'!$E$6+'Mark-Fields'!$F$6),0)</f>
        <v>0</v>
      </c>
    </row>
    <row r="47" spans="3:14" hidden="1" outlineLevel="3" x14ac:dyDescent="0.2">
      <c r="C47" s="479"/>
      <c r="D47" s="480" t="str">
        <f>IF('input-data'!$B$3="Dansk","Total N - ud", "Total N output")</f>
        <v>Total N - ud</v>
      </c>
      <c r="E47" s="479"/>
      <c r="F47" s="479"/>
      <c r="G47" s="479"/>
      <c r="H47" s="484">
        <f>SUM(H45:H46)</f>
        <v>0</v>
      </c>
      <c r="I47" s="481">
        <f>SUM(I45:I46)</f>
        <v>0</v>
      </c>
      <c r="J47" s="481">
        <f t="shared" ref="J47:K47" si="12">SUM(J45:J46)</f>
        <v>0</v>
      </c>
      <c r="K47" s="481">
        <f t="shared" si="12"/>
        <v>0</v>
      </c>
      <c r="L47" s="482"/>
      <c r="M47" s="481">
        <f>SUM(H47:K47)</f>
        <v>0</v>
      </c>
      <c r="N47" s="481">
        <f>IFERROR(M47/('Mark-Fields'!$C$6+'Mark-Fields'!$D$6+'Mark-Fields'!$E$6+'Mark-Fields'!$F$6),0)</f>
        <v>0</v>
      </c>
    </row>
    <row r="48" spans="3:14" hidden="1" outlineLevel="3" x14ac:dyDescent="0.2">
      <c r="C48" s="479"/>
      <c r="D48" s="480" t="str">
        <f>IF('input-data'!$B$3="Dansk", "N ab dyr + strøelse", "N ex-animal + straw")</f>
        <v>N ab dyr + strøelse</v>
      </c>
      <c r="E48" s="479"/>
      <c r="F48" s="479"/>
      <c r="G48" s="479" t="s">
        <v>3</v>
      </c>
      <c r="H48" s="484">
        <f>H44-H47</f>
        <v>0</v>
      </c>
      <c r="I48" s="484">
        <f t="shared" ref="I48:K48" si="13">I44-I47</f>
        <v>0</v>
      </c>
      <c r="J48" s="484">
        <f>J44-J47</f>
        <v>0</v>
      </c>
      <c r="K48" s="484">
        <f t="shared" si="13"/>
        <v>0</v>
      </c>
      <c r="L48" s="482"/>
      <c r="M48" s="602">
        <f t="shared" si="11"/>
        <v>0</v>
      </c>
      <c r="N48" s="481">
        <f>IFERROR(M48/('Mark-Fields'!$C$6+'Mark-Fields'!$D$6+'Mark-Fields'!$E$6+'Mark-Fields'!$F$6),0)</f>
        <v>0</v>
      </c>
    </row>
    <row r="49" spans="3:14" hidden="1" outlineLevel="3" x14ac:dyDescent="0.2">
      <c r="C49" s="479"/>
      <c r="D49" s="480" t="str">
        <f>IF('input-data'!$B$3="Dansk", "N ab dyr", "N ex-animal")</f>
        <v>N ab dyr</v>
      </c>
      <c r="E49" s="479"/>
      <c r="F49" s="479"/>
      <c r="G49" s="479"/>
      <c r="H49" s="481">
        <f>'N-P balance sohold'!C23</f>
        <v>0</v>
      </c>
      <c r="I49" s="481">
        <f>'N-P balance sohold'!C127</f>
        <v>0</v>
      </c>
      <c r="J49" s="481">
        <f>'N-P balance smågrise'!C23</f>
        <v>0</v>
      </c>
      <c r="K49" s="481">
        <f>'N-P balance slagtesvin'!C23</f>
        <v>0</v>
      </c>
      <c r="L49" s="482"/>
      <c r="M49" s="481">
        <f t="shared" si="11"/>
        <v>0</v>
      </c>
      <c r="N49" s="481">
        <f>IFERROR(M49/('Mark-Fields'!$C$6+'Mark-Fields'!$D$6+'Mark-Fields'!$E$6+'Mark-Fields'!$F$6),0)</f>
        <v>0</v>
      </c>
    </row>
    <row r="50" spans="3:14" hidden="1" outlineLevel="3" x14ac:dyDescent="0.2">
      <c r="C50" s="473"/>
      <c r="D50" s="273" t="str">
        <f>IF('input-data'!$B$3="Dansk", "N-Tab folde", "N losses paddock")</f>
        <v>N-Tab folde</v>
      </c>
      <c r="E50" s="466" t="s">
        <v>1774</v>
      </c>
      <c r="F50" s="466" t="str">
        <f>IF('input-data'!$B$3="Dansk","Gødning", "Manure")</f>
        <v>Gødning</v>
      </c>
      <c r="G50" s="466" t="s">
        <v>3</v>
      </c>
      <c r="H50" s="474">
        <f>'N-P balance sohold'!C36</f>
        <v>0</v>
      </c>
      <c r="I50" s="474">
        <f>'N-P balance sohold'!C140</f>
        <v>0</v>
      </c>
      <c r="J50" s="474">
        <f>'N-P balance smågrise'!C36</f>
        <v>0</v>
      </c>
      <c r="K50" s="474">
        <f>'N-P balance slagtesvin'!C36</f>
        <v>0</v>
      </c>
      <c r="L50" s="723"/>
      <c r="M50" s="474">
        <f t="shared" si="11"/>
        <v>0</v>
      </c>
      <c r="N50" s="474">
        <f>IFERROR(M50/('Mark-Fields'!$C$6+'Mark-Fields'!$D$6+'Mark-Fields'!$E$6+'Mark-Fields'!$F$6),0)</f>
        <v>0</v>
      </c>
    </row>
    <row r="51" spans="3:14" hidden="1" outlineLevel="3" x14ac:dyDescent="0.2">
      <c r="C51" s="273"/>
      <c r="D51" s="273"/>
      <c r="E51" s="235" t="str">
        <f>IF('input-data'!$B$3="Dansk","direkte N2O-N", "direct N2O-N")</f>
        <v>direkte N2O-N</v>
      </c>
      <c r="F51" s="235" t="str">
        <f>IF('input-data'!$B$3="Dansk","Gødning", "Manure")</f>
        <v>Gødning</v>
      </c>
      <c r="G51" s="469" t="s">
        <v>3</v>
      </c>
      <c r="H51" s="476">
        <f>'N-P balance sohold'!C37</f>
        <v>0</v>
      </c>
      <c r="I51" s="476">
        <f>'N-P balance sohold'!C141</f>
        <v>0</v>
      </c>
      <c r="J51" s="476">
        <f>'N-P balance smågrise'!C37</f>
        <v>0</v>
      </c>
      <c r="K51" s="476">
        <f>'N-P balance slagtesvin'!C37</f>
        <v>0</v>
      </c>
      <c r="L51" s="724"/>
      <c r="M51" s="476">
        <f t="shared" si="11"/>
        <v>0</v>
      </c>
      <c r="N51" s="476">
        <f>IFERROR(M51/('Mark-Fields'!$C$6+'Mark-Fields'!$D$6+'Mark-Fields'!$E$6+'Mark-Fields'!$F$6),0)</f>
        <v>0</v>
      </c>
    </row>
    <row r="52" spans="3:14" hidden="1" outlineLevel="3" x14ac:dyDescent="0.2">
      <c r="C52" s="235"/>
      <c r="D52" s="235"/>
      <c r="E52" s="235" t="s">
        <v>2087</v>
      </c>
      <c r="F52" s="235" t="str">
        <f>IF('input-data'!$B$3="Dansk","Gødning", "Manure")</f>
        <v>Gødning</v>
      </c>
      <c r="G52" s="469" t="s">
        <v>3</v>
      </c>
      <c r="H52" s="476">
        <f>'N-P balance sohold'!C39</f>
        <v>0</v>
      </c>
      <c r="I52" s="476">
        <f>'N-P balance sohold'!C143</f>
        <v>0</v>
      </c>
      <c r="J52" s="476">
        <f>'N-P balance smågrise'!C39</f>
        <v>0</v>
      </c>
      <c r="K52" s="476">
        <f>'N-P balance slagtesvin'!C39</f>
        <v>0</v>
      </c>
      <c r="L52" s="477"/>
      <c r="M52" s="489">
        <f t="shared" si="11"/>
        <v>0</v>
      </c>
      <c r="N52" s="476">
        <f>IFERROR(M52/('Mark-Fields'!$C$6+'Mark-Fields'!$D$6+'Mark-Fields'!$E$6+'Mark-Fields'!$F$6),0)</f>
        <v>0</v>
      </c>
    </row>
    <row r="53" spans="3:14" hidden="1" outlineLevel="3" x14ac:dyDescent="0.2">
      <c r="C53" s="235"/>
      <c r="D53" s="235"/>
      <c r="E53" s="235" t="s">
        <v>1775</v>
      </c>
      <c r="F53" s="235" t="str">
        <f>IF('input-data'!$B$3="Dansk","Gødning", "Manure")</f>
        <v>Gødning</v>
      </c>
      <c r="G53" s="235" t="s">
        <v>3</v>
      </c>
      <c r="H53" s="476">
        <f>'N-P balance sohold'!C38</f>
        <v>0</v>
      </c>
      <c r="I53" s="476">
        <f>'N-P balance sohold'!C143</f>
        <v>0</v>
      </c>
      <c r="J53" s="476">
        <f>'N-P balance smågrise'!C38</f>
        <v>0</v>
      </c>
      <c r="K53" s="476">
        <f>'N-P balance slagtesvin'!C38</f>
        <v>0</v>
      </c>
      <c r="L53" s="477"/>
      <c r="M53" s="476">
        <f t="shared" si="11"/>
        <v>0</v>
      </c>
      <c r="N53" s="476">
        <f>IFERROR(M53/('Mark-Fields'!$C$6+'Mark-Fields'!$D$6+'Mark-Fields'!$E$6+'Mark-Fields'!$F$6),0)</f>
        <v>0</v>
      </c>
    </row>
    <row r="54" spans="3:14" hidden="1" outlineLevel="3" x14ac:dyDescent="0.2">
      <c r="C54" s="235"/>
      <c r="D54" s="235"/>
      <c r="E54" s="235" t="str">
        <f>IF('input-data'!$B$3="Dansk","indirekte N2O-N", "indirect N2O-N")</f>
        <v>indirekte N2O-N</v>
      </c>
      <c r="F54" s="235" t="s">
        <v>908</v>
      </c>
      <c r="G54" s="469" t="s">
        <v>3</v>
      </c>
      <c r="H54" s="476">
        <f>'Mark-Fields'!C95*'Mark-Fields'!C6</f>
        <v>0</v>
      </c>
      <c r="I54" s="476">
        <f>'Mark-Fields'!D95*'Mark-Fields'!D6</f>
        <v>0</v>
      </c>
      <c r="J54" s="476">
        <f>'Mark-Fields'!E95*'Mark-Fields'!E6</f>
        <v>0</v>
      </c>
      <c r="K54" s="476">
        <f>'Mark-Fields'!F95*'Mark-Fields'!F6</f>
        <v>0</v>
      </c>
      <c r="L54" s="477"/>
      <c r="M54" s="476">
        <f>SUM(H54:K54)</f>
        <v>0</v>
      </c>
      <c r="N54" s="476">
        <f>IFERROR(M54/('Mark-Fields'!$C$6+'Mark-Fields'!$D$6+'Mark-Fields'!$E$6+'Mark-Fields'!$F$6),0)</f>
        <v>0</v>
      </c>
    </row>
    <row r="55" spans="3:14" hidden="1" outlineLevel="2" collapsed="1" x14ac:dyDescent="0.2">
      <c r="D55" s="63"/>
      <c r="E55" s="63"/>
      <c r="F55" s="63"/>
      <c r="G55" s="63"/>
      <c r="H55" s="337"/>
      <c r="I55" s="337"/>
      <c r="J55" s="337"/>
      <c r="K55" s="337"/>
      <c r="L55" s="710"/>
      <c r="M55" s="337"/>
      <c r="N55" s="337"/>
    </row>
    <row r="56" spans="3:14" hidden="1" outlineLevel="2" x14ac:dyDescent="0.2">
      <c r="D56" s="63"/>
      <c r="E56" s="63"/>
      <c r="F56" s="63"/>
      <c r="G56" s="63"/>
      <c r="H56" s="337"/>
      <c r="I56" s="337"/>
      <c r="J56" s="337"/>
      <c r="K56" s="337"/>
      <c r="L56" s="710"/>
      <c r="M56" s="337"/>
      <c r="N56" s="337"/>
    </row>
    <row r="57" spans="3:14" ht="13.5" hidden="1" customHeight="1" outlineLevel="1" collapsed="1" x14ac:dyDescent="0.2">
      <c r="D57" s="63"/>
      <c r="E57" s="63"/>
      <c r="F57" s="63"/>
      <c r="H57" s="65"/>
      <c r="I57" s="65"/>
      <c r="J57" s="65"/>
      <c r="K57" s="65"/>
      <c r="L57" s="65"/>
      <c r="M57" s="65"/>
      <c r="N57" s="65"/>
    </row>
    <row r="58" spans="3:14" ht="13.5" hidden="1" customHeight="1" outlineLevel="1" x14ac:dyDescent="0.2">
      <c r="D58" s="718"/>
      <c r="E58" s="63"/>
      <c r="F58" s="63"/>
      <c r="H58" s="65"/>
      <c r="I58" s="65"/>
      <c r="J58" s="65"/>
      <c r="K58" s="65"/>
      <c r="L58" s="65"/>
      <c r="M58" s="65"/>
      <c r="N58" s="65"/>
    </row>
    <row r="59" spans="3:14" ht="13.5" hidden="1" customHeight="1" outlineLevel="1" x14ac:dyDescent="0.2">
      <c r="D59" s="718" t="str">
        <f>IF('input-data'!$B$3="Dansk", "Mark", "Fields")</f>
        <v>Mark</v>
      </c>
      <c r="E59" s="63"/>
      <c r="F59" s="63"/>
      <c r="H59" s="65"/>
      <c r="I59" s="65"/>
      <c r="J59" s="65"/>
      <c r="K59" s="65"/>
      <c r="L59" s="65"/>
      <c r="M59" s="65"/>
      <c r="N59" s="65"/>
    </row>
    <row r="60" spans="3:14" hidden="1" outlineLevel="2" x14ac:dyDescent="0.2">
      <c r="C60" s="466"/>
      <c r="D60" s="467" t="str">
        <f>IF('input-data'!$B$3="Dansk", "Mark", "Fields")</f>
        <v>Mark</v>
      </c>
      <c r="E60" s="466"/>
      <c r="F60" s="466"/>
      <c r="G60" s="466"/>
      <c r="H60" s="473" t="str">
        <f>D38</f>
        <v>Folde</v>
      </c>
      <c r="I60" s="728" t="str">
        <f>IF('input-data'!$B$3="Dansk", "Øvrige mark", "Other fields")</f>
        <v>Øvrige mark</v>
      </c>
      <c r="J60" s="473"/>
      <c r="K60" s="473"/>
      <c r="L60" s="473"/>
      <c r="M60" s="468" t="str">
        <f>IF('input-data'!$B$3="Dansk","Totalt per gård", "Total per farm")</f>
        <v>Totalt per gård</v>
      </c>
      <c r="N60" s="726" t="s">
        <v>1773</v>
      </c>
    </row>
    <row r="61" spans="3:14" hidden="1" outlineLevel="2" x14ac:dyDescent="0.2">
      <c r="C61" s="466"/>
      <c r="D61" s="467"/>
      <c r="E61" s="473" t="str">
        <f>IF('input-data'!$B$3="Dansk","Areal, ha", "Area, ha")</f>
        <v>Areal, ha</v>
      </c>
      <c r="F61" s="473"/>
      <c r="G61" s="723"/>
      <c r="H61" s="723">
        <f>SUM('Mark-Fields'!C6:F6)</f>
        <v>0</v>
      </c>
      <c r="I61" s="723">
        <f>SUM('Mark-Fields'!G6:L6)</f>
        <v>0</v>
      </c>
      <c r="J61" s="473"/>
      <c r="K61" s="473"/>
      <c r="L61" s="473"/>
      <c r="M61" s="723">
        <f>H61+I61</f>
        <v>0</v>
      </c>
      <c r="N61" s="473"/>
    </row>
    <row r="62" spans="3:14" hidden="1" outlineLevel="2" x14ac:dyDescent="0.2">
      <c r="C62" s="466"/>
      <c r="D62" s="473" t="str">
        <f>IF('input-data'!$B$3="Dansk", "N-ind", "N input")</f>
        <v>N-ind</v>
      </c>
      <c r="E62" s="466" t="str">
        <f>IF('input-data'!$B$3="Dansk","Gødning", "Manure")</f>
        <v>Gødning</v>
      </c>
      <c r="F62" s="466"/>
      <c r="G62" s="466" t="s">
        <v>3</v>
      </c>
      <c r="H62" s="474">
        <f>SUMPRODUCT('Mark-Fields'!$C$6:$F$6, 'Mark-Fields'!C83:F83)</f>
        <v>0</v>
      </c>
      <c r="I62" s="474">
        <f>M31</f>
        <v>0</v>
      </c>
      <c r="J62" s="466"/>
      <c r="K62" s="466"/>
      <c r="L62" s="466"/>
      <c r="M62" s="474">
        <f>H62+I62</f>
        <v>0</v>
      </c>
      <c r="N62" s="474">
        <f>IFERROR(M62/$M$61,0)</f>
        <v>0</v>
      </c>
    </row>
    <row r="63" spans="3:14" hidden="1" outlineLevel="2" x14ac:dyDescent="0.2">
      <c r="C63" s="235"/>
      <c r="D63" s="273"/>
      <c r="E63" s="235" t="str">
        <f>IF('input-data'!$B$3="Dansk","Udsæd", "Seed")</f>
        <v>Udsæd</v>
      </c>
      <c r="F63" s="235"/>
      <c r="G63" s="235" t="s">
        <v>3</v>
      </c>
      <c r="H63" s="476">
        <f>SUMPRODUCT('Mark-Fields'!$C$6:$F$6, 'Mark-Fields'!C84:F84)</f>
        <v>0</v>
      </c>
      <c r="I63" s="604">
        <f>SUMPRODUCT('Mark-Fields'!G6:L6, 'Mark-Fields'!G84:L84)</f>
        <v>0</v>
      </c>
      <c r="J63" s="235"/>
      <c r="K63" s="235"/>
      <c r="L63" s="235"/>
      <c r="M63" s="604">
        <f t="shared" ref="M63:M83" si="14">H63+I63</f>
        <v>0</v>
      </c>
      <c r="N63" s="476">
        <f t="shared" ref="N63:N83" si="15">IFERROR(M63/$M$61,0)</f>
        <v>0</v>
      </c>
    </row>
    <row r="64" spans="3:14" hidden="1" outlineLevel="2" x14ac:dyDescent="0.2">
      <c r="C64" s="235"/>
      <c r="D64" s="235"/>
      <c r="E64" s="235" t="str">
        <f>IF('input-data'!$B$3="Dansk","Fiksering", "Fixation")</f>
        <v>Fiksering</v>
      </c>
      <c r="F64" s="235"/>
      <c r="G64" s="235" t="s">
        <v>3</v>
      </c>
      <c r="H64" s="476">
        <f>SUMPRODUCT('Mark-Fields'!$C$6:$F$6, 'Mark-Fields'!C85:F85)</f>
        <v>0</v>
      </c>
      <c r="I64" s="476">
        <f>SUMPRODUCT('Mark-Fields'!G6:L6, 'Mark-Fields'!G85:L85)</f>
        <v>0</v>
      </c>
      <c r="J64" s="235"/>
      <c r="K64" s="235"/>
      <c r="L64" s="235"/>
      <c r="M64" s="476">
        <f t="shared" si="14"/>
        <v>0</v>
      </c>
      <c r="N64" s="476">
        <f t="shared" si="15"/>
        <v>0</v>
      </c>
    </row>
    <row r="65" spans="3:14" hidden="1" outlineLevel="2" x14ac:dyDescent="0.2">
      <c r="C65" s="483"/>
      <c r="D65" s="483"/>
      <c r="E65" s="483" t="s">
        <v>1776</v>
      </c>
      <c r="F65" s="483"/>
      <c r="G65" s="483" t="s">
        <v>3</v>
      </c>
      <c r="H65" s="484">
        <f>SUMPRODUCT('Mark-Fields'!$C$6:$F$6, 'Mark-Fields'!C86:F86)</f>
        <v>0</v>
      </c>
      <c r="I65" s="476">
        <f>SUMPRODUCT('Mark-Fields'!G6:L6, 'Mark-Fields'!G86:L86)</f>
        <v>0</v>
      </c>
      <c r="J65" s="483"/>
      <c r="K65" s="483"/>
      <c r="L65" s="483"/>
      <c r="M65" s="484">
        <f t="shared" si="14"/>
        <v>0</v>
      </c>
      <c r="N65" s="484">
        <f t="shared" si="15"/>
        <v>0</v>
      </c>
    </row>
    <row r="66" spans="3:14" hidden="1" outlineLevel="2" x14ac:dyDescent="0.2">
      <c r="C66" s="235"/>
      <c r="D66" s="480" t="str">
        <f>IF('input-data'!$B$3="Dansk","Total N - ind", "Total N input")</f>
        <v>Total N - ind</v>
      </c>
      <c r="E66" s="235"/>
      <c r="F66" s="235"/>
      <c r="G66" s="235" t="s">
        <v>3</v>
      </c>
      <c r="H66" s="476">
        <f>SUM(H62:H65)</f>
        <v>0</v>
      </c>
      <c r="I66" s="481">
        <f>SUM(I62:I65)</f>
        <v>0</v>
      </c>
      <c r="J66" s="235"/>
      <c r="K66" s="235"/>
      <c r="L66" s="235"/>
      <c r="M66" s="476">
        <f t="shared" si="14"/>
        <v>0</v>
      </c>
      <c r="N66" s="476">
        <f t="shared" si="15"/>
        <v>0</v>
      </c>
    </row>
    <row r="67" spans="3:14" hidden="1" outlineLevel="2" x14ac:dyDescent="0.2">
      <c r="C67" s="466"/>
      <c r="D67" s="473" t="str">
        <f>IF('input-data'!$B$3="Dansk","N-ud", "N output")</f>
        <v>N-ud</v>
      </c>
      <c r="E67" s="466" t="str">
        <f>IF('input-data'!$B$3="Dansk","Afgrøder", "Crops")</f>
        <v>Afgrøder</v>
      </c>
      <c r="F67" s="466"/>
      <c r="G67" s="466" t="s">
        <v>3</v>
      </c>
      <c r="H67" s="474">
        <f>SUMPRODUCT('Mark-Fields'!$C$6:$F$6, 'Mark-Fields'!C89:F89)</f>
        <v>0</v>
      </c>
      <c r="I67" s="474">
        <f>SUMPRODUCT('Mark-Fields'!G6:L6, 'Mark-Fields'!G89:L89)</f>
        <v>0</v>
      </c>
      <c r="J67" s="466"/>
      <c r="K67" s="466"/>
      <c r="L67" s="466"/>
      <c r="M67" s="474">
        <f>H67+I67</f>
        <v>0</v>
      </c>
      <c r="N67" s="474">
        <f t="shared" si="15"/>
        <v>0</v>
      </c>
    </row>
    <row r="68" spans="3:14" hidden="1" outlineLevel="2" x14ac:dyDescent="0.2">
      <c r="C68" s="235"/>
      <c r="D68" s="235"/>
      <c r="E68" s="235" t="str">
        <f>IF('input-data'!$B$3="Dansk","Halm", "Straw")</f>
        <v>Halm</v>
      </c>
      <c r="F68" s="235"/>
      <c r="G68" s="235" t="s">
        <v>3</v>
      </c>
      <c r="H68" s="477">
        <f>SUMPRODUCT('Mark-Fields'!$C$6:$F$6, 'Mark-Fields'!C90:F90)</f>
        <v>0</v>
      </c>
      <c r="I68" s="476">
        <f>SUMPRODUCT('Mark-Fields'!G6:L6, 'Mark-Fields'!G90:L90)</f>
        <v>0</v>
      </c>
      <c r="J68" s="235"/>
      <c r="K68" s="235"/>
      <c r="L68" s="235"/>
      <c r="M68" s="476">
        <f t="shared" si="14"/>
        <v>0</v>
      </c>
      <c r="N68" s="476">
        <f t="shared" si="15"/>
        <v>0</v>
      </c>
    </row>
    <row r="69" spans="3:14" hidden="1" outlineLevel="2" x14ac:dyDescent="0.2">
      <c r="C69" s="466"/>
      <c r="D69" s="480" t="str">
        <f>IF('input-data'!$B$3="Dansk","Total N - ud", "Total N output")</f>
        <v>Total N - ud</v>
      </c>
      <c r="E69" s="466"/>
      <c r="F69" s="466"/>
      <c r="G69" s="466" t="s">
        <v>3</v>
      </c>
      <c r="H69" s="474">
        <f>SUM(H67:H68)</f>
        <v>0</v>
      </c>
      <c r="I69" s="474">
        <f>SUM(I67:I68)</f>
        <v>0</v>
      </c>
      <c r="J69" s="466"/>
      <c r="K69" s="466"/>
      <c r="L69" s="466"/>
      <c r="M69" s="474">
        <f t="shared" si="14"/>
        <v>0</v>
      </c>
      <c r="N69" s="474">
        <f t="shared" si="15"/>
        <v>0</v>
      </c>
    </row>
    <row r="70" spans="3:14" hidden="1" outlineLevel="2" x14ac:dyDescent="0.2">
      <c r="C70" s="466"/>
      <c r="D70" s="473" t="str">
        <f>IF('input-data'!$B$3="Dansk","N overskud", "N surplus")</f>
        <v>N overskud</v>
      </c>
      <c r="E70" s="466"/>
      <c r="F70" s="466"/>
      <c r="G70" s="466" t="s">
        <v>3</v>
      </c>
      <c r="H70" s="474">
        <f>H66-H69</f>
        <v>0</v>
      </c>
      <c r="I70" s="474">
        <f>I66-I69</f>
        <v>0</v>
      </c>
      <c r="J70" s="466"/>
      <c r="K70" s="479"/>
      <c r="L70" s="479"/>
      <c r="M70" s="481">
        <f t="shared" si="14"/>
        <v>0</v>
      </c>
      <c r="N70" s="474">
        <f t="shared" si="15"/>
        <v>0</v>
      </c>
    </row>
    <row r="71" spans="3:14" hidden="1" outlineLevel="2" x14ac:dyDescent="0.2">
      <c r="C71" s="473"/>
      <c r="D71" s="473" t="str">
        <f>IF('input-data'!$B$3="Dansk", "N-Tab", "N losses")</f>
        <v>N-Tab</v>
      </c>
      <c r="E71" s="466" t="s">
        <v>1774</v>
      </c>
      <c r="F71" s="466" t="str">
        <f>IF('input-data'!$B$3="Dansk","Gødning", "Manure")</f>
        <v>Gødning</v>
      </c>
      <c r="G71" s="466" t="s">
        <v>3</v>
      </c>
      <c r="H71" s="474">
        <f>SUMPRODUCT('Mark-Fields'!$C$6:$F$6, 'Mark-Fields'!C68:F68)</f>
        <v>0</v>
      </c>
      <c r="I71" s="474">
        <f>IFERROR(SUMPRODUCT('Mark-Fields'!G6:L6, 'Mark-Fields'!G68:L68),0)</f>
        <v>0</v>
      </c>
      <c r="J71" s="468"/>
      <c r="K71" s="471"/>
      <c r="L71" s="235"/>
      <c r="M71" s="476">
        <f>H71+I71</f>
        <v>0</v>
      </c>
      <c r="N71" s="605">
        <f t="shared" si="15"/>
        <v>0</v>
      </c>
    </row>
    <row r="72" spans="3:14" hidden="1" outlineLevel="2" x14ac:dyDescent="0.2">
      <c r="C72" s="273"/>
      <c r="D72" s="273"/>
      <c r="E72" s="235"/>
      <c r="F72" s="235" t="str">
        <f>IF('input-data'!$B$3="Dansk","Afgrøder rester", "Crop residues")</f>
        <v>Afgrøder rester</v>
      </c>
      <c r="G72" s="469" t="s">
        <v>3</v>
      </c>
      <c r="H72" s="476">
        <f>SUMPRODUCT('Mark-Fields'!$C$6:$F$6, 'Mark-Fields'!C69:F69)</f>
        <v>0</v>
      </c>
      <c r="I72" s="477">
        <f>SUMPRODUCT('Mark-Fields'!G6:L6, 'Mark-Fields'!G69:L69)</f>
        <v>0</v>
      </c>
      <c r="J72" s="471"/>
      <c r="K72" s="471"/>
      <c r="L72" s="235"/>
      <c r="M72" s="477">
        <f t="shared" si="14"/>
        <v>0</v>
      </c>
      <c r="N72" s="604">
        <f t="shared" si="15"/>
        <v>0</v>
      </c>
    </row>
    <row r="73" spans="3:14" hidden="1" outlineLevel="2" x14ac:dyDescent="0.2">
      <c r="C73" s="273"/>
      <c r="D73" s="273"/>
      <c r="E73" s="235" t="str">
        <f>IF('input-data'!$B$3="Dansk","direkte N2O-N", "direct N2O-N")</f>
        <v>direkte N2O-N</v>
      </c>
      <c r="F73" s="235" t="str">
        <f>IF('input-data'!$B$3="Dansk","Gødning", "Manure")</f>
        <v>Gødning</v>
      </c>
      <c r="G73" s="469" t="s">
        <v>3</v>
      </c>
      <c r="H73" s="476">
        <f>SUMPRODUCT('Mark-Fields'!$C$6:$F$6, 'Mark-Fields'!C65:F65)</f>
        <v>0</v>
      </c>
      <c r="I73" s="476">
        <f>IFERROR(SUMPRODUCT('Mark-Fields'!G6:L6, 'Mark-Fields'!G65:L65),0)</f>
        <v>0</v>
      </c>
      <c r="J73" s="471"/>
      <c r="K73" s="471"/>
      <c r="L73" s="235"/>
      <c r="M73" s="476">
        <f t="shared" si="14"/>
        <v>0</v>
      </c>
      <c r="N73" s="604">
        <f t="shared" si="15"/>
        <v>0</v>
      </c>
    </row>
    <row r="74" spans="3:14" hidden="1" outlineLevel="2" x14ac:dyDescent="0.2">
      <c r="C74" s="273"/>
      <c r="D74" s="273"/>
      <c r="E74" s="235"/>
      <c r="F74" s="235" t="str">
        <f>IF('input-data'!$B$3="Dansk","Afgrøder rester", "Crop residues")</f>
        <v>Afgrøder rester</v>
      </c>
      <c r="G74" s="469" t="s">
        <v>3</v>
      </c>
      <c r="H74" s="476">
        <f>SUMPRODUCT('Mark-Fields'!$C$6:$F$6, 'Mark-Fields'!C66:F66)</f>
        <v>0</v>
      </c>
      <c r="I74" s="476">
        <f>SUMPRODUCT('Mark-Fields'!G6:L6, 'Mark-Fields'!G66:L66)</f>
        <v>0</v>
      </c>
      <c r="J74" s="471"/>
      <c r="K74" s="471"/>
      <c r="L74" s="235"/>
      <c r="M74" s="476">
        <f t="shared" si="14"/>
        <v>0</v>
      </c>
      <c r="N74" s="604">
        <f t="shared" si="15"/>
        <v>0</v>
      </c>
    </row>
    <row r="75" spans="3:14" hidden="1" outlineLevel="2" x14ac:dyDescent="0.2">
      <c r="C75" s="235"/>
      <c r="D75" s="235"/>
      <c r="E75" s="235" t="s">
        <v>2087</v>
      </c>
      <c r="F75" s="235" t="str">
        <f>IF('input-data'!$B$3="Dansk","Gødning", "Manure")</f>
        <v>Gødning</v>
      </c>
      <c r="G75" s="469" t="s">
        <v>3</v>
      </c>
      <c r="H75" s="489">
        <f>SUMPRODUCT('Mark-Fields'!$C$6:$F$6, 'Mark-Fields'!C71:F71)</f>
        <v>0</v>
      </c>
      <c r="I75" s="476">
        <f>SUMPRODUCT('Mark-Fields'!G6:L6, 'Mark-Fields'!G71:L71)</f>
        <v>0</v>
      </c>
      <c r="J75" s="470"/>
      <c r="K75" s="494"/>
      <c r="L75" s="235"/>
      <c r="M75" s="476">
        <f t="shared" si="14"/>
        <v>0</v>
      </c>
      <c r="N75" s="604">
        <f t="shared" si="15"/>
        <v>0</v>
      </c>
    </row>
    <row r="76" spans="3:14" hidden="1" outlineLevel="2" x14ac:dyDescent="0.2">
      <c r="C76" s="235"/>
      <c r="D76" s="235"/>
      <c r="E76" s="235"/>
      <c r="F76" s="235" t="str">
        <f>IF('input-data'!$B$3="Dansk","Afgrøder rester", "Crop residues")</f>
        <v>Afgrøder rester</v>
      </c>
      <c r="G76" s="469" t="s">
        <v>3</v>
      </c>
      <c r="H76" s="476">
        <f>SUMPRODUCT('Mark-Fields'!$C$6:$F$6, 'Mark-Fields'!C72:F72)</f>
        <v>0</v>
      </c>
      <c r="I76" s="476">
        <f>SUMPRODUCT('Mark-Fields'!G6:L6, 'Mark-Fields'!G72:L72)</f>
        <v>0</v>
      </c>
      <c r="J76" s="494"/>
      <c r="K76" s="494"/>
      <c r="L76" s="235"/>
      <c r="M76" s="476">
        <f t="shared" si="14"/>
        <v>0</v>
      </c>
      <c r="N76" s="604">
        <f t="shared" si="15"/>
        <v>0</v>
      </c>
    </row>
    <row r="77" spans="3:14" hidden="1" outlineLevel="2" x14ac:dyDescent="0.2">
      <c r="C77" s="235"/>
      <c r="D77" s="235"/>
      <c r="E77" s="235" t="s">
        <v>1775</v>
      </c>
      <c r="F77" s="235" t="str">
        <f>IF('input-data'!$B$3="Dansk","Gødning", "Manure")</f>
        <v>Gødning</v>
      </c>
      <c r="G77" s="469" t="s">
        <v>3</v>
      </c>
      <c r="H77" s="476">
        <f>SUMPRODUCT('Mark-Fields'!$C$6:$F$6, 'Mark-Fields'!C74:F74)</f>
        <v>0</v>
      </c>
      <c r="I77" s="476">
        <f>SUMPRODUCT('Mark-Fields'!G6:L6, 'Mark-Fields'!G74:L74)</f>
        <v>0</v>
      </c>
      <c r="J77" s="494"/>
      <c r="K77" s="494"/>
      <c r="L77" s="235"/>
      <c r="M77" s="476">
        <f t="shared" si="14"/>
        <v>0</v>
      </c>
      <c r="N77" s="604">
        <f t="shared" si="15"/>
        <v>0</v>
      </c>
    </row>
    <row r="78" spans="3:14" hidden="1" outlineLevel="2" x14ac:dyDescent="0.2">
      <c r="C78" s="235"/>
      <c r="D78" s="235"/>
      <c r="E78" s="235"/>
      <c r="F78" s="235" t="str">
        <f>IF('input-data'!$B$3="Dansk","Afgrøder rester", "Crop residues")</f>
        <v>Afgrøder rester</v>
      </c>
      <c r="G78" s="235" t="s">
        <v>3</v>
      </c>
      <c r="H78" s="476">
        <f>SUMPRODUCT('Mark-Fields'!$C$6:$F$6, 'Mark-Fields'!C75:F75)</f>
        <v>0</v>
      </c>
      <c r="I78" s="476">
        <f>SUMPRODUCT('Mark-Fields'!G6:L6, 'Mark-Fields'!G75:L75)</f>
        <v>0</v>
      </c>
      <c r="J78" s="235"/>
      <c r="K78" s="235"/>
      <c r="L78" s="235"/>
      <c r="M78" s="476">
        <f t="shared" si="14"/>
        <v>0</v>
      </c>
      <c r="N78" s="604">
        <f t="shared" si="15"/>
        <v>0</v>
      </c>
    </row>
    <row r="79" spans="3:14" hidden="1" outlineLevel="2" x14ac:dyDescent="0.2">
      <c r="C79" s="235"/>
      <c r="D79" s="235"/>
      <c r="E79" s="235" t="str">
        <f>IF('input-data'!$B$3="Dansk","indirekte N2O-N", "indirect N2O-N")</f>
        <v>indirekte N2O-N</v>
      </c>
      <c r="F79" s="235" t="s">
        <v>908</v>
      </c>
      <c r="G79" s="469" t="s">
        <v>3</v>
      </c>
      <c r="H79" s="476">
        <f>SUMPRODUCT('Mark-Fields'!$C$6:$F$6, 'Mark-Fields'!C77:F77)</f>
        <v>0</v>
      </c>
      <c r="I79" s="476">
        <f>SUMPRODUCT('Mark-Fields'!G6:L6, 'Mark-Fields'!G77:L77)</f>
        <v>0</v>
      </c>
      <c r="J79" s="235"/>
      <c r="K79" s="235"/>
      <c r="L79" s="235"/>
      <c r="M79" s="476">
        <f t="shared" si="14"/>
        <v>0</v>
      </c>
      <c r="N79" s="604">
        <f t="shared" si="15"/>
        <v>0</v>
      </c>
    </row>
    <row r="80" spans="3:14" hidden="1" outlineLevel="2" x14ac:dyDescent="0.2">
      <c r="C80" s="235"/>
      <c r="D80" s="725" t="str">
        <f>IF('input-data'!$B$3="Dansk", "C i jord", "soil C changes")</f>
        <v>C i jord</v>
      </c>
      <c r="E80" s="235" t="s">
        <v>1855</v>
      </c>
      <c r="F80" s="235"/>
      <c r="G80" s="469" t="s">
        <v>3</v>
      </c>
      <c r="H80" s="476">
        <f>SUMPRODUCT('Mark-Fields'!$C$6:$F$6, 'Mark-Fields'!C99:F99)</f>
        <v>0</v>
      </c>
      <c r="I80" s="476">
        <f>SUMPRODUCT('Mark-Fields'!G6:L6, 'Mark-Fields'!G99:L99)</f>
        <v>0</v>
      </c>
      <c r="J80" s="235"/>
      <c r="K80" s="235"/>
      <c r="L80" s="235"/>
      <c r="M80" s="476">
        <f t="shared" si="14"/>
        <v>0</v>
      </c>
      <c r="N80" s="604">
        <f t="shared" si="15"/>
        <v>0</v>
      </c>
    </row>
    <row r="81" spans="3:14" hidden="1" outlineLevel="2" x14ac:dyDescent="0.2">
      <c r="C81" s="235"/>
      <c r="D81" s="725" t="str">
        <f>IF('input-data'!$B$3="Dansk", "optag fra træer", "trees uptake")</f>
        <v>optag fra træer</v>
      </c>
      <c r="E81" s="235"/>
      <c r="F81" s="235"/>
      <c r="G81" s="235" t="s">
        <v>3</v>
      </c>
      <c r="H81" s="476">
        <f>SUMPRODUCT('Mark-Fields'!$C$6:$F$6, 'Mark-Fields'!C100:F100)</f>
        <v>0</v>
      </c>
      <c r="I81" s="476">
        <f>SUMPRODUCT('Mark-Fields'!G6:L6, 'Mark-Fields'!G100:L100)</f>
        <v>0</v>
      </c>
      <c r="J81" s="235"/>
      <c r="K81" s="235"/>
      <c r="L81" s="235"/>
      <c r="M81" s="476">
        <f t="shared" si="14"/>
        <v>0</v>
      </c>
      <c r="N81" s="604">
        <f t="shared" si="15"/>
        <v>0</v>
      </c>
    </row>
    <row r="82" spans="3:14" hidden="1" outlineLevel="2" x14ac:dyDescent="0.2">
      <c r="C82" s="483"/>
      <c r="D82" s="486" t="str">
        <f>IF('input-data'!$B$3="Dansk", "Potentiel N  - Udvasking", "Potential N leaching")</f>
        <v>Potentiel N  - Udvasking</v>
      </c>
      <c r="E82" s="486"/>
      <c r="F82" s="483"/>
      <c r="G82" s="486" t="s">
        <v>3</v>
      </c>
      <c r="H82" s="729">
        <f>H70-H71-H72-H73-H74-H75-H76-H77-H78-H79-H80-H81</f>
        <v>0</v>
      </c>
      <c r="I82" s="729">
        <f>I70-I71-I72-I73-I74-I75-I76-I77-I78-I79-I80-I81</f>
        <v>0</v>
      </c>
      <c r="J82" s="486"/>
      <c r="K82" s="486"/>
      <c r="L82" s="486"/>
      <c r="M82" s="729">
        <f>H82+I82</f>
        <v>0</v>
      </c>
      <c r="N82" s="730">
        <f>IFERROR(M82/$M$61,0)</f>
        <v>0</v>
      </c>
    </row>
    <row r="83" spans="3:14" hidden="1" outlineLevel="2" x14ac:dyDescent="0.2">
      <c r="C83" s="235"/>
      <c r="D83" s="273"/>
      <c r="E83" s="235" t="str">
        <f>IF('input-data'!$B$3="Dansk","indirekte N2O-N", "indirect N2O-N")</f>
        <v>indirekte N2O-N</v>
      </c>
      <c r="F83" s="235" t="str">
        <f>IF('input-data'!$B$3="Dansk","udvaskning", "leaching")</f>
        <v>udvaskning</v>
      </c>
      <c r="G83" s="469" t="s">
        <v>3</v>
      </c>
      <c r="H83" s="474">
        <f>SUMPRODUCT('Mark-Fields'!$C$6:$F$6, 'Mark-Fields'!C102:F102)</f>
        <v>0</v>
      </c>
      <c r="I83" s="476">
        <f>SUMPRODUCT('Mark-Fields'!G6:L6, 'Mark-Fields'!G102:L102)</f>
        <v>0</v>
      </c>
      <c r="J83" s="235"/>
      <c r="K83" s="235"/>
      <c r="L83" s="235"/>
      <c r="M83" s="476">
        <f t="shared" si="14"/>
        <v>0</v>
      </c>
      <c r="N83" s="606">
        <f t="shared" si="15"/>
        <v>0</v>
      </c>
    </row>
    <row r="84" spans="3:14" hidden="1" outlineLevel="1" collapsed="1" x14ac:dyDescent="0.2">
      <c r="D84" s="63"/>
      <c r="E84" s="63"/>
      <c r="F84" s="63"/>
      <c r="G84" s="63"/>
      <c r="H84" s="337"/>
      <c r="I84" s="337"/>
      <c r="J84" s="63"/>
      <c r="K84" s="63"/>
      <c r="L84" s="63"/>
      <c r="M84" s="63"/>
      <c r="N84" s="63"/>
    </row>
    <row r="85" spans="3:14" hidden="1" outlineLevel="1" x14ac:dyDescent="0.2">
      <c r="D85" s="718"/>
      <c r="E85" s="63"/>
      <c r="F85" s="63"/>
      <c r="G85" s="63"/>
      <c r="H85" s="337"/>
      <c r="I85" s="337"/>
      <c r="J85" s="63"/>
      <c r="K85" s="63"/>
      <c r="L85" s="63"/>
      <c r="M85" s="63"/>
      <c r="N85" s="63"/>
    </row>
    <row r="86" spans="3:14" hidden="1" outlineLevel="1" x14ac:dyDescent="0.2">
      <c r="D86" s="718" t="str">
        <f>IF('input-data'!$B$3="Dansk", "Gård", "Farm")</f>
        <v>Gård</v>
      </c>
      <c r="E86" s="63"/>
      <c r="F86" s="63"/>
      <c r="G86" s="63"/>
      <c r="H86" s="337"/>
      <c r="I86" s="337"/>
      <c r="J86" s="63"/>
      <c r="K86" s="63"/>
      <c r="L86" s="63"/>
      <c r="M86" s="63"/>
      <c r="N86" s="63"/>
    </row>
    <row r="87" spans="3:14" hidden="1" outlineLevel="2" x14ac:dyDescent="0.2">
      <c r="D87" s="63"/>
      <c r="E87" s="63"/>
      <c r="F87" s="63"/>
      <c r="G87" s="63"/>
      <c r="H87" s="337"/>
      <c r="I87" s="337"/>
      <c r="J87" s="63"/>
      <c r="K87" s="63"/>
      <c r="L87" s="63"/>
      <c r="M87" s="63"/>
      <c r="N87" s="63"/>
    </row>
    <row r="88" spans="3:14" hidden="1" outlineLevel="2" x14ac:dyDescent="0.2">
      <c r="C88" s="479"/>
      <c r="D88" s="485" t="str">
        <f>D86</f>
        <v>Gård</v>
      </c>
      <c r="E88" s="479"/>
      <c r="F88" s="479"/>
      <c r="G88" s="479"/>
      <c r="H88" s="479"/>
      <c r="I88" s="479"/>
      <c r="J88" s="479"/>
      <c r="K88" s="479"/>
      <c r="L88" s="479"/>
      <c r="M88" s="731" t="str">
        <f>IF('input-data'!$B$3="Dansk","Totalt per gård", "Total per farm")</f>
        <v>Totalt per gård</v>
      </c>
      <c r="N88" s="726" t="s">
        <v>1773</v>
      </c>
    </row>
    <row r="89" spans="3:14" hidden="1" outlineLevel="2" x14ac:dyDescent="0.2">
      <c r="C89" s="235"/>
      <c r="D89" s="473" t="str">
        <f>IF('input-data'!$B$3="Dansk", "N-ind", "N input")</f>
        <v>N-ind</v>
      </c>
      <c r="E89" s="469" t="str">
        <f>IF('input-data'!$B$3="Dansk","Foder", "Feed")</f>
        <v>Foder</v>
      </c>
      <c r="F89" s="235" t="str">
        <f>IF('input-data'!$B$3="Dansk","indkøb", "bought-in")</f>
        <v>indkøb</v>
      </c>
      <c r="G89" s="235" t="s">
        <v>3</v>
      </c>
      <c r="H89" s="235"/>
      <c r="I89" s="235"/>
      <c r="J89" s="235"/>
      <c r="K89" s="235"/>
      <c r="L89" s="235"/>
      <c r="M89" s="476">
        <f>'Feed - overview'!K191-'Feed - overview'!O191</f>
        <v>0</v>
      </c>
      <c r="N89" s="476">
        <f>IFERROR(M89/$M$61,0)</f>
        <v>0</v>
      </c>
    </row>
    <row r="90" spans="3:14" hidden="1" outlineLevel="2" x14ac:dyDescent="0.2">
      <c r="C90" s="235"/>
      <c r="D90" s="273"/>
      <c r="E90" s="235" t="str">
        <f>IF('input-data'!$B$3="Dansk","Strøelse", "Bedding materials")</f>
        <v>Strøelse</v>
      </c>
      <c r="F90" s="235" t="str">
        <f>IF('input-data'!$B$3="Dansk","indkøb", "bought-in")</f>
        <v>indkøb</v>
      </c>
      <c r="G90" s="235" t="s">
        <v>3</v>
      </c>
      <c r="H90" s="235"/>
      <c r="I90" s="235"/>
      <c r="J90" s="235"/>
      <c r="K90" s="235"/>
      <c r="L90" s="235"/>
      <c r="M90" s="476">
        <f>M14+M43</f>
        <v>0</v>
      </c>
      <c r="N90" s="476">
        <f>IFERROR(M90/$M$61,0)</f>
        <v>0</v>
      </c>
    </row>
    <row r="91" spans="3:14" hidden="1" outlineLevel="2" x14ac:dyDescent="0.2">
      <c r="C91" s="235"/>
      <c r="D91" s="273"/>
      <c r="E91" s="235" t="str">
        <f>IF('input-data'!$B$3="Dansk","Udsæd", "Seed")</f>
        <v>Udsæd</v>
      </c>
      <c r="F91" s="235"/>
      <c r="G91" s="235" t="s">
        <v>3</v>
      </c>
      <c r="H91" s="235"/>
      <c r="I91" s="235"/>
      <c r="J91" s="235"/>
      <c r="K91" s="235"/>
      <c r="L91" s="235"/>
      <c r="M91" s="604">
        <f>M63</f>
        <v>0</v>
      </c>
      <c r="N91" s="604">
        <f t="shared" ref="N91:N106" si="16">IFERROR(M91/$M$61,0)</f>
        <v>0</v>
      </c>
    </row>
    <row r="92" spans="3:14" hidden="1" outlineLevel="2" x14ac:dyDescent="0.2">
      <c r="C92" s="235"/>
      <c r="D92" s="487"/>
      <c r="E92" s="235" t="str">
        <f>IF('input-data'!$B$3="Dansk","Fiksering", "Fixation")</f>
        <v>Fiksering</v>
      </c>
      <c r="F92" s="235"/>
      <c r="G92" s="235" t="s">
        <v>3</v>
      </c>
      <c r="H92" s="235"/>
      <c r="I92" s="235"/>
      <c r="J92" s="235"/>
      <c r="K92" s="235"/>
      <c r="L92" s="235"/>
      <c r="M92" s="476">
        <f>M64</f>
        <v>0</v>
      </c>
      <c r="N92" s="604">
        <f t="shared" si="16"/>
        <v>0</v>
      </c>
    </row>
    <row r="93" spans="3:14" hidden="1" outlineLevel="2" x14ac:dyDescent="0.2">
      <c r="C93" s="235"/>
      <c r="D93" s="487"/>
      <c r="E93" s="483" t="s">
        <v>1776</v>
      </c>
      <c r="F93" s="235"/>
      <c r="G93" s="235" t="s">
        <v>3</v>
      </c>
      <c r="H93" s="235"/>
      <c r="I93" s="235"/>
      <c r="J93" s="235"/>
      <c r="K93" s="235"/>
      <c r="L93" s="235"/>
      <c r="M93" s="476">
        <f>M65</f>
        <v>0</v>
      </c>
      <c r="N93" s="604">
        <f t="shared" si="16"/>
        <v>0</v>
      </c>
    </row>
    <row r="94" spans="3:14" hidden="1" outlineLevel="2" x14ac:dyDescent="0.2">
      <c r="C94" s="479"/>
      <c r="D94" s="480" t="str">
        <f>IF('input-data'!$B$3="Dansk","Total N - ind", "Total N input")</f>
        <v>Total N - ind</v>
      </c>
      <c r="E94" s="479"/>
      <c r="F94" s="479"/>
      <c r="G94" s="479" t="s">
        <v>3</v>
      </c>
      <c r="H94" s="479"/>
      <c r="I94" s="479"/>
      <c r="J94" s="479"/>
      <c r="K94" s="479"/>
      <c r="L94" s="479"/>
      <c r="M94" s="481">
        <f>SUM(M89:M93)</f>
        <v>0</v>
      </c>
      <c r="N94" s="607">
        <f t="shared" si="16"/>
        <v>0</v>
      </c>
    </row>
    <row r="95" spans="3:14" hidden="1" outlineLevel="2" x14ac:dyDescent="0.2">
      <c r="C95" s="466"/>
      <c r="D95" s="473" t="str">
        <f>IF('input-data'!$B$3="Dansk","N-ud", "N output")</f>
        <v>N-ud</v>
      </c>
      <c r="E95" s="466" t="str">
        <f>IF('input-data'!$B$3="Dansk","Afgrøder", "Crops")</f>
        <v>Afgrøder</v>
      </c>
      <c r="F95" s="469" t="str">
        <f>IF('input-data'!$B$3="Dansk","solgt", "sold")</f>
        <v>solgt</v>
      </c>
      <c r="G95" s="466" t="s">
        <v>3</v>
      </c>
      <c r="H95" s="466"/>
      <c r="I95" s="466"/>
      <c r="J95" s="466"/>
      <c r="K95" s="466"/>
      <c r="L95" s="466"/>
      <c r="M95" s="474" t="e">
        <f>'input-data'!F503*1000*VLOOKUP('input-data'!E503, Fodertabel, 10, FALSE)/100/6.25+'input-data'!F504*1000*VLOOKUP('input-data'!E504, Fodertabel, 10, FALSE)/100/6.25+'input-data'!F505*1000*VLOOKUP('input-data'!E505, Fodertabel, 10, FALSE)/100/6.25+'input-data'!F506*1000*VLOOKUP('input-data'!E506, Fodertabel, 10, FALSE)/100/6.25+'input-data'!F507*1000*VLOOKUP('input-data'!E507, Fodertabel, 10, FALSE)/100/6.25+'input-data'!F508*1000*VLOOKUP('input-data'!E508, Fodertabel, 10, FALSE)/100/6.25</f>
        <v>#N/A</v>
      </c>
      <c r="N95" s="605">
        <f t="shared" si="16"/>
        <v>0</v>
      </c>
    </row>
    <row r="96" spans="3:14" hidden="1" outlineLevel="2" x14ac:dyDescent="0.2">
      <c r="C96" s="235"/>
      <c r="D96" s="487"/>
      <c r="E96" s="235" t="str">
        <f>IF('input-data'!$B$3="Dansk","Gødning", "Manure")</f>
        <v>Gødning</v>
      </c>
      <c r="F96" s="469" t="str">
        <f>IF('input-data'!$B$3="Dansk","solgt", "sold")</f>
        <v>solgt</v>
      </c>
      <c r="G96" s="235" t="s">
        <v>3</v>
      </c>
      <c r="H96" s="235"/>
      <c r="I96" s="235"/>
      <c r="J96" s="235"/>
      <c r="K96" s="235"/>
      <c r="L96" s="235"/>
      <c r="M96" s="477">
        <f>'input-data'!G397*5.84</f>
        <v>0</v>
      </c>
      <c r="N96" s="604">
        <f t="shared" si="16"/>
        <v>0</v>
      </c>
    </row>
    <row r="97" spans="3:14" hidden="1" outlineLevel="2" x14ac:dyDescent="0.2">
      <c r="C97" s="235"/>
      <c r="D97" s="487"/>
      <c r="E97" s="235" t="str">
        <f>IF('input-data'!$B$3="Dansk","Dyr", "Animals")</f>
        <v>Dyr</v>
      </c>
      <c r="F97" s="469" t="str">
        <f>IF('input-data'!$B$3="Dansk","levende vægt", "liveweight")</f>
        <v>levende vægt</v>
      </c>
      <c r="G97" s="235" t="s">
        <v>3</v>
      </c>
      <c r="H97" s="235"/>
      <c r="I97" s="235"/>
      <c r="J97" s="235"/>
      <c r="K97" s="235"/>
      <c r="L97" s="235"/>
      <c r="M97" s="476">
        <f>K16</f>
        <v>0</v>
      </c>
      <c r="N97" s="604">
        <f t="shared" si="16"/>
        <v>0</v>
      </c>
    </row>
    <row r="98" spans="3:14" hidden="1" outlineLevel="2" x14ac:dyDescent="0.2">
      <c r="C98" s="479"/>
      <c r="D98" s="480" t="str">
        <f>IF('input-data'!$B$3="Dansk","Total N - ud", "Total N output")</f>
        <v>Total N - ud</v>
      </c>
      <c r="E98" s="479"/>
      <c r="F98" s="479"/>
      <c r="G98" s="479" t="s">
        <v>3</v>
      </c>
      <c r="H98" s="479"/>
      <c r="I98" s="479"/>
      <c r="J98" s="479"/>
      <c r="K98" s="479"/>
      <c r="L98" s="479"/>
      <c r="M98" s="481" t="e">
        <f>SUM(M95:M97)</f>
        <v>#N/A</v>
      </c>
      <c r="N98" s="607">
        <f t="shared" si="16"/>
        <v>0</v>
      </c>
    </row>
    <row r="99" spans="3:14" hidden="1" outlineLevel="2" x14ac:dyDescent="0.2">
      <c r="C99" s="466"/>
      <c r="D99" s="473" t="str">
        <f>IF('input-data'!$B$3="Dansk", "N-Tab", "N losses")</f>
        <v>N-Tab</v>
      </c>
      <c r="E99" s="466" t="s">
        <v>908</v>
      </c>
      <c r="F99" s="466" t="str">
        <f>IF('input-data'!$B$3="Dansk","gødning + afgrøder rester", "manure + crop residiues")</f>
        <v>gødning + afgrøder rester</v>
      </c>
      <c r="G99" s="466" t="s">
        <v>3</v>
      </c>
      <c r="H99" s="466"/>
      <c r="I99" s="466"/>
      <c r="J99" s="466"/>
      <c r="K99" s="466"/>
      <c r="L99" s="466"/>
      <c r="M99" s="474">
        <f>M71+M72+M21+M26</f>
        <v>0</v>
      </c>
      <c r="N99" s="605">
        <f t="shared" si="16"/>
        <v>0</v>
      </c>
    </row>
    <row r="100" spans="3:14" hidden="1" outlineLevel="2" x14ac:dyDescent="0.2">
      <c r="C100" s="235"/>
      <c r="D100" s="235"/>
      <c r="E100" s="235" t="str">
        <f>IF('input-data'!$B$3="Dansk","direkte N2O-N", "direct N2O-N")</f>
        <v>direkte N2O-N</v>
      </c>
      <c r="F100" s="235" t="str">
        <f>IF('input-data'!$B$3="Dansk","gødning + afgrøder rester", "manure + crop residiues")</f>
        <v>gødning + afgrøder rester</v>
      </c>
      <c r="G100" s="235" t="s">
        <v>3</v>
      </c>
      <c r="H100" s="235"/>
      <c r="I100" s="235"/>
      <c r="J100" s="235"/>
      <c r="K100" s="235"/>
      <c r="L100" s="235"/>
      <c r="M100" s="476">
        <f>M73+M74+M79+M22+M27</f>
        <v>0</v>
      </c>
      <c r="N100" s="604">
        <f t="shared" si="16"/>
        <v>0</v>
      </c>
    </row>
    <row r="101" spans="3:14" hidden="1" outlineLevel="2" x14ac:dyDescent="0.2">
      <c r="C101" s="235"/>
      <c r="D101" s="235"/>
      <c r="E101" s="235" t="s">
        <v>2087</v>
      </c>
      <c r="F101" s="235" t="str">
        <f>IF('input-data'!$B$3="Dansk","gødning + afgrøder rester", "manure + crop residiues")</f>
        <v>gødning + afgrøder rester</v>
      </c>
      <c r="G101" s="469" t="s">
        <v>3</v>
      </c>
      <c r="H101" s="235"/>
      <c r="I101" s="235"/>
      <c r="J101" s="235"/>
      <c r="K101" s="235"/>
      <c r="L101" s="235"/>
      <c r="M101" s="476">
        <f>M75+M76+M24+M29</f>
        <v>0</v>
      </c>
      <c r="N101" s="604">
        <f t="shared" si="16"/>
        <v>0</v>
      </c>
    </row>
    <row r="102" spans="3:14" hidden="1" outlineLevel="2" x14ac:dyDescent="0.2">
      <c r="C102" s="235"/>
      <c r="D102" s="235"/>
      <c r="E102" s="235" t="s">
        <v>1775</v>
      </c>
      <c r="F102" s="235" t="str">
        <f>IF('input-data'!$B$3="Dansk","gødning + afgrøder rester", "manure + crop residiues")</f>
        <v>gødning + afgrøder rester</v>
      </c>
      <c r="G102" s="469" t="s">
        <v>3</v>
      </c>
      <c r="H102" s="235"/>
      <c r="I102" s="235"/>
      <c r="J102" s="235"/>
      <c r="K102" s="235"/>
      <c r="L102" s="235"/>
      <c r="M102" s="476">
        <f>M77+M78+M25+M30</f>
        <v>0</v>
      </c>
      <c r="N102" s="604">
        <f t="shared" si="16"/>
        <v>0</v>
      </c>
    </row>
    <row r="103" spans="3:14" hidden="1" outlineLevel="2" x14ac:dyDescent="0.2">
      <c r="C103" s="235"/>
      <c r="D103" s="235"/>
      <c r="E103" s="725" t="str">
        <f>IF('input-data'!$B$3="Dansk", "C i jord", "soil C changes")</f>
        <v>C i jord</v>
      </c>
      <c r="F103" s="235" t="str">
        <f>IF('input-data'!$B$3="Dansk","gødning + afgrøder rester", "manure + crop residiues")</f>
        <v>gødning + afgrøder rester</v>
      </c>
      <c r="G103" s="235" t="s">
        <v>3</v>
      </c>
      <c r="H103" s="235"/>
      <c r="I103" s="235"/>
      <c r="J103" s="235"/>
      <c r="K103" s="235"/>
      <c r="L103" s="235"/>
      <c r="M103" s="476">
        <f>M80</f>
        <v>0</v>
      </c>
      <c r="N103" s="604">
        <f t="shared" si="16"/>
        <v>0</v>
      </c>
    </row>
    <row r="104" spans="3:14" hidden="1" outlineLevel="2" x14ac:dyDescent="0.2">
      <c r="C104" s="235"/>
      <c r="D104" s="235"/>
      <c r="E104" s="725" t="str">
        <f>IF('input-data'!$B$3="Dansk", "optag fra træer", "trees uptake")</f>
        <v>optag fra træer</v>
      </c>
      <c r="F104" s="235"/>
      <c r="G104" s="235" t="s">
        <v>3</v>
      </c>
      <c r="H104" s="235"/>
      <c r="I104" s="235"/>
      <c r="J104" s="235"/>
      <c r="K104" s="235"/>
      <c r="L104" s="235"/>
      <c r="M104" s="476">
        <f>M81</f>
        <v>0</v>
      </c>
      <c r="N104" s="604">
        <f t="shared" si="16"/>
        <v>0</v>
      </c>
    </row>
    <row r="105" spans="3:14" hidden="1" outlineLevel="2" x14ac:dyDescent="0.2">
      <c r="C105" s="483"/>
      <c r="D105" s="486" t="str">
        <f>IF('input-data'!$B$3="Dansk", "Potentiel N  - Udvasking", "Potential N leaching")</f>
        <v>Potentiel N  - Udvasking</v>
      </c>
      <c r="E105" s="483"/>
      <c r="F105" s="483"/>
      <c r="G105" s="486" t="s">
        <v>3</v>
      </c>
      <c r="H105" s="486"/>
      <c r="I105" s="486"/>
      <c r="J105" s="486"/>
      <c r="K105" s="486"/>
      <c r="L105" s="486"/>
      <c r="M105" s="729" t="e">
        <f>M94-M98-M99-M100-M101-M102-M103-M104</f>
        <v>#N/A</v>
      </c>
      <c r="N105" s="730">
        <f>IFERROR(M105/$M$61,0)</f>
        <v>0</v>
      </c>
    </row>
    <row r="106" spans="3:14" hidden="1" outlineLevel="2" x14ac:dyDescent="0.2">
      <c r="C106" s="235"/>
      <c r="D106" s="273"/>
      <c r="E106" s="235" t="str">
        <f>IF('input-data'!$B$3="Dansk","indirekte N2O-N", "indirect N2O-N")</f>
        <v>indirekte N2O-N</v>
      </c>
      <c r="F106" s="235" t="str">
        <f>IF('input-data'!$B$3="Dansk","udvaskning", "leaching")</f>
        <v>udvaskning</v>
      </c>
      <c r="G106" s="469" t="s">
        <v>3</v>
      </c>
      <c r="H106" s="474"/>
      <c r="I106" s="476"/>
      <c r="J106" s="235"/>
      <c r="K106" s="235"/>
      <c r="L106" s="235"/>
      <c r="M106" s="476">
        <f>M83</f>
        <v>0</v>
      </c>
      <c r="N106" s="606">
        <f t="shared" si="16"/>
        <v>0</v>
      </c>
    </row>
    <row r="107" spans="3:14" hidden="1" outlineLevel="1" collapsed="1" x14ac:dyDescent="0.2">
      <c r="D107" s="63"/>
      <c r="E107" s="63"/>
      <c r="F107" s="63"/>
      <c r="G107" s="63"/>
      <c r="H107" s="65"/>
      <c r="I107" s="65"/>
      <c r="J107" s="65"/>
      <c r="K107" s="65"/>
      <c r="L107" s="65"/>
      <c r="M107" s="709"/>
      <c r="N107" s="709"/>
    </row>
    <row r="108" spans="3:14" hidden="1" outlineLevel="1" x14ac:dyDescent="0.2"/>
    <row r="109" spans="3:14" collapsed="1" x14ac:dyDescent="0.2"/>
    <row r="112" spans="3:14" x14ac:dyDescent="0.2">
      <c r="D112" s="718" t="str">
        <f>IF('input-data'!$B$3="Dansk", "CH4 emissioner gødning", "CH4 emission manure")</f>
        <v>CH4 emissioner gødning</v>
      </c>
    </row>
    <row r="113" spans="3:14" hidden="1" outlineLevel="1" x14ac:dyDescent="0.2"/>
    <row r="114" spans="3:14" hidden="1" outlineLevel="1" x14ac:dyDescent="0.2">
      <c r="C114" s="235"/>
      <c r="D114" s="727" t="str">
        <f>IF('input-data'!$B$3="Dansk", "CH4 emissioner gødning", "CH4 emission manure")</f>
        <v>CH4 emissioner gødning</v>
      </c>
      <c r="E114" s="469"/>
      <c r="F114" s="469"/>
      <c r="G114" s="469"/>
      <c r="H114" s="469"/>
      <c r="I114" s="469"/>
      <c r="J114" s="469"/>
      <c r="K114" s="469"/>
      <c r="L114" s="469"/>
      <c r="M114" s="469"/>
      <c r="N114" s="469"/>
    </row>
    <row r="115" spans="3:14" hidden="1" outlineLevel="1" x14ac:dyDescent="0.2">
      <c r="C115" s="235"/>
      <c r="D115" s="469"/>
      <c r="E115" s="469"/>
      <c r="F115" s="469"/>
      <c r="G115" s="469"/>
      <c r="H115" s="469"/>
      <c r="I115" s="469"/>
      <c r="J115" s="469"/>
      <c r="K115" s="469"/>
      <c r="L115" s="469"/>
      <c r="M115" s="469"/>
      <c r="N115" s="469"/>
    </row>
    <row r="116" spans="3:14" hidden="1" outlineLevel="1" x14ac:dyDescent="0.2">
      <c r="C116" s="479"/>
      <c r="D116" s="480" t="str">
        <f>IF('input-data'!$B$3="Dansk", "Stalde", "Stables")</f>
        <v>Stalde</v>
      </c>
      <c r="E116" s="480"/>
      <c r="F116" s="480"/>
      <c r="G116" s="480"/>
      <c r="H116" s="480" t="str">
        <f>H8</f>
        <v xml:space="preserve"> Diegivning søer</v>
      </c>
      <c r="I116" s="480" t="str">
        <f>I8</f>
        <v xml:space="preserve"> Drægtige søer</v>
      </c>
      <c r="J116" s="480" t="str">
        <f>J8</f>
        <v xml:space="preserve"> Smågrise</v>
      </c>
      <c r="K116" s="480" t="str">
        <f>K8</f>
        <v xml:space="preserve"> Slagtesvin</v>
      </c>
      <c r="L116" s="480"/>
      <c r="M116" s="480" t="s">
        <v>1489</v>
      </c>
      <c r="N116" s="479"/>
    </row>
    <row r="117" spans="3:14" hidden="1" outlineLevel="1" x14ac:dyDescent="0.2">
      <c r="C117" s="235"/>
      <c r="D117" s="469"/>
      <c r="E117" s="469" t="str">
        <f>IF('input-data'!$B$3="Dansk", "gylle ab dyr", "slurry ex-animal")</f>
        <v>gylle ab dyr</v>
      </c>
      <c r="F117" s="469" t="s">
        <v>3</v>
      </c>
      <c r="G117" s="469"/>
      <c r="H117" s="613">
        <f>H20*(H32+H33+H34)/100</f>
        <v>0</v>
      </c>
      <c r="I117" s="613">
        <f t="shared" ref="I117:K117" si="17">I20*(I32+I33+I34)/100</f>
        <v>0</v>
      </c>
      <c r="J117" s="613">
        <f t="shared" si="17"/>
        <v>0</v>
      </c>
      <c r="K117" s="613">
        <f t="shared" si="17"/>
        <v>0</v>
      </c>
      <c r="L117" s="469"/>
      <c r="M117" s="613">
        <f>SUM(H117:K117)</f>
        <v>0</v>
      </c>
      <c r="N117" s="469"/>
    </row>
    <row r="118" spans="3:14" hidden="1" outlineLevel="1" x14ac:dyDescent="0.2">
      <c r="C118" s="235"/>
      <c r="D118" s="469"/>
      <c r="E118" s="469" t="str">
        <f>IF('input-data'!$B$3="Dansk", "dybstrøelse ab dyr", "deep litter ex-animal")</f>
        <v>dybstrøelse ab dyr</v>
      </c>
      <c r="F118" s="469" t="s">
        <v>3</v>
      </c>
      <c r="G118" s="469"/>
      <c r="H118" s="613">
        <f>H20*H35/100</f>
        <v>0</v>
      </c>
      <c r="I118" s="613">
        <f t="shared" ref="I118:K118" si="18">I20*I35/100</f>
        <v>0</v>
      </c>
      <c r="J118" s="613">
        <f t="shared" si="18"/>
        <v>0</v>
      </c>
      <c r="K118" s="613">
        <f t="shared" si="18"/>
        <v>0</v>
      </c>
      <c r="L118" s="469"/>
      <c r="M118" s="613">
        <f t="shared" ref="M118:M132" si="19">SUM(H118:K118)</f>
        <v>0</v>
      </c>
      <c r="N118" s="469"/>
    </row>
    <row r="119" spans="3:14" hidden="1" outlineLevel="1" x14ac:dyDescent="0.2">
      <c r="C119" s="235"/>
      <c r="D119" s="469"/>
      <c r="E119" s="469" t="str">
        <f>IF('input-data'!$B$3="Dansk", "gylle ab dyr", "slurry ex-animal")</f>
        <v>gylle ab dyr</v>
      </c>
      <c r="F119" s="469" t="s">
        <v>1864</v>
      </c>
      <c r="G119" s="469"/>
      <c r="H119" s="613">
        <f>1.68*1000/6.38*H117</f>
        <v>0</v>
      </c>
      <c r="I119" s="613">
        <f>3.96*1000/14.88*I117</f>
        <v>0</v>
      </c>
      <c r="J119" s="613">
        <f>0.132*1000/0.447*J117</f>
        <v>0</v>
      </c>
      <c r="K119" s="613">
        <f>530/2.59*K117</f>
        <v>0</v>
      </c>
      <c r="L119" s="469"/>
      <c r="M119" s="613">
        <f t="shared" si="19"/>
        <v>0</v>
      </c>
      <c r="N119" s="469"/>
    </row>
    <row r="120" spans="3:14" hidden="1" outlineLevel="1" x14ac:dyDescent="0.2">
      <c r="C120" s="235"/>
      <c r="D120" s="469"/>
      <c r="E120" s="469" t="str">
        <f>IF('input-data'!$B$3="Dansk", "dybstrøelse ab dyr", "deep litter ex-animal")</f>
        <v>dybstrøelse ab dyr</v>
      </c>
      <c r="F120" s="469" t="s">
        <v>858</v>
      </c>
      <c r="G120" s="469"/>
      <c r="H120" s="613">
        <f>1.78*1000/13.44*H118</f>
        <v>0</v>
      </c>
      <c r="I120" s="613">
        <f>1.78*1000/13.44*I118</f>
        <v>0</v>
      </c>
      <c r="J120" s="613">
        <f>0.026*1000/0.298*J118</f>
        <v>0</v>
      </c>
      <c r="K120" s="613">
        <f>0.17*1000/1.931*K118</f>
        <v>0</v>
      </c>
      <c r="L120" s="469"/>
      <c r="M120" s="613">
        <f t="shared" si="19"/>
        <v>0</v>
      </c>
      <c r="N120" s="469"/>
    </row>
    <row r="121" spans="3:14" hidden="1" outlineLevel="1" x14ac:dyDescent="0.2">
      <c r="C121" s="235"/>
      <c r="D121" s="469"/>
      <c r="E121" s="469" t="str">
        <f>IF('input-data'!$B$3="Dansk", "gylle ab dyr", "slurry ex-animal")</f>
        <v>gylle ab dyr</v>
      </c>
      <c r="F121" s="469" t="str">
        <f>IF('input-data'!$B$3="Dansk", "TS, %", "DM, %")</f>
        <v>TS, %</v>
      </c>
      <c r="G121" s="469"/>
      <c r="H121" s="648">
        <f>'øvrige EFS-other EFs'!E16</f>
        <v>4.5</v>
      </c>
      <c r="I121" s="648">
        <f>'øvrige EFS-other EFs'!E16</f>
        <v>4.5</v>
      </c>
      <c r="J121" s="612">
        <f>'øvrige EFS-other EFs'!F16</f>
        <v>4.4000000000000004</v>
      </c>
      <c r="K121" s="648">
        <f>'øvrige EFS-other EFs'!G16</f>
        <v>6</v>
      </c>
      <c r="L121" s="469"/>
      <c r="M121" s="613">
        <f t="shared" si="19"/>
        <v>19.399999999999999</v>
      </c>
      <c r="N121" s="469"/>
    </row>
    <row r="122" spans="3:14" hidden="1" outlineLevel="1" x14ac:dyDescent="0.2">
      <c r="C122" s="235"/>
      <c r="D122" s="469"/>
      <c r="E122" s="469" t="str">
        <f>IF('input-data'!$B$3="Dansk", "dybstrøelse ab dyr", "deep litter ex-animal")</f>
        <v>dybstrøelse ab dyr</v>
      </c>
      <c r="F122" s="469" t="str">
        <f>IF('input-data'!$B$3="Dansk", "TS, %", "DM, %")</f>
        <v>TS, %</v>
      </c>
      <c r="G122" s="469"/>
      <c r="H122" s="648">
        <f>'øvrige EFS-other EFs'!E17</f>
        <v>33</v>
      </c>
      <c r="I122" s="648">
        <f>'øvrige EFS-other EFs'!E17</f>
        <v>33</v>
      </c>
      <c r="J122" s="612">
        <f>'øvrige EFS-other EFs'!F17</f>
        <v>33</v>
      </c>
      <c r="K122" s="648">
        <f>'øvrige EFS-other EFs'!G17</f>
        <v>33</v>
      </c>
      <c r="L122" s="469"/>
      <c r="M122" s="613">
        <f t="shared" si="19"/>
        <v>132</v>
      </c>
      <c r="N122" s="469"/>
    </row>
    <row r="123" spans="3:14" hidden="1" outlineLevel="1" x14ac:dyDescent="0.2">
      <c r="C123" s="235"/>
      <c r="D123" s="469"/>
      <c r="E123" s="235" t="str">
        <f>IF('input-data'!$B$3="Dansk","halm", "straw")</f>
        <v>halm</v>
      </c>
      <c r="F123" s="469" t="s">
        <v>858</v>
      </c>
      <c r="G123" s="469"/>
      <c r="H123" s="613">
        <f>(('input-data'!$E$316*'input-data'!$E$15)*((365-'input-data'!$F$303)/365))*'Flow sohold'!$D$5</f>
        <v>0</v>
      </c>
      <c r="I123" s="601">
        <f>((('Flow sohold'!$D$27+'Flow sohold'!$D$28)*'input-data'!$E$338)*((365-'input-data'!$F$325)/365))*'Flow sohold'!D5</f>
        <v>0</v>
      </c>
      <c r="J123" s="613">
        <f>'Flow smågrise'!D43*'Flow smågrise'!D9</f>
        <v>0</v>
      </c>
      <c r="K123" s="613">
        <f>'Flow slagtesvin'!D42*'Flow slagtesvin'!D8</f>
        <v>0</v>
      </c>
      <c r="L123" s="469"/>
      <c r="M123" s="613">
        <f t="shared" si="19"/>
        <v>0</v>
      </c>
      <c r="N123" s="469"/>
    </row>
    <row r="124" spans="3:14" hidden="1" outlineLevel="1" x14ac:dyDescent="0.2">
      <c r="C124" s="235"/>
      <c r="D124" s="469"/>
      <c r="E124" s="469" t="str">
        <f>IF('input-data'!$B$3="Dansk", "gylle ab dyr", "slurry ex-animal")</f>
        <v>gylle ab dyr</v>
      </c>
      <c r="F124" s="469" t="s">
        <v>1865</v>
      </c>
      <c r="G124" s="469"/>
      <c r="H124" s="613">
        <f>H119*H121/100*'øvrige EFS-other EFs'!$E$14/100</f>
        <v>0</v>
      </c>
      <c r="I124" s="613">
        <f>I119*I121/100*'øvrige EFS-other EFs'!$E$14/100</f>
        <v>0</v>
      </c>
      <c r="J124" s="613">
        <f>J119*J121/100*'øvrige EFS-other EFs'!$E$14/100</f>
        <v>0</v>
      </c>
      <c r="K124" s="613">
        <f>K119*K121/100*'øvrige EFS-other EFs'!$E$14/100</f>
        <v>0</v>
      </c>
      <c r="L124" s="469"/>
      <c r="M124" s="613">
        <f t="shared" si="19"/>
        <v>0</v>
      </c>
      <c r="N124" s="469"/>
    </row>
    <row r="125" spans="3:14" hidden="1" outlineLevel="1" x14ac:dyDescent="0.2">
      <c r="C125" s="235"/>
      <c r="D125" s="469"/>
      <c r="E125" s="469" t="str">
        <f>IF('input-data'!$B$3="Dansk", "dybstrøelse ab dyr", "deep litter ex-animal")</f>
        <v>dybstrøelse ab dyr</v>
      </c>
      <c r="F125" s="469" t="s">
        <v>1865</v>
      </c>
      <c r="G125" s="469"/>
      <c r="H125" s="613">
        <f>H120*H122/100*'øvrige EFS-other EFs'!$E$14/100+H123*85/100*(1-'øvrige EFS-other EFs'!$E$13/100)</f>
        <v>0</v>
      </c>
      <c r="I125" s="613">
        <f>I120*I122/100*'øvrige EFS-other EFs'!$E$14/100+I123*85/100*(1-'øvrige EFS-other EFs'!$E$13/100)</f>
        <v>0</v>
      </c>
      <c r="J125" s="613">
        <f>J120*J122/100*'øvrige EFS-other EFs'!$E$14/100+J123*85/100*(1-'øvrige EFS-other EFs'!$E$13/100)</f>
        <v>0</v>
      </c>
      <c r="K125" s="613">
        <f>K120*K122/100*'øvrige EFS-other EFs'!$E$14/100+K123*85/100*(1-'øvrige EFS-other EFs'!$E$13/100)</f>
        <v>0</v>
      </c>
      <c r="L125" s="469"/>
      <c r="M125" s="613">
        <f t="shared" si="19"/>
        <v>0</v>
      </c>
      <c r="N125" s="469"/>
    </row>
    <row r="126" spans="3:14" hidden="1" outlineLevel="1" x14ac:dyDescent="0.2">
      <c r="C126" s="235"/>
      <c r="D126" s="469"/>
      <c r="E126" s="469" t="str">
        <f>IF('input-data'!$B$3="Dansk", "emission gylle", "emission slurry")</f>
        <v>emission gylle</v>
      </c>
      <c r="F126" s="469" t="s">
        <v>1866</v>
      </c>
      <c r="G126" s="469"/>
      <c r="H126" s="648">
        <f>H124*'Opstaldingsform-Housing '!$O$12*0.67*'øvrige EFS-other EFs'!$E$12</f>
        <v>0</v>
      </c>
      <c r="I126" s="648">
        <f>I124*'Opstaldingsform-Housing '!$O$12*0.67*'øvrige EFS-other EFs'!$E$12</f>
        <v>0</v>
      </c>
      <c r="J126" s="648">
        <f>J124*'Opstaldingsform-Housing '!$O$12*0.67*'øvrige EFS-other EFs'!$E$12</f>
        <v>0</v>
      </c>
      <c r="K126" s="648">
        <f>K124*'Opstaldingsform-Housing '!$O$12*0.67*'øvrige EFS-other EFs'!$E$12</f>
        <v>0</v>
      </c>
      <c r="L126" s="469"/>
      <c r="M126" s="613">
        <f t="shared" si="19"/>
        <v>0</v>
      </c>
      <c r="N126" s="469"/>
    </row>
    <row r="127" spans="3:14" hidden="1" outlineLevel="1" x14ac:dyDescent="0.2">
      <c r="C127" s="235"/>
      <c r="D127" s="469"/>
      <c r="E127" s="469" t="str">
        <f>IF('input-data'!$B$3="Dansk", "emission dybstrøelse", "emission deep litter")</f>
        <v>emission dybstrøelse</v>
      </c>
      <c r="F127" s="469" t="s">
        <v>1866</v>
      </c>
      <c r="G127" s="469"/>
      <c r="H127" s="601">
        <f>IF(('Flow sohold'!D26-'input-data'!F303)&gt;30, H125*17/100*0.67*'øvrige EFS-other EFs'!$E$12, 'N-balance'!H125*3/100*0.67*'øvrige EFS-other EFs'!$E$12)</f>
        <v>0</v>
      </c>
      <c r="I127" s="734">
        <f>IF('Flow sohold'!D27-'input-data'!F325&gt;31, I125*17/100*0.67*'øvrige EFS-other EFs'!$E$12, I125*3/100*0.67*'øvrige EFS-other EFs'!$E$12)</f>
        <v>0</v>
      </c>
      <c r="J127" s="648">
        <f>IF('Flow smågrise'!D27&gt;31, J125*17/100*0.67*'øvrige EFS-other EFs'!$E$12,J125*3/100*0.67*'øvrige EFS-other EFs'!$E$12)</f>
        <v>0</v>
      </c>
      <c r="K127" s="613">
        <f>IF('Flow slagtesvin'!D26&gt;31, K125*17/100*0.67*'øvrige EFS-other EFs'!$E$12, K125*3/100*0.67*'øvrige EFS-other EFs'!$E$12)</f>
        <v>0</v>
      </c>
      <c r="L127" s="469"/>
      <c r="M127" s="613">
        <f t="shared" si="19"/>
        <v>0</v>
      </c>
      <c r="N127" s="469"/>
    </row>
    <row r="128" spans="3:14" hidden="1" outlineLevel="1" x14ac:dyDescent="0.2">
      <c r="C128" s="235"/>
      <c r="D128" s="469"/>
      <c r="E128" s="727" t="s">
        <v>2088</v>
      </c>
      <c r="F128" s="727" t="s">
        <v>1866</v>
      </c>
      <c r="G128" s="469"/>
      <c r="H128" s="732">
        <f>H126+H127</f>
        <v>0</v>
      </c>
      <c r="I128" s="732">
        <f t="shared" ref="I128:K128" si="20">I126+I127</f>
        <v>0</v>
      </c>
      <c r="J128" s="732">
        <f t="shared" si="20"/>
        <v>0</v>
      </c>
      <c r="K128" s="732">
        <f t="shared" si="20"/>
        <v>0</v>
      </c>
      <c r="L128" s="727"/>
      <c r="M128" s="733">
        <f t="shared" si="19"/>
        <v>0</v>
      </c>
      <c r="N128" s="469"/>
    </row>
    <row r="129" spans="3:14" hidden="1" outlineLevel="1" x14ac:dyDescent="0.2">
      <c r="C129" s="235"/>
      <c r="D129" s="469"/>
      <c r="E129" s="469" t="str">
        <f>IF('input-data'!$B$3="Dansk", "teknologi forbrug påvirkning:", "impact of technologies:")</f>
        <v>teknologi forbrug påvirkning:</v>
      </c>
      <c r="F129" s="727"/>
      <c r="G129" s="469"/>
      <c r="H129" s="732"/>
      <c r="I129" s="732"/>
      <c r="J129" s="732"/>
      <c r="K129" s="732"/>
      <c r="L129" s="727"/>
      <c r="M129" s="733"/>
      <c r="N129" s="469"/>
    </row>
    <row r="130" spans="3:14" hidden="1" outlineLevel="1" x14ac:dyDescent="0.2">
      <c r="C130" s="235"/>
      <c r="D130" s="469"/>
      <c r="E130" s="469" t="str">
        <f>IF('[1]input-data'!$B$3="Dansk", "biogas", "biogas")</f>
        <v>biogas</v>
      </c>
      <c r="F130" s="469" t="s">
        <v>1866</v>
      </c>
      <c r="G130" s="469"/>
      <c r="H130" s="648">
        <f>-25/100*$H$126*'input-data'!E318/100</f>
        <v>0</v>
      </c>
      <c r="I130" s="648">
        <f>-25/100*$I$126*'input-data'!E340/100</f>
        <v>0</v>
      </c>
      <c r="J130" s="648">
        <f>-25/100*$J$126*'input-data'!E362/100</f>
        <v>0</v>
      </c>
      <c r="K130" s="648">
        <f>-25/100*$K$126*'input-data'!E384/100</f>
        <v>0</v>
      </c>
      <c r="L130" s="469"/>
      <c r="M130" s="733">
        <f t="shared" si="19"/>
        <v>0</v>
      </c>
      <c r="N130" s="469"/>
    </row>
    <row r="131" spans="3:14" hidden="1" outlineLevel="1" x14ac:dyDescent="0.2">
      <c r="C131" s="235"/>
      <c r="D131" s="469"/>
      <c r="E131" s="469" t="str">
        <f>IF('[1]input-data'!$B$3="Dansk", "forsuring", "acidification")</f>
        <v>forsuring</v>
      </c>
      <c r="F131" s="469" t="s">
        <v>1866</v>
      </c>
      <c r="G131" s="469"/>
      <c r="H131" s="648">
        <f>-60/100*$H$126*'input-data'!E319/100</f>
        <v>0</v>
      </c>
      <c r="I131" s="648">
        <f>-60/100*$I$126*'input-data'!E341/100</f>
        <v>0</v>
      </c>
      <c r="J131" s="648">
        <f>-60/100*$J$126*'input-data'!E363/100</f>
        <v>0</v>
      </c>
      <c r="K131" s="648">
        <f>-60/100*$K$126*'input-data'!E385/100</f>
        <v>0</v>
      </c>
      <c r="L131" s="469"/>
      <c r="M131" s="733">
        <f t="shared" si="19"/>
        <v>0</v>
      </c>
      <c r="N131" s="469"/>
    </row>
    <row r="132" spans="3:14" hidden="1" outlineLevel="1" x14ac:dyDescent="0.2">
      <c r="C132" s="235"/>
      <c r="D132" s="469"/>
      <c r="E132" s="469" t="str">
        <f>IF('[1]input-data'!$B$3="Dansk", "direkte udbringning", "direct application")</f>
        <v>direkte udbringning</v>
      </c>
      <c r="F132" s="469" t="s">
        <v>1866</v>
      </c>
      <c r="G132" s="469"/>
      <c r="H132" s="648">
        <f>-50/100*$H$127*'input-data'!E320/100</f>
        <v>0</v>
      </c>
      <c r="I132" s="648">
        <f>-50/100*$I$127*'input-data'!E342/100</f>
        <v>0</v>
      </c>
      <c r="J132" s="648">
        <f>-50/100*$J$127*'input-data'!E364/100</f>
        <v>0</v>
      </c>
      <c r="K132" s="648">
        <f>-50/100*$K$127*'input-data'!E386/100</f>
        <v>0</v>
      </c>
      <c r="L132" s="469"/>
      <c r="M132" s="733">
        <f t="shared" si="19"/>
        <v>0</v>
      </c>
      <c r="N132" s="469"/>
    </row>
    <row r="133" spans="3:14" hidden="1" outlineLevel="1" x14ac:dyDescent="0.2">
      <c r="C133" s="235"/>
      <c r="D133" s="483"/>
      <c r="E133" s="727" t="s">
        <v>1913</v>
      </c>
      <c r="F133" s="727" t="s">
        <v>1866</v>
      </c>
      <c r="G133" s="469"/>
      <c r="H133" s="732">
        <f>H126+H127+H130+H131+H132</f>
        <v>0</v>
      </c>
      <c r="I133" s="732">
        <f t="shared" ref="I133:M133" si="21">I126+I127+I130+I131+I132</f>
        <v>0</v>
      </c>
      <c r="J133" s="732">
        <f t="shared" si="21"/>
        <v>0</v>
      </c>
      <c r="K133" s="732">
        <f t="shared" si="21"/>
        <v>0</v>
      </c>
      <c r="L133" s="732">
        <f t="shared" si="21"/>
        <v>0</v>
      </c>
      <c r="M133" s="732">
        <f t="shared" si="21"/>
        <v>0</v>
      </c>
      <c r="N133" s="469"/>
    </row>
    <row r="134" spans="3:14" hidden="1" outlineLevel="1" x14ac:dyDescent="0.2">
      <c r="C134" s="479"/>
      <c r="D134" s="480" t="str">
        <f>IF('input-data'!$B$3="Dansk", "Folde", "Paddock")</f>
        <v>Folde</v>
      </c>
      <c r="E134" s="479"/>
      <c r="F134" s="479"/>
      <c r="G134" s="479"/>
      <c r="H134" s="480" t="str">
        <f>H116</f>
        <v xml:space="preserve"> Diegivning søer</v>
      </c>
      <c r="I134" s="480" t="str">
        <f t="shared" ref="I134:K134" si="22">I116</f>
        <v xml:space="preserve"> Drægtige søer</v>
      </c>
      <c r="J134" s="480" t="str">
        <f t="shared" si="22"/>
        <v xml:space="preserve"> Smågrise</v>
      </c>
      <c r="K134" s="480" t="str">
        <f t="shared" si="22"/>
        <v xml:space="preserve"> Slagtesvin</v>
      </c>
      <c r="L134" s="480"/>
      <c r="M134" s="736" t="str">
        <f>M116</f>
        <v>Total</v>
      </c>
      <c r="N134" s="480"/>
    </row>
    <row r="135" spans="3:14" hidden="1" outlineLevel="1" x14ac:dyDescent="0.2">
      <c r="C135" s="235"/>
      <c r="D135" s="469"/>
      <c r="E135" s="469" t="str">
        <f>IF('input-data'!$B$3="Dansk", "gødning ab dyr", "deposited manure")</f>
        <v>gødning ab dyr</v>
      </c>
      <c r="F135" s="612" t="str">
        <f>F117</f>
        <v>kg N</v>
      </c>
      <c r="G135" s="469"/>
      <c r="H135" s="613">
        <f>H49</f>
        <v>0</v>
      </c>
      <c r="I135" s="613">
        <f>I49</f>
        <v>0</v>
      </c>
      <c r="J135" s="613">
        <f>J49</f>
        <v>0</v>
      </c>
      <c r="K135" s="613">
        <f>K49</f>
        <v>0</v>
      </c>
      <c r="L135" s="469"/>
      <c r="M135" s="613">
        <f t="shared" ref="M135:M140" si="23">SUM(H135:K135)</f>
        <v>0</v>
      </c>
      <c r="N135" s="469"/>
    </row>
    <row r="136" spans="3:14" hidden="1" outlineLevel="1" x14ac:dyDescent="0.2">
      <c r="C136" s="235"/>
      <c r="D136" s="469"/>
      <c r="E136" s="469" t="str">
        <f>E135</f>
        <v>gødning ab dyr</v>
      </c>
      <c r="F136" s="612" t="str">
        <f>F119</f>
        <v xml:space="preserve">kg </v>
      </c>
      <c r="G136" s="469"/>
      <c r="H136" s="613">
        <f>1.29*1000/8.15*H135</f>
        <v>0</v>
      </c>
      <c r="I136" s="613">
        <f>1.29*1000/8.15*I135</f>
        <v>0</v>
      </c>
      <c r="J136" s="612">
        <f>0.09*1000/0.48*J135</f>
        <v>0</v>
      </c>
      <c r="K136" s="612">
        <f>530/2.59*K135</f>
        <v>0</v>
      </c>
      <c r="L136" s="469"/>
      <c r="M136" s="613">
        <f t="shared" si="23"/>
        <v>0</v>
      </c>
      <c r="N136" s="469"/>
    </row>
    <row r="137" spans="3:14" hidden="1" outlineLevel="1" x14ac:dyDescent="0.2">
      <c r="C137" s="235"/>
      <c r="D137" s="469"/>
      <c r="E137" s="469" t="str">
        <f>E135</f>
        <v>gødning ab dyr</v>
      </c>
      <c r="F137" s="612" t="str">
        <f>F121</f>
        <v>TS, %</v>
      </c>
      <c r="G137" s="469"/>
      <c r="H137" s="612">
        <f>'øvrige EFS-other EFs'!E20</f>
        <v>7.7</v>
      </c>
      <c r="I137" s="612">
        <f>'øvrige EFS-other EFs'!E20</f>
        <v>7.7</v>
      </c>
      <c r="J137" s="612">
        <f>'øvrige EFS-other EFs'!F20</f>
        <v>7.7</v>
      </c>
      <c r="K137" s="612">
        <f>'øvrige EFS-other EFs'!G20</f>
        <v>7.7</v>
      </c>
      <c r="L137" s="469"/>
      <c r="M137" s="613">
        <f t="shared" si="23"/>
        <v>30.8</v>
      </c>
      <c r="N137" s="469"/>
    </row>
    <row r="138" spans="3:14" hidden="1" outlineLevel="1" x14ac:dyDescent="0.2">
      <c r="C138" s="235"/>
      <c r="D138" s="469"/>
      <c r="E138" s="235" t="str">
        <f>IF('input-data'!$B$3="Dansk","halm", "straw")</f>
        <v>halm</v>
      </c>
      <c r="F138" s="612" t="s">
        <v>858</v>
      </c>
      <c r="G138" s="469"/>
      <c r="H138" s="613">
        <f>('input-data'!$E$309*'input-data'!$E$15*('input-data'!$F$303/365))*'Flow sohold'!$D$5</f>
        <v>0</v>
      </c>
      <c r="I138" s="601">
        <f>(('Flow sohold'!$D$27+'Flow sohold'!$D$28)*'input-data'!$E$331*('input-data'!$F$325/365))*'Flow sohold'!D5</f>
        <v>0</v>
      </c>
      <c r="J138" s="612">
        <f>'Flow smågrise'!D42*'Flow smågrise'!D9</f>
        <v>0</v>
      </c>
      <c r="K138" s="612">
        <f>'Flow slagtesvin'!D41*'Flow slagtesvin'!D8</f>
        <v>0</v>
      </c>
      <c r="L138" s="469"/>
      <c r="M138" s="613">
        <f t="shared" si="23"/>
        <v>0</v>
      </c>
      <c r="N138" s="469"/>
    </row>
    <row r="139" spans="3:14" hidden="1" outlineLevel="1" x14ac:dyDescent="0.2">
      <c r="C139" s="235"/>
      <c r="D139" s="469"/>
      <c r="E139" s="469" t="str">
        <f>E137</f>
        <v>gødning ab dyr</v>
      </c>
      <c r="F139" s="612" t="str">
        <f>F124</f>
        <v>kg VS</v>
      </c>
      <c r="G139" s="469"/>
      <c r="H139" s="613">
        <f>H136*H137/100*'øvrige EFS-other EFs'!$E$14/100+H138*85/100*(1-'øvrige EFS-other EFs'!$E$13/100)</f>
        <v>0</v>
      </c>
      <c r="I139" s="613">
        <f>I136*I137/100*'øvrige EFS-other EFs'!$E$14/100+I138*85/100*(1-'øvrige EFS-other EFs'!$E$13/100)</f>
        <v>0</v>
      </c>
      <c r="J139" s="613">
        <f>J136*J137/100*'øvrige EFS-other EFs'!$E$14/100+J138*85/100*(1-'øvrige EFS-other EFs'!$E$13/100)</f>
        <v>0</v>
      </c>
      <c r="K139" s="613">
        <f>K136*K137/100*'øvrige EFS-other EFs'!$E$14/100+K138*85/100*(1-'øvrige EFS-other EFs'!$E$13/100)</f>
        <v>0</v>
      </c>
      <c r="L139" s="469"/>
      <c r="M139" s="613">
        <f t="shared" si="23"/>
        <v>0</v>
      </c>
      <c r="N139" s="469"/>
    </row>
    <row r="140" spans="3:14" hidden="1" outlineLevel="1" x14ac:dyDescent="0.2">
      <c r="C140" s="235"/>
      <c r="D140" s="469"/>
      <c r="E140" s="727" t="s">
        <v>1872</v>
      </c>
      <c r="F140" s="735" t="str">
        <f>F126</f>
        <v>kg CH4</v>
      </c>
      <c r="G140" s="727"/>
      <c r="H140" s="732">
        <f>H139*'Opstaldingsform-Housing '!$O$33*0.67*'øvrige EFS-other EFs'!$E$12</f>
        <v>0</v>
      </c>
      <c r="I140" s="732">
        <f>I139*'Opstaldingsform-Housing '!$O$33*0.67*'øvrige EFS-other EFs'!$E$12</f>
        <v>0</v>
      </c>
      <c r="J140" s="732">
        <f>J139*'Opstaldingsform-Housing '!$O$33*0.67*'øvrige EFS-other EFs'!$E$12</f>
        <v>0</v>
      </c>
      <c r="K140" s="732">
        <f>K139*'Opstaldingsform-Housing '!$O$33*0.67*'øvrige EFS-other EFs'!$E$12</f>
        <v>0</v>
      </c>
      <c r="L140" s="727"/>
      <c r="M140" s="733">
        <f t="shared" si="23"/>
        <v>0</v>
      </c>
      <c r="N140" s="727"/>
    </row>
    <row r="141" spans="3:14" collapsed="1" x14ac:dyDescent="0.2">
      <c r="F141" s="711"/>
      <c r="M141" s="395"/>
    </row>
    <row r="142" spans="3:14" x14ac:dyDescent="0.2">
      <c r="F142" s="711"/>
      <c r="M142" s="395"/>
    </row>
    <row r="143" spans="3:14" x14ac:dyDescent="0.2">
      <c r="D143" s="718" t="str">
        <f>IF('input-data'!$B$3="Dansk", "Erstatningsværdi af handelsgødning", "Substitution of mineral fertilisers")</f>
        <v>Erstatningsværdi af handelsgødning</v>
      </c>
      <c r="F143" s="711"/>
      <c r="M143" s="395"/>
    </row>
    <row r="144" spans="3:14" hidden="1" outlineLevel="1" x14ac:dyDescent="0.2">
      <c r="F144" s="711"/>
    </row>
    <row r="145" spans="3:14" hidden="1" outlineLevel="1" x14ac:dyDescent="0.2">
      <c r="C145" s="235"/>
      <c r="D145" s="727" t="str">
        <f>IF('input-data'!$B$3="Dansk", "Erstatningsværdi for handelsgødning", "Substitution of mineral fertilisers")</f>
        <v>Erstatningsværdi for handelsgødning</v>
      </c>
      <c r="E145" s="469"/>
      <c r="F145" s="469"/>
      <c r="G145" s="469"/>
      <c r="H145" s="469"/>
      <c r="I145" s="469"/>
      <c r="J145" s="469"/>
      <c r="K145" s="469"/>
      <c r="L145" s="469"/>
      <c r="M145" s="469"/>
      <c r="N145" s="469"/>
    </row>
    <row r="146" spans="3:14" hidden="1" outlineLevel="1" x14ac:dyDescent="0.2">
      <c r="C146" s="235"/>
      <c r="D146" s="469"/>
      <c r="E146" s="469"/>
      <c r="F146" s="469"/>
      <c r="G146" s="469"/>
      <c r="H146" s="469"/>
      <c r="I146" s="469"/>
      <c r="J146" s="469"/>
      <c r="K146" s="469"/>
      <c r="L146" s="469"/>
      <c r="M146" s="469"/>
      <c r="N146" s="469"/>
    </row>
    <row r="147" spans="3:14" hidden="1" outlineLevel="1" x14ac:dyDescent="0.2">
      <c r="C147" s="466"/>
      <c r="D147" s="466"/>
      <c r="E147" s="466"/>
      <c r="F147" s="466"/>
      <c r="G147" s="466"/>
      <c r="H147" s="466"/>
      <c r="I147" s="466"/>
      <c r="J147" s="466"/>
      <c r="K147" s="466"/>
      <c r="L147" s="466"/>
      <c r="M147" s="466"/>
      <c r="N147" s="466"/>
    </row>
    <row r="148" spans="3:14" s="225" customFormat="1" hidden="1" outlineLevel="1" x14ac:dyDescent="0.2">
      <c r="C148" s="273"/>
      <c r="D148" s="273"/>
      <c r="E148" s="273"/>
      <c r="F148" s="273" t="s">
        <v>824</v>
      </c>
      <c r="G148" s="273"/>
      <c r="H148" s="273" t="str">
        <f>H134</f>
        <v xml:space="preserve"> Diegivning søer</v>
      </c>
      <c r="I148" s="273" t="str">
        <f t="shared" ref="I148:M148" si="24">I134</f>
        <v xml:space="preserve"> Drægtige søer</v>
      </c>
      <c r="J148" s="273" t="str">
        <f t="shared" si="24"/>
        <v xml:space="preserve"> Smågrise</v>
      </c>
      <c r="K148" s="273" t="str">
        <f t="shared" si="24"/>
        <v xml:space="preserve"> Slagtesvin</v>
      </c>
      <c r="L148" s="273">
        <f t="shared" si="24"/>
        <v>0</v>
      </c>
      <c r="M148" s="273" t="str">
        <f t="shared" si="24"/>
        <v>Total</v>
      </c>
      <c r="N148" s="273"/>
    </row>
    <row r="149" spans="3:14" hidden="1" outlineLevel="1" x14ac:dyDescent="0.2">
      <c r="C149" s="483"/>
      <c r="D149" s="483"/>
      <c r="E149" s="483"/>
      <c r="F149" s="483"/>
      <c r="G149" s="483"/>
      <c r="H149" s="483"/>
      <c r="I149" s="483"/>
      <c r="J149" s="483"/>
      <c r="K149" s="483"/>
      <c r="L149" s="483"/>
      <c r="M149" s="483"/>
      <c r="N149" s="483"/>
    </row>
    <row r="150" spans="3:14" hidden="1" outlineLevel="1" x14ac:dyDescent="0.2">
      <c r="C150" s="466"/>
      <c r="D150" s="466" t="str">
        <f>IF('input-data'!$B$3="Dansk", "Indsamlet N-gødning", "Collected N loss manure")</f>
        <v>Indsamlet N-gødning</v>
      </c>
      <c r="E150" s="466"/>
      <c r="F150" s="466" t="s">
        <v>3</v>
      </c>
      <c r="G150" s="466"/>
      <c r="H150" s="474">
        <f>H31</f>
        <v>0</v>
      </c>
      <c r="I150" s="474">
        <f>I31</f>
        <v>0</v>
      </c>
      <c r="J150" s="474">
        <f>J31</f>
        <v>0</v>
      </c>
      <c r="K150" s="474">
        <f>K31</f>
        <v>0</v>
      </c>
      <c r="L150" s="474">
        <f>L31</f>
        <v>0</v>
      </c>
      <c r="M150" s="474">
        <f>SUM(H150:K150)</f>
        <v>0</v>
      </c>
      <c r="N150" s="466"/>
    </row>
    <row r="151" spans="3:14" hidden="1" outlineLevel="1" x14ac:dyDescent="0.2">
      <c r="C151" s="235"/>
      <c r="D151" s="235"/>
      <c r="E151" s="235"/>
      <c r="F151" s="235" t="s">
        <v>851</v>
      </c>
      <c r="G151" s="235"/>
      <c r="H151" s="476">
        <f>'N-P balance sohold'!E24</f>
        <v>0</v>
      </c>
      <c r="I151" s="476">
        <f>'N-P balance sohold'!E128</f>
        <v>0</v>
      </c>
      <c r="J151" s="476">
        <f>'N-P balance smågrise'!E24</f>
        <v>0</v>
      </c>
      <c r="K151" s="476">
        <f>'N-P balance slagtesvin'!E24</f>
        <v>0</v>
      </c>
      <c r="L151" s="235"/>
      <c r="M151" s="476">
        <f t="shared" ref="M151:M168" si="25">SUM(H151:K151)</f>
        <v>0</v>
      </c>
      <c r="N151" s="235"/>
    </row>
    <row r="152" spans="3:14" hidden="1" outlineLevel="1" x14ac:dyDescent="0.2">
      <c r="C152" s="235"/>
      <c r="D152" s="235"/>
      <c r="E152" s="235"/>
      <c r="F152" s="235" t="s">
        <v>854</v>
      </c>
      <c r="G152" s="235"/>
      <c r="H152" s="476">
        <f>9.32/23.9*H150</f>
        <v>0</v>
      </c>
      <c r="I152" s="476">
        <f>9.32/23.9*I150</f>
        <v>0</v>
      </c>
      <c r="J152" s="476">
        <f>0.27/0.48*J150</f>
        <v>0</v>
      </c>
      <c r="K152" s="476">
        <f>1.39/2.86*K150</f>
        <v>0</v>
      </c>
      <c r="L152" s="235"/>
      <c r="M152" s="476">
        <f t="shared" si="25"/>
        <v>0</v>
      </c>
      <c r="N152" s="235"/>
    </row>
    <row r="153" spans="3:14" hidden="1" outlineLevel="1" x14ac:dyDescent="0.2">
      <c r="C153" s="235"/>
      <c r="D153" s="469" t="str">
        <f>IF('input-data'!$B$3="Dansk", "Erstatning af handelsgødning", "Substitution of mineral fertilisers")</f>
        <v>Erstatning af handelsgødning</v>
      </c>
      <c r="E153" s="235"/>
      <c r="F153" s="235" t="str">
        <f>F150</f>
        <v>kg N</v>
      </c>
      <c r="G153" s="235"/>
      <c r="H153" s="476">
        <f>H150*0.75</f>
        <v>0</v>
      </c>
      <c r="I153" s="476">
        <f t="shared" ref="I153:K153" si="26">I150*0.75</f>
        <v>0</v>
      </c>
      <c r="J153" s="476">
        <f t="shared" si="26"/>
        <v>0</v>
      </c>
      <c r="K153" s="476">
        <f t="shared" si="26"/>
        <v>0</v>
      </c>
      <c r="L153" s="235"/>
      <c r="M153" s="476">
        <f t="shared" si="25"/>
        <v>0</v>
      </c>
      <c r="N153" s="235"/>
    </row>
    <row r="154" spans="3:14" hidden="1" outlineLevel="1" x14ac:dyDescent="0.2">
      <c r="C154" s="235"/>
      <c r="D154" s="235"/>
      <c r="E154" s="235"/>
      <c r="F154" s="235" t="str">
        <f>F151</f>
        <v>kg P</v>
      </c>
      <c r="G154" s="235"/>
      <c r="H154" s="476">
        <f>H151*1</f>
        <v>0</v>
      </c>
      <c r="I154" s="476">
        <f t="shared" ref="I154:K154" si="27">I151*1</f>
        <v>0</v>
      </c>
      <c r="J154" s="476">
        <f t="shared" si="27"/>
        <v>0</v>
      </c>
      <c r="K154" s="476">
        <f t="shared" si="27"/>
        <v>0</v>
      </c>
      <c r="L154" s="235"/>
      <c r="M154" s="476">
        <f t="shared" si="25"/>
        <v>0</v>
      </c>
      <c r="N154" s="235"/>
    </row>
    <row r="155" spans="3:14" hidden="1" outlineLevel="1" x14ac:dyDescent="0.2">
      <c r="C155" s="235"/>
      <c r="D155" s="235"/>
      <c r="E155" s="235"/>
      <c r="F155" s="235" t="str">
        <f>F152</f>
        <v>kg K</v>
      </c>
      <c r="G155" s="235"/>
      <c r="H155" s="476">
        <f>H152*1</f>
        <v>0</v>
      </c>
      <c r="I155" s="476">
        <f t="shared" ref="I155:K155" si="28">I152*1</f>
        <v>0</v>
      </c>
      <c r="J155" s="476">
        <f t="shared" si="28"/>
        <v>0</v>
      </c>
      <c r="K155" s="476">
        <f t="shared" si="28"/>
        <v>0</v>
      </c>
      <c r="L155" s="235"/>
      <c r="M155" s="476">
        <f t="shared" si="25"/>
        <v>0</v>
      </c>
      <c r="N155" s="235"/>
    </row>
    <row r="156" spans="3:14" hidden="1" outlineLevel="1" x14ac:dyDescent="0.2">
      <c r="C156" s="235"/>
      <c r="D156" s="469" t="str">
        <f>IF('input-data'!$B$3="Dansk", "Undgående emissioner", "Avoided emission")</f>
        <v>Undgående emissioner</v>
      </c>
      <c r="E156" s="235"/>
      <c r="F156" s="235"/>
      <c r="G156" s="235"/>
      <c r="H156" s="476"/>
      <c r="I156" s="476"/>
      <c r="J156" s="476"/>
      <c r="K156" s="476"/>
      <c r="L156" s="235"/>
      <c r="M156" s="476"/>
      <c r="N156" s="235"/>
    </row>
    <row r="157" spans="3:14" hidden="1" outlineLevel="1" x14ac:dyDescent="0.2">
      <c r="C157" s="235"/>
      <c r="D157" s="235"/>
      <c r="E157" s="235" t="str">
        <f>IF('input-data'!$B$3="Dansk", "produktion of handelgødning", "production of mineral fertilisers")</f>
        <v>produktion of handelgødning</v>
      </c>
      <c r="F157" s="235" t="s">
        <v>1873</v>
      </c>
      <c r="G157" s="235"/>
      <c r="H157" s="476">
        <f>H153/0.265</f>
        <v>0</v>
      </c>
      <c r="I157" s="476">
        <f t="shared" ref="I157:K157" si="29">I153/0.265</f>
        <v>0</v>
      </c>
      <c r="J157" s="476">
        <f t="shared" si="29"/>
        <v>0</v>
      </c>
      <c r="K157" s="476">
        <f t="shared" si="29"/>
        <v>0</v>
      </c>
      <c r="L157" s="235"/>
      <c r="M157" s="476">
        <f t="shared" si="25"/>
        <v>0</v>
      </c>
      <c r="N157" s="235"/>
    </row>
    <row r="158" spans="3:14" hidden="1" outlineLevel="1" x14ac:dyDescent="0.2">
      <c r="C158" s="235"/>
      <c r="D158" s="235"/>
      <c r="E158" s="235"/>
      <c r="F158" s="235" t="s">
        <v>1874</v>
      </c>
      <c r="G158" s="235"/>
      <c r="H158" s="476">
        <f>H154/0.437</f>
        <v>0</v>
      </c>
      <c r="I158" s="476">
        <f t="shared" ref="I158:K158" si="30">I154/0.437</f>
        <v>0</v>
      </c>
      <c r="J158" s="476">
        <f t="shared" si="30"/>
        <v>0</v>
      </c>
      <c r="K158" s="476">
        <f t="shared" si="30"/>
        <v>0</v>
      </c>
      <c r="L158" s="235"/>
      <c r="M158" s="476">
        <f t="shared" si="25"/>
        <v>0</v>
      </c>
      <c r="N158" s="235"/>
    </row>
    <row r="159" spans="3:14" hidden="1" outlineLevel="1" x14ac:dyDescent="0.2">
      <c r="C159" s="235"/>
      <c r="D159" s="235"/>
      <c r="E159" s="235"/>
      <c r="F159" s="235" t="s">
        <v>1875</v>
      </c>
      <c r="G159" s="235"/>
      <c r="H159" s="476">
        <f>H155/0.83</f>
        <v>0</v>
      </c>
      <c r="I159" s="476">
        <f t="shared" ref="I159:K159" si="31">I155/0.83</f>
        <v>0</v>
      </c>
      <c r="J159" s="476">
        <f t="shared" si="31"/>
        <v>0</v>
      </c>
      <c r="K159" s="476">
        <f t="shared" si="31"/>
        <v>0</v>
      </c>
      <c r="L159" s="235"/>
      <c r="M159" s="476">
        <f t="shared" si="25"/>
        <v>0</v>
      </c>
      <c r="N159" s="235"/>
    </row>
    <row r="160" spans="3:14" hidden="1" outlineLevel="1" x14ac:dyDescent="0.2">
      <c r="C160" s="235"/>
      <c r="D160" s="235"/>
      <c r="E160" s="235" t="str">
        <f>IF('input-data'!$B$3="Dansk", "emission ved udbringning", "emission at application")</f>
        <v>emission ved udbringning</v>
      </c>
      <c r="F160" s="235"/>
      <c r="G160" s="235"/>
      <c r="H160" s="235"/>
      <c r="I160" s="235"/>
      <c r="J160" s="235"/>
      <c r="K160" s="235"/>
      <c r="L160" s="235"/>
      <c r="M160" s="476">
        <f t="shared" si="25"/>
        <v>0</v>
      </c>
      <c r="N160" s="235"/>
    </row>
    <row r="161" spans="3:14" hidden="1" outlineLevel="1" x14ac:dyDescent="0.2">
      <c r="C161" s="235"/>
      <c r="D161" s="235"/>
      <c r="E161" s="235" t="str">
        <f>IF('input-data'!$B$3="Dansk","direkte N2O-N", "direct N2O-N")</f>
        <v>direkte N2O-N</v>
      </c>
      <c r="F161" s="235" t="s">
        <v>1876</v>
      </c>
      <c r="G161" s="235"/>
      <c r="H161" s="604">
        <f>H153*1/100</f>
        <v>0</v>
      </c>
      <c r="I161" s="604">
        <f t="shared" ref="I161:K161" si="32">I153*1/100</f>
        <v>0</v>
      </c>
      <c r="J161" s="604">
        <f t="shared" si="32"/>
        <v>0</v>
      </c>
      <c r="K161" s="604">
        <f t="shared" si="32"/>
        <v>0</v>
      </c>
      <c r="L161" s="235"/>
      <c r="M161" s="476">
        <f t="shared" si="25"/>
        <v>0</v>
      </c>
      <c r="N161" s="235"/>
    </row>
    <row r="162" spans="3:14" hidden="1" outlineLevel="1" x14ac:dyDescent="0.2">
      <c r="C162" s="235"/>
      <c r="D162" s="235"/>
      <c r="E162" s="235" t="s">
        <v>908</v>
      </c>
      <c r="F162" s="235" t="s">
        <v>1877</v>
      </c>
      <c r="G162" s="235"/>
      <c r="H162" s="604">
        <f>H153*2.2/100</f>
        <v>0</v>
      </c>
      <c r="I162" s="604">
        <f t="shared" ref="I162:K162" si="33">I153*2.2/100</f>
        <v>0</v>
      </c>
      <c r="J162" s="604">
        <f t="shared" si="33"/>
        <v>0</v>
      </c>
      <c r="K162" s="604">
        <f t="shared" si="33"/>
        <v>0</v>
      </c>
      <c r="L162" s="235"/>
      <c r="M162" s="476">
        <f t="shared" si="25"/>
        <v>0</v>
      </c>
      <c r="N162" s="235"/>
    </row>
    <row r="163" spans="3:14" hidden="1" outlineLevel="1" x14ac:dyDescent="0.2">
      <c r="C163" s="235"/>
      <c r="D163" s="235"/>
      <c r="E163" s="235" t="s">
        <v>1521</v>
      </c>
      <c r="F163" s="235" t="s">
        <v>1878</v>
      </c>
      <c r="G163" s="235"/>
      <c r="H163" s="604">
        <f>H153*7/100</f>
        <v>0</v>
      </c>
      <c r="I163" s="604">
        <f t="shared" ref="I163:K163" si="34">I153*7/100</f>
        <v>0</v>
      </c>
      <c r="J163" s="604">
        <f t="shared" si="34"/>
        <v>0</v>
      </c>
      <c r="K163" s="604">
        <f t="shared" si="34"/>
        <v>0</v>
      </c>
      <c r="L163" s="235"/>
      <c r="M163" s="476">
        <f t="shared" si="25"/>
        <v>0</v>
      </c>
      <c r="N163" s="235"/>
    </row>
    <row r="164" spans="3:14" hidden="1" outlineLevel="1" x14ac:dyDescent="0.2">
      <c r="C164" s="235"/>
      <c r="D164" s="235"/>
      <c r="E164" s="235" t="s">
        <v>911</v>
      </c>
      <c r="F164" s="235" t="s">
        <v>1879</v>
      </c>
      <c r="G164" s="235"/>
      <c r="H164" s="604">
        <f>H153*3/100</f>
        <v>0</v>
      </c>
      <c r="I164" s="604">
        <f t="shared" ref="I164:K164" si="35">I153*3/100</f>
        <v>0</v>
      </c>
      <c r="J164" s="604">
        <f t="shared" si="35"/>
        <v>0</v>
      </c>
      <c r="K164" s="604">
        <f t="shared" si="35"/>
        <v>0</v>
      </c>
      <c r="L164" s="235"/>
      <c r="M164" s="476">
        <f t="shared" si="25"/>
        <v>0</v>
      </c>
      <c r="N164" s="235"/>
    </row>
    <row r="165" spans="3:14" hidden="1" outlineLevel="1" x14ac:dyDescent="0.2">
      <c r="C165" s="235"/>
      <c r="D165" s="235"/>
      <c r="E165" s="235" t="s">
        <v>910</v>
      </c>
      <c r="F165" s="235" t="s">
        <v>1880</v>
      </c>
      <c r="G165" s="235"/>
      <c r="H165" s="604"/>
      <c r="I165" s="604"/>
      <c r="J165" s="604"/>
      <c r="K165" s="604"/>
      <c r="L165" s="235"/>
      <c r="M165" s="476">
        <f t="shared" si="25"/>
        <v>0</v>
      </c>
      <c r="N165" s="235"/>
    </row>
    <row r="166" spans="3:14" hidden="1" outlineLevel="1" x14ac:dyDescent="0.2">
      <c r="C166" s="235"/>
      <c r="D166" s="235"/>
      <c r="E166" s="235" t="str">
        <f>IF('input-data'!$B$3="Dansk","indirekte N2O-N", "indirect N2O-N")</f>
        <v>indirekte N2O-N</v>
      </c>
      <c r="F166" s="235" t="s">
        <v>1876</v>
      </c>
      <c r="G166" s="235"/>
      <c r="H166" s="604">
        <f>H162*1/100</f>
        <v>0</v>
      </c>
      <c r="I166" s="604">
        <f t="shared" ref="I166:K166" si="36">I162*1/100</f>
        <v>0</v>
      </c>
      <c r="J166" s="604">
        <f t="shared" si="36"/>
        <v>0</v>
      </c>
      <c r="K166" s="604">
        <f t="shared" si="36"/>
        <v>0</v>
      </c>
      <c r="L166" s="235"/>
      <c r="M166" s="476">
        <f t="shared" si="25"/>
        <v>0</v>
      </c>
      <c r="N166" s="235"/>
    </row>
    <row r="167" spans="3:14" hidden="1" outlineLevel="1" x14ac:dyDescent="0.2">
      <c r="C167" s="235"/>
      <c r="D167" s="235"/>
      <c r="E167" s="235" t="s">
        <v>832</v>
      </c>
      <c r="F167" s="235" t="s">
        <v>892</v>
      </c>
      <c r="G167" s="235"/>
      <c r="H167" s="476">
        <f>(H157+H158+H159)/1000*134</f>
        <v>0</v>
      </c>
      <c r="I167" s="476">
        <f t="shared" ref="I167:K167" si="37">(I157+I158+I159)/1000*134</f>
        <v>0</v>
      </c>
      <c r="J167" s="476">
        <f t="shared" si="37"/>
        <v>0</v>
      </c>
      <c r="K167" s="476">
        <f t="shared" si="37"/>
        <v>0</v>
      </c>
      <c r="L167" s="235"/>
      <c r="M167" s="476">
        <f t="shared" si="25"/>
        <v>0</v>
      </c>
      <c r="N167" s="235"/>
    </row>
    <row r="168" spans="3:14" hidden="1" outlineLevel="1" x14ac:dyDescent="0.2">
      <c r="C168" s="235"/>
      <c r="D168" s="235"/>
      <c r="E168" s="725" t="str">
        <f>IF('input-data'!$B$3="Dansk","læsning af gødning", "loading of manure")</f>
        <v>læsning af gødning</v>
      </c>
      <c r="F168" s="235" t="s">
        <v>867</v>
      </c>
      <c r="G168" s="235"/>
      <c r="H168" s="604">
        <f>(H157+H158+H159)/1000*0.4</f>
        <v>0</v>
      </c>
      <c r="I168" s="604">
        <f t="shared" ref="I168:K168" si="38">(I157+I158+I159)/1000*0.4</f>
        <v>0</v>
      </c>
      <c r="J168" s="604">
        <f t="shared" si="38"/>
        <v>0</v>
      </c>
      <c r="K168" s="604">
        <f t="shared" si="38"/>
        <v>0</v>
      </c>
      <c r="L168" s="235"/>
      <c r="M168" s="476">
        <f t="shared" si="25"/>
        <v>0</v>
      </c>
      <c r="N168" s="235"/>
    </row>
    <row r="169" spans="3:14" hidden="1" outlineLevel="1" x14ac:dyDescent="0.2">
      <c r="C169" s="483"/>
      <c r="D169" s="483"/>
      <c r="E169" s="483"/>
      <c r="F169" s="483"/>
      <c r="G169" s="483"/>
      <c r="H169" s="483"/>
      <c r="I169" s="483"/>
      <c r="J169" s="483"/>
      <c r="K169" s="483"/>
      <c r="L169" s="483"/>
      <c r="M169" s="483"/>
      <c r="N169" s="483"/>
    </row>
    <row r="170" spans="3:14" collapsed="1" x14ac:dyDescent="0.2"/>
  </sheetData>
  <sheetProtection algorithmName="SHA-512" hashValue="WzIe9wudnGEJx2x0WT+ZiVdLKYLbEhKbesFwAKzhQdgv4JlvEVwyNECclAeeA+Pde64wMHyY6b6mTEKNxdQ2BA==" saltValue="rNJu+afQAKPFdDRRDr5G9A==" spinCount="100000" sheet="1" objects="1" scenarios="1"/>
  <mergeCells count="2">
    <mergeCell ref="H8:H9"/>
    <mergeCell ref="I8:I9"/>
  </mergeCells>
  <pageMargins left="0.25" right="0.25"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4913B"/>
  </sheetPr>
  <dimension ref="B3:K134"/>
  <sheetViews>
    <sheetView topLeftCell="A99" workbookViewId="0">
      <selection activeCell="B110" sqref="B110"/>
    </sheetView>
  </sheetViews>
  <sheetFormatPr defaultColWidth="8.85546875" defaultRowHeight="14.25" outlineLevelRow="1" x14ac:dyDescent="0.2"/>
  <cols>
    <col min="1" max="1" width="8.85546875" style="110"/>
    <col min="2" max="2" width="43" style="110" customWidth="1"/>
    <col min="3" max="3" width="19" style="110" bestFit="1" customWidth="1"/>
    <col min="4" max="4" width="16.5703125" style="110" customWidth="1"/>
    <col min="5" max="5" width="14.85546875" style="110" customWidth="1"/>
    <col min="6" max="6" width="14.28515625" style="110" customWidth="1"/>
    <col min="7" max="7" width="15.28515625" style="110" customWidth="1"/>
    <col min="8" max="8" width="17.42578125" style="110" customWidth="1"/>
    <col min="9" max="9" width="23.5703125" style="110" customWidth="1"/>
    <col min="10" max="10" width="16.5703125" style="110" customWidth="1"/>
    <col min="11" max="11" width="4" style="110" customWidth="1"/>
    <col min="12" max="16384" width="8.85546875" style="110"/>
  </cols>
  <sheetData>
    <row r="3" spans="2:11" x14ac:dyDescent="0.2">
      <c r="B3" s="718" t="str">
        <f>IF('input-data'!$B$3="Dansk", "ÅRSSØER med PATTEGRISE", "YEAR-SOWS with PIGLETS")</f>
        <v>ÅRSSØER med PATTEGRISE</v>
      </c>
    </row>
    <row r="4" spans="2:11" hidden="1" outlineLevel="1" x14ac:dyDescent="0.2"/>
    <row r="5" spans="2:11" hidden="1" outlineLevel="1" x14ac:dyDescent="0.2">
      <c r="B5" s="611"/>
      <c r="C5" s="619"/>
      <c r="D5" s="611"/>
      <c r="E5" s="611"/>
      <c r="F5" s="611"/>
      <c r="G5" s="611"/>
      <c r="H5" s="611"/>
      <c r="I5" s="611"/>
      <c r="J5" s="611"/>
      <c r="K5" s="608"/>
    </row>
    <row r="6" spans="2:11" hidden="1" outlineLevel="1" x14ac:dyDescent="0.2">
      <c r="B6" s="608" t="str">
        <f>IF('input-data'!$B$3="Dansk", "ÅRSSØER med PATTEGRISE", "YEAR-SOWS with PIGLETS")</f>
        <v>ÅRSSØER med PATTEGRISE</v>
      </c>
      <c r="C6" s="619"/>
      <c r="D6" s="611"/>
      <c r="E6" s="611"/>
      <c r="F6" s="611"/>
      <c r="G6" s="611"/>
      <c r="H6" s="611"/>
      <c r="I6" s="611"/>
      <c r="J6" s="611"/>
      <c r="K6" s="608"/>
    </row>
    <row r="7" spans="2:11" hidden="1" outlineLevel="1" x14ac:dyDescent="0.2">
      <c r="B7" s="611"/>
      <c r="C7" s="619"/>
      <c r="D7" s="737" t="str">
        <f>IF('input-data'!$B$3="Dansk", "Miljømæssig påvirkning", "Environmental impact")</f>
        <v>Miljømæssig påvirkning</v>
      </c>
      <c r="E7" s="611"/>
      <c r="F7" s="611"/>
      <c r="G7" s="611"/>
      <c r="H7" s="611"/>
      <c r="I7" s="611"/>
      <c r="J7" s="611"/>
      <c r="K7" s="608"/>
    </row>
    <row r="8" spans="2:11" hidden="1" outlineLevel="1" x14ac:dyDescent="0.2">
      <c r="B8" s="611"/>
      <c r="C8" s="611"/>
      <c r="D8" s="942" t="str">
        <f>IF('input-data'!$B$3="Dansk", "Klimaaftryk, kg CO2-ækv", "GWP, kg CO2-eq")</f>
        <v>Klimaaftryk, kg CO2-ækv</v>
      </c>
      <c r="E8" s="942" t="str">
        <f>IF('input-data'!$B$3="Dansk", "C i jord, kg CO2-ækv", "soil C change, kg CO2-eq")</f>
        <v>C i jord, kg CO2-ækv</v>
      </c>
      <c r="F8" s="942" t="str">
        <f>IF('input-data'!$B$3="Dansk", "iLUC, kg CO2-ækv", "iLUC, kg CO2-eq")</f>
        <v>iLUC, kg CO2-ækv</v>
      </c>
      <c r="G8" s="942" t="str">
        <f>IF('input-data'!$B$3="Dansk", "Eutrofiering, kg NO3-ækv", "Eutrophication potential, kg NO3-eq")</f>
        <v>Eutrofiering, kg NO3-ækv</v>
      </c>
      <c r="H8" s="942" t="str">
        <f>IF('input-data'!$B$3="Dansk", "Energiforbrug, MJ", "NRE, MJ")</f>
        <v>Energiforbrug, MJ</v>
      </c>
      <c r="I8" s="942" t="str">
        <f>IF('input-data'!$B$3="Dansk", "Forsuring potential, kg SO2-ækv", "AP, kg SO2-eq.")</f>
        <v>Forsuring potential, kg SO2-ækv</v>
      </c>
      <c r="J8" s="942" t="str">
        <f>IF('input-data'!$B$3="Dansk", "Arealforbrug, m2", "LU, m2")</f>
        <v>Arealforbrug, m2</v>
      </c>
      <c r="K8" s="608"/>
    </row>
    <row r="9" spans="2:11" hidden="1" outlineLevel="1" x14ac:dyDescent="0.2">
      <c r="B9" s="738" t="str">
        <f>IF('input-data'!$B$3="Dansk", "      INPUT", "          INPUT")</f>
        <v xml:space="preserve">      INPUT</v>
      </c>
      <c r="C9" s="738" t="str">
        <f>IF('input-data'!$B$3="Dansk", "Mængde", "Amount")</f>
        <v>Mængde</v>
      </c>
      <c r="D9" s="942"/>
      <c r="E9" s="942"/>
      <c r="F9" s="942"/>
      <c r="G9" s="942"/>
      <c r="H9" s="942"/>
      <c r="I9" s="942"/>
      <c r="J9" s="942"/>
      <c r="K9" s="608"/>
    </row>
    <row r="10" spans="2:11" hidden="1" outlineLevel="1" x14ac:dyDescent="0.2">
      <c r="B10" s="608" t="str">
        <f>IF('input-data'!$B$3="Dansk", "          Foder, kg TS", "          Feed , kg DM")</f>
        <v xml:space="preserve">          Foder, kg TS</v>
      </c>
      <c r="C10" s="613">
        <f>SUM('Feed - overview'!J17:J88)</f>
        <v>0</v>
      </c>
      <c r="D10" s="613">
        <f>SUM('Feed - overview'!Q17:Q88)</f>
        <v>0</v>
      </c>
      <c r="E10" s="613">
        <f>SUM('Feed - overview'!R17:R88)</f>
        <v>0</v>
      </c>
      <c r="F10" s="613">
        <f>SUM('Feed - overview'!S17:S88)</f>
        <v>0</v>
      </c>
      <c r="G10" s="613">
        <f>SUM('Feed - overview'!T17:T88)</f>
        <v>0</v>
      </c>
      <c r="H10" s="613">
        <f>SUM('Feed - overview'!U17:U88)</f>
        <v>0</v>
      </c>
      <c r="I10" s="613">
        <f>SUM('Feed - overview'!V17:V88)</f>
        <v>0</v>
      </c>
      <c r="J10" s="613">
        <f>SUM('Feed - overview'!W17:W88)</f>
        <v>0</v>
      </c>
      <c r="K10" s="612"/>
    </row>
    <row r="11" spans="2:11" hidden="1" outlineLevel="1" x14ac:dyDescent="0.2">
      <c r="B11" s="608" t="str">
        <f>IF('input-data'!$B$3="Dansk", "          Strøelse, kg", "          Bedding materials, kg")</f>
        <v xml:space="preserve">          Strøelse, kg</v>
      </c>
      <c r="C11" s="613">
        <f>'N-balance'!H123+'N-balance'!I123+'N-balance'!H138+'N-balance'!I138</f>
        <v>0</v>
      </c>
      <c r="D11" s="613">
        <f>$C11*'background data'!$G$11</f>
        <v>0</v>
      </c>
      <c r="E11" s="613">
        <f>$C11*'background data'!$H$11</f>
        <v>0</v>
      </c>
      <c r="F11" s="613">
        <f>$C11*'background data'!$J$11</f>
        <v>0</v>
      </c>
      <c r="G11" s="613">
        <f>$C11*'background data'!$L$11</f>
        <v>0</v>
      </c>
      <c r="H11" s="613">
        <f>$C11*'background data'!$M$11</f>
        <v>0</v>
      </c>
      <c r="I11" s="613">
        <f>$C11*'background data'!$N$11</f>
        <v>0</v>
      </c>
      <c r="J11" s="613">
        <f>$C11*'background data'!$O$11</f>
        <v>0</v>
      </c>
      <c r="K11" s="612"/>
    </row>
    <row r="12" spans="2:11" hidden="1" outlineLevel="1" x14ac:dyDescent="0.2">
      <c r="B12" s="608" t="str">
        <f>IF('input-data'!$B$3="Dansk", "          Energiforbrug, kWh", "          Energy use, kWh")</f>
        <v xml:space="preserve">          Energiforbrug, kWh</v>
      </c>
      <c r="C12" s="613"/>
      <c r="D12" s="612"/>
      <c r="E12" s="612"/>
      <c r="F12" s="612"/>
      <c r="G12" s="612"/>
      <c r="H12" s="612"/>
      <c r="I12" s="612"/>
      <c r="J12" s="612"/>
      <c r="K12" s="612"/>
    </row>
    <row r="13" spans="2:11" hidden="1" outlineLevel="1" x14ac:dyDescent="0.2">
      <c r="B13" s="738" t="s">
        <v>1785</v>
      </c>
      <c r="C13" s="649"/>
      <c r="D13" s="649">
        <f>SUM(D10:D12)</f>
        <v>0</v>
      </c>
      <c r="E13" s="649">
        <f t="shared" ref="E13:J13" si="0">SUM(E10:E12)</f>
        <v>0</v>
      </c>
      <c r="F13" s="649">
        <f t="shared" si="0"/>
        <v>0</v>
      </c>
      <c r="G13" s="649">
        <f t="shared" si="0"/>
        <v>0</v>
      </c>
      <c r="H13" s="649">
        <f t="shared" si="0"/>
        <v>0</v>
      </c>
      <c r="I13" s="649">
        <f t="shared" si="0"/>
        <v>0</v>
      </c>
      <c r="J13" s="649">
        <f t="shared" si="0"/>
        <v>0</v>
      </c>
      <c r="K13" s="650"/>
    </row>
    <row r="14" spans="2:11" hidden="1" outlineLevel="1" x14ac:dyDescent="0.2">
      <c r="B14" s="738" t="s">
        <v>1881</v>
      </c>
      <c r="C14" s="613">
        <f>((C10-SUM('Feed - overview'!N17:N88))/0.85+C11)/1000*50</f>
        <v>0</v>
      </c>
      <c r="D14" s="613">
        <f>$C14*'background data'!K$59</f>
        <v>0</v>
      </c>
      <c r="E14" s="613"/>
      <c r="F14" s="613"/>
      <c r="G14" s="613">
        <f>$C14*'background data'!L$59</f>
        <v>0</v>
      </c>
      <c r="H14" s="613">
        <f>$C14*'background data'!M$59</f>
        <v>0</v>
      </c>
      <c r="I14" s="613">
        <f>$C14*'background data'!N$59</f>
        <v>0</v>
      </c>
      <c r="J14" s="613">
        <f>$C14*'background data'!O$59</f>
        <v>0</v>
      </c>
      <c r="K14" s="612"/>
    </row>
    <row r="15" spans="2:11" hidden="1" outlineLevel="1" x14ac:dyDescent="0.2">
      <c r="B15" s="608" t="str">
        <f>IF('input-data'!$B$3="Dansk", "      EMISSIONER", "      EMISSIONS")</f>
        <v xml:space="preserve">      EMISSIONER</v>
      </c>
      <c r="C15" s="649"/>
      <c r="D15" s="650"/>
      <c r="E15" s="650"/>
      <c r="F15" s="650"/>
      <c r="G15" s="650"/>
      <c r="H15" s="650"/>
      <c r="I15" s="650"/>
      <c r="J15" s="650"/>
      <c r="K15" s="650"/>
    </row>
    <row r="16" spans="2:11" hidden="1" outlineLevel="1" x14ac:dyDescent="0.2">
      <c r="B16" s="738" t="str">
        <f>IF('input-data'!$B$3="Dansk", "          Fordøjelse, kg CH4", "          Enteric fermentation, kg CH4")</f>
        <v xml:space="preserve">          Fordøjelse, kg CH4</v>
      </c>
      <c r="C16" s="613">
        <f>IFERROR(SUM('Feed - overview'!H17:H88)*100*1340/(55.65*1000000), 0)</f>
        <v>0</v>
      </c>
      <c r="D16" s="613">
        <f>C16*'øvrige EFS-other EFs'!$D$28</f>
        <v>0</v>
      </c>
      <c r="E16" s="612"/>
      <c r="F16" s="612"/>
      <c r="G16" s="612"/>
      <c r="H16" s="612"/>
      <c r="I16" s="612"/>
      <c r="J16" s="612"/>
      <c r="K16" s="612"/>
    </row>
    <row r="17" spans="2:11" hidden="1" outlineLevel="1" x14ac:dyDescent="0.2">
      <c r="B17" s="738" t="str">
        <f>IF('input-data'!$B$3="Dansk", "          CH4 gødning, kg CH4", "          CH4 manure, kg CH4")</f>
        <v xml:space="preserve">          CH4 gødning, kg CH4</v>
      </c>
      <c r="C17" s="613">
        <f>'N-balance'!H128+'N-balance'!I128+'N-balance'!H140+'N-balance'!I140</f>
        <v>0</v>
      </c>
      <c r="D17" s="613">
        <f>C17*'øvrige EFS-other EFs'!$D$28</f>
        <v>0</v>
      </c>
      <c r="E17" s="612"/>
      <c r="F17" s="612"/>
      <c r="G17" s="612"/>
      <c r="H17" s="612"/>
      <c r="I17" s="612"/>
      <c r="J17" s="612"/>
      <c r="K17" s="612"/>
    </row>
    <row r="18" spans="2:11" hidden="1" outlineLevel="1" x14ac:dyDescent="0.2">
      <c r="B18" s="738" t="str">
        <f>IF('input-data'!$B$3="Dansk", "          N emissioner stalde og lager", "          N emission stable and storage")</f>
        <v xml:space="preserve">          N emissioner stalde og lager</v>
      </c>
      <c r="C18" s="649"/>
      <c r="D18" s="650"/>
      <c r="E18" s="650"/>
      <c r="F18" s="650"/>
      <c r="G18" s="650"/>
      <c r="H18" s="650"/>
      <c r="I18" s="650"/>
      <c r="J18" s="650"/>
      <c r="K18" s="650"/>
    </row>
    <row r="19" spans="2:11" hidden="1" outlineLevel="1" x14ac:dyDescent="0.2">
      <c r="B19" s="608" t="s">
        <v>1782</v>
      </c>
      <c r="C19" s="613">
        <f>IFERROR(('N-balance'!H22+'N-balance'!I22+'N-balance'!H23+'N-balance'!I23+'N-balance'!H27+'N-balance'!I27+'N-balance'!H28+'N-balance'!I28)*44/28, 0)</f>
        <v>0</v>
      </c>
      <c r="D19" s="613">
        <f>C19*'øvrige EFS-other EFs'!$D$27</f>
        <v>0</v>
      </c>
      <c r="E19" s="612"/>
      <c r="F19" s="612"/>
      <c r="G19" s="612"/>
      <c r="H19" s="612"/>
      <c r="I19" s="612"/>
      <c r="J19" s="612"/>
      <c r="K19" s="612"/>
    </row>
    <row r="20" spans="2:11" hidden="1" outlineLevel="1" x14ac:dyDescent="0.2">
      <c r="B20" s="608" t="s">
        <v>1783</v>
      </c>
      <c r="C20" s="613">
        <f>IFERROR(('N-balance'!H21+'N-balance'!I21+'N-balance'!H26+'N-balance'!I26)*17/14, 0)</f>
        <v>0</v>
      </c>
      <c r="D20" s="612"/>
      <c r="E20" s="612"/>
      <c r="F20" s="612"/>
      <c r="G20" s="613">
        <f>C20*'øvrige EFS-other EFs'!$I$31</f>
        <v>0</v>
      </c>
      <c r="H20" s="612"/>
      <c r="I20" s="613">
        <f>C20*'øvrige EFS-other EFs'!$K$31</f>
        <v>0</v>
      </c>
      <c r="J20" s="612"/>
      <c r="K20" s="612"/>
    </row>
    <row r="21" spans="2:11" hidden="1" outlineLevel="1" x14ac:dyDescent="0.2">
      <c r="B21" s="608" t="s">
        <v>2082</v>
      </c>
      <c r="C21" s="613">
        <f>IFERROR(('N-balance'!H24+'N-balance'!I24+'N-balance'!H29+'N-balance'!I29)*30/14,0)</f>
        <v>0</v>
      </c>
      <c r="D21" s="612"/>
      <c r="E21" s="612"/>
      <c r="F21" s="612"/>
      <c r="G21" s="613">
        <f>C21*'øvrige EFS-other EFs'!$I$32</f>
        <v>0</v>
      </c>
      <c r="H21" s="612"/>
      <c r="I21" s="613">
        <f>C21*'øvrige EFS-other EFs'!$K$32</f>
        <v>0</v>
      </c>
      <c r="J21" s="612"/>
      <c r="K21" s="612"/>
    </row>
    <row r="22" spans="2:11" hidden="1" outlineLevel="1" x14ac:dyDescent="0.2">
      <c r="B22" s="608" t="str">
        <f>IF('input-data'!$B$3="Dansk", "          Erstatningsværdi for handelsgødning", "          Substitution of mineral fertilisers")</f>
        <v xml:space="preserve">          Erstatningsværdi for handelsgødning</v>
      </c>
      <c r="C22" s="712"/>
      <c r="D22" s="740">
        <f>IFERROR(-(('N-balance'!$H$153+'N-balance'!$I$153)*'background data'!$K$24+('N-balance'!$H$154+'N-balance'!$I$154)*'background data'!$K$25+('N-balance'!$H$155+'N-balance'!$I$155)*'background data'!$K$26+('N-balance'!$H$161+'N-balance'!$I$161+'N-balance'!$H$166+'N-balance'!$I$166)*44/24*'øvrige EFS-other EFs'!$D$27+('N-balance'!$H$168+'N-balance'!$I$168)/37*'background data'!$K$34+('N-balance'!$H$167+'N-balance'!$I$167)*'background data'!$K$59), 0)</f>
        <v>0</v>
      </c>
      <c r="E22" s="740"/>
      <c r="F22" s="740"/>
      <c r="G22" s="740">
        <f>IFERROR(-(('N-balance'!$H$153+'N-balance'!$I$153)*'background data'!$L$24+('N-balance'!$H$154+'N-balance'!$I$154)*'background data'!$L$25+('N-balance'!$H$155+'N-balance'!$I$155)*'background data'!$L$26+('N-balance'!$H$168+'N-balance'!$I$168)/37*'background data'!$L$34+('N-balance'!$H$167+'N-balance'!$I$167)*'background data'!$L$59+('N-balance'!$H$162+'N-balance'!$I$162)*17/14*'øvrige EFS-other EFs'!$I$31+('N-balance'!$H$163+'N-balance'!$I$163)*31/14*'øvrige EFS-other EFs'!$I$32), 0)</f>
        <v>0</v>
      </c>
      <c r="H22" s="740">
        <f>IFERROR(-(('N-balance'!$H$153+'N-balance'!$I$153)*'background data'!$M$24+('N-balance'!$H$154+'N-balance'!$I$154)*'background data'!$M$25+('N-balance'!$H$155+'N-balance'!$I$155)*'background data'!$M$26+('N-balance'!$H$168+'N-balance'!$I$168)/37*'background data'!$M$34+('N-balance'!$H$167+'N-balance'!$I$167)*'background data'!$M$59), 0)</f>
        <v>0</v>
      </c>
      <c r="I22" s="740">
        <f>IFERROR(-(('N-balance'!$H$153+'N-balance'!$I$153)*'background data'!$N$24+('N-balance'!$H$154+'N-balance'!$I$154)*'background data'!$N$25+('N-balance'!$H$155+'N-balance'!$I$155)*'background data'!$N$26+('N-balance'!$H$168+'N-balance'!$I$168)/37*'background data'!$N$34+('N-balance'!$H$167+'N-balance'!$I$167)*'background data'!$N$59+('N-balance'!$H$162+'N-balance'!$I$162)*17/14*'øvrige EFS-other EFs'!$K$31), 0)</f>
        <v>0</v>
      </c>
      <c r="J22" s="741"/>
      <c r="K22" s="741"/>
    </row>
    <row r="23" spans="2:11" hidden="1" outlineLevel="1" x14ac:dyDescent="0.2">
      <c r="B23" s="608" t="str">
        <f>IF('input-data'!$B$3="Dansk", "      TOTAL EMISSIONER", "      TOTAL EMISSIONS")</f>
        <v xml:space="preserve">      TOTAL EMISSIONER</v>
      </c>
      <c r="C23" s="649"/>
      <c r="D23" s="649">
        <f>D16+D17+D19+D20+D21+D22</f>
        <v>0</v>
      </c>
      <c r="E23" s="649">
        <f t="shared" ref="E23:J23" si="1">E16+E17+E19+E20+E21+E22</f>
        <v>0</v>
      </c>
      <c r="F23" s="649">
        <f t="shared" si="1"/>
        <v>0</v>
      </c>
      <c r="G23" s="649">
        <f t="shared" si="1"/>
        <v>0</v>
      </c>
      <c r="H23" s="649">
        <f t="shared" si="1"/>
        <v>0</v>
      </c>
      <c r="I23" s="649">
        <f t="shared" si="1"/>
        <v>0</v>
      </c>
      <c r="J23" s="649">
        <f t="shared" si="1"/>
        <v>0</v>
      </c>
      <c r="K23" s="650"/>
    </row>
    <row r="24" spans="2:11" hidden="1" outlineLevel="1" x14ac:dyDescent="0.2">
      <c r="B24" s="608" t="s">
        <v>1882</v>
      </c>
      <c r="C24" s="649"/>
      <c r="D24" s="649">
        <f>D13+D14+D23</f>
        <v>0</v>
      </c>
      <c r="E24" s="649">
        <f t="shared" ref="E24:J24" si="2">E13+E14+E23</f>
        <v>0</v>
      </c>
      <c r="F24" s="649">
        <f t="shared" si="2"/>
        <v>0</v>
      </c>
      <c r="G24" s="649">
        <f t="shared" si="2"/>
        <v>0</v>
      </c>
      <c r="H24" s="649">
        <f t="shared" si="2"/>
        <v>0</v>
      </c>
      <c r="I24" s="649">
        <f t="shared" si="2"/>
        <v>0</v>
      </c>
      <c r="J24" s="649">
        <f t="shared" si="2"/>
        <v>0</v>
      </c>
      <c r="K24" s="650"/>
    </row>
    <row r="25" spans="2:11" hidden="1" outlineLevel="1" x14ac:dyDescent="0.2">
      <c r="B25" s="738" t="str">
        <f>IF('input-data'!$B$3="Dansk", "      OUTPUT", "          OUTPUT")</f>
        <v xml:space="preserve">      OUTPUT</v>
      </c>
      <c r="C25" s="608" t="str">
        <f>C9</f>
        <v>Mængde</v>
      </c>
      <c r="D25" s="608"/>
      <c r="E25" s="608"/>
      <c r="F25" s="610"/>
      <c r="G25" s="608"/>
      <c r="H25" s="608"/>
      <c r="I25" s="608"/>
      <c r="J25" s="608"/>
      <c r="K25" s="608"/>
    </row>
    <row r="26" spans="2:11" hidden="1" outlineLevel="1" x14ac:dyDescent="0.2">
      <c r="B26" s="738" t="str">
        <f>IF('input-data'!$B$3="Dansk", "         søer udsat, stk.", "         cull sows, p.")</f>
        <v xml:space="preserve">         søer udsat, stk.</v>
      </c>
      <c r="C26" s="648">
        <f>'Flow sohold'!D6/100*'Flow sohold'!D5</f>
        <v>0</v>
      </c>
      <c r="D26" s="612"/>
      <c r="E26" s="612"/>
      <c r="F26" s="613"/>
      <c r="G26" s="612"/>
      <c r="H26" s="612"/>
      <c r="I26" s="612"/>
      <c r="J26" s="612"/>
      <c r="K26" s="612"/>
    </row>
    <row r="27" spans="2:11" hidden="1" outlineLevel="1" x14ac:dyDescent="0.2">
      <c r="B27" s="738" t="str">
        <f>IF('input-data'!$B$3="Dansk", "         søer udsat, kg levende vægt", "         cull sows, kg LW")</f>
        <v xml:space="preserve">         søer udsat, kg levende vægt</v>
      </c>
      <c r="C27" s="648">
        <f>C26*'Flow sohold'!D9</f>
        <v>0</v>
      </c>
      <c r="D27" s="612"/>
      <c r="E27" s="612"/>
      <c r="F27" s="613"/>
      <c r="G27" s="612"/>
      <c r="H27" s="612"/>
      <c r="I27" s="612"/>
      <c r="J27" s="612"/>
      <c r="K27" s="612"/>
    </row>
    <row r="28" spans="2:11" hidden="1" outlineLevel="1" x14ac:dyDescent="0.2">
      <c r="B28" s="738" t="str">
        <f>IF('input-data'!$B$3="Dansk", "         fravænnede grise, stk.", "         weaned piglets, p.")</f>
        <v xml:space="preserve">         fravænnede grise, stk.</v>
      </c>
      <c r="C28" s="613">
        <f>'Flow sohold'!D18</f>
        <v>0</v>
      </c>
      <c r="D28" s="612"/>
      <c r="E28" s="612"/>
      <c r="F28" s="613"/>
      <c r="G28" s="612"/>
      <c r="H28" s="612"/>
      <c r="I28" s="612"/>
      <c r="J28" s="612"/>
      <c r="K28" s="612"/>
    </row>
    <row r="29" spans="2:11" hidden="1" outlineLevel="1" x14ac:dyDescent="0.2">
      <c r="B29" s="738" t="str">
        <f>IF('input-data'!$B$3="Dansk", "         fravænnede grise, kg levende vægt", "         weaned piglets, kg LW")</f>
        <v xml:space="preserve">         fravænnede grise, kg levende vægt</v>
      </c>
      <c r="C29" s="613">
        <f>C28*'Flow sohold'!D21</f>
        <v>0</v>
      </c>
      <c r="D29" s="612"/>
      <c r="E29" s="612"/>
      <c r="F29" s="613"/>
      <c r="G29" s="612"/>
      <c r="H29" s="612"/>
      <c r="I29" s="612"/>
      <c r="J29" s="612"/>
      <c r="K29" s="612"/>
    </row>
    <row r="30" spans="2:11" hidden="1" outlineLevel="1" x14ac:dyDescent="0.2">
      <c r="B30" s="738" t="str">
        <f>IF('input-data'!$B$3="Dansk", "      TOTAL OUTPUT, kg levende vægt", "          TOTAL OUTPUT, kg LW")</f>
        <v xml:space="preserve">      TOTAL OUTPUT, kg levende vægt</v>
      </c>
      <c r="C30" s="649">
        <f>C27+C29</f>
        <v>0</v>
      </c>
      <c r="D30" s="608"/>
      <c r="E30" s="608"/>
      <c r="F30" s="610"/>
      <c r="G30" s="608"/>
      <c r="H30" s="608"/>
      <c r="I30" s="608"/>
      <c r="J30" s="608"/>
      <c r="K30" s="608"/>
    </row>
    <row r="31" spans="2:11" hidden="1" outlineLevel="1" x14ac:dyDescent="0.2">
      <c r="B31" s="738" t="str">
        <f>IF('input-data'!$B$3="Dansk", "      Påvirkning per fravænnet gris", "          Impact per weaned piglet")</f>
        <v xml:space="preserve">      Påvirkning per fravænnet gris</v>
      </c>
      <c r="C31" s="608"/>
      <c r="D31" s="652">
        <f>IFERROR(D24*$C$29/$C$30/$C$28, 0)</f>
        <v>0</v>
      </c>
      <c r="E31" s="652">
        <f>IFERROR(E24*$C$29/$C$30/$C$28, 0)</f>
        <v>0</v>
      </c>
      <c r="F31" s="652">
        <f>IFERROR(F24*$C$29/$C$30/$C$28,0)</f>
        <v>0</v>
      </c>
      <c r="G31" s="652">
        <f>IFERROR(G24*$C$29/$C$30/$C$28, 0)</f>
        <v>0</v>
      </c>
      <c r="H31" s="652">
        <f>IFERROR(H24*$C$29/$C$30/$C$28, 0)</f>
        <v>0</v>
      </c>
      <c r="I31" s="652">
        <f>IFERROR(I24*$C$29/$C$30/$C$28, 0)</f>
        <v>0</v>
      </c>
      <c r="J31" s="652">
        <f>IFERROR(J24*$C$29/$C$30/$C$28,0)</f>
        <v>0</v>
      </c>
      <c r="K31" s="608"/>
    </row>
    <row r="32" spans="2:11" hidden="1" outlineLevel="1" x14ac:dyDescent="0.2">
      <c r="B32" s="738" t="str">
        <f>IF('input-data'!$B$3="Dansk", "      Påvirkning per kg levende vægt grise ", "          Impact per kg LW weaned piglet")</f>
        <v xml:space="preserve">      Påvirkning per kg levende vægt grise </v>
      </c>
      <c r="C32" s="608"/>
      <c r="D32" s="651">
        <f>IFERROR(D31/'Flow sohold'!$D$21, 0)</f>
        <v>0</v>
      </c>
      <c r="E32" s="651">
        <f>IFERROR(E31/'Flow sohold'!$D$21, 0)</f>
        <v>0</v>
      </c>
      <c r="F32" s="651">
        <f>IFERROR(F31/'Flow sohold'!$D$21, 0)</f>
        <v>0</v>
      </c>
      <c r="G32" s="651">
        <f>IFERROR(G31/'Flow sohold'!$D$21, 0)</f>
        <v>0</v>
      </c>
      <c r="H32" s="651">
        <f>IFERROR(H31/'Flow sohold'!$D$21, 0)</f>
        <v>0</v>
      </c>
      <c r="I32" s="651">
        <f>IFERROR(I31/'Flow sohold'!$D$21,0)</f>
        <v>0</v>
      </c>
      <c r="J32" s="651">
        <f>IFERROR(J31/'Flow sohold'!$D$21,0)</f>
        <v>0</v>
      </c>
      <c r="K32" s="608"/>
    </row>
    <row r="33" spans="2:11" collapsed="1" x14ac:dyDescent="0.2"/>
    <row r="35" spans="2:11" x14ac:dyDescent="0.2">
      <c r="B35" s="718" t="str">
        <f>IF('input-data'!$B$3="Dansk", "SMÅGRISE", "PIGLETS")</f>
        <v>SMÅGRISE</v>
      </c>
    </row>
    <row r="36" spans="2:11" hidden="1" outlineLevel="1" x14ac:dyDescent="0.2"/>
    <row r="37" spans="2:11" hidden="1" outlineLevel="1" x14ac:dyDescent="0.2">
      <c r="B37" s="611"/>
      <c r="C37" s="619"/>
      <c r="D37" s="611"/>
      <c r="E37" s="611"/>
      <c r="F37" s="611"/>
      <c r="G37" s="611"/>
      <c r="H37" s="611"/>
      <c r="I37" s="611"/>
      <c r="J37" s="611"/>
      <c r="K37" s="611"/>
    </row>
    <row r="38" spans="2:11" hidden="1" outlineLevel="1" x14ac:dyDescent="0.2">
      <c r="B38" s="608" t="str">
        <f>IF('input-data'!$B$3="Dansk", "SMÅGRISE", "PIGLETS")</f>
        <v>SMÅGRISE</v>
      </c>
      <c r="C38" s="619"/>
      <c r="D38" s="611"/>
      <c r="E38" s="611"/>
      <c r="F38" s="611"/>
      <c r="G38" s="611"/>
      <c r="H38" s="611"/>
      <c r="I38" s="611"/>
      <c r="J38" s="611"/>
      <c r="K38" s="611"/>
    </row>
    <row r="39" spans="2:11" hidden="1" outlineLevel="1" x14ac:dyDescent="0.2">
      <c r="B39" s="611"/>
      <c r="C39" s="619"/>
      <c r="D39" s="805" t="str">
        <f>D7</f>
        <v>Miljømæssig påvirkning</v>
      </c>
      <c r="E39" s="716"/>
      <c r="F39" s="611"/>
      <c r="G39" s="611"/>
      <c r="H39" s="611"/>
      <c r="I39" s="611"/>
      <c r="J39" s="611"/>
      <c r="K39" s="611"/>
    </row>
    <row r="40" spans="2:11" ht="42.75" hidden="1" outlineLevel="1" x14ac:dyDescent="0.2">
      <c r="B40" s="611"/>
      <c r="C40" s="611"/>
      <c r="D40" s="716" t="str">
        <f>D8</f>
        <v>Klimaaftryk, kg CO2-ækv</v>
      </c>
      <c r="E40" s="716" t="str">
        <f t="shared" ref="E40:J40" si="3">E8</f>
        <v>C i jord, kg CO2-ækv</v>
      </c>
      <c r="F40" s="716" t="str">
        <f t="shared" si="3"/>
        <v>iLUC, kg CO2-ækv</v>
      </c>
      <c r="G40" s="716" t="str">
        <f t="shared" si="3"/>
        <v>Eutrofiering, kg NO3-ækv</v>
      </c>
      <c r="H40" s="716" t="str">
        <f t="shared" si="3"/>
        <v>Energiforbrug, MJ</v>
      </c>
      <c r="I40" s="716" t="str">
        <f t="shared" si="3"/>
        <v>Forsuring potential, kg SO2-ækv</v>
      </c>
      <c r="J40" s="716" t="str">
        <f t="shared" si="3"/>
        <v>Arealforbrug, m2</v>
      </c>
      <c r="K40" s="611"/>
    </row>
    <row r="41" spans="2:11" hidden="1" outlineLevel="1" x14ac:dyDescent="0.2">
      <c r="B41" s="608" t="s">
        <v>1830</v>
      </c>
      <c r="C41" s="608" t="str">
        <f>C9</f>
        <v>Mængde</v>
      </c>
      <c r="D41" s="608"/>
      <c r="E41" s="608"/>
      <c r="F41" s="608"/>
      <c r="G41" s="608"/>
      <c r="H41" s="608"/>
      <c r="I41" s="608"/>
      <c r="J41" s="608"/>
      <c r="K41" s="608"/>
    </row>
    <row r="42" spans="2:11" hidden="1" outlineLevel="1" x14ac:dyDescent="0.2">
      <c r="B42" s="738" t="str">
        <f>IF('input-data'!$B$3="Dansk", "          Fravænnede grise, stk.", "          Weaned piglets, p.")</f>
        <v xml:space="preserve">          Fravænnede grise, stk.</v>
      </c>
      <c r="C42" s="613">
        <f>'Flow smågrise'!D5+'Flow smågrise'!D6</f>
        <v>0</v>
      </c>
      <c r="D42" s="613">
        <f>'Flow smågrise'!$D$5*D31+'Flow smågrise'!$D$6*D32*'Flow smågrise'!$D$7</f>
        <v>0</v>
      </c>
      <c r="E42" s="613">
        <f>'Flow smågrise'!$D$5*E31+'Flow smågrise'!$D$6*E32*'Flow smågrise'!$D$7</f>
        <v>0</v>
      </c>
      <c r="F42" s="613">
        <f>'Flow smågrise'!$D$5*F31+'Flow smågrise'!$D$6*F32*'Flow smågrise'!$D$7</f>
        <v>0</v>
      </c>
      <c r="G42" s="613">
        <f>'Flow smågrise'!$D$5*G31+'Flow smågrise'!$D$6*G32*'Flow smågrise'!$D$7</f>
        <v>0</v>
      </c>
      <c r="H42" s="613">
        <f>'Flow smågrise'!$D$5*H31+'Flow smågrise'!$D$6*H32*'Flow smågrise'!$D$7</f>
        <v>0</v>
      </c>
      <c r="I42" s="613">
        <f>'Flow smågrise'!$D$5*I31+'Flow smågrise'!$D$6*I32*'Flow smågrise'!$D$7</f>
        <v>0</v>
      </c>
      <c r="J42" s="613">
        <f>'Flow smågrise'!$D$5*J31+'Flow smågrise'!$D$6*J32*'Flow smågrise'!$D$7</f>
        <v>0</v>
      </c>
      <c r="K42" s="613"/>
    </row>
    <row r="43" spans="2:11" hidden="1" outlineLevel="1" x14ac:dyDescent="0.2">
      <c r="B43" s="608" t="str">
        <f>B10</f>
        <v xml:space="preserve">          Foder, kg TS</v>
      </c>
      <c r="C43" s="613">
        <f>SUM('Feed - overview'!J88:J139)</f>
        <v>0</v>
      </c>
      <c r="D43" s="613">
        <f>SUM('Feed - overview'!Q89:Q139)</f>
        <v>0</v>
      </c>
      <c r="E43" s="613">
        <f>SUM('Feed - overview'!R89:R139)</f>
        <v>0</v>
      </c>
      <c r="F43" s="613">
        <f>SUM('Feed - overview'!S89:S139)</f>
        <v>0</v>
      </c>
      <c r="G43" s="613">
        <f>SUM('Feed - overview'!T89:T139)</f>
        <v>0</v>
      </c>
      <c r="H43" s="613">
        <f>SUM('Feed - overview'!U89:U139)</f>
        <v>0</v>
      </c>
      <c r="I43" s="613">
        <f>SUM('Feed - overview'!V89:V139)</f>
        <v>0</v>
      </c>
      <c r="J43" s="613">
        <f>SUM('Feed - overview'!W89:W139)</f>
        <v>0</v>
      </c>
      <c r="K43" s="612"/>
    </row>
    <row r="44" spans="2:11" hidden="1" outlineLevel="1" x14ac:dyDescent="0.2">
      <c r="B44" s="608" t="str">
        <f>B11</f>
        <v xml:space="preserve">          Strøelse, kg</v>
      </c>
      <c r="C44" s="613">
        <f>'N-balance'!J123+'N-balance'!J138</f>
        <v>0</v>
      </c>
      <c r="D44" s="613">
        <f>$C44*'background data'!$G$11</f>
        <v>0</v>
      </c>
      <c r="E44" s="613">
        <f>$C44*'background data'!$H$11</f>
        <v>0</v>
      </c>
      <c r="F44" s="613">
        <f>$C44*'background data'!$J$11</f>
        <v>0</v>
      </c>
      <c r="G44" s="613">
        <f>$C44*'background data'!$L$11</f>
        <v>0</v>
      </c>
      <c r="H44" s="613">
        <f>$C44*'background data'!$M$11</f>
        <v>0</v>
      </c>
      <c r="I44" s="613">
        <f>$C44*'background data'!$N$11</f>
        <v>0</v>
      </c>
      <c r="J44" s="613">
        <f>$C44*'background data'!$O$11</f>
        <v>0</v>
      </c>
      <c r="K44" s="612"/>
    </row>
    <row r="45" spans="2:11" hidden="1" outlineLevel="1" x14ac:dyDescent="0.2">
      <c r="B45" s="608" t="str">
        <f>B12</f>
        <v xml:space="preserve">          Energiforbrug, kWh</v>
      </c>
      <c r="C45" s="613"/>
      <c r="D45" s="612"/>
      <c r="E45" s="612"/>
      <c r="F45" s="612"/>
      <c r="G45" s="612"/>
      <c r="H45" s="612"/>
      <c r="I45" s="612"/>
      <c r="J45" s="612"/>
      <c r="K45" s="612"/>
    </row>
    <row r="46" spans="2:11" hidden="1" outlineLevel="1" x14ac:dyDescent="0.2">
      <c r="B46" s="608" t="str">
        <f xml:space="preserve"> IF('input-data'!$B$3="Dansk", "          Dyr, stk.", "          Animals, p.")</f>
        <v xml:space="preserve">          Dyr, stk.</v>
      </c>
      <c r="C46" s="613">
        <f>'input-data'!E27</f>
        <v>0</v>
      </c>
      <c r="D46" s="612">
        <f>IF(D32=0, 'input-data'!$E$27*'input-data'!$E$28*2.95, 'input-data'!$E$27*'input-data'!$E$28*D32)</f>
        <v>0</v>
      </c>
      <c r="E46" s="612">
        <f>IF(E32=0, 'input-data'!$E$27*'input-data'!$E$28*0.5, 'input-data'!$E$27*'input-data'!$E$28*E32)</f>
        <v>0</v>
      </c>
      <c r="F46" s="612">
        <f>IF(F32=0, 'input-data'!$E$27*'input-data'!$E$28*1.52, 'input-data'!$E$27*'input-data'!$E$28*F32)</f>
        <v>0</v>
      </c>
      <c r="G46" s="612">
        <f>IF(G32=0, 'input-data'!$E$27*'input-data'!$E$28*0.3, 'input-data'!$E$27*'input-data'!$E$28*G32)</f>
        <v>0</v>
      </c>
      <c r="H46" s="612">
        <f>IF(H32=0, 'input-data'!$E$27*'input-data'!$E$28*11.3, 'input-data'!$E$27*'input-data'!$E$28*H32)</f>
        <v>0</v>
      </c>
      <c r="I46" s="612">
        <f>IF(I32=0, 'input-data'!$E$27*'input-data'!$E$28*0.02, 'input-data'!$E$27*'input-data'!$E$28*I32)</f>
        <v>0</v>
      </c>
      <c r="J46" s="612">
        <f>IF(J32=0, 'input-data'!$E$27*'input-data'!$E$28*10.6, 'input-data'!$E$27*'input-data'!$E$28*J32)</f>
        <v>0</v>
      </c>
      <c r="K46" s="612"/>
    </row>
    <row r="47" spans="2:11" hidden="1" outlineLevel="1" x14ac:dyDescent="0.2">
      <c r="B47" s="608" t="s">
        <v>1785</v>
      </c>
      <c r="C47" s="649"/>
      <c r="D47" s="649">
        <f>SUM(D42:D46)</f>
        <v>0</v>
      </c>
      <c r="E47" s="649">
        <f t="shared" ref="E47:J47" si="4">SUM(E42:E46)</f>
        <v>0</v>
      </c>
      <c r="F47" s="649">
        <f t="shared" si="4"/>
        <v>0</v>
      </c>
      <c r="G47" s="649">
        <f t="shared" si="4"/>
        <v>0</v>
      </c>
      <c r="H47" s="649">
        <f t="shared" si="4"/>
        <v>0</v>
      </c>
      <c r="I47" s="649">
        <f t="shared" si="4"/>
        <v>0</v>
      </c>
      <c r="J47" s="649">
        <f t="shared" si="4"/>
        <v>0</v>
      </c>
      <c r="K47" s="650"/>
    </row>
    <row r="48" spans="2:11" hidden="1" outlineLevel="1" x14ac:dyDescent="0.2">
      <c r="B48" s="608" t="s">
        <v>1881</v>
      </c>
      <c r="C48" s="613">
        <f>((C43-SUM('Feed - overview'!N89:N139))/0.85+C44)/1000*50</f>
        <v>0</v>
      </c>
      <c r="D48" s="613">
        <f>$C48*'background data'!K$59</f>
        <v>0</v>
      </c>
      <c r="E48" s="613"/>
      <c r="F48" s="613"/>
      <c r="G48" s="613">
        <f>$C48*'background data'!L$59</f>
        <v>0</v>
      </c>
      <c r="H48" s="613">
        <f>$C48*'background data'!M$59</f>
        <v>0</v>
      </c>
      <c r="I48" s="613">
        <f>$C48*'background data'!N$59</f>
        <v>0</v>
      </c>
      <c r="J48" s="613">
        <f>$C48*'background data'!O$59</f>
        <v>0</v>
      </c>
      <c r="K48" s="612"/>
    </row>
    <row r="49" spans="2:11" hidden="1" outlineLevel="1" x14ac:dyDescent="0.2">
      <c r="B49" s="608" t="str">
        <f t="shared" ref="B49:B59" si="5">B15</f>
        <v xml:space="preserve">      EMISSIONER</v>
      </c>
      <c r="C49" s="649"/>
      <c r="D49" s="650"/>
      <c r="E49" s="650"/>
      <c r="F49" s="650"/>
      <c r="G49" s="650"/>
      <c r="H49" s="650"/>
      <c r="I49" s="650"/>
      <c r="J49" s="650"/>
      <c r="K49" s="650"/>
    </row>
    <row r="50" spans="2:11" hidden="1" outlineLevel="1" x14ac:dyDescent="0.2">
      <c r="B50" s="608" t="str">
        <f t="shared" si="5"/>
        <v xml:space="preserve">          Fordøjelse, kg CH4</v>
      </c>
      <c r="C50" s="613">
        <f>IFERROR(SUM('Feed - overview'!H89:H139)*90*670/(55.65*1000000),0)</f>
        <v>0</v>
      </c>
      <c r="D50" s="613">
        <f>C50*'øvrige EFS-other EFs'!$D$28</f>
        <v>0</v>
      </c>
      <c r="E50" s="612"/>
      <c r="F50" s="612"/>
      <c r="G50" s="612"/>
      <c r="H50" s="612"/>
      <c r="I50" s="612"/>
      <c r="J50" s="612"/>
      <c r="K50" s="612"/>
    </row>
    <row r="51" spans="2:11" hidden="1" outlineLevel="1" x14ac:dyDescent="0.2">
      <c r="B51" s="608" t="str">
        <f t="shared" si="5"/>
        <v xml:space="preserve">          CH4 gødning, kg CH4</v>
      </c>
      <c r="C51" s="613">
        <f>'N-balance'!J128+'N-balance'!J140</f>
        <v>0</v>
      </c>
      <c r="D51" s="613">
        <f>C51*'øvrige EFS-other EFs'!$D$28</f>
        <v>0</v>
      </c>
      <c r="E51" s="612"/>
      <c r="F51" s="612"/>
      <c r="G51" s="612"/>
      <c r="H51" s="612"/>
      <c r="I51" s="612"/>
      <c r="J51" s="612"/>
      <c r="K51" s="612"/>
    </row>
    <row r="52" spans="2:11" hidden="1" outlineLevel="1" x14ac:dyDescent="0.2">
      <c r="B52" s="608" t="str">
        <f t="shared" si="5"/>
        <v xml:space="preserve">          N emissioner stalde og lager</v>
      </c>
      <c r="C52" s="649"/>
      <c r="D52" s="650"/>
      <c r="E52" s="650"/>
      <c r="F52" s="650"/>
      <c r="G52" s="650"/>
      <c r="H52" s="650"/>
      <c r="I52" s="650"/>
      <c r="J52" s="650"/>
      <c r="K52" s="650"/>
    </row>
    <row r="53" spans="2:11" hidden="1" outlineLevel="1" x14ac:dyDescent="0.2">
      <c r="B53" s="608" t="str">
        <f t="shared" si="5"/>
        <v xml:space="preserve">              N2O, kg</v>
      </c>
      <c r="C53" s="613">
        <f>('N-balance'!J22+'N-balance'!J23+'N-balance'!J27+'N-balance'!J28)*44/28</f>
        <v>0</v>
      </c>
      <c r="D53" s="613">
        <f>C53*'øvrige EFS-other EFs'!$D$27</f>
        <v>0</v>
      </c>
      <c r="E53" s="612"/>
      <c r="F53" s="612"/>
      <c r="G53" s="612"/>
      <c r="H53" s="612"/>
      <c r="I53" s="612"/>
      <c r="J53" s="612"/>
      <c r="K53" s="612"/>
    </row>
    <row r="54" spans="2:11" hidden="1" outlineLevel="1" x14ac:dyDescent="0.2">
      <c r="B54" s="608" t="str">
        <f t="shared" si="5"/>
        <v xml:space="preserve">              NH3, kg</v>
      </c>
      <c r="C54" s="613">
        <f>('N-balance'!J21+'N-balance'!J26)*17/14</f>
        <v>0</v>
      </c>
      <c r="D54" s="612"/>
      <c r="E54" s="612"/>
      <c r="F54" s="612"/>
      <c r="G54" s="613">
        <f>C54*'øvrige EFS-other EFs'!$I$31</f>
        <v>0</v>
      </c>
      <c r="H54" s="612"/>
      <c r="I54" s="613">
        <f>C54*'øvrige EFS-other EFs'!$K$31</f>
        <v>0</v>
      </c>
      <c r="J54" s="612"/>
      <c r="K54" s="612"/>
    </row>
    <row r="55" spans="2:11" hidden="1" outlineLevel="1" x14ac:dyDescent="0.2">
      <c r="B55" s="608" t="str">
        <f t="shared" si="5"/>
        <v xml:space="preserve">              NOx, kg</v>
      </c>
      <c r="C55" s="613">
        <f>('N-balance'!J24+'N-balance'!J29)*30/14</f>
        <v>0</v>
      </c>
      <c r="D55" s="612"/>
      <c r="E55" s="612"/>
      <c r="F55" s="612"/>
      <c r="G55" s="613">
        <f>C55*'øvrige EFS-other EFs'!$I$32</f>
        <v>0</v>
      </c>
      <c r="H55" s="612"/>
      <c r="I55" s="613">
        <f>C55*'øvrige EFS-other EFs'!$K$32</f>
        <v>0</v>
      </c>
      <c r="J55" s="612"/>
      <c r="K55" s="612"/>
    </row>
    <row r="56" spans="2:11" hidden="1" outlineLevel="1" x14ac:dyDescent="0.2">
      <c r="B56" s="739" t="str">
        <f t="shared" si="5"/>
        <v xml:space="preserve">          Erstatningsværdi for handelsgødning</v>
      </c>
      <c r="C56" s="740"/>
      <c r="D56" s="740">
        <f>-(('N-balance'!$J$153)*'background data'!$K$24+('N-balance'!$J$154)*'background data'!$K$25+('N-balance'!$J$155)*'background data'!$K$26+('N-balance'!$J$161+'N-balance'!$J$166)*44/24*'øvrige EFS-other EFs'!$D$27+('N-balance'!$J$168)/37*'background data'!$K$34+('N-balance'!$J$167)*'background data'!$K$59)</f>
        <v>0</v>
      </c>
      <c r="E56" s="740"/>
      <c r="F56" s="740"/>
      <c r="G56" s="740">
        <f>-(('N-balance'!$J$153)*'background data'!$L$24+('N-balance'!$J$154)*'background data'!$L$25+('N-balance'!$J$155)*'background data'!$L$26+('N-balance'!$J$168)/37*'background data'!$L$34+('N-balance'!$J$167)*'background data'!$L$59+('N-balance'!$J$162)*17/14*'øvrige EFS-other EFs'!$I$31+('N-balance'!$J$163)*31/14*'øvrige EFS-other EFs'!$I$32)</f>
        <v>0</v>
      </c>
      <c r="H56" s="740">
        <f>-(('N-balance'!$J$153)*'background data'!$M$24+('N-balance'!$J$154)*'background data'!$M$25+('N-balance'!$J$155)*'background data'!$M$26+('N-balance'!$J$168)/37*'background data'!$M$34+('N-balance'!$J$167)*'background data'!$M$59)</f>
        <v>0</v>
      </c>
      <c r="I56" s="740">
        <f>-(('N-balance'!$J$153)*'background data'!$N$24+('N-balance'!$J$154)*'background data'!$N$25+('N-balance'!$J$155)*'background data'!$N$26+('N-balance'!$J$168)/37*'background data'!$N$34+('N-balance'!$J$167)*'background data'!$N$59+('N-balance'!$J$162)*17/14*'øvrige EFS-other EFs'!$K$31)</f>
        <v>0</v>
      </c>
      <c r="J56" s="742"/>
      <c r="K56" s="612"/>
    </row>
    <row r="57" spans="2:11" hidden="1" outlineLevel="1" x14ac:dyDescent="0.2">
      <c r="B57" s="608" t="str">
        <f t="shared" si="5"/>
        <v xml:space="preserve">      TOTAL EMISSIONER</v>
      </c>
      <c r="C57" s="649"/>
      <c r="D57" s="649">
        <f>D50+D51+D53+D54+D55+D56</f>
        <v>0</v>
      </c>
      <c r="E57" s="649">
        <f t="shared" ref="E57:H57" si="6">E50+E51+E53+E54+E55+E56</f>
        <v>0</v>
      </c>
      <c r="F57" s="649">
        <f t="shared" si="6"/>
        <v>0</v>
      </c>
      <c r="G57" s="649">
        <f t="shared" si="6"/>
        <v>0</v>
      </c>
      <c r="H57" s="649">
        <f t="shared" si="6"/>
        <v>0</v>
      </c>
      <c r="I57" s="649">
        <f>I50+I51+I53+I54+I55+I56</f>
        <v>0</v>
      </c>
      <c r="J57" s="649">
        <f>J50+J51+J53+J54+J55+J56</f>
        <v>0</v>
      </c>
      <c r="K57" s="650"/>
    </row>
    <row r="58" spans="2:11" hidden="1" outlineLevel="1" x14ac:dyDescent="0.2">
      <c r="B58" s="608" t="str">
        <f t="shared" si="5"/>
        <v xml:space="preserve">      TOTAL </v>
      </c>
      <c r="C58" s="649"/>
      <c r="D58" s="649">
        <f>D47+D48+D57</f>
        <v>0</v>
      </c>
      <c r="E58" s="649">
        <f t="shared" ref="E58:J58" si="7">E47+E48+E57</f>
        <v>0</v>
      </c>
      <c r="F58" s="649">
        <f t="shared" si="7"/>
        <v>0</v>
      </c>
      <c r="G58" s="649">
        <f t="shared" si="7"/>
        <v>0</v>
      </c>
      <c r="H58" s="649">
        <f t="shared" si="7"/>
        <v>0</v>
      </c>
      <c r="I58" s="649">
        <f t="shared" si="7"/>
        <v>0</v>
      </c>
      <c r="J58" s="649">
        <f t="shared" si="7"/>
        <v>0</v>
      </c>
      <c r="K58" s="650"/>
    </row>
    <row r="59" spans="2:11" hidden="1" outlineLevel="1" x14ac:dyDescent="0.2">
      <c r="B59" s="608" t="str">
        <f t="shared" si="5"/>
        <v xml:space="preserve">      OUTPUT</v>
      </c>
      <c r="C59" s="608" t="str">
        <f>C41</f>
        <v>Mængde</v>
      </c>
      <c r="D59" s="608"/>
      <c r="E59" s="608"/>
      <c r="F59" s="610"/>
      <c r="G59" s="608"/>
      <c r="H59" s="608"/>
      <c r="I59" s="608"/>
      <c r="J59" s="608"/>
      <c r="K59" s="608"/>
    </row>
    <row r="60" spans="2:11" hidden="1" outlineLevel="1" x14ac:dyDescent="0.2">
      <c r="B60" s="738" t="str">
        <f>IF('input-data'!$B$3="Dansk", "         smågrise, stk.", "         piglets, p.")</f>
        <v xml:space="preserve">         smågrise, stk.</v>
      </c>
      <c r="C60" s="613">
        <f>'Flow smågrise'!D9</f>
        <v>0</v>
      </c>
      <c r="D60" s="612"/>
      <c r="E60" s="612"/>
      <c r="F60" s="613"/>
      <c r="G60" s="612"/>
      <c r="H60" s="612"/>
      <c r="I60" s="612"/>
      <c r="J60" s="612"/>
      <c r="K60" s="612"/>
    </row>
    <row r="61" spans="2:11" hidden="1" outlineLevel="1" x14ac:dyDescent="0.2">
      <c r="B61" s="738" t="str">
        <f>IF('input-data'!$B$3="Dansk", "         smågrise, kg levende vægt", "         piglets, kg LW")</f>
        <v xml:space="preserve">         smågrise, kg levende vægt</v>
      </c>
      <c r="C61" s="613">
        <f>C60*'Flow smågrise'!$D$13</f>
        <v>0</v>
      </c>
      <c r="D61" s="612"/>
      <c r="E61" s="612"/>
      <c r="F61" s="613"/>
      <c r="G61" s="612"/>
      <c r="H61" s="612"/>
      <c r="I61" s="612"/>
      <c r="J61" s="612"/>
      <c r="K61" s="612"/>
    </row>
    <row r="62" spans="2:11" hidden="1" outlineLevel="1" x14ac:dyDescent="0.2">
      <c r="B62" s="608" t="str">
        <f>B30</f>
        <v xml:space="preserve">      TOTAL OUTPUT, kg levende vægt</v>
      </c>
      <c r="C62" s="649">
        <f>C61</f>
        <v>0</v>
      </c>
      <c r="D62" s="608"/>
      <c r="E62" s="608"/>
      <c r="F62" s="610"/>
      <c r="G62" s="608"/>
      <c r="H62" s="608"/>
      <c r="I62" s="608"/>
      <c r="J62" s="608"/>
      <c r="K62" s="608"/>
    </row>
    <row r="63" spans="2:11" hidden="1" outlineLevel="1" x14ac:dyDescent="0.2">
      <c r="B63" s="738" t="str">
        <f>IF('input-data'!$B$3="Dansk", "      Påvirkning per smågris", "          Impact per piglet")</f>
        <v xml:space="preserve">      Påvirkning per smågris</v>
      </c>
      <c r="C63" s="608"/>
      <c r="D63" s="652">
        <f>IFERROR(D58/$C$60,0)</f>
        <v>0</v>
      </c>
      <c r="E63" s="652">
        <f t="shared" ref="E63:J63" si="8">IFERROR(E58/$C$60,0)</f>
        <v>0</v>
      </c>
      <c r="F63" s="652">
        <f t="shared" si="8"/>
        <v>0</v>
      </c>
      <c r="G63" s="652">
        <f t="shared" si="8"/>
        <v>0</v>
      </c>
      <c r="H63" s="652">
        <f t="shared" si="8"/>
        <v>0</v>
      </c>
      <c r="I63" s="652">
        <f t="shared" si="8"/>
        <v>0</v>
      </c>
      <c r="J63" s="652">
        <f t="shared" si="8"/>
        <v>0</v>
      </c>
      <c r="K63" s="608"/>
    </row>
    <row r="64" spans="2:11" hidden="1" outlineLevel="1" x14ac:dyDescent="0.2">
      <c r="B64" s="738" t="str">
        <f>IF('input-data'!$B$3="Dansk", "      Påvirkning per kg levende vægt smågrise ", "          Impact per kg LW piglet")</f>
        <v xml:space="preserve">      Påvirkning per kg levende vægt smågrise </v>
      </c>
      <c r="C64" s="608"/>
      <c r="D64" s="651">
        <f>IFERROR(D63/'Flow smågrise'!$D$13,0)</f>
        <v>0</v>
      </c>
      <c r="E64" s="651">
        <f>IFERROR(E63/'Flow smågrise'!$D$13,0)</f>
        <v>0</v>
      </c>
      <c r="F64" s="651">
        <f>IFERROR(F63/'Flow smågrise'!$D$13,0)</f>
        <v>0</v>
      </c>
      <c r="G64" s="651">
        <f>IFERROR(G63/'Flow smågrise'!$D$13,0)</f>
        <v>0</v>
      </c>
      <c r="H64" s="651">
        <f>IFERROR(H63/'Flow smågrise'!$D$13,0)</f>
        <v>0</v>
      </c>
      <c r="I64" s="651">
        <f>IFERROR(I63/'Flow smågrise'!$D$13,0)</f>
        <v>0</v>
      </c>
      <c r="J64" s="651">
        <f>IFERROR(J63/'Flow smågrise'!$D$13,0)</f>
        <v>0</v>
      </c>
      <c r="K64" s="608"/>
    </row>
    <row r="65" spans="2:11" collapsed="1" x14ac:dyDescent="0.2"/>
    <row r="67" spans="2:11" x14ac:dyDescent="0.2">
      <c r="B67" s="718" t="str">
        <f>IF('input-data'!$B$3="Dansk", "SLAGTESVIN", "SLAUGHTER PIGS")</f>
        <v>SLAGTESVIN</v>
      </c>
    </row>
    <row r="68" spans="2:11" hidden="1" outlineLevel="1" x14ac:dyDescent="0.2"/>
    <row r="69" spans="2:11" hidden="1" outlineLevel="1" x14ac:dyDescent="0.2">
      <c r="B69" s="779"/>
      <c r="C69" s="619"/>
      <c r="D69" s="611"/>
      <c r="E69" s="611"/>
      <c r="F69" s="611"/>
      <c r="G69" s="611"/>
      <c r="H69" s="611"/>
      <c r="I69" s="611"/>
      <c r="J69" s="611"/>
      <c r="K69" s="611"/>
    </row>
    <row r="70" spans="2:11" hidden="1" outlineLevel="1" x14ac:dyDescent="0.2">
      <c r="B70" s="738" t="str">
        <f>IF('input-data'!$B$3="Dansk", "SLAGTESVIN", "SLAUGHTER PIGS")</f>
        <v>SLAGTESVIN</v>
      </c>
      <c r="C70" s="862"/>
      <c r="D70" s="737"/>
      <c r="E70" s="737"/>
      <c r="F70" s="737"/>
      <c r="G70" s="737"/>
      <c r="H70" s="737"/>
      <c r="I70" s="737"/>
      <c r="J70" s="737"/>
      <c r="K70" s="779"/>
    </row>
    <row r="71" spans="2:11" hidden="1" outlineLevel="1" x14ac:dyDescent="0.2">
      <c r="B71" s="737"/>
      <c r="C71" s="863"/>
      <c r="D71" s="864" t="str">
        <f>D7</f>
        <v>Miljømæssig påvirkning</v>
      </c>
      <c r="E71" s="865"/>
      <c r="F71" s="865"/>
      <c r="G71" s="865"/>
      <c r="H71" s="865"/>
      <c r="I71" s="865"/>
      <c r="J71" s="865"/>
      <c r="K71" s="779"/>
    </row>
    <row r="72" spans="2:11" hidden="1" outlineLevel="1" x14ac:dyDescent="0.2">
      <c r="B72" s="737"/>
      <c r="C72" s="863"/>
      <c r="D72" s="941" t="str">
        <f>D8</f>
        <v>Klimaaftryk, kg CO2-ækv</v>
      </c>
      <c r="E72" s="941" t="str">
        <f t="shared" ref="E72:J72" si="9">E8</f>
        <v>C i jord, kg CO2-ækv</v>
      </c>
      <c r="F72" s="941" t="str">
        <f t="shared" si="9"/>
        <v>iLUC, kg CO2-ækv</v>
      </c>
      <c r="G72" s="941" t="str">
        <f t="shared" si="9"/>
        <v>Eutrofiering, kg NO3-ækv</v>
      </c>
      <c r="H72" s="941" t="str">
        <f t="shared" si="9"/>
        <v>Energiforbrug, MJ</v>
      </c>
      <c r="I72" s="941" t="str">
        <f t="shared" si="9"/>
        <v>Forsuring potential, kg SO2-ækv</v>
      </c>
      <c r="J72" s="941" t="str">
        <f t="shared" si="9"/>
        <v>Arealforbrug, m2</v>
      </c>
      <c r="K72" s="779"/>
    </row>
    <row r="73" spans="2:11" hidden="1" outlineLevel="1" x14ac:dyDescent="0.2">
      <c r="B73" s="737"/>
      <c r="C73" s="866" t="str">
        <f>C9</f>
        <v>Mængde</v>
      </c>
      <c r="D73" s="941"/>
      <c r="E73" s="941"/>
      <c r="F73" s="941"/>
      <c r="G73" s="941"/>
      <c r="H73" s="941"/>
      <c r="I73" s="941"/>
      <c r="J73" s="941"/>
      <c r="K73" s="779"/>
    </row>
    <row r="74" spans="2:11" hidden="1" outlineLevel="1" x14ac:dyDescent="0.2">
      <c r="B74" s="738" t="s">
        <v>1830</v>
      </c>
      <c r="C74" s="867"/>
      <c r="D74" s="941"/>
      <c r="E74" s="941"/>
      <c r="F74" s="941"/>
      <c r="G74" s="941"/>
      <c r="H74" s="941"/>
      <c r="I74" s="941"/>
      <c r="J74" s="941"/>
      <c r="K74" s="779"/>
    </row>
    <row r="75" spans="2:11" hidden="1" outlineLevel="1" x14ac:dyDescent="0.2">
      <c r="B75" s="738" t="str">
        <f>IF('input-data'!$B$3="Dansk", "          Smågrise, stk.", "          Piglets, p.")</f>
        <v xml:space="preserve">          Smågrise, stk.</v>
      </c>
      <c r="C75" s="613">
        <f>'Flow slagtesvin'!D5</f>
        <v>0</v>
      </c>
      <c r="D75" s="613">
        <f t="shared" ref="D75:J75" si="10">$C$75*D63</f>
        <v>0</v>
      </c>
      <c r="E75" s="613">
        <f t="shared" si="10"/>
        <v>0</v>
      </c>
      <c r="F75" s="613">
        <f t="shared" si="10"/>
        <v>0</v>
      </c>
      <c r="G75" s="613">
        <f t="shared" si="10"/>
        <v>0</v>
      </c>
      <c r="H75" s="613">
        <f t="shared" si="10"/>
        <v>0</v>
      </c>
      <c r="I75" s="613">
        <f t="shared" si="10"/>
        <v>0</v>
      </c>
      <c r="J75" s="613">
        <f t="shared" si="10"/>
        <v>0</v>
      </c>
      <c r="K75" s="613"/>
    </row>
    <row r="76" spans="2:11" hidden="1" outlineLevel="1" x14ac:dyDescent="0.2">
      <c r="B76" s="738" t="str">
        <f>B10</f>
        <v xml:space="preserve">          Foder, kg TS</v>
      </c>
      <c r="C76" s="613">
        <f>SUM('Feed - overview'!J118:J169)</f>
        <v>0</v>
      </c>
      <c r="D76" s="613">
        <f>SUM('Feed - overview'!Q140:Q190)</f>
        <v>0</v>
      </c>
      <c r="E76" s="613">
        <f>SUM('Feed - overview'!R140:R190)</f>
        <v>0</v>
      </c>
      <c r="F76" s="613">
        <f>SUM('Feed - overview'!S140:S190)</f>
        <v>0</v>
      </c>
      <c r="G76" s="613">
        <f>SUM('Feed - overview'!T140:T190)</f>
        <v>0</v>
      </c>
      <c r="H76" s="613">
        <f>SUM('Feed - overview'!U140:U190)</f>
        <v>0</v>
      </c>
      <c r="I76" s="613">
        <f>SUM('Feed - overview'!V140:V190)</f>
        <v>0</v>
      </c>
      <c r="J76" s="613">
        <f>SUM('Feed - overview'!W140:W190)</f>
        <v>0</v>
      </c>
      <c r="K76" s="612"/>
    </row>
    <row r="77" spans="2:11" hidden="1" outlineLevel="1" x14ac:dyDescent="0.2">
      <c r="B77" s="738" t="str">
        <f>B11</f>
        <v xml:space="preserve">          Strøelse, kg</v>
      </c>
      <c r="C77" s="613">
        <f>'N-balance'!K123+'N-balance'!K138</f>
        <v>0</v>
      </c>
      <c r="D77" s="613">
        <f>$C77*'background data'!$G$11</f>
        <v>0</v>
      </c>
      <c r="E77" s="613">
        <f>$C77*'background data'!$H$11</f>
        <v>0</v>
      </c>
      <c r="F77" s="613">
        <f>$C77*'background data'!$J$11</f>
        <v>0</v>
      </c>
      <c r="G77" s="613">
        <f>$C77*'background data'!$L$11</f>
        <v>0</v>
      </c>
      <c r="H77" s="613">
        <f>$C77*'background data'!$M$11</f>
        <v>0</v>
      </c>
      <c r="I77" s="613">
        <f>$C77*'background data'!$N$11</f>
        <v>0</v>
      </c>
      <c r="J77" s="613">
        <f>$C77*'background data'!$O$11</f>
        <v>0</v>
      </c>
      <c r="K77" s="612"/>
    </row>
    <row r="78" spans="2:11" hidden="1" outlineLevel="1" x14ac:dyDescent="0.2">
      <c r="B78" s="738" t="str">
        <f>B12</f>
        <v xml:space="preserve">          Energiforbrug, kWh</v>
      </c>
      <c r="C78" s="613">
        <f>'input-data'!E492</f>
        <v>0</v>
      </c>
      <c r="D78" s="613">
        <f>C78*'background data'!K38</f>
        <v>0</v>
      </c>
      <c r="E78" s="613">
        <f>D78</f>
        <v>0</v>
      </c>
      <c r="F78" s="613">
        <f>D78</f>
        <v>0</v>
      </c>
      <c r="G78" s="613">
        <f>$C78*'background data'!L38</f>
        <v>0</v>
      </c>
      <c r="H78" s="613">
        <f>$C78*'background data'!M38</f>
        <v>0</v>
      </c>
      <c r="I78" s="613">
        <f>$C78*'background data'!N38</f>
        <v>0</v>
      </c>
      <c r="J78" s="613">
        <f>$C78*'background data'!O38</f>
        <v>0</v>
      </c>
      <c r="K78" s="612"/>
    </row>
    <row r="79" spans="2:11" hidden="1" outlineLevel="1" x14ac:dyDescent="0.2">
      <c r="B79" s="608" t="str">
        <f xml:space="preserve"> IF('input-data'!$B$3="Dansk", "          Dyr, stk.", "          Animals, p.")</f>
        <v xml:space="preserve">          Dyr, stk.</v>
      </c>
      <c r="C79" s="613">
        <f>'input-data'!E34</f>
        <v>0</v>
      </c>
      <c r="D79" s="613">
        <f>IF(D64=0, $C$79*'input-data'!$E$35*2.28,$C$79*'input-data'!$E$35*D64)</f>
        <v>0</v>
      </c>
      <c r="E79" s="613">
        <f>IF(E64=0, $C$79*'input-data'!$E$35*0.4,$C$79*'input-data'!$E$35*E64)</f>
        <v>0</v>
      </c>
      <c r="F79" s="613">
        <f>IF(F64=0, $C$79*'input-data'!$E$35*1.2,$C$79*'input-data'!$E$35*F64)</f>
        <v>0</v>
      </c>
      <c r="G79" s="613">
        <f>IF(G64=0, $C$79*'input-data'!$E$35*0.26,$C$79*'input-data'!$E$35*G64)</f>
        <v>0</v>
      </c>
      <c r="H79" s="613">
        <f>IF(H64=0, $C$79*'input-data'!$E$35*8.88,$C$79*'input-data'!$E$35*H64)</f>
        <v>0</v>
      </c>
      <c r="I79" s="613">
        <f>IF(I64=0, $C$79*'input-data'!$E$35*0.02,$C$79*'input-data'!$E$35*I64)</f>
        <v>0</v>
      </c>
      <c r="J79" s="613">
        <f>IF(J64=0, $C$79*'input-data'!$E$35*8.4,$C$79*'input-data'!$E$35*J64)</f>
        <v>0</v>
      </c>
      <c r="K79" s="612"/>
    </row>
    <row r="80" spans="2:11" hidden="1" outlineLevel="1" x14ac:dyDescent="0.2">
      <c r="B80" s="738" t="s">
        <v>1785</v>
      </c>
      <c r="C80" s="649"/>
      <c r="D80" s="649">
        <f>SUM(D75:D79)</f>
        <v>0</v>
      </c>
      <c r="E80" s="649">
        <f t="shared" ref="E80:J80" si="11">SUM(E75:E79)</f>
        <v>0</v>
      </c>
      <c r="F80" s="649">
        <f t="shared" si="11"/>
        <v>0</v>
      </c>
      <c r="G80" s="649">
        <f t="shared" si="11"/>
        <v>0</v>
      </c>
      <c r="H80" s="649">
        <f t="shared" si="11"/>
        <v>0</v>
      </c>
      <c r="I80" s="649">
        <f t="shared" si="11"/>
        <v>0</v>
      </c>
      <c r="J80" s="649">
        <f t="shared" si="11"/>
        <v>0</v>
      </c>
      <c r="K80" s="650"/>
    </row>
    <row r="81" spans="2:11" hidden="1" outlineLevel="1" x14ac:dyDescent="0.2">
      <c r="B81" s="738" t="s">
        <v>1881</v>
      </c>
      <c r="C81" s="613">
        <f>((C76-SUM('Feed - overview'!N140:N190))/0.85+C77)/1000*50</f>
        <v>0</v>
      </c>
      <c r="D81" s="613">
        <f>$C81*'background data'!K$59</f>
        <v>0</v>
      </c>
      <c r="E81" s="613"/>
      <c r="F81" s="613"/>
      <c r="G81" s="613">
        <f>$C81*'background data'!L$59</f>
        <v>0</v>
      </c>
      <c r="H81" s="613">
        <f>$C81*'background data'!M$59</f>
        <v>0</v>
      </c>
      <c r="I81" s="613">
        <f>$C81*'background data'!N$59</f>
        <v>0</v>
      </c>
      <c r="J81" s="613">
        <f>$C81*'background data'!O$59</f>
        <v>0</v>
      </c>
      <c r="K81" s="612"/>
    </row>
    <row r="82" spans="2:11" hidden="1" outlineLevel="1" x14ac:dyDescent="0.2">
      <c r="B82" s="738" t="str">
        <f t="shared" ref="B82:B90" si="12">B15</f>
        <v xml:space="preserve">      EMISSIONER</v>
      </c>
      <c r="C82" s="649"/>
      <c r="D82" s="650"/>
      <c r="E82" s="650"/>
      <c r="F82" s="650"/>
      <c r="G82" s="650"/>
      <c r="H82" s="650"/>
      <c r="I82" s="650"/>
      <c r="J82" s="650"/>
      <c r="K82" s="650"/>
    </row>
    <row r="83" spans="2:11" hidden="1" outlineLevel="1" x14ac:dyDescent="0.2">
      <c r="B83" s="738" t="str">
        <f t="shared" si="12"/>
        <v xml:space="preserve">          Fordøjelse, kg CH4</v>
      </c>
      <c r="C83" s="613">
        <f>SUM('Feed - overview'!H140:H190)*90*670/(55.65*1000000)</f>
        <v>0</v>
      </c>
      <c r="D83" s="613">
        <f>C83*'øvrige EFS-other EFs'!$D$28</f>
        <v>0</v>
      </c>
      <c r="E83" s="612"/>
      <c r="F83" s="612"/>
      <c r="G83" s="612"/>
      <c r="H83" s="612"/>
      <c r="I83" s="612"/>
      <c r="J83" s="612"/>
      <c r="K83" s="612"/>
    </row>
    <row r="84" spans="2:11" hidden="1" outlineLevel="1" x14ac:dyDescent="0.2">
      <c r="B84" s="738" t="str">
        <f t="shared" si="12"/>
        <v xml:space="preserve">          CH4 gødning, kg CH4</v>
      </c>
      <c r="C84" s="613">
        <f>'N-balance'!K128+'N-balance'!K140</f>
        <v>0</v>
      </c>
      <c r="D84" s="613">
        <f>C84*'øvrige EFS-other EFs'!$D$28</f>
        <v>0</v>
      </c>
      <c r="E84" s="612"/>
      <c r="F84" s="612"/>
      <c r="G84" s="612"/>
      <c r="H84" s="612"/>
      <c r="I84" s="612"/>
      <c r="J84" s="612"/>
      <c r="K84" s="612"/>
    </row>
    <row r="85" spans="2:11" hidden="1" outlineLevel="1" x14ac:dyDescent="0.2">
      <c r="B85" s="738" t="str">
        <f t="shared" si="12"/>
        <v xml:space="preserve">          N emissioner stalde og lager</v>
      </c>
      <c r="C85" s="649"/>
      <c r="D85" s="650"/>
      <c r="E85" s="650"/>
      <c r="F85" s="650"/>
      <c r="G85" s="650"/>
      <c r="H85" s="650"/>
      <c r="I85" s="650"/>
      <c r="J85" s="650"/>
      <c r="K85" s="650"/>
    </row>
    <row r="86" spans="2:11" hidden="1" outlineLevel="1" x14ac:dyDescent="0.2">
      <c r="B86" s="738" t="str">
        <f t="shared" si="12"/>
        <v xml:space="preserve">              N2O, kg</v>
      </c>
      <c r="C86" s="613">
        <f>('N-balance'!K22+'N-balance'!K27)*44/28</f>
        <v>0</v>
      </c>
      <c r="D86" s="613">
        <f>C86*'øvrige EFS-other EFs'!$D$27</f>
        <v>0</v>
      </c>
      <c r="E86" s="612"/>
      <c r="F86" s="612"/>
      <c r="G86" s="612"/>
      <c r="H86" s="612"/>
      <c r="I86" s="612"/>
      <c r="J86" s="612"/>
      <c r="K86" s="612"/>
    </row>
    <row r="87" spans="2:11" hidden="1" outlineLevel="1" x14ac:dyDescent="0.2">
      <c r="B87" s="738" t="str">
        <f t="shared" si="12"/>
        <v xml:space="preserve">              NH3, kg</v>
      </c>
      <c r="C87" s="613">
        <f>('N-balance'!K21+'N-balance'!K26)*17/14</f>
        <v>0</v>
      </c>
      <c r="D87" s="612"/>
      <c r="E87" s="612"/>
      <c r="F87" s="612"/>
      <c r="G87" s="613">
        <f>C87*'øvrige EFS-other EFs'!$I$31</f>
        <v>0</v>
      </c>
      <c r="H87" s="612"/>
      <c r="I87" s="613">
        <f>C87*'øvrige EFS-other EFs'!$K$31</f>
        <v>0</v>
      </c>
      <c r="J87" s="612"/>
      <c r="K87" s="612"/>
    </row>
    <row r="88" spans="2:11" hidden="1" outlineLevel="1" x14ac:dyDescent="0.2">
      <c r="B88" s="738" t="str">
        <f t="shared" si="12"/>
        <v xml:space="preserve">              NOx, kg</v>
      </c>
      <c r="C88" s="613">
        <f>('N-balance'!K24+'N-balance'!K29)*30/14</f>
        <v>0</v>
      </c>
      <c r="D88" s="612"/>
      <c r="E88" s="612"/>
      <c r="F88" s="612"/>
      <c r="G88" s="613">
        <f>C88*'øvrige EFS-other EFs'!$I$32</f>
        <v>0</v>
      </c>
      <c r="H88" s="612"/>
      <c r="I88" s="613">
        <f>C88*'øvrige EFS-other EFs'!$K$32</f>
        <v>0</v>
      </c>
      <c r="J88" s="612"/>
      <c r="K88" s="612"/>
    </row>
    <row r="89" spans="2:11" hidden="1" outlineLevel="1" x14ac:dyDescent="0.2">
      <c r="B89" s="738" t="str">
        <f t="shared" si="12"/>
        <v xml:space="preserve">          Erstatningsværdi for handelsgødning</v>
      </c>
      <c r="C89" s="712"/>
      <c r="D89" s="740">
        <f>-(('N-balance'!$K$153)*'background data'!$K$24+('N-balance'!$K$154)*'background data'!$K$25+('N-balance'!$K$155)*'background data'!$K$26+('N-balance'!$K$161+'N-balance'!$K$166)*44/24*'øvrige EFS-other EFs'!$D$27+('N-balance'!$K$168)/37*'background data'!$K$34+('N-balance'!$K$167)*'background data'!$K$59)</f>
        <v>0</v>
      </c>
      <c r="E89" s="740"/>
      <c r="F89" s="740"/>
      <c r="G89" s="740">
        <f>-(('N-balance'!$K$153)*'background data'!$L$24+('N-balance'!$K$154)*'background data'!$L$25+('N-balance'!$K$155)*'background data'!$L$26+('N-balance'!$K$168)/37*'background data'!$L$34+('N-balance'!$K$167)*'background data'!$L$59+('N-balance'!$K$162)*17/14*'øvrige EFS-other EFs'!$I$31+('N-balance'!$K$163)*31/14*'øvrige EFS-other EFs'!$I$32)</f>
        <v>0</v>
      </c>
      <c r="H89" s="740">
        <f>-(('N-balance'!$K$153)*'background data'!$M$24+('N-balance'!$K$154)*'background data'!$M$25+('N-balance'!$K$155)*'background data'!$M$26+('N-balance'!$K$168)/37*'background data'!$M$34+('N-balance'!$K$167)*'background data'!$M$59)</f>
        <v>0</v>
      </c>
      <c r="I89" s="740">
        <f>-(('N-balance'!$J$153)*'background data'!$N$24+('N-balance'!$J$154)*'background data'!$N$25+('N-balance'!$J$155)*'background data'!$N$26+('N-balance'!$J$168)/37*'background data'!$N$34+('N-balance'!$J$167)*'background data'!$N$59+('N-balance'!$J$162)*17/14*'øvrige EFS-other EFs'!$K$31)</f>
        <v>0</v>
      </c>
      <c r="J89" s="742"/>
      <c r="K89" s="612"/>
    </row>
    <row r="90" spans="2:11" hidden="1" outlineLevel="1" x14ac:dyDescent="0.2">
      <c r="B90" s="738" t="str">
        <f t="shared" si="12"/>
        <v xml:space="preserve">      TOTAL EMISSIONER</v>
      </c>
      <c r="C90" s="649"/>
      <c r="D90" s="649">
        <f>D83+D84+D86+D87+D88+D89</f>
        <v>0</v>
      </c>
      <c r="E90" s="649">
        <f t="shared" ref="E90:J90" si="13">E83+E84+E86+E87+E88+E89</f>
        <v>0</v>
      </c>
      <c r="F90" s="649">
        <f t="shared" si="13"/>
        <v>0</v>
      </c>
      <c r="G90" s="649">
        <f t="shared" si="13"/>
        <v>0</v>
      </c>
      <c r="H90" s="649">
        <f t="shared" si="13"/>
        <v>0</v>
      </c>
      <c r="I90" s="649">
        <f t="shared" si="13"/>
        <v>0</v>
      </c>
      <c r="J90" s="649">
        <f t="shared" si="13"/>
        <v>0</v>
      </c>
      <c r="K90" s="650"/>
    </row>
    <row r="91" spans="2:11" hidden="1" outlineLevel="1" x14ac:dyDescent="0.2">
      <c r="B91" s="738" t="s">
        <v>1829</v>
      </c>
      <c r="C91" s="649"/>
      <c r="D91" s="649">
        <f>D80+D81+D90</f>
        <v>0</v>
      </c>
      <c r="E91" s="649">
        <f t="shared" ref="E91:J91" si="14">E80+E81+E90</f>
        <v>0</v>
      </c>
      <c r="F91" s="649">
        <f t="shared" si="14"/>
        <v>0</v>
      </c>
      <c r="G91" s="649">
        <f t="shared" si="14"/>
        <v>0</v>
      </c>
      <c r="H91" s="649">
        <f t="shared" si="14"/>
        <v>0</v>
      </c>
      <c r="I91" s="649">
        <f t="shared" si="14"/>
        <v>0</v>
      </c>
      <c r="J91" s="649">
        <f t="shared" si="14"/>
        <v>0</v>
      </c>
      <c r="K91" s="650"/>
    </row>
    <row r="92" spans="2:11" hidden="1" outlineLevel="1" x14ac:dyDescent="0.2">
      <c r="B92" s="738" t="s">
        <v>1784</v>
      </c>
      <c r="C92" s="608" t="str">
        <f>C73</f>
        <v>Mængde</v>
      </c>
      <c r="D92" s="608"/>
      <c r="E92" s="608"/>
      <c r="F92" s="610"/>
      <c r="G92" s="608"/>
      <c r="H92" s="608"/>
      <c r="I92" s="608"/>
      <c r="J92" s="608"/>
      <c r="K92" s="608"/>
    </row>
    <row r="93" spans="2:11" hidden="1" outlineLevel="1" x14ac:dyDescent="0.2">
      <c r="B93" s="738" t="str">
        <f>IF('input-data'!$B$3="Dansk", "         slagtesvin, stk.", "         slaughter pigs, p.")</f>
        <v xml:space="preserve">         slagtesvin, stk.</v>
      </c>
      <c r="C93" s="613">
        <f>'Flow slagtesvin'!D8</f>
        <v>0</v>
      </c>
      <c r="D93" s="612"/>
      <c r="E93" s="612"/>
      <c r="F93" s="613"/>
      <c r="G93" s="612"/>
      <c r="H93" s="612"/>
      <c r="I93" s="612"/>
      <c r="J93" s="612"/>
      <c r="K93" s="612"/>
    </row>
    <row r="94" spans="2:11" hidden="1" outlineLevel="1" x14ac:dyDescent="0.2">
      <c r="B94" s="738" t="str">
        <f>IF('input-data'!$B$3="Dansk", "         slagtesvin, kg levende vægt", "         slaughter pigs, kg LW")</f>
        <v xml:space="preserve">         slagtesvin, kg levende vægt</v>
      </c>
      <c r="C94" s="613">
        <f>C93*'Flow slagtesvin'!D12</f>
        <v>0</v>
      </c>
      <c r="D94" s="612"/>
      <c r="E94" s="612"/>
      <c r="F94" s="613"/>
      <c r="G94" s="612"/>
      <c r="H94" s="612"/>
      <c r="I94" s="612"/>
      <c r="J94" s="612"/>
      <c r="K94" s="612"/>
    </row>
    <row r="95" spans="2:11" hidden="1" outlineLevel="1" x14ac:dyDescent="0.2">
      <c r="B95" s="738" t="str">
        <f>B30</f>
        <v xml:space="preserve">      TOTAL OUTPUT, kg levende vægt</v>
      </c>
      <c r="C95" s="649">
        <f>C94</f>
        <v>0</v>
      </c>
      <c r="D95" s="608"/>
      <c r="E95" s="608"/>
      <c r="F95" s="610"/>
      <c r="G95" s="608"/>
      <c r="H95" s="608"/>
      <c r="I95" s="608"/>
      <c r="J95" s="608"/>
      <c r="K95" s="608"/>
    </row>
    <row r="96" spans="2:11" hidden="1" outlineLevel="1" x14ac:dyDescent="0.2">
      <c r="B96" s="738" t="str">
        <f>IF('input-data'!$B$3="Dansk", "      Påvirkning per slagtesvin", "          Impact per slaughter pig")</f>
        <v xml:space="preserve">      Påvirkning per slagtesvin</v>
      </c>
      <c r="C96" s="608"/>
      <c r="D96" s="652">
        <f>IFERROR(D91/$C$93,0)</f>
        <v>0</v>
      </c>
      <c r="E96" s="652">
        <f t="shared" ref="E96:J96" si="15">IFERROR(E91/$C$93,0)</f>
        <v>0</v>
      </c>
      <c r="F96" s="652">
        <f t="shared" si="15"/>
        <v>0</v>
      </c>
      <c r="G96" s="652">
        <f t="shared" si="15"/>
        <v>0</v>
      </c>
      <c r="H96" s="652">
        <f t="shared" si="15"/>
        <v>0</v>
      </c>
      <c r="I96" s="652">
        <f t="shared" si="15"/>
        <v>0</v>
      </c>
      <c r="J96" s="652">
        <f t="shared" si="15"/>
        <v>0</v>
      </c>
      <c r="K96" s="608"/>
    </row>
    <row r="97" spans="2:11" hidden="1" outlineLevel="1" x14ac:dyDescent="0.2">
      <c r="B97" s="738" t="str">
        <f>IF('input-data'!$B$3="Dansk", "      Påvirkning per kg levende vægt slagtesvin ", "          Impact per kg LW slaughter pig")</f>
        <v xml:space="preserve">      Påvirkning per kg levende vægt slagtesvin </v>
      </c>
      <c r="C97" s="608"/>
      <c r="D97" s="782">
        <f>IFERROR(D91/$C$95,0)</f>
        <v>0</v>
      </c>
      <c r="E97" s="782">
        <f t="shared" ref="E97:J97" si="16">IFERROR(E91/$C$95,0)</f>
        <v>0</v>
      </c>
      <c r="F97" s="782">
        <f t="shared" si="16"/>
        <v>0</v>
      </c>
      <c r="G97" s="782">
        <f t="shared" si="16"/>
        <v>0</v>
      </c>
      <c r="H97" s="782">
        <f t="shared" si="16"/>
        <v>0</v>
      </c>
      <c r="I97" s="782">
        <f t="shared" si="16"/>
        <v>0</v>
      </c>
      <c r="J97" s="782">
        <f t="shared" si="16"/>
        <v>0</v>
      </c>
      <c r="K97" s="608"/>
    </row>
    <row r="98" spans="2:11" collapsed="1" x14ac:dyDescent="0.2"/>
    <row r="100" spans="2:11" x14ac:dyDescent="0.2">
      <c r="B100" s="718" t="str">
        <f>IF('input-data'!$B$3="Dansk", "GÅRD", "FARM")</f>
        <v>GÅRD</v>
      </c>
    </row>
    <row r="101" spans="2:11" hidden="1" outlineLevel="1" x14ac:dyDescent="0.2"/>
    <row r="102" spans="2:11" hidden="1" outlineLevel="1" x14ac:dyDescent="0.2">
      <c r="B102" s="611"/>
      <c r="C102" s="619"/>
      <c r="D102" s="611"/>
      <c r="E102" s="611"/>
      <c r="F102" s="611"/>
      <c r="G102" s="611"/>
      <c r="H102" s="611"/>
      <c r="I102" s="611"/>
      <c r="J102" s="611"/>
      <c r="K102" s="611"/>
    </row>
    <row r="103" spans="2:11" hidden="1" outlineLevel="1" x14ac:dyDescent="0.2">
      <c r="B103" s="608" t="str">
        <f>IF('input-data'!$B$3="Dansk", "GÅRD", "FARM")</f>
        <v>GÅRD</v>
      </c>
      <c r="C103" s="619"/>
      <c r="D103" s="611"/>
      <c r="E103" s="611"/>
      <c r="F103" s="611"/>
      <c r="G103" s="611"/>
      <c r="H103" s="611"/>
      <c r="I103" s="611"/>
      <c r="J103" s="611"/>
      <c r="K103" s="611"/>
    </row>
    <row r="104" spans="2:11" hidden="1" outlineLevel="1" x14ac:dyDescent="0.2">
      <c r="B104" s="611"/>
      <c r="C104" s="619"/>
      <c r="D104" s="611" t="str">
        <f>D7</f>
        <v>Miljømæssig påvirkning</v>
      </c>
      <c r="E104" s="611"/>
      <c r="F104" s="611"/>
      <c r="G104" s="611"/>
      <c r="H104" s="611"/>
      <c r="I104" s="611"/>
      <c r="J104" s="611"/>
      <c r="K104" s="611"/>
    </row>
    <row r="105" spans="2:11" ht="42.75" hidden="1" outlineLevel="1" x14ac:dyDescent="0.2">
      <c r="B105" s="611"/>
      <c r="C105" s="611"/>
      <c r="D105" s="716" t="str">
        <f>D8</f>
        <v>Klimaaftryk, kg CO2-ækv</v>
      </c>
      <c r="E105" s="716" t="str">
        <f t="shared" ref="E105:J105" si="17">E8</f>
        <v>C i jord, kg CO2-ækv</v>
      </c>
      <c r="F105" s="716" t="str">
        <f t="shared" si="17"/>
        <v>iLUC, kg CO2-ækv</v>
      </c>
      <c r="G105" s="716" t="str">
        <f t="shared" si="17"/>
        <v>Eutrofiering, kg NO3-ækv</v>
      </c>
      <c r="H105" s="716" t="str">
        <f t="shared" si="17"/>
        <v>Energiforbrug, MJ</v>
      </c>
      <c r="I105" s="716" t="str">
        <f t="shared" si="17"/>
        <v>Forsuring potential, kg SO2-ækv</v>
      </c>
      <c r="J105" s="716" t="str">
        <f t="shared" si="17"/>
        <v>Arealforbrug, m2</v>
      </c>
      <c r="K105" s="611"/>
    </row>
    <row r="106" spans="2:11" hidden="1" outlineLevel="1" x14ac:dyDescent="0.2">
      <c r="B106" s="608" t="s">
        <v>1830</v>
      </c>
      <c r="C106" s="608" t="str">
        <f>C9</f>
        <v>Mængde</v>
      </c>
      <c r="D106" s="611"/>
      <c r="E106" s="611"/>
      <c r="F106" s="611"/>
      <c r="G106" s="611"/>
      <c r="H106" s="611"/>
      <c r="I106" s="611"/>
      <c r="J106" s="611"/>
      <c r="K106" s="611"/>
    </row>
    <row r="107" spans="2:11" hidden="1" outlineLevel="1" x14ac:dyDescent="0.2">
      <c r="B107" s="608" t="str">
        <f>B10</f>
        <v xml:space="preserve">          Foder, kg TS</v>
      </c>
      <c r="C107" s="613">
        <f>C10+C43+C76</f>
        <v>0</v>
      </c>
      <c r="D107" s="613">
        <f t="shared" ref="D107:J107" si="18">D10+D43+D76</f>
        <v>0</v>
      </c>
      <c r="E107" s="613">
        <f t="shared" si="18"/>
        <v>0</v>
      </c>
      <c r="F107" s="613">
        <f t="shared" si="18"/>
        <v>0</v>
      </c>
      <c r="G107" s="613">
        <f t="shared" si="18"/>
        <v>0</v>
      </c>
      <c r="H107" s="613">
        <f t="shared" si="18"/>
        <v>0</v>
      </c>
      <c r="I107" s="613">
        <f t="shared" si="18"/>
        <v>0</v>
      </c>
      <c r="J107" s="613">
        <f t="shared" si="18"/>
        <v>0</v>
      </c>
      <c r="K107" s="612"/>
    </row>
    <row r="108" spans="2:11" hidden="1" outlineLevel="1" x14ac:dyDescent="0.2">
      <c r="B108" s="608" t="str">
        <f>B11</f>
        <v xml:space="preserve">          Strøelse, kg</v>
      </c>
      <c r="C108" s="613">
        <f>C11+C44+C77</f>
        <v>0</v>
      </c>
      <c r="D108" s="613">
        <f t="shared" ref="D108:J108" si="19">D11+D44+D77</f>
        <v>0</v>
      </c>
      <c r="E108" s="613">
        <f t="shared" si="19"/>
        <v>0</v>
      </c>
      <c r="F108" s="613">
        <f t="shared" si="19"/>
        <v>0</v>
      </c>
      <c r="G108" s="613">
        <f t="shared" si="19"/>
        <v>0</v>
      </c>
      <c r="H108" s="613">
        <f t="shared" si="19"/>
        <v>0</v>
      </c>
      <c r="I108" s="613">
        <f t="shared" si="19"/>
        <v>0</v>
      </c>
      <c r="J108" s="613">
        <f t="shared" si="19"/>
        <v>0</v>
      </c>
      <c r="K108" s="612"/>
    </row>
    <row r="109" spans="2:11" hidden="1" outlineLevel="1" x14ac:dyDescent="0.2">
      <c r="B109" s="608" t="str">
        <f>B12</f>
        <v xml:space="preserve">          Energiforbrug, kWh</v>
      </c>
      <c r="C109" s="613">
        <f>C12+C45+C78</f>
        <v>0</v>
      </c>
      <c r="D109" s="613">
        <f t="shared" ref="D109:J109" si="20">D12+D45+D78</f>
        <v>0</v>
      </c>
      <c r="E109" s="613">
        <f t="shared" si="20"/>
        <v>0</v>
      </c>
      <c r="F109" s="613">
        <f t="shared" si="20"/>
        <v>0</v>
      </c>
      <c r="G109" s="613">
        <f t="shared" si="20"/>
        <v>0</v>
      </c>
      <c r="H109" s="613">
        <f t="shared" si="20"/>
        <v>0</v>
      </c>
      <c r="I109" s="613">
        <f t="shared" si="20"/>
        <v>0</v>
      </c>
      <c r="J109" s="613">
        <f t="shared" si="20"/>
        <v>0</v>
      </c>
      <c r="K109" s="612"/>
    </row>
    <row r="110" spans="2:11" hidden="1" outlineLevel="1" x14ac:dyDescent="0.2">
      <c r="B110" s="608" t="str">
        <f xml:space="preserve"> IF('input-data'!$B$3="Dansk", "          Dyr, stk.:", "          Animals, p.:")</f>
        <v xml:space="preserve">          Dyr, stk.:</v>
      </c>
      <c r="C110" s="613"/>
      <c r="D110" s="613"/>
      <c r="E110" s="613"/>
      <c r="F110" s="613"/>
      <c r="G110" s="613"/>
      <c r="H110" s="613"/>
      <c r="I110" s="613"/>
      <c r="J110" s="613"/>
      <c r="K110" s="612"/>
    </row>
    <row r="111" spans="2:11" hidden="1" outlineLevel="1" x14ac:dyDescent="0.2">
      <c r="B111" s="608" t="str">
        <f xml:space="preserve"> IF('input-data'!$B$3="Dansk", "             smågrise", "             piglets")</f>
        <v xml:space="preserve">             smågrise</v>
      </c>
      <c r="C111" s="613">
        <f>'input-data'!E27</f>
        <v>0</v>
      </c>
      <c r="D111" s="613">
        <f>D46</f>
        <v>0</v>
      </c>
      <c r="E111" s="613">
        <f t="shared" ref="E111:J111" si="21">E46</f>
        <v>0</v>
      </c>
      <c r="F111" s="613">
        <f t="shared" si="21"/>
        <v>0</v>
      </c>
      <c r="G111" s="613">
        <f t="shared" si="21"/>
        <v>0</v>
      </c>
      <c r="H111" s="613">
        <f t="shared" si="21"/>
        <v>0</v>
      </c>
      <c r="I111" s="613">
        <f t="shared" si="21"/>
        <v>0</v>
      </c>
      <c r="J111" s="613">
        <f t="shared" si="21"/>
        <v>0</v>
      </c>
      <c r="K111" s="612"/>
    </row>
    <row r="112" spans="2:11" hidden="1" outlineLevel="1" x14ac:dyDescent="0.2">
      <c r="B112" s="608" t="str">
        <f xml:space="preserve"> IF('input-data'!$B$3="Dansk", "             slagtesvin", "             slaughter pigs")</f>
        <v xml:space="preserve">             slagtesvin</v>
      </c>
      <c r="C112" s="613">
        <f>'input-data'!E34</f>
        <v>0</v>
      </c>
      <c r="D112" s="613">
        <f>D79</f>
        <v>0</v>
      </c>
      <c r="E112" s="613">
        <f t="shared" ref="E112:J112" si="22">E79</f>
        <v>0</v>
      </c>
      <c r="F112" s="613">
        <f t="shared" si="22"/>
        <v>0</v>
      </c>
      <c r="G112" s="613">
        <f t="shared" si="22"/>
        <v>0</v>
      </c>
      <c r="H112" s="613">
        <f t="shared" si="22"/>
        <v>0</v>
      </c>
      <c r="I112" s="613">
        <f t="shared" si="22"/>
        <v>0</v>
      </c>
      <c r="J112" s="613">
        <f t="shared" si="22"/>
        <v>0</v>
      </c>
      <c r="K112" s="612"/>
    </row>
    <row r="113" spans="2:11" hidden="1" outlineLevel="1" x14ac:dyDescent="0.2">
      <c r="B113" s="608" t="s">
        <v>1785</v>
      </c>
      <c r="C113" s="649"/>
      <c r="D113" s="649">
        <f>SUM(D107:D112)</f>
        <v>0</v>
      </c>
      <c r="E113" s="649">
        <f t="shared" ref="E113:J113" si="23">SUM(E107:E112)</f>
        <v>0</v>
      </c>
      <c r="F113" s="649">
        <f t="shared" si="23"/>
        <v>0</v>
      </c>
      <c r="G113" s="649">
        <f t="shared" si="23"/>
        <v>0</v>
      </c>
      <c r="H113" s="649">
        <f t="shared" si="23"/>
        <v>0</v>
      </c>
      <c r="I113" s="649">
        <f t="shared" si="23"/>
        <v>0</v>
      </c>
      <c r="J113" s="649">
        <f t="shared" si="23"/>
        <v>0</v>
      </c>
      <c r="K113" s="650"/>
    </row>
    <row r="114" spans="2:11" hidden="1" outlineLevel="1" x14ac:dyDescent="0.2">
      <c r="B114" s="608" t="s">
        <v>1881</v>
      </c>
      <c r="C114" s="613">
        <f>C14+C48+C81</f>
        <v>0</v>
      </c>
      <c r="D114" s="613">
        <f t="shared" ref="D114:J114" si="24">D14+D48+D81</f>
        <v>0</v>
      </c>
      <c r="E114" s="613">
        <f t="shared" si="24"/>
        <v>0</v>
      </c>
      <c r="F114" s="613">
        <f t="shared" si="24"/>
        <v>0</v>
      </c>
      <c r="G114" s="613">
        <f t="shared" si="24"/>
        <v>0</v>
      </c>
      <c r="H114" s="613">
        <f t="shared" si="24"/>
        <v>0</v>
      </c>
      <c r="I114" s="613">
        <f t="shared" si="24"/>
        <v>0</v>
      </c>
      <c r="J114" s="613">
        <f t="shared" si="24"/>
        <v>0</v>
      </c>
      <c r="K114" s="612"/>
    </row>
    <row r="115" spans="2:11" hidden="1" outlineLevel="1" x14ac:dyDescent="0.2">
      <c r="B115" s="608" t="str">
        <f t="shared" ref="B115:B125" si="25">B15</f>
        <v xml:space="preserve">      EMISSIONER</v>
      </c>
      <c r="C115" s="649"/>
      <c r="D115" s="650"/>
      <c r="E115" s="650"/>
      <c r="F115" s="650"/>
      <c r="G115" s="650"/>
      <c r="H115" s="650"/>
      <c r="I115" s="650"/>
      <c r="J115" s="650"/>
      <c r="K115" s="650"/>
    </row>
    <row r="116" spans="2:11" hidden="1" outlineLevel="1" x14ac:dyDescent="0.2">
      <c r="B116" s="608" t="str">
        <f t="shared" si="25"/>
        <v xml:space="preserve">          Fordøjelse, kg CH4</v>
      </c>
      <c r="C116" s="613">
        <f>C16+C50+C83</f>
        <v>0</v>
      </c>
      <c r="D116" s="613">
        <f>D16+D50+D83</f>
        <v>0</v>
      </c>
      <c r="E116" s="613"/>
      <c r="F116" s="613"/>
      <c r="G116" s="613"/>
      <c r="H116" s="613"/>
      <c r="I116" s="613"/>
      <c r="J116" s="613"/>
      <c r="K116" s="612"/>
    </row>
    <row r="117" spans="2:11" hidden="1" outlineLevel="1" x14ac:dyDescent="0.2">
      <c r="B117" s="608" t="str">
        <f t="shared" si="25"/>
        <v xml:space="preserve">          CH4 gødning, kg CH4</v>
      </c>
      <c r="C117" s="613">
        <f>C17+C51+C84</f>
        <v>0</v>
      </c>
      <c r="D117" s="613">
        <f>D17+D51+D84</f>
        <v>0</v>
      </c>
      <c r="E117" s="613"/>
      <c r="F117" s="613"/>
      <c r="G117" s="613"/>
      <c r="H117" s="613"/>
      <c r="I117" s="613"/>
      <c r="J117" s="613"/>
      <c r="K117" s="612"/>
    </row>
    <row r="118" spans="2:11" hidden="1" outlineLevel="1" x14ac:dyDescent="0.2">
      <c r="B118" s="608" t="str">
        <f t="shared" si="25"/>
        <v xml:space="preserve">          N emissioner stalde og lager</v>
      </c>
      <c r="C118" s="649"/>
      <c r="D118" s="650"/>
      <c r="E118" s="650"/>
      <c r="F118" s="650"/>
      <c r="G118" s="650"/>
      <c r="H118" s="650"/>
      <c r="I118" s="650"/>
      <c r="J118" s="650"/>
      <c r="K118" s="650"/>
    </row>
    <row r="119" spans="2:11" hidden="1" outlineLevel="1" x14ac:dyDescent="0.2">
      <c r="B119" s="608" t="str">
        <f t="shared" si="25"/>
        <v xml:space="preserve">              N2O, kg</v>
      </c>
      <c r="C119" s="613">
        <f>C19+C53+C86</f>
        <v>0</v>
      </c>
      <c r="D119" s="613">
        <f t="shared" ref="D119:J119" si="26">D19+D53+D86</f>
        <v>0</v>
      </c>
      <c r="E119" s="613">
        <f t="shared" si="26"/>
        <v>0</v>
      </c>
      <c r="F119" s="613">
        <f t="shared" si="26"/>
        <v>0</v>
      </c>
      <c r="G119" s="613">
        <f t="shared" si="26"/>
        <v>0</v>
      </c>
      <c r="H119" s="613">
        <f t="shared" si="26"/>
        <v>0</v>
      </c>
      <c r="I119" s="613">
        <f t="shared" si="26"/>
        <v>0</v>
      </c>
      <c r="J119" s="613">
        <f t="shared" si="26"/>
        <v>0</v>
      </c>
      <c r="K119" s="612"/>
    </row>
    <row r="120" spans="2:11" hidden="1" outlineLevel="1" x14ac:dyDescent="0.2">
      <c r="B120" s="608" t="str">
        <f t="shared" si="25"/>
        <v xml:space="preserve">              NH3, kg</v>
      </c>
      <c r="C120" s="613">
        <f>C20+C54+C87</f>
        <v>0</v>
      </c>
      <c r="D120" s="613">
        <f t="shared" ref="D120:J122" si="27">D20+D54+D87</f>
        <v>0</v>
      </c>
      <c r="E120" s="613">
        <f t="shared" si="27"/>
        <v>0</v>
      </c>
      <c r="F120" s="613">
        <f t="shared" si="27"/>
        <v>0</v>
      </c>
      <c r="G120" s="613">
        <f t="shared" si="27"/>
        <v>0</v>
      </c>
      <c r="H120" s="613">
        <f t="shared" si="27"/>
        <v>0</v>
      </c>
      <c r="I120" s="613">
        <f t="shared" si="27"/>
        <v>0</v>
      </c>
      <c r="J120" s="613">
        <f t="shared" si="27"/>
        <v>0</v>
      </c>
      <c r="K120" s="612"/>
    </row>
    <row r="121" spans="2:11" hidden="1" outlineLevel="1" x14ac:dyDescent="0.2">
      <c r="B121" s="608" t="str">
        <f t="shared" si="25"/>
        <v xml:space="preserve">              NOx, kg</v>
      </c>
      <c r="C121" s="613">
        <f>C21+C55+C88</f>
        <v>0</v>
      </c>
      <c r="D121" s="613">
        <f t="shared" si="27"/>
        <v>0</v>
      </c>
      <c r="E121" s="613">
        <f t="shared" si="27"/>
        <v>0</v>
      </c>
      <c r="F121" s="613">
        <f t="shared" si="27"/>
        <v>0</v>
      </c>
      <c r="G121" s="613">
        <f t="shared" si="27"/>
        <v>0</v>
      </c>
      <c r="H121" s="613">
        <f t="shared" si="27"/>
        <v>0</v>
      </c>
      <c r="I121" s="613">
        <f t="shared" si="27"/>
        <v>0</v>
      </c>
      <c r="J121" s="613">
        <f t="shared" si="27"/>
        <v>0</v>
      </c>
      <c r="K121" s="612"/>
    </row>
    <row r="122" spans="2:11" hidden="1" outlineLevel="1" x14ac:dyDescent="0.2">
      <c r="B122" s="739" t="str">
        <f t="shared" si="25"/>
        <v xml:space="preserve">          Erstatningsværdi for handelsgødning</v>
      </c>
      <c r="C122" s="740"/>
      <c r="D122" s="740">
        <f t="shared" si="27"/>
        <v>0</v>
      </c>
      <c r="E122" s="740">
        <f t="shared" si="27"/>
        <v>0</v>
      </c>
      <c r="F122" s="740">
        <f t="shared" si="27"/>
        <v>0</v>
      </c>
      <c r="G122" s="740">
        <f t="shared" si="27"/>
        <v>0</v>
      </c>
      <c r="H122" s="740">
        <f t="shared" si="27"/>
        <v>0</v>
      </c>
      <c r="I122" s="740">
        <f t="shared" si="27"/>
        <v>0</v>
      </c>
      <c r="J122" s="740">
        <f t="shared" si="27"/>
        <v>0</v>
      </c>
      <c r="K122" s="612"/>
    </row>
    <row r="123" spans="2:11" hidden="1" outlineLevel="1" x14ac:dyDescent="0.2">
      <c r="B123" s="608" t="str">
        <f t="shared" si="25"/>
        <v xml:space="preserve">      TOTAL EMISSIONER</v>
      </c>
      <c r="C123" s="649"/>
      <c r="D123" s="649">
        <f>D116+D117+D119+D120+D121+D122</f>
        <v>0</v>
      </c>
      <c r="E123" s="649">
        <f t="shared" ref="E123:J123" si="28">E116+E117+E119+E120+E121+E122</f>
        <v>0</v>
      </c>
      <c r="F123" s="649">
        <f t="shared" si="28"/>
        <v>0</v>
      </c>
      <c r="G123" s="649">
        <f t="shared" si="28"/>
        <v>0</v>
      </c>
      <c r="H123" s="649">
        <f t="shared" si="28"/>
        <v>0</v>
      </c>
      <c r="I123" s="649">
        <f t="shared" si="28"/>
        <v>0</v>
      </c>
      <c r="J123" s="649">
        <f t="shared" si="28"/>
        <v>0</v>
      </c>
      <c r="K123" s="650"/>
    </row>
    <row r="124" spans="2:11" hidden="1" outlineLevel="1" x14ac:dyDescent="0.2">
      <c r="B124" s="608" t="str">
        <f t="shared" si="25"/>
        <v xml:space="preserve">      TOTAL </v>
      </c>
      <c r="C124" s="649"/>
      <c r="D124" s="649">
        <f>D113+D114+D123</f>
        <v>0</v>
      </c>
      <c r="E124" s="649">
        <f t="shared" ref="E124:J124" si="29">E113+E114+E123</f>
        <v>0</v>
      </c>
      <c r="F124" s="649">
        <f t="shared" si="29"/>
        <v>0</v>
      </c>
      <c r="G124" s="649">
        <f t="shared" si="29"/>
        <v>0</v>
      </c>
      <c r="H124" s="649">
        <f t="shared" si="29"/>
        <v>0</v>
      </c>
      <c r="I124" s="649">
        <f t="shared" si="29"/>
        <v>0</v>
      </c>
      <c r="J124" s="649">
        <f t="shared" si="29"/>
        <v>0</v>
      </c>
      <c r="K124" s="650"/>
    </row>
    <row r="125" spans="2:11" hidden="1" outlineLevel="1" x14ac:dyDescent="0.2">
      <c r="B125" s="608" t="str">
        <f t="shared" si="25"/>
        <v xml:space="preserve">      OUTPUT</v>
      </c>
      <c r="C125" s="608" t="str">
        <f>C106</f>
        <v>Mængde</v>
      </c>
      <c r="D125" s="608"/>
      <c r="E125" s="608"/>
      <c r="F125" s="610"/>
      <c r="G125" s="608"/>
      <c r="H125" s="608"/>
      <c r="I125" s="608"/>
      <c r="J125" s="608"/>
      <c r="K125" s="608"/>
    </row>
    <row r="126" spans="2:11" hidden="1" outlineLevel="1" x14ac:dyDescent="0.2">
      <c r="B126" s="738" t="str">
        <f>IF('input-data'!$B$3="Dansk", "         slagtesvin, stk.", "         slaughter pigs, p.")</f>
        <v xml:space="preserve">         slagtesvin, stk.</v>
      </c>
      <c r="C126" s="613">
        <f>C93</f>
        <v>0</v>
      </c>
      <c r="D126" s="612"/>
      <c r="E126" s="612"/>
      <c r="F126" s="613"/>
      <c r="G126" s="612"/>
      <c r="H126" s="612"/>
      <c r="I126" s="612"/>
      <c r="J126" s="612"/>
      <c r="K126" s="612"/>
    </row>
    <row r="127" spans="2:11" hidden="1" outlineLevel="1" x14ac:dyDescent="0.2">
      <c r="B127" s="738" t="str">
        <f>IF('input-data'!$B$3="Dansk", "         søer udsat, stk.", "         cull sows, p.")</f>
        <v xml:space="preserve">         søer udsat, stk.</v>
      </c>
      <c r="C127" s="613">
        <f>C26</f>
        <v>0</v>
      </c>
      <c r="D127" s="612"/>
      <c r="E127" s="612"/>
      <c r="F127" s="613"/>
      <c r="G127" s="612"/>
      <c r="H127" s="612"/>
      <c r="I127" s="612"/>
      <c r="J127" s="612"/>
      <c r="K127" s="612"/>
    </row>
    <row r="128" spans="2:11" hidden="1" outlineLevel="1" x14ac:dyDescent="0.2">
      <c r="B128" s="738" t="str">
        <f>IF('input-data'!$B$3="Dansk", "         solgte smågrise, stk.", "         sold piglets, p.")</f>
        <v xml:space="preserve">         solgte smågrise, stk.</v>
      </c>
      <c r="C128" s="613">
        <f>'input-data'!E500</f>
        <v>0</v>
      </c>
      <c r="D128" s="612"/>
      <c r="E128" s="612"/>
      <c r="F128" s="613"/>
      <c r="G128" s="612"/>
      <c r="H128" s="612"/>
      <c r="I128" s="612"/>
      <c r="J128" s="612"/>
      <c r="K128" s="612"/>
    </row>
    <row r="129" spans="2:11" hidden="1" outlineLevel="1" x14ac:dyDescent="0.2">
      <c r="B129" s="738" t="str">
        <f>IF('input-data'!$B$3="Dansk", "         søer udsat, kg levende vægt", "         cull sows, kg LW")</f>
        <v xml:space="preserve">         søer udsat, kg levende vægt</v>
      </c>
      <c r="C129" s="613">
        <f>C27</f>
        <v>0</v>
      </c>
      <c r="D129" s="612"/>
      <c r="E129" s="612"/>
      <c r="F129" s="613"/>
      <c r="G129" s="612"/>
      <c r="H129" s="612"/>
      <c r="I129" s="612"/>
      <c r="J129" s="612"/>
      <c r="K129" s="612"/>
    </row>
    <row r="130" spans="2:11" hidden="1" outlineLevel="1" x14ac:dyDescent="0.2">
      <c r="B130" s="738" t="str">
        <f>IF('input-data'!$B$3="Dansk", "         solgte smågrise, kg levende vægt", "         sold piglets, kg LW")</f>
        <v xml:space="preserve">         solgte smågrise, kg levende vægt</v>
      </c>
      <c r="C130" s="613">
        <f>C128*'Flow smågrise'!D13</f>
        <v>0</v>
      </c>
      <c r="D130" s="612"/>
      <c r="E130" s="612"/>
      <c r="F130" s="613"/>
      <c r="G130" s="612"/>
      <c r="H130" s="612"/>
      <c r="I130" s="612"/>
      <c r="J130" s="612"/>
      <c r="K130" s="612"/>
    </row>
    <row r="131" spans="2:11" hidden="1" outlineLevel="1" x14ac:dyDescent="0.2">
      <c r="B131" s="738" t="str">
        <f>IF('input-data'!$B$3="Dansk", "         slagtesvin, kg levende vægt", "         slaughter pigs, kg LW")</f>
        <v xml:space="preserve">         slagtesvin, kg levende vægt</v>
      </c>
      <c r="C131" s="613">
        <f>C94</f>
        <v>0</v>
      </c>
      <c r="D131" s="612"/>
      <c r="E131" s="612"/>
      <c r="F131" s="613"/>
      <c r="G131" s="612"/>
      <c r="H131" s="612"/>
      <c r="I131" s="612"/>
      <c r="J131" s="612"/>
      <c r="K131" s="612"/>
    </row>
    <row r="132" spans="2:11" hidden="1" outlineLevel="1" x14ac:dyDescent="0.2">
      <c r="B132" s="608" t="str">
        <f>B30</f>
        <v xml:space="preserve">      TOTAL OUTPUT, kg levende vægt</v>
      </c>
      <c r="C132" s="649">
        <f>C129+C130+C131</f>
        <v>0</v>
      </c>
      <c r="D132" s="608"/>
      <c r="E132" s="608"/>
      <c r="F132" s="610"/>
      <c r="G132" s="608"/>
      <c r="H132" s="608"/>
      <c r="I132" s="608"/>
      <c r="J132" s="608"/>
      <c r="K132" s="608"/>
    </row>
    <row r="133" spans="2:11" hidden="1" outlineLevel="1" x14ac:dyDescent="0.2">
      <c r="B133" s="738" t="str">
        <f>IF('input-data'!$B$3="Dansk", "      Påvirkning per kg levende vægt ", "          Impact per kg LW")</f>
        <v xml:space="preserve">      Påvirkning per kg levende vægt </v>
      </c>
      <c r="C133" s="649"/>
      <c r="D133" s="782">
        <f>IFERROR(D124/$C$132,0)</f>
        <v>0</v>
      </c>
      <c r="E133" s="782">
        <f t="shared" ref="E133:J133" si="30">IFERROR(E124/$C$132,0)</f>
        <v>0</v>
      </c>
      <c r="F133" s="782">
        <f t="shared" si="30"/>
        <v>0</v>
      </c>
      <c r="G133" s="782">
        <f t="shared" si="30"/>
        <v>0</v>
      </c>
      <c r="H133" s="782">
        <f t="shared" si="30"/>
        <v>0</v>
      </c>
      <c r="I133" s="782">
        <f t="shared" si="30"/>
        <v>0</v>
      </c>
      <c r="J133" s="782">
        <f t="shared" si="30"/>
        <v>0</v>
      </c>
      <c r="K133" s="783"/>
    </row>
    <row r="134" spans="2:11" collapsed="1" x14ac:dyDescent="0.2"/>
  </sheetData>
  <sheetProtection algorithmName="SHA-512" hashValue="uVLbEZRHTz3B2EUaoQp6cdjzIAmUDpN5LDH+A0lABXqTgwAkiWk6Hcr0IjKYuo3oGUFKbdRdg0USo5lqhWUT0Q==" saltValue="95vwPGSh35RpWcZza6LOdA==" spinCount="100000" sheet="1" objects="1" scenarios="1"/>
  <mergeCells count="14">
    <mergeCell ref="J8:J9"/>
    <mergeCell ref="D8:D9"/>
    <mergeCell ref="E8:E9"/>
    <mergeCell ref="F8:F9"/>
    <mergeCell ref="G8:G9"/>
    <mergeCell ref="H8:H9"/>
    <mergeCell ref="I8:I9"/>
    <mergeCell ref="I72:I74"/>
    <mergeCell ref="J72:J74"/>
    <mergeCell ref="D72:D74"/>
    <mergeCell ref="E72:E74"/>
    <mergeCell ref="F72:F74"/>
    <mergeCell ref="G72:G74"/>
    <mergeCell ref="H72:H74"/>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B2:K14"/>
  <sheetViews>
    <sheetView workbookViewId="0">
      <selection activeCell="D25" sqref="D25"/>
    </sheetView>
  </sheetViews>
  <sheetFormatPr defaultColWidth="8.85546875" defaultRowHeight="14.25" x14ac:dyDescent="0.2"/>
  <cols>
    <col min="1" max="1" width="8.85546875" style="110"/>
    <col min="2" max="2" width="26.140625" style="110" bestFit="1" customWidth="1"/>
    <col min="3" max="3" width="30.140625" style="110" bestFit="1" customWidth="1"/>
    <col min="4" max="4" width="26.7109375" style="110" bestFit="1" customWidth="1"/>
    <col min="5" max="5" width="26.140625" style="110" bestFit="1" customWidth="1"/>
    <col min="6" max="6" width="22.7109375" style="110" bestFit="1" customWidth="1"/>
    <col min="7" max="7" width="15.5703125" style="110" bestFit="1" customWidth="1"/>
    <col min="8" max="8" width="15.28515625" style="110" bestFit="1" customWidth="1"/>
    <col min="9" max="16384" width="8.85546875" style="110"/>
  </cols>
  <sheetData>
    <row r="2" spans="2:11" ht="15" thickBot="1" x14ac:dyDescent="0.25"/>
    <row r="3" spans="2:11" ht="24.75" customHeight="1" x14ac:dyDescent="0.2">
      <c r="B3" s="833" t="str">
        <f>IF('input-data'!$B$3="Dansk", "Foder type ", "Feed type D22")</f>
        <v xml:space="preserve">Foder type </v>
      </c>
      <c r="C3" s="834" t="str">
        <f>IF('input-data'!$B$3="Dansk", "Produktion, kg TS per gård ", "Production, kg DM per farm")</f>
        <v xml:space="preserve">Produktion, kg TS per gård </v>
      </c>
      <c r="D3" s="834" t="str">
        <f>IF('input-data'!$B$3="Dansk", "Produktion, kg per gård ", "Production, kg DM per farm")</f>
        <v xml:space="preserve">Produktion, kg per gård </v>
      </c>
      <c r="E3" s="834" t="str">
        <f>IF('input-data'!$B$3="Dansk", "Forbrug, kg TS per gård", "Use, kg DM per faarm")</f>
        <v>Forbrug, kg TS per gård</v>
      </c>
      <c r="F3" s="834" t="str">
        <f>IF('input-data'!$B$3="Dansk", "Forbrug, kg per gård", "Use, kg per farm")</f>
        <v>Forbrug, kg per gård</v>
      </c>
      <c r="G3" s="834" t="str">
        <f>IF('input-data'!$B$3="Dansk", "Forbrug, kg N", "Use, kg N")</f>
        <v>Forbrug, kg N</v>
      </c>
      <c r="H3" s="835" t="str">
        <f>IF('input-data'!$B$3="Dansk", "Forbrug, kg P", "Use, kg P")</f>
        <v>Forbrug, kg P</v>
      </c>
    </row>
    <row r="4" spans="2:11" x14ac:dyDescent="0.2">
      <c r="B4" s="836">
        <v>1</v>
      </c>
      <c r="C4" s="837">
        <v>2</v>
      </c>
      <c r="D4" s="837">
        <v>3</v>
      </c>
      <c r="E4" s="837">
        <v>4</v>
      </c>
      <c r="F4" s="837">
        <v>5</v>
      </c>
      <c r="G4" s="837">
        <v>6</v>
      </c>
      <c r="H4" s="838">
        <v>7</v>
      </c>
      <c r="I4" s="269">
        <v>8</v>
      </c>
      <c r="J4" s="269">
        <v>9</v>
      </c>
      <c r="K4" s="269">
        <v>10</v>
      </c>
    </row>
    <row r="5" spans="2:11" x14ac:dyDescent="0.2">
      <c r="B5" s="636" t="str">
        <f>IF('input-data'!$B$3="Dansk", topdowntables!R5, topdowntables!R17)</f>
        <v>byg - fra gaard</v>
      </c>
      <c r="C5" s="337">
        <f>IFERROR(VLOOKUP('feed available'!B5, production, 2, FALSE)*VLOOKUP(B5, production, 3, FALSE), 0)</f>
        <v>0</v>
      </c>
      <c r="D5" s="337">
        <f t="shared" ref="D5:D14" si="0">IFERROR(VLOOKUP(B5, production, 4, FALSE),0)</f>
        <v>0</v>
      </c>
      <c r="E5" s="261">
        <f>SUMIF('Feed - overview'!$E$17:$E$190, B5, 'Feed - overview'!$J$17:$J$190)</f>
        <v>0</v>
      </c>
      <c r="F5" s="261">
        <f>SUMIF('Feed - overview'!$E$17:$E$190, B5, 'Feed - overview'!$H$17:$H$190)</f>
        <v>0</v>
      </c>
      <c r="G5" s="261">
        <f>SUMIF('Feed - overview'!$E$17:$E$190, B5, 'Feed - overview'!$K$17:$K$190)</f>
        <v>0</v>
      </c>
      <c r="H5" s="839">
        <f>SUMIF('Feed - overview'!$E$17:$E$190, B5, 'Feed - overview'!$L$17:$L$190)</f>
        <v>0</v>
      </c>
    </row>
    <row r="6" spans="2:11" x14ac:dyDescent="0.2">
      <c r="B6" s="636" t="str">
        <f>IF('input-data'!$B$3="Dansk", topdowntables!R6, topdowntables!R18)</f>
        <v>hvede - fra gaard</v>
      </c>
      <c r="C6" s="337">
        <f>IFERROR(VLOOKUP('feed available'!B6, production, 2, FALSE)*VLOOKUP(B6, production, 3, FALSE), 0)</f>
        <v>0</v>
      </c>
      <c r="D6" s="337">
        <f t="shared" si="0"/>
        <v>0</v>
      </c>
      <c r="E6" s="261">
        <f>SUMIF('Feed - overview'!$E$17:$E$190, B6, 'Feed - overview'!$J$17:$J$190)</f>
        <v>0</v>
      </c>
      <c r="F6" s="261">
        <f>SUMIF('Feed - overview'!$E$17:$E$190, B6, 'Feed - overview'!$H$17:$H$190)</f>
        <v>0</v>
      </c>
      <c r="G6" s="261">
        <f>SUMIF('Feed - overview'!$E$17:$E$190, B6, 'Feed - overview'!$K$17:$K$190)</f>
        <v>0</v>
      </c>
      <c r="H6" s="839">
        <f>SUMIF('Feed - overview'!$E$17:$E$190, B6, 'Feed - overview'!$L$17:$L$190)</f>
        <v>0</v>
      </c>
    </row>
    <row r="7" spans="2:11" x14ac:dyDescent="0.2">
      <c r="B7" s="636" t="str">
        <f>IF('input-data'!$B$3="Dansk", topdowntables!R7, topdowntables!R19)</f>
        <v>havre - fra gaard</v>
      </c>
      <c r="C7" s="337">
        <f>IFERROR(VLOOKUP('feed available'!B7, production, 2, FALSE)*VLOOKUP(B7, production, 3, FALSE), 0)</f>
        <v>0</v>
      </c>
      <c r="D7" s="337">
        <f t="shared" si="0"/>
        <v>0</v>
      </c>
      <c r="E7" s="261">
        <f>SUMIF('Feed - overview'!$E$17:$E$190, B7, 'Feed - overview'!$J$17:$J$190)</f>
        <v>0</v>
      </c>
      <c r="F7" s="261">
        <f>SUMIF('Feed - overview'!$E$17:$E$190, B7, 'Feed - overview'!$H$17:$H$190)</f>
        <v>0</v>
      </c>
      <c r="G7" s="261">
        <f>SUMIF('Feed - overview'!$E$17:$E$190, B7, 'Feed - overview'!$K$17:$K$190)</f>
        <v>0</v>
      </c>
      <c r="H7" s="839">
        <f>SUMIF('Feed - overview'!$E$17:$E$190, B7, 'Feed - overview'!$L$17:$L$190)</f>
        <v>0</v>
      </c>
    </row>
    <row r="8" spans="2:11" x14ac:dyDescent="0.2">
      <c r="B8" s="636" t="str">
        <f>IF('input-data'!$B$3="Dansk", topdowntables!R8, topdowntables!R20)</f>
        <v>rug - fra gaard</v>
      </c>
      <c r="C8" s="337">
        <f>IFERROR(VLOOKUP('feed available'!B8, production, 2, FALSE)*VLOOKUP(B8, production, 3, FALSE), 0)</f>
        <v>0</v>
      </c>
      <c r="D8" s="337">
        <f t="shared" si="0"/>
        <v>0</v>
      </c>
      <c r="E8" s="261">
        <f>SUMIF('Feed - overview'!$E$17:$E$190, B8, 'Feed - overview'!$J$17:$J$190)</f>
        <v>0</v>
      </c>
      <c r="F8" s="261">
        <f>SUMIF('Feed - overview'!$E$17:$E$190, B8, 'Feed - overview'!$H$17:$H$190)</f>
        <v>0</v>
      </c>
      <c r="G8" s="261">
        <f>SUMIF('Feed - overview'!$E$17:$E$190, B8, 'Feed - overview'!$K$17:$K$190)</f>
        <v>0</v>
      </c>
      <c r="H8" s="839">
        <f>SUMIF('Feed - overview'!$E$17:$E$190, B8, 'Feed - overview'!$L$17:$L$190)</f>
        <v>0</v>
      </c>
    </row>
    <row r="9" spans="2:11" x14ac:dyDescent="0.2">
      <c r="B9" s="636" t="str">
        <f>IF('input-data'!$B$3="Dansk", topdowntables!R9, topdowntables!R21)</f>
        <v>triticale - fra gaard</v>
      </c>
      <c r="C9" s="337">
        <f>IFERROR(VLOOKUP('feed available'!B9, production, 2, FALSE)*VLOOKUP(B9, production, 3, FALSE), 0)</f>
        <v>0</v>
      </c>
      <c r="D9" s="337">
        <f t="shared" si="0"/>
        <v>0</v>
      </c>
      <c r="E9" s="261">
        <f>SUMIF('Feed - overview'!$E$17:$E$190, B9, 'Feed - overview'!$J$17:$J$190)</f>
        <v>0</v>
      </c>
      <c r="F9" s="261">
        <f>SUMIF('Feed - overview'!$E$17:$E$190, B9, 'Feed - overview'!$H$17:$H$190)</f>
        <v>0</v>
      </c>
      <c r="G9" s="261">
        <f>SUMIF('Feed - overview'!$E$17:$E$190, B9, 'Feed - overview'!$K$17:$K$190)</f>
        <v>0</v>
      </c>
      <c r="H9" s="839">
        <f>SUMIF('Feed - overview'!$E$17:$E$190, B9, 'Feed - overview'!$L$17:$L$190)</f>
        <v>0</v>
      </c>
    </row>
    <row r="10" spans="2:11" x14ac:dyDescent="0.2">
      <c r="B10" s="636" t="str">
        <f>IF('input-data'!$B$3="Dansk", topdowntables!R10, topdowntables!R22)</f>
        <v>ærter - fra gaard</v>
      </c>
      <c r="C10" s="337">
        <f>IFERROR(VLOOKUP('feed available'!B10, production, 2, FALSE)*VLOOKUP(B10, production, 3, FALSE), 0)</f>
        <v>0</v>
      </c>
      <c r="D10" s="337">
        <f t="shared" si="0"/>
        <v>0</v>
      </c>
      <c r="E10" s="261">
        <f>SUMIF('Feed - overview'!$E$17:$E$190, B10, 'Feed - overview'!$J$17:$J$190)</f>
        <v>0</v>
      </c>
      <c r="F10" s="261">
        <f>SUMIF('Feed - overview'!$E$17:$E$190, B10, 'Feed - overview'!$H$17:$H$190)</f>
        <v>0</v>
      </c>
      <c r="G10" s="261">
        <f>SUMIF('Feed - overview'!$E$17:$E$190, B10, 'Feed - overview'!$K$17:$K$190)</f>
        <v>0</v>
      </c>
      <c r="H10" s="839">
        <f>SUMIF('Feed - overview'!$E$17:$E$190, B10, 'Feed - overview'!$L$17:$L$190)</f>
        <v>0</v>
      </c>
    </row>
    <row r="11" spans="2:11" x14ac:dyDescent="0.2">
      <c r="B11" s="636" t="str">
        <f>IF('input-data'!$B$3="Dansk", topdowntables!R11, topdowntables!R23)</f>
        <v>kløvergræs ensilage - fra gaard</v>
      </c>
      <c r="C11" s="337">
        <f>IFERROR(VLOOKUP('feed available'!B11, production, 2, FALSE)*VLOOKUP(B11, production, 3, FALSE), 0)</f>
        <v>0</v>
      </c>
      <c r="D11" s="337">
        <f t="shared" si="0"/>
        <v>0</v>
      </c>
      <c r="E11" s="261">
        <f>SUMIF('Feed - overview'!$E$17:$E$190, B11, 'Feed - overview'!$J$17:$J$190)</f>
        <v>0</v>
      </c>
      <c r="F11" s="261">
        <f>SUMIF('Feed - overview'!$E$17:$E$190, B11, 'Feed - overview'!$H$17:$H$190)</f>
        <v>0</v>
      </c>
      <c r="G11" s="261">
        <f>SUMIF('Feed - overview'!$E$17:$E$190, B11, 'Feed - overview'!$K$17:$K$190)</f>
        <v>0</v>
      </c>
      <c r="H11" s="839">
        <f>SUMIF('Feed - overview'!$E$17:$E$190, B11, 'Feed - overview'!$L$17:$L$190)</f>
        <v>0</v>
      </c>
    </row>
    <row r="12" spans="2:11" x14ac:dyDescent="0.2">
      <c r="B12" s="636" t="str">
        <f>IF('input-data'!$B$3="Dansk", topdowntables!R12, topdowntables!R24)</f>
        <v>græs ensilage - fra gaard</v>
      </c>
      <c r="C12" s="337">
        <f>IFERROR(VLOOKUP('feed available'!B12, production, 2, FALSE)*VLOOKUP(B12, production, 3, FALSE), 0)</f>
        <v>0</v>
      </c>
      <c r="D12" s="337">
        <f t="shared" si="0"/>
        <v>0</v>
      </c>
      <c r="E12" s="261">
        <f>SUMIF('Feed - overview'!$E$17:$E$190, B12, 'Feed - overview'!$J$17:$J$190)</f>
        <v>0</v>
      </c>
      <c r="F12" s="261">
        <f>SUMIF('Feed - overview'!$E$17:$E$190, B12, 'Feed - overview'!$H$17:$H$190)</f>
        <v>0</v>
      </c>
      <c r="G12" s="261">
        <f>SUMIF('Feed - overview'!$E$17:$E$190, B12, 'Feed - overview'!$K$17:$K$190)</f>
        <v>0</v>
      </c>
      <c r="H12" s="839">
        <f>SUMIF('Feed - overview'!$E$17:$E$190, B12, 'Feed - overview'!$L$17:$L$190)</f>
        <v>0</v>
      </c>
    </row>
    <row r="13" spans="2:11" x14ac:dyDescent="0.2">
      <c r="B13" s="636" t="str">
        <f>IF('input-data'!$B$3="Dansk", topdowntables!R13, topdowntables!R25)</f>
        <v>hestebønner - fra gaard</v>
      </c>
      <c r="C13" s="337">
        <f>IFERROR(VLOOKUP('feed available'!B13, production, 2, FALSE)*VLOOKUP(B13, production, 3, FALSE), 0)</f>
        <v>0</v>
      </c>
      <c r="D13" s="337">
        <f t="shared" si="0"/>
        <v>0</v>
      </c>
      <c r="E13" s="261">
        <f>SUMIF('Feed - overview'!$E$17:$E$190, B13, 'Feed - overview'!$J$17:$J$190)</f>
        <v>0</v>
      </c>
      <c r="F13" s="261">
        <f>SUMIF('Feed - overview'!$E$17:$E$190, B13, 'Feed - overview'!$H$17:$H$190)</f>
        <v>0</v>
      </c>
      <c r="G13" s="261">
        <f>SUMIF('Feed - overview'!$E$17:$E$190, B13, 'Feed - overview'!$K$17:$K$190)</f>
        <v>0</v>
      </c>
      <c r="H13" s="839">
        <f>SUMIF('Feed - overview'!$E$17:$E$190, B13, 'Feed - overview'!$L$17:$L$190)</f>
        <v>0</v>
      </c>
    </row>
    <row r="14" spans="2:11" ht="15" thickBot="1" x14ac:dyDescent="0.25">
      <c r="B14" s="638" t="str">
        <f>IF('input-data'!$B$3="Dansk", topdowntables!R14, topdowntables!R26)</f>
        <v>…………………………………………..</v>
      </c>
      <c r="C14" s="641">
        <f>IFERROR(VLOOKUP('feed available'!B14, production, 2, FALSE)*VLOOKUP(B14, production, 3, FALSE), 0)</f>
        <v>0</v>
      </c>
      <c r="D14" s="641">
        <f t="shared" si="0"/>
        <v>0</v>
      </c>
      <c r="E14" s="640">
        <f>SUMIF('Feed - overview'!$E$17:$E$190, B14, 'Feed - overview'!$J$17:$J$190)</f>
        <v>0</v>
      </c>
      <c r="F14" s="640">
        <f>SUMIF('Feed - overview'!$E$17:$E$190, B14, 'Feed - overview'!$H$17:$H$190)</f>
        <v>0</v>
      </c>
      <c r="G14" s="640">
        <f>SUMIF('Feed - overview'!$E$17:$E$190, B14, 'Feed - overview'!$K$17:$K$190)</f>
        <v>0</v>
      </c>
      <c r="H14" s="840">
        <f>SUMIF('Feed - overview'!$E$17:$E$190, B14, 'Feed - overview'!$L$17:$L$190)</f>
        <v>0</v>
      </c>
    </row>
  </sheetData>
  <sheetProtection algorithmName="SHA-512" hashValue="VrECMsdMNRn6OkM5iVPsRMl75y6rdep+eUh+EqX7zz7UHmlq1dh6WWMJDOtqU4CbQSVKrdHc+4Q/5sghr3DDkQ==" saltValue="e/fIbSm0jbugkni9xsePo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B2:G20"/>
  <sheetViews>
    <sheetView workbookViewId="0">
      <selection activeCell="C25" sqref="C25"/>
    </sheetView>
  </sheetViews>
  <sheetFormatPr defaultColWidth="8.85546875" defaultRowHeight="14.25" x14ac:dyDescent="0.2"/>
  <cols>
    <col min="1" max="1" width="8.85546875" style="110"/>
    <col min="2" max="2" width="47.85546875" style="110" bestFit="1" customWidth="1"/>
    <col min="3" max="3" width="19" style="110" bestFit="1" customWidth="1"/>
    <col min="4" max="4" width="24.28515625" style="110" bestFit="1" customWidth="1"/>
    <col min="5" max="5" width="19.28515625" style="110" customWidth="1"/>
    <col min="6" max="6" width="20.28515625" style="110" customWidth="1"/>
    <col min="7" max="7" width="20.5703125" style="110" customWidth="1"/>
    <col min="8" max="8" width="13.7109375" style="110" bestFit="1" customWidth="1"/>
    <col min="9" max="16384" width="8.85546875" style="110"/>
  </cols>
  <sheetData>
    <row r="2" spans="2:7" s="225" customFormat="1" ht="36" customHeight="1" x14ac:dyDescent="0.2">
      <c r="B2" s="832" t="str">
        <f>'Feed - overview'!C16</f>
        <v>Foder type</v>
      </c>
      <c r="C2" s="832" t="str">
        <f>'Feed - overview'!B17</f>
        <v xml:space="preserve"> Diegivning søer</v>
      </c>
      <c r="D2" s="832" t="str">
        <f>'Feed - overview'!B38</f>
        <v xml:space="preserve"> Pattegrisene ved soen</v>
      </c>
      <c r="E2" s="832" t="str">
        <f>'Feed - overview'!B53</f>
        <v xml:space="preserve"> Drægtige søer</v>
      </c>
      <c r="F2" s="832" t="str">
        <f>'Feed - overview'!B89</f>
        <v xml:space="preserve"> Smågrise</v>
      </c>
      <c r="G2" s="832" t="str">
        <f>'Feed - overview'!B140</f>
        <v xml:space="preserve"> Slagtesvin</v>
      </c>
    </row>
    <row r="3" spans="2:7" x14ac:dyDescent="0.2">
      <c r="B3" s="841"/>
      <c r="C3" s="841" t="str">
        <f>IF('input-data'!$B$3="Dansk", "SFU per år per dyr", "FU per yearanimal")</f>
        <v>SFU per år per dyr</v>
      </c>
      <c r="D3" s="841" t="str">
        <f>IF('input-data'!$B$3="Dansk", "SFU per dyr", "FU per animal")</f>
        <v>SFU per dyr</v>
      </c>
      <c r="E3" s="841" t="str">
        <f>IF('input-data'!$B$3="Dansk", "SFU per år per dyr", "FU per yearanimal")</f>
        <v>SFU per år per dyr</v>
      </c>
      <c r="F3" s="841" t="str">
        <f>IF('input-data'!$B$3="Dansk", "SFU per dyr", "FU per animal")</f>
        <v>SFU per dyr</v>
      </c>
      <c r="G3" s="841" t="str">
        <f>IF('input-data'!$B$3="Dansk", "SFU per dyr", "FU per animal")</f>
        <v>SFU per dyr</v>
      </c>
    </row>
    <row r="4" spans="2:7" x14ac:dyDescent="0.2">
      <c r="B4" s="110" t="str">
        <f>'Feed use at farm'!C4</f>
        <v>byg</v>
      </c>
      <c r="C4" s="395">
        <f>SUMIF('Feed - overview'!$X$17:$X$37, B4, 'Feed - overview'!$G$17:$G$37)</f>
        <v>0</v>
      </c>
      <c r="D4" s="395">
        <f>SUMIF('Feed - overview'!$X$38:$X$52, B4, 'Feed - overview'!$G$38:$G$52)</f>
        <v>0</v>
      </c>
      <c r="E4" s="395">
        <f>SUMIF('Feed - overview'!$X$53:$X$88, B4, 'Feed - overview'!$G$53:$G$88)</f>
        <v>0</v>
      </c>
      <c r="F4" s="395">
        <f>SUMIF('Feed - overview'!$X$89:$X$139, B4, 'Feed - overview'!$G$89:$G$139)</f>
        <v>0</v>
      </c>
      <c r="G4" s="395">
        <f>SUMIF('Feed - overview'!$X$140:$X$190, B4, 'Feed - overview'!$G$140:$G$190)</f>
        <v>0</v>
      </c>
    </row>
    <row r="5" spans="2:7" x14ac:dyDescent="0.2">
      <c r="B5" s="110" t="str">
        <f>'Feed use at farm'!C6</f>
        <v>hvede</v>
      </c>
      <c r="C5" s="395">
        <f>SUMIF('Feed - overview'!$X$17:$X$37, B5, 'Feed - overview'!$G$17:$G$37)</f>
        <v>0</v>
      </c>
      <c r="D5" s="395">
        <f>SUMIF('Feed - overview'!$X$38:$X$52, B5, 'Feed - overview'!$G$38:$G$52)</f>
        <v>0</v>
      </c>
      <c r="E5" s="395">
        <f>SUMIF('Feed - overview'!$X$53:$X$88, B5, 'Feed - overview'!$G$53:$G$88)</f>
        <v>0</v>
      </c>
      <c r="F5" s="395">
        <f>SUMIF('Feed - overview'!$X$89:$X$139, B5, 'Feed - overview'!$G$89:$G$139)</f>
        <v>0</v>
      </c>
      <c r="G5" s="395">
        <f>SUMIF('Feed - overview'!$X$140:$X$190, B5, 'Feed - overview'!$G$140:$G$190)</f>
        <v>0</v>
      </c>
    </row>
    <row r="6" spans="2:7" x14ac:dyDescent="0.2">
      <c r="B6" s="110" t="str">
        <f>'Feed use at farm'!C8</f>
        <v>rug</v>
      </c>
      <c r="C6" s="395">
        <f>SUMIF('Feed - overview'!$X$17:$X$37, B6, 'Feed - overview'!$G$17:$G$37)</f>
        <v>0</v>
      </c>
      <c r="D6" s="395">
        <f>SUMIF('Feed - overview'!$X$38:$X$52, B6, 'Feed - overview'!$G$38:$G$52)</f>
        <v>0</v>
      </c>
      <c r="E6" s="395">
        <f>SUMIF('Feed - overview'!$X$53:$X$88, B6, 'Feed - overview'!$G$53:$G$88)</f>
        <v>0</v>
      </c>
      <c r="F6" s="395">
        <f>SUMIF('Feed - overview'!$X$89:$X$139, B6, 'Feed - overview'!$G$89:$G$139)</f>
        <v>0</v>
      </c>
      <c r="G6" s="395">
        <f>SUMIF('Feed - overview'!$X$140:$X$190, B6, 'Feed - overview'!$G$140:$G$190)</f>
        <v>0</v>
      </c>
    </row>
    <row r="7" spans="2:7" x14ac:dyDescent="0.2">
      <c r="B7" s="110" t="str">
        <f>'Feed use at farm'!C10</f>
        <v>havre</v>
      </c>
      <c r="C7" s="395">
        <f>SUMIF('Feed - overview'!$X$17:$X$37, B7, 'Feed - overview'!$G$17:$G$37)</f>
        <v>0</v>
      </c>
      <c r="D7" s="395">
        <f>SUMIF('Feed - overview'!$X$38:$X$52, B7, 'Feed - overview'!$G$38:$G$52)</f>
        <v>0</v>
      </c>
      <c r="E7" s="395">
        <f>SUMIF('Feed - overview'!$X$53:$X$88, B7, 'Feed - overview'!$G$53:$G$88)</f>
        <v>0</v>
      </c>
      <c r="F7" s="395">
        <f>SUMIF('Feed - overview'!$X$89:$X$139, B7, 'Feed - overview'!$G$89:$G$139)</f>
        <v>0</v>
      </c>
      <c r="G7" s="395">
        <f>SUMIF('Feed - overview'!$X$140:$X$190, B7, 'Feed - overview'!$G$140:$G$190)</f>
        <v>0</v>
      </c>
    </row>
    <row r="8" spans="2:7" x14ac:dyDescent="0.2">
      <c r="B8" s="110" t="str">
        <f>'Feed use at farm'!C12</f>
        <v>triticale</v>
      </c>
      <c r="C8" s="395">
        <f>SUMIF('Feed - overview'!$X$17:$X$37, B8, 'Feed - overview'!$G$17:$G$37)</f>
        <v>0</v>
      </c>
      <c r="D8" s="395">
        <f>SUMIF('Feed - overview'!$X$38:$X$52, B8, 'Feed - overview'!$G$38:$G$52)</f>
        <v>0</v>
      </c>
      <c r="E8" s="395">
        <f>SUMIF('Feed - overview'!$X$53:$X$88, B8, 'Feed - overview'!$G$53:$G$88)</f>
        <v>0</v>
      </c>
      <c r="F8" s="395">
        <f>SUMIF('Feed - overview'!$X$89:$X$139, B8, 'Feed - overview'!$G$89:$G$139)</f>
        <v>0</v>
      </c>
      <c r="G8" s="395">
        <f>SUMIF('Feed - overview'!$X$140:$X$190, B8, 'Feed - overview'!$G$140:$G$190)</f>
        <v>0</v>
      </c>
    </row>
    <row r="9" spans="2:7" x14ac:dyDescent="0.2">
      <c r="B9" s="110" t="str">
        <f>'Feed use at farm'!C14</f>
        <v>sojakage</v>
      </c>
      <c r="C9" s="395">
        <f>SUMIF('Feed - overview'!$X$17:$X$37, B9, 'Feed - overview'!$G$17:$G$37)</f>
        <v>0</v>
      </c>
      <c r="D9" s="395">
        <f>SUMIF('Feed - overview'!$X$38:$X$52, B9, 'Feed - overview'!$G$38:$G$52)</f>
        <v>0</v>
      </c>
      <c r="E9" s="395">
        <f>SUMIF('Feed - overview'!$X$53:$X$88, B9, 'Feed - overview'!$G$53:$G$88)</f>
        <v>0</v>
      </c>
      <c r="F9" s="395">
        <f>SUMIF('Feed - overview'!$X$89:$X$139, B9, 'Feed - overview'!$G$89:$G$139)</f>
        <v>0</v>
      </c>
      <c r="G9" s="395">
        <f>SUMIF('Feed - overview'!$X$140:$X$190, B9, 'Feed - overview'!$G$140:$G$190)</f>
        <v>0</v>
      </c>
    </row>
    <row r="10" spans="2:7" x14ac:dyDescent="0.2">
      <c r="B10" s="258" t="str">
        <f>'Feed use at farm'!C22</f>
        <v>rapskagefoder</v>
      </c>
      <c r="C10" s="395">
        <f>SUMIF('Feed - overview'!$X$17:$X$37, B10, 'Feed - overview'!$G$17:$G$37)</f>
        <v>0</v>
      </c>
      <c r="D10" s="395">
        <f>SUMIF('Feed - overview'!$X$38:$X$52, B10, 'Feed - overview'!$G$38:$G$52)</f>
        <v>0</v>
      </c>
      <c r="E10" s="395">
        <f>SUMIF('Feed - overview'!$X$53:$X$88, B10, 'Feed - overview'!$G$53:$G$88)</f>
        <v>0</v>
      </c>
      <c r="F10" s="395">
        <f>SUMIF('Feed - overview'!$X$89:$X$139, B10, 'Feed - overview'!$G$89:$G$139)</f>
        <v>0</v>
      </c>
      <c r="G10" s="395">
        <f>SUMIF('Feed - overview'!$X$140:$X$190, B10, 'Feed - overview'!$G$140:$G$190)</f>
        <v>0</v>
      </c>
    </row>
    <row r="11" spans="2:7" x14ac:dyDescent="0.2">
      <c r="B11" s="110" t="str">
        <f>'Feed use at farm'!C15</f>
        <v>fiskemel</v>
      </c>
      <c r="C11" s="395">
        <f>SUMIF('Feed - overview'!$X$17:$X$37, B11, 'Feed - overview'!$G$17:$G$37)</f>
        <v>0</v>
      </c>
      <c r="D11" s="395">
        <f>SUMIF('Feed - overview'!$X$38:$X$52, B11, 'Feed - overview'!$G$38:$G$52)</f>
        <v>0</v>
      </c>
      <c r="E11" s="395">
        <f>SUMIF('Feed - overview'!$X$53:$X$88, B11, 'Feed - overview'!$G$53:$G$88)</f>
        <v>0</v>
      </c>
      <c r="F11" s="395">
        <f>SUMIF('Feed - overview'!$X$89:$X$139, B11, 'Feed - overview'!$G$89:$G$139)</f>
        <v>0</v>
      </c>
      <c r="G11" s="395">
        <f>SUMIF('Feed - overview'!$X$140:$X$190, B11, 'Feed - overview'!$G$140:$G$190)</f>
        <v>0</v>
      </c>
    </row>
    <row r="12" spans="2:7" x14ac:dyDescent="0.2">
      <c r="B12" s="110" t="str">
        <f>'Feed use at farm'!C16</f>
        <v>hestebønner</v>
      </c>
      <c r="C12" s="395">
        <f>SUMIF('Feed - overview'!$X$17:$X$37, B12, 'Feed - overview'!$G$17:$G$37)</f>
        <v>0</v>
      </c>
      <c r="D12" s="395">
        <f>SUMIF('Feed - overview'!$X$38:$X$52, B12, 'Feed - overview'!$G$38:$G$52)</f>
        <v>0</v>
      </c>
      <c r="E12" s="395">
        <f>SUMIF('Feed - overview'!$X$53:$X$88, B12, 'Feed - overview'!$G$53:$G$88)</f>
        <v>0</v>
      </c>
      <c r="F12" s="395">
        <f>SUMIF('Feed - overview'!$X$89:$X$139, B12, 'Feed - overview'!$G$89:$G$139)</f>
        <v>0</v>
      </c>
      <c r="G12" s="395">
        <f>SUMIF('Feed - overview'!$X$140:$X$190, B12, 'Feed - overview'!$G$140:$G$190)</f>
        <v>0</v>
      </c>
    </row>
    <row r="13" spans="2:7" x14ac:dyDescent="0.2">
      <c r="B13" s="110" t="str">
        <f>'Feed use at farm'!C18</f>
        <v>ærter</v>
      </c>
      <c r="C13" s="395">
        <f>SUMIF('Feed - overview'!$X$17:$X$37, B13, 'Feed - overview'!$G$17:$G$37)</f>
        <v>0</v>
      </c>
      <c r="D13" s="395">
        <f>SUMIF('Feed - overview'!$X$38:$X$52, B13, 'Feed - overview'!$G$38:$G$52)</f>
        <v>0</v>
      </c>
      <c r="E13" s="395">
        <f>SUMIF('Feed - overview'!$X$53:$X$88, B13, 'Feed - overview'!$G$53:$G$88)</f>
        <v>0</v>
      </c>
      <c r="F13" s="395">
        <f>SUMIF('Feed - overview'!$X$89:$X$139, B13, 'Feed - overview'!$G$89:$G$139)</f>
        <v>0</v>
      </c>
      <c r="G13" s="395">
        <f>SUMIF('Feed - overview'!$X$140:$X$190, B13, 'Feed - overview'!$G$140:$G$190)</f>
        <v>0</v>
      </c>
    </row>
    <row r="14" spans="2:7" x14ac:dyDescent="0.2">
      <c r="B14" s="110" t="str">
        <f>'Feed use at farm'!C20</f>
        <v>kartoffelprotein</v>
      </c>
      <c r="C14" s="395">
        <f>SUMIF('Feed - overview'!$X$17:$X$37, B14, 'Feed - overview'!$G$17:$G$37)</f>
        <v>0</v>
      </c>
      <c r="D14" s="395">
        <f>SUMIF('Feed - overview'!$X$38:$X$52, B14, 'Feed - overview'!$G$38:$G$52)</f>
        <v>0</v>
      </c>
      <c r="E14" s="395">
        <f>SUMIF('Feed - overview'!$X$53:$X$88, B14, 'Feed - overview'!$G$53:$G$88)</f>
        <v>0</v>
      </c>
      <c r="F14" s="395">
        <f>SUMIF('Feed - overview'!$X$89:$X$139, B14, 'Feed - overview'!$G$89:$G$139)</f>
        <v>0</v>
      </c>
      <c r="G14" s="395">
        <f>SUMIF('Feed - overview'!$X$140:$X$190, B14, 'Feed - overview'!$G$140:$G$190)</f>
        <v>0</v>
      </c>
    </row>
    <row r="15" spans="2:7" x14ac:dyDescent="0.2">
      <c r="B15" s="110" t="str">
        <f>'Feed use at farm'!C21</f>
        <v>vitaminer og mineraler</v>
      </c>
      <c r="C15" s="395">
        <f>SUMIF('Feed - overview'!$X$17:$X$37, B15, 'Feed - overview'!$G$17:$G$37)</f>
        <v>0</v>
      </c>
      <c r="D15" s="395">
        <f>SUMIF('Feed - overview'!$X$38:$X$52, B15, 'Feed - overview'!$G$38:$G$52)</f>
        <v>0</v>
      </c>
      <c r="E15" s="395">
        <f>SUMIF('Feed - overview'!$X$53:$X$88, B15, 'Feed - overview'!$G$53:$G$88)</f>
        <v>0</v>
      </c>
      <c r="F15" s="395">
        <f>SUMIF('Feed - overview'!$X$89:$X$139, B15, 'Feed - overview'!$G$89:$G$139)</f>
        <v>0</v>
      </c>
      <c r="G15" s="395">
        <f>SUMIF('Feed - overview'!$X$140:$X$190, B15, 'Feed - overview'!$G$140:$G$190)</f>
        <v>0</v>
      </c>
    </row>
    <row r="16" spans="2:7" x14ac:dyDescent="0.2">
      <c r="B16" s="110" t="str">
        <f>'Feed use at farm'!C23</f>
        <v>øvrige</v>
      </c>
      <c r="C16" s="395">
        <f>SUMIF('Feed - overview'!$X$17:$X$37, B16, 'Feed - overview'!$G$17:$G$37)</f>
        <v>0</v>
      </c>
      <c r="D16" s="395">
        <f>SUMIF('Feed - overview'!$X$38:$X$52, B16, 'Feed - overview'!$G$38:$G$52)</f>
        <v>0</v>
      </c>
      <c r="E16" s="395">
        <f>SUMIF('Feed - overview'!$X$53:$X$88, B16, 'Feed - overview'!$G$53:$G$88)</f>
        <v>0</v>
      </c>
      <c r="F16" s="395">
        <f>SUMIF('Feed - overview'!$X$89:$X$139, B16, 'Feed - overview'!$G$89:$G$139)</f>
        <v>0</v>
      </c>
      <c r="G16" s="395">
        <f>SUMIF('Feed - overview'!$X$140:$X$190, B16, 'Feed - overview'!$G$140:$G$190)</f>
        <v>0</v>
      </c>
    </row>
    <row r="17" spans="2:7" x14ac:dyDescent="0.2">
      <c r="B17" s="110" t="str">
        <f>'Feed use at farm'!C24</f>
        <v>kløvergræs ensilage</v>
      </c>
      <c r="C17" s="395">
        <f>SUMIF('Feed - overview'!$X$17:$X$37, B17, 'Feed - overview'!$G$17:$G$37)</f>
        <v>0</v>
      </c>
      <c r="D17" s="395">
        <f>SUMIF('Feed - overview'!$X$38:$X$52, B17, 'Feed - overview'!$G$38:$G$52)</f>
        <v>0</v>
      </c>
      <c r="E17" s="395">
        <f>SUMIF('Feed - overview'!$X$53:$X$88, B17, 'Feed - overview'!$G$53:$G$88)</f>
        <v>0</v>
      </c>
      <c r="F17" s="395">
        <f>SUMIF('Feed - overview'!$X$89:$X$139, B17, 'Feed - overview'!$G$89:$G$139)</f>
        <v>0</v>
      </c>
      <c r="G17" s="395">
        <f>SUMIF('Feed - overview'!$X$140:$X$190, B17, 'Feed - overview'!$G$140:$G$190)</f>
        <v>0</v>
      </c>
    </row>
    <row r="18" spans="2:7" x14ac:dyDescent="0.2">
      <c r="B18" s="110" t="str">
        <f>'Feed use at farm'!C26</f>
        <v>græsensilage</v>
      </c>
      <c r="C18" s="395">
        <f>SUMIF('Feed - overview'!$X$17:$X$37, B18, 'Feed - overview'!$G$17:$G$37)</f>
        <v>0</v>
      </c>
      <c r="D18" s="395">
        <f>SUMIF('Feed - overview'!$X$38:$X$52, B18, 'Feed - overview'!$G$38:$G$52)</f>
        <v>0</v>
      </c>
      <c r="E18" s="395">
        <f>SUMIF('Feed - overview'!$X$53:$X$88, B18, 'Feed - overview'!$G$53:$G$88)</f>
        <v>0</v>
      </c>
      <c r="F18" s="395">
        <f>SUMIF('Feed - overview'!$X$89:$X$139, B18, 'Feed - overview'!$G$89:$G$139)</f>
        <v>0</v>
      </c>
      <c r="G18" s="395">
        <f>SUMIF('Feed - overview'!$X$140:$X$190, B18, 'Feed - overview'!$G$140:$G$190)</f>
        <v>0</v>
      </c>
    </row>
    <row r="19" spans="2:7" x14ac:dyDescent="0.2">
      <c r="B19" s="258" t="str">
        <f>'Feed use at farm'!C28</f>
        <v>kløvergræs</v>
      </c>
      <c r="C19" s="395">
        <f>SUMIF('Feed - overview'!$X$17:$X$37, B19, 'Feed - overview'!$G$17:$G$37)</f>
        <v>0</v>
      </c>
      <c r="D19" s="395">
        <f>SUMIF('Feed - overview'!$X$38:$X$52, B19, 'Feed - overview'!$G$38:$G$52)</f>
        <v>0</v>
      </c>
      <c r="E19" s="395">
        <f>SUMIF('Feed - overview'!$X$53:$X$88, B19, 'Feed - overview'!$G$53:$G$88)</f>
        <v>0</v>
      </c>
      <c r="F19" s="395">
        <f>SUMIF('Feed - overview'!$X$89:$X$139, B19, 'Feed - overview'!$G$89:$G$139)</f>
        <v>0</v>
      </c>
      <c r="G19" s="395">
        <f>SUMIF('Feed - overview'!$X$140:$X$190, B19, 'Feed - overview'!$G$140:$G$190)</f>
        <v>0</v>
      </c>
    </row>
    <row r="20" spans="2:7" s="225" customFormat="1" x14ac:dyDescent="0.2">
      <c r="B20" s="848" t="s">
        <v>2012</v>
      </c>
      <c r="C20" s="849">
        <f>SUM(C4:C19)</f>
        <v>0</v>
      </c>
      <c r="D20" s="849">
        <f t="shared" ref="D20:G20" si="0">SUM(D4:D19)</f>
        <v>0</v>
      </c>
      <c r="E20" s="849">
        <f t="shared" si="0"/>
        <v>0</v>
      </c>
      <c r="F20" s="849">
        <f t="shared" si="0"/>
        <v>0</v>
      </c>
      <c r="G20" s="849">
        <f t="shared" si="0"/>
        <v>0</v>
      </c>
    </row>
  </sheetData>
  <sheetProtection algorithmName="SHA-512" hashValue="/tvC60sHtlR8uSh9qQbC2tS8aNNGJkOjTTtsHw64ZLlPoVXPGfCnd5Yumi8o8+utFM78gzNgyKIXcJF6JwmoFQ==" saltValue="43VCBMgb8bUHogrrGCJTjg==" spinCount="100000" sheet="1" objects="1" scenarios="1"/>
  <protectedRanges>
    <protectedRange sqref="A1:XFD1048576" name="all"/>
  </protectedRange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3" tint="0.59999389629810485"/>
  </sheetPr>
  <dimension ref="B2:N221"/>
  <sheetViews>
    <sheetView workbookViewId="0">
      <pane xSplit="1" topLeftCell="B1" activePane="topRight" state="frozen"/>
      <selection pane="topRight" activeCell="B54" sqref="B54"/>
    </sheetView>
  </sheetViews>
  <sheetFormatPr defaultColWidth="9.140625" defaultRowHeight="14.25" x14ac:dyDescent="0.2"/>
  <cols>
    <col min="1" max="1" width="5.85546875" style="110" customWidth="1"/>
    <col min="2" max="2" width="61.140625" style="110" customWidth="1"/>
    <col min="3" max="3" width="11.7109375" style="110" customWidth="1"/>
    <col min="4" max="4" width="17" style="110" bestFit="1" customWidth="1"/>
    <col min="5" max="5" width="14.7109375" style="110" customWidth="1"/>
    <col min="6" max="6" width="16.42578125" style="110" customWidth="1"/>
    <col min="7" max="7" width="11.85546875" style="110" bestFit="1" customWidth="1"/>
    <col min="8" max="9" width="12.140625" style="110" bestFit="1" customWidth="1"/>
    <col min="10" max="10" width="11" style="110" customWidth="1"/>
    <col min="11" max="12" width="12.42578125" style="110" bestFit="1" customWidth="1"/>
    <col min="13" max="13" width="10.7109375" style="110" bestFit="1" customWidth="1"/>
    <col min="14" max="14" width="49" style="110" customWidth="1"/>
    <col min="15" max="16384" width="9.140625" style="110"/>
  </cols>
  <sheetData>
    <row r="2" spans="2:14" x14ac:dyDescent="0.2">
      <c r="C2" s="345" t="s">
        <v>9</v>
      </c>
      <c r="D2" s="319"/>
      <c r="E2" s="319"/>
      <c r="F2" s="319"/>
      <c r="G2" s="319"/>
      <c r="H2" s="319"/>
      <c r="I2" s="319"/>
      <c r="J2" s="319"/>
      <c r="K2" s="319"/>
      <c r="L2" s="319"/>
      <c r="M2" s="319"/>
    </row>
    <row r="3" spans="2:14" ht="15" thickBot="1" x14ac:dyDescent="0.25"/>
    <row r="4" spans="2:14" x14ac:dyDescent="0.2">
      <c r="B4" s="331"/>
      <c r="C4" s="346" t="str">
        <f>IF(topdowntables!$N$4=1, "farefolde", "paddock for lactating sows")</f>
        <v>farefolde</v>
      </c>
      <c r="D4" s="346" t="str">
        <f>IF(topdowntables!$N$4=1, "drægtighedsfolde", "paddock for gestating sows")</f>
        <v>drægtighedsfolde</v>
      </c>
      <c r="E4" s="346" t="str">
        <f>IF(topdowntables!$N$4=1, "smågrisefolde", "paddock for piglets")</f>
        <v>smågrisefolde</v>
      </c>
      <c r="F4" s="346" t="str">
        <f>IF(topdowntables!$N$4=1, "slagtesvinefolde", "paddock for slaughter pigs")</f>
        <v>slagtesvinefolde</v>
      </c>
      <c r="G4" s="346" t="str">
        <f>IF(topdowntables!$N$4=1, "afgrøde 1", "crop 1")</f>
        <v>afgrøde 1</v>
      </c>
      <c r="H4" s="346" t="str">
        <f>IF(topdowntables!$N$4=1, "afgrøde 2", "crop 2")</f>
        <v>afgrøde 2</v>
      </c>
      <c r="I4" s="346" t="str">
        <f>IF(topdowntables!$N$4=1, "afgrøde 3", "crop 3")</f>
        <v>afgrøde 3</v>
      </c>
      <c r="J4" s="346" t="str">
        <f>IF(topdowntables!$N$4=1, "afgrøde 4", "crop 4")</f>
        <v>afgrøde 4</v>
      </c>
      <c r="K4" s="346" t="str">
        <f>IF(topdowntables!$N$4=1, "afgrøde 5", "crop 5")</f>
        <v>afgrøde 5</v>
      </c>
      <c r="L4" s="346" t="str">
        <f>IF(topdowntables!$N$4=1, "afgrøde 6", "crop 6")</f>
        <v>afgrøde 6</v>
      </c>
      <c r="M4" s="347" t="s">
        <v>1489</v>
      </c>
    </row>
    <row r="5" spans="2:14" x14ac:dyDescent="0.2">
      <c r="B5" s="239" t="str">
        <f>IF(topdowntables!N4=1, "type", "type")</f>
        <v>type</v>
      </c>
      <c r="C5" s="575" t="str">
        <f>IF(C6&gt;0, 'input-data'!E306, "")</f>
        <v/>
      </c>
      <c r="D5" s="575" t="str">
        <f>IF(D6&gt;0, 'input-data'!E328, "")</f>
        <v/>
      </c>
      <c r="E5" s="575" t="str">
        <f>IF(E6&gt;0, 'input-data'!E350, "")</f>
        <v/>
      </c>
      <c r="F5" s="575" t="str">
        <f>IF(F6&gt;0, 'input-data'!E372, "")</f>
        <v/>
      </c>
      <c r="G5" s="575" t="str">
        <f>IF(G6&gt;0, 'input-data'!E429, "")</f>
        <v/>
      </c>
      <c r="H5" s="575" t="str">
        <f>IF(H6&gt;0, 'input-data'!E439, "")</f>
        <v/>
      </c>
      <c r="I5" s="575" t="str">
        <f>IF(I6&gt;0, 'input-data'!E449, "")</f>
        <v/>
      </c>
      <c r="J5" s="575" t="str">
        <f>IF(J6&gt;0, 'input-data'!E459, "")</f>
        <v/>
      </c>
      <c r="K5" s="575" t="str">
        <f>IF(K6&gt;0, 'input-data'!E469, "")</f>
        <v/>
      </c>
      <c r="L5" s="575" t="str">
        <f>IF(L6&gt;0, 'input-data'!E479, "")</f>
        <v/>
      </c>
      <c r="M5" s="371"/>
    </row>
    <row r="6" spans="2:14" ht="15" thickBot="1" x14ac:dyDescent="0.25">
      <c r="B6" s="246" t="str">
        <f>IF(topdowntables!N4=1, "areal", "area")</f>
        <v>areal</v>
      </c>
      <c r="C6" s="581">
        <f>'input-data'!E305</f>
        <v>0</v>
      </c>
      <c r="D6" s="581">
        <f>'input-data'!E327</f>
        <v>0</v>
      </c>
      <c r="E6" s="581">
        <f>'input-data'!E349</f>
        <v>0</v>
      </c>
      <c r="F6" s="581">
        <f>'input-data'!E371</f>
        <v>0</v>
      </c>
      <c r="G6" s="581">
        <f>'input-data'!E430</f>
        <v>0</v>
      </c>
      <c r="H6" s="581">
        <f>'input-data'!E440</f>
        <v>0</v>
      </c>
      <c r="I6" s="581">
        <f>'input-data'!E450</f>
        <v>0</v>
      </c>
      <c r="J6" s="581">
        <f>'input-data'!E460</f>
        <v>0</v>
      </c>
      <c r="K6" s="581">
        <f>'input-data'!E470</f>
        <v>0</v>
      </c>
      <c r="L6" s="581">
        <f>'input-data'!E480</f>
        <v>0</v>
      </c>
      <c r="M6" s="372">
        <f>SUM(C6:L6)</f>
        <v>0</v>
      </c>
    </row>
    <row r="7" spans="2:14" x14ac:dyDescent="0.2">
      <c r="C7" s="272"/>
      <c r="D7" s="272"/>
      <c r="E7" s="272"/>
      <c r="F7" s="272"/>
      <c r="G7" s="272"/>
      <c r="H7" s="272"/>
      <c r="I7" s="272"/>
      <c r="J7" s="272"/>
      <c r="K7" s="272"/>
      <c r="L7" s="272"/>
      <c r="M7" s="272"/>
    </row>
    <row r="8" spans="2:14" ht="15" thickBot="1" x14ac:dyDescent="0.25">
      <c r="C8" s="272"/>
      <c r="D8" s="272"/>
      <c r="E8" s="272"/>
      <c r="F8" s="272"/>
      <c r="G8" s="272"/>
      <c r="H8" s="272"/>
      <c r="I8" s="272"/>
      <c r="J8" s="272"/>
      <c r="K8" s="272"/>
      <c r="L8" s="272"/>
      <c r="M8" s="272"/>
    </row>
    <row r="9" spans="2:14" x14ac:dyDescent="0.2">
      <c r="B9" s="334" t="s">
        <v>1490</v>
      </c>
      <c r="C9" s="335"/>
      <c r="D9" s="335"/>
      <c r="E9" s="335"/>
      <c r="F9" s="335"/>
      <c r="G9" s="335"/>
      <c r="H9" s="335"/>
      <c r="I9" s="335"/>
      <c r="J9" s="335"/>
      <c r="K9" s="335"/>
      <c r="L9" s="335"/>
      <c r="M9" s="336"/>
    </row>
    <row r="10" spans="2:14" x14ac:dyDescent="0.2">
      <c r="B10" s="239" t="str">
        <f>IF(topdowntables!$N$4=1, "husdyrgødning, kg N gødning ab lager per ha", "manure, kg N ex-storage per ha")</f>
        <v>husdyrgødning, kg N gødning ab lager per ha</v>
      </c>
      <c r="C10" s="562"/>
      <c r="D10" s="562"/>
      <c r="E10" s="562"/>
      <c r="F10" s="562"/>
      <c r="G10" s="562">
        <f>IF(G6&gt;0, ('N-balance'!$M$31-'input-data'!$G$397*5.84+'input-data'!$G$398*5.84)/($M$6-SUM($C$6:$F$6)), 0)</f>
        <v>0</v>
      </c>
      <c r="H10" s="562">
        <f>IF(H6&gt;0, ('N-balance'!$M$31-'input-data'!$G$397*5.84+'input-data'!$G$398*5.84)/($M$6-SUM($C$6:$F$6)), 0)</f>
        <v>0</v>
      </c>
      <c r="I10" s="562">
        <f>IF(I6&gt;0, ('N-balance'!$M$31-'input-data'!$G$397*5.84+'input-data'!$G$398*5.84)/($M$6-SUM($C$6:$F$6)), 0)</f>
        <v>0</v>
      </c>
      <c r="J10" s="562">
        <f>IF(J6&gt;0, ('N-balance'!$M$31-'input-data'!$G$397*5.84+'input-data'!$G$398*5.84)/($M$6-SUM($C$6:$F$6)), 0)</f>
        <v>0</v>
      </c>
      <c r="K10" s="562">
        <f>IF(K6&gt;0, ('N-balance'!$M$31-'input-data'!$G$397*5.84+'input-data'!$G$398*5.84)/($M$6-SUM($C$6:$F$6)), 0)</f>
        <v>0</v>
      </c>
      <c r="L10" s="562">
        <f>IF(L6&gt;0, ('N-balance'!$M$31-'input-data'!$G$397*5.84+'input-data'!$G$398*5.84)/($M$6-SUM($C$6:$F$6)), 0)</f>
        <v>0</v>
      </c>
      <c r="M10" s="371">
        <f>C10*$C$6+D10*$D$6+E10*$E$6+F10*$F$6+G10*$G$6+H10*$H$6+I10*$I$6+J10*$J$6+K10*$K$6+L10*$L$6</f>
        <v>0</v>
      </c>
    </row>
    <row r="11" spans="2:14" x14ac:dyDescent="0.2">
      <c r="B11" s="239" t="str">
        <f>IF(topdowntables!$N$4=1,"     gylle, %",  "     slurry, %")</f>
        <v xml:space="preserve">     gylle, %</v>
      </c>
      <c r="C11" s="562"/>
      <c r="D11" s="562"/>
      <c r="E11" s="562"/>
      <c r="F11" s="562"/>
      <c r="G11" s="713">
        <f>IF('input-data'!$E$397='input-data'!$B$392, IF('input-data'!$E$398='input-data'!$B$392, ('N-balance'!$M$32/100*'N-balance'!$M$31-'input-data'!$G$397*5.84+'input-data'!$G$398*5.84)/'Mark-Fields'!$M$10*100,  ('N-balance'!$M$32/100*'N-balance'!$M$31-'input-data'!$G$397*5.84)/'Mark-Fields'!$M$10*100), IF('input-data'!$E$398='input-data'!$B$392,  ('N-balance'!$M$32/100*'N-balance'!$M$31+'input-data'!$G$398*5.84)/'Mark-Fields'!$M$10*100, 'N-balance'!$M$32))</f>
        <v>0</v>
      </c>
      <c r="H11" s="713">
        <f>IF(H6&gt;0, $G$11, 0)</f>
        <v>0</v>
      </c>
      <c r="I11" s="713">
        <f t="shared" ref="I11:L11" si="0">IF(I6&gt;0, $G$11, 0)</f>
        <v>0</v>
      </c>
      <c r="J11" s="713">
        <f t="shared" si="0"/>
        <v>0</v>
      </c>
      <c r="K11" s="713">
        <f t="shared" si="0"/>
        <v>0</v>
      </c>
      <c r="L11" s="713">
        <f t="shared" si="0"/>
        <v>0</v>
      </c>
      <c r="M11" s="371">
        <f t="shared" ref="M11:M15" si="1">C11*$C$6+D11*$D$6+E11*$E$6+F11*$F$6+G11*$G$6+H11*$H$6+I11*$I$6+J11*$J$6+K11*$K$6+L11*$L$6</f>
        <v>0</v>
      </c>
      <c r="N11" s="338"/>
    </row>
    <row r="12" spans="2:14" x14ac:dyDescent="0.2">
      <c r="B12" s="239" t="str">
        <f>IF(topdowntables!$N$4=1,"     afgasset gylle, %",  "     degassed slurry, %")</f>
        <v xml:space="preserve">     afgasset gylle, %</v>
      </c>
      <c r="C12" s="562"/>
      <c r="D12" s="562"/>
      <c r="E12" s="562"/>
      <c r="F12" s="562"/>
      <c r="G12" s="713">
        <f>IFERROR(('N-balance'!$M$33/100*'N-balance'!$M$31)/M10*100, 0)</f>
        <v>0</v>
      </c>
      <c r="H12" s="713">
        <f>IF(H6&gt;0, $G$12, 0)</f>
        <v>0</v>
      </c>
      <c r="I12" s="713">
        <f t="shared" ref="I12:L12" si="2">IF(I6&gt;0, $G$12, 0)</f>
        <v>0</v>
      </c>
      <c r="J12" s="713">
        <f t="shared" si="2"/>
        <v>0</v>
      </c>
      <c r="K12" s="713">
        <f t="shared" si="2"/>
        <v>0</v>
      </c>
      <c r="L12" s="713">
        <f t="shared" si="2"/>
        <v>0</v>
      </c>
      <c r="M12" s="371">
        <f t="shared" si="1"/>
        <v>0</v>
      </c>
    </row>
    <row r="13" spans="2:14" x14ac:dyDescent="0.2">
      <c r="B13" s="239" t="str">
        <f>IF(topdowntables!$N$4=1,"     forsuret gylle, %",  "     acidified slurry, %")</f>
        <v xml:space="preserve">     forsuret gylle, %</v>
      </c>
      <c r="C13" s="562"/>
      <c r="D13" s="562"/>
      <c r="E13" s="562"/>
      <c r="F13" s="562"/>
      <c r="G13" s="713">
        <f>IFERROR(('N-balance'!$M$34/100*'N-balance'!$M$31)/M10*100, 0)</f>
        <v>0</v>
      </c>
      <c r="H13" s="713">
        <f>IF(H6&gt;0, $G13, 0)</f>
        <v>0</v>
      </c>
      <c r="I13" s="713">
        <f t="shared" ref="I13:L13" si="3">IF(I6&gt;0, $G13, 0)</f>
        <v>0</v>
      </c>
      <c r="J13" s="713">
        <f t="shared" si="3"/>
        <v>0</v>
      </c>
      <c r="K13" s="713">
        <f t="shared" si="3"/>
        <v>0</v>
      </c>
      <c r="L13" s="713">
        <f t="shared" si="3"/>
        <v>0</v>
      </c>
      <c r="M13" s="371">
        <f t="shared" si="1"/>
        <v>0</v>
      </c>
    </row>
    <row r="14" spans="2:14" hidden="1" x14ac:dyDescent="0.2">
      <c r="B14" s="239" t="str">
        <f>IF(topdowntables!$N$4=1,"     faststald gødning, %",  "     solid manure, %")</f>
        <v xml:space="preserve">     faststald gødning, %</v>
      </c>
      <c r="C14" s="562"/>
      <c r="D14" s="562"/>
      <c r="E14" s="562"/>
      <c r="F14" s="562"/>
      <c r="G14" s="713"/>
      <c r="H14" s="713"/>
      <c r="I14" s="713"/>
      <c r="J14" s="713"/>
      <c r="K14" s="713"/>
      <c r="L14" s="713"/>
      <c r="M14" s="371">
        <f t="shared" si="1"/>
        <v>0</v>
      </c>
    </row>
    <row r="15" spans="2:14" x14ac:dyDescent="0.2">
      <c r="B15" s="239" t="str">
        <f>IF(topdowntables!$N$4=1,"     dybstrøelse, %",  "     deep litter, %")</f>
        <v xml:space="preserve">     dybstrøelse, %</v>
      </c>
      <c r="C15" s="562"/>
      <c r="D15" s="562"/>
      <c r="E15" s="562"/>
      <c r="F15" s="562"/>
      <c r="G15" s="713">
        <f>IFERROR(IF('input-data'!$E$397='input-data'!$B$393, IF('input-data'!$E$398='input-data'!$B$393, ('N-balance'!$M$35/100*'N-balance'!$M$31-'input-data'!$G$397*5.84+'input-data'!$G$398*5.84)/'Mark-Fields'!$M$10*100,  ('N-balance'!$M$35/100*'N-balance'!$M$31-'input-data'!$G$397*5.84)/'Mark-Fields'!$M$10*100), IF('input-data'!$E$398='input-data'!$B$393,  ('N-balance'!$M$35/100*'N-balance'!$M$31+'input-data'!$G$398*5.84)/'Mark-Fields'!$M$10*100, ('N-balance'!$M$35/100*'N-balance'!$M$31)/'Mark-Fields'!M10*100)),0)</f>
        <v>0</v>
      </c>
      <c r="H15" s="713">
        <f>IF(H6&gt;0, $G$15, 0)</f>
        <v>0</v>
      </c>
      <c r="I15" s="713">
        <f t="shared" ref="I15:L15" si="4">IF(I6&gt;0, $G$15, 0)</f>
        <v>0</v>
      </c>
      <c r="J15" s="713">
        <f t="shared" si="4"/>
        <v>0</v>
      </c>
      <c r="K15" s="713">
        <f t="shared" si="4"/>
        <v>0</v>
      </c>
      <c r="L15" s="713">
        <f t="shared" si="4"/>
        <v>0</v>
      </c>
      <c r="M15" s="371">
        <f t="shared" si="1"/>
        <v>0</v>
      </c>
      <c r="N15" s="812"/>
    </row>
    <row r="16" spans="2:14" x14ac:dyDescent="0.2">
      <c r="B16" s="239" t="str">
        <f>IF(topdowntables!N4=1, "husdyrgødning, kg N per ha (afgræsning)", "manure, kg N deposited at pasture per ha")</f>
        <v>husdyrgødning, kg N per ha (afgræsning)</v>
      </c>
      <c r="C16" s="562">
        <f>IFERROR('N-P balance sohold'!C23/C6, 0)</f>
        <v>0</v>
      </c>
      <c r="D16" s="562">
        <f>IFERROR('N-P balance sohold'!C127/D6, 0)</f>
        <v>0</v>
      </c>
      <c r="E16" s="562">
        <f>IFERROR('N-P balance smågrise'!C23/E6, 0)</f>
        <v>0</v>
      </c>
      <c r="F16" s="562">
        <f>IFERROR('N-P balance slagtesvin'!C23/F6, 0)</f>
        <v>0</v>
      </c>
      <c r="G16" s="562"/>
      <c r="H16" s="562"/>
      <c r="I16" s="562"/>
      <c r="J16" s="562"/>
      <c r="K16" s="562"/>
      <c r="L16" s="562"/>
      <c r="M16" s="371">
        <f>$C$6*C16+$D$6*D16+$E$6*E16+$F$6*F16+$G$6*G16+$H$6*H16+$I$6*I16+$J$6*J16+$K$6*K16+$L$6*L16</f>
        <v>0</v>
      </c>
    </row>
    <row r="17" spans="2:14" x14ac:dyDescent="0.2">
      <c r="B17" s="239" t="str">
        <f>IF(topdowntables!$N$4=1, "gødning, kg N plante tilgængeligt per ha", "manure, kg N plant available per ha")</f>
        <v>gødning, kg N plante tilgængeligt per ha</v>
      </c>
      <c r="C17" s="562">
        <f>(C10+C16)*0.75</f>
        <v>0</v>
      </c>
      <c r="D17" s="562">
        <f t="shared" ref="D17:F17" si="5">(D10+D16)*0.75</f>
        <v>0</v>
      </c>
      <c r="E17" s="562">
        <f t="shared" si="5"/>
        <v>0</v>
      </c>
      <c r="F17" s="562">
        <f t="shared" si="5"/>
        <v>0</v>
      </c>
      <c r="G17" s="562">
        <f>(G11+G12+G13)/100*G10*0.75+G15/100*G10*0.45</f>
        <v>0</v>
      </c>
      <c r="H17" s="562">
        <f t="shared" ref="H17:L17" si="6">(H11+H12+H13)/100*H10*0.75+H15/100*H10*0.45</f>
        <v>0</v>
      </c>
      <c r="I17" s="562">
        <f t="shared" si="6"/>
        <v>0</v>
      </c>
      <c r="J17" s="562">
        <f t="shared" si="6"/>
        <v>0</v>
      </c>
      <c r="K17" s="562">
        <f t="shared" si="6"/>
        <v>0</v>
      </c>
      <c r="L17" s="562">
        <f t="shared" si="6"/>
        <v>0</v>
      </c>
      <c r="M17" s="371">
        <f t="shared" ref="M17:M26" si="7">$C$6*C17+$D$6*D17+$E$6*E17+$F$6*F17+$G$6*G17+$H$6*H17+$I$6*I17+$J$6*J17+$K$6*K17+$L$6*L17</f>
        <v>0</v>
      </c>
    </row>
    <row r="18" spans="2:14" x14ac:dyDescent="0.2">
      <c r="B18" s="239" t="str">
        <f>IF(topdowntables!$N$4=1, "gødning, kg P plante tilgængeligt per ha", "manure, kg P plant available per ha")</f>
        <v>gødning, kg P plante tilgængeligt per ha</v>
      </c>
      <c r="C18" s="616">
        <f>IFERROR('N-P balance sohold'!E23/C6, 0)</f>
        <v>0</v>
      </c>
      <c r="D18" s="616">
        <f>IFERROR('N-P balance sohold'!E127/D6, 0)</f>
        <v>0</v>
      </c>
      <c r="E18" s="616">
        <f>IFERROR('N-P balance smågrise'!E23/E6, 0)</f>
        <v>0</v>
      </c>
      <c r="F18" s="616">
        <f>IFERROR('N-P balance slagtesvin'!E23/F6, 0)</f>
        <v>0</v>
      </c>
      <c r="G18" s="616">
        <f t="shared" ref="G18:L18" si="8">G17*0.22</f>
        <v>0</v>
      </c>
      <c r="H18" s="616">
        <f t="shared" si="8"/>
        <v>0</v>
      </c>
      <c r="I18" s="616">
        <f t="shared" si="8"/>
        <v>0</v>
      </c>
      <c r="J18" s="616">
        <f t="shared" si="8"/>
        <v>0</v>
      </c>
      <c r="K18" s="616">
        <f t="shared" si="8"/>
        <v>0</v>
      </c>
      <c r="L18" s="616">
        <f t="shared" si="8"/>
        <v>0</v>
      </c>
      <c r="M18" s="371">
        <f t="shared" si="7"/>
        <v>0</v>
      </c>
    </row>
    <row r="19" spans="2:14" x14ac:dyDescent="0.2">
      <c r="B19" s="239" t="str">
        <f>IF(topdowntables!$N$4=1, "gødning, kg K plante tilgængeligt per ha", "manure, kg K plant available per ha")</f>
        <v>gødning, kg K plante tilgængeligt per ha</v>
      </c>
      <c r="C19" s="563">
        <f>C17*0.49</f>
        <v>0</v>
      </c>
      <c r="D19" s="563">
        <f t="shared" ref="D19:L19" si="9">D17*0.49</f>
        <v>0</v>
      </c>
      <c r="E19" s="563">
        <f t="shared" si="9"/>
        <v>0</v>
      </c>
      <c r="F19" s="563">
        <f t="shared" si="9"/>
        <v>0</v>
      </c>
      <c r="G19" s="563">
        <f t="shared" si="9"/>
        <v>0</v>
      </c>
      <c r="H19" s="563">
        <f t="shared" si="9"/>
        <v>0</v>
      </c>
      <c r="I19" s="563">
        <f t="shared" si="9"/>
        <v>0</v>
      </c>
      <c r="J19" s="563">
        <f t="shared" si="9"/>
        <v>0</v>
      </c>
      <c r="K19" s="563">
        <f t="shared" si="9"/>
        <v>0</v>
      </c>
      <c r="L19" s="563">
        <f t="shared" si="9"/>
        <v>0</v>
      </c>
      <c r="M19" s="371">
        <f t="shared" si="7"/>
        <v>0</v>
      </c>
      <c r="N19" s="110" t="s">
        <v>1777</v>
      </c>
    </row>
    <row r="20" spans="2:14" x14ac:dyDescent="0.2">
      <c r="B20" s="239" t="str">
        <f>IF(topdowntables!$N$4=1,"udsæd, kg per ha",  "seed, kg per ha")</f>
        <v>udsæd, kg per ha</v>
      </c>
      <c r="C20" s="562">
        <f>IF(C6&gt;0, 12, 0)</f>
        <v>0</v>
      </c>
      <c r="D20" s="562">
        <f>IF(D6&gt;0, 12, 0)</f>
        <v>0</v>
      </c>
      <c r="E20" s="562">
        <f>IF(E6&gt;0, 12, 0)</f>
        <v>0</v>
      </c>
      <c r="F20" s="562">
        <f>IF(F6&gt;0, 12, 0)</f>
        <v>0</v>
      </c>
      <c r="G20" s="562">
        <f>'input-data'!E434</f>
        <v>0</v>
      </c>
      <c r="H20" s="562">
        <f>'input-data'!E444</f>
        <v>0</v>
      </c>
      <c r="I20" s="562">
        <f>'input-data'!E454</f>
        <v>0</v>
      </c>
      <c r="J20" s="562">
        <f>'input-data'!E464</f>
        <v>0</v>
      </c>
      <c r="K20" s="562">
        <f>'input-data'!E474</f>
        <v>0</v>
      </c>
      <c r="L20" s="562">
        <f>'input-data'!E484</f>
        <v>0</v>
      </c>
      <c r="M20" s="371">
        <f>$C$6*C20+$D$6*D20+$E$6*E20+$F$6*F20+$G$6*G20+$H$6*H20+$I$6*I20+$J$6*J20+$K$6*K20+$L$6*L20</f>
        <v>0</v>
      </c>
    </row>
    <row r="21" spans="2:14" x14ac:dyDescent="0.2">
      <c r="B21" s="239" t="str">
        <f>IF(topdowntables!$N$4=1, "kalk, kg per ha", "lime, kg per ha")</f>
        <v>kalk, kg per ha</v>
      </c>
      <c r="C21" s="562"/>
      <c r="D21" s="562"/>
      <c r="E21" s="562"/>
      <c r="F21" s="562"/>
      <c r="G21" s="562">
        <f>'input-data'!E435</f>
        <v>0</v>
      </c>
      <c r="H21" s="562">
        <f>'input-data'!E445</f>
        <v>0</v>
      </c>
      <c r="I21" s="562">
        <f>'input-data'!E455</f>
        <v>0</v>
      </c>
      <c r="J21" s="562">
        <f>'input-data'!E465</f>
        <v>0</v>
      </c>
      <c r="K21" s="562">
        <f>'input-data'!E475</f>
        <v>0</v>
      </c>
      <c r="L21" s="562">
        <f>'input-data'!E485</f>
        <v>0</v>
      </c>
      <c r="M21" s="371">
        <f>$C$6*C21+$D$6*D21+$E$6*E21+$F$6*F21+$G$6*G21+$H$6*H21+$I$6*I21+$J$6*J21+$K$6*K21+$L$6*L21</f>
        <v>0</v>
      </c>
    </row>
    <row r="22" spans="2:14" x14ac:dyDescent="0.2">
      <c r="B22" s="239" t="str">
        <f>IF(topdowntables!N4=1, "andel vandet, %", "irrigation share of ha crop, %")</f>
        <v>andel vandet, %</v>
      </c>
      <c r="C22" s="562"/>
      <c r="D22" s="562"/>
      <c r="E22" s="562"/>
      <c r="F22" s="562"/>
      <c r="G22" s="562">
        <f>'input-data'!E436</f>
        <v>0</v>
      </c>
      <c r="H22" s="562">
        <f>'input-data'!E446</f>
        <v>0</v>
      </c>
      <c r="I22" s="562">
        <f>'input-data'!E456</f>
        <v>0</v>
      </c>
      <c r="J22" s="562">
        <f>'input-data'!E466</f>
        <v>0</v>
      </c>
      <c r="K22" s="562">
        <f>'input-data'!E476</f>
        <v>0</v>
      </c>
      <c r="L22" s="562">
        <f>'input-data'!E486</f>
        <v>0</v>
      </c>
      <c r="M22" s="371">
        <f>$C$6*C22+$D$6*D22+$E$6*E22+$F$6*F22+$G$6*G22+$H$6*H22+$I$6*I22+$J$6*J22+$K$6*K22+$L$6*L22</f>
        <v>0</v>
      </c>
    </row>
    <row r="23" spans="2:14" x14ac:dyDescent="0.2">
      <c r="B23" s="239" t="str">
        <f>IF(topdowntables!$N$4=1, "vandforbrug til vanding, mm per ha", "water used for irrigation, mm per irrigated ha")</f>
        <v>vandforbrug til vanding, mm per ha</v>
      </c>
      <c r="C23" s="562"/>
      <c r="D23" s="562"/>
      <c r="E23" s="562"/>
      <c r="F23" s="562"/>
      <c r="G23" s="562">
        <f>'input-data'!E437</f>
        <v>0</v>
      </c>
      <c r="H23" s="562">
        <f>'input-data'!E447</f>
        <v>0</v>
      </c>
      <c r="I23" s="562">
        <f>'input-data'!E457</f>
        <v>0</v>
      </c>
      <c r="J23" s="562">
        <f>'input-data'!E467</f>
        <v>0</v>
      </c>
      <c r="K23" s="562">
        <f>'input-data'!E477</f>
        <v>0</v>
      </c>
      <c r="L23" s="562">
        <f>'input-data'!E487</f>
        <v>0</v>
      </c>
      <c r="M23" s="371">
        <f t="shared" si="7"/>
        <v>0</v>
      </c>
    </row>
    <row r="24" spans="2:14" x14ac:dyDescent="0.2">
      <c r="B24" s="239" t="str">
        <f>IF(topdowntables!$N$4=1, "energi forbrug til vanding, kWh per ha", "electricity for irrigation, kWh per ha")</f>
        <v>energi forbrug til vanding, kWh per ha</v>
      </c>
      <c r="C24" s="562"/>
      <c r="D24" s="562"/>
      <c r="E24" s="562"/>
      <c r="F24" s="562"/>
      <c r="G24" s="562">
        <f>0.5*G23*10*G22/100</f>
        <v>0</v>
      </c>
      <c r="H24" s="562">
        <f t="shared" ref="H24:L24" si="10">0.5*H23*10*H22/100</f>
        <v>0</v>
      </c>
      <c r="I24" s="562">
        <f t="shared" si="10"/>
        <v>0</v>
      </c>
      <c r="J24" s="562">
        <f t="shared" si="10"/>
        <v>0</v>
      </c>
      <c r="K24" s="562">
        <f t="shared" si="10"/>
        <v>0</v>
      </c>
      <c r="L24" s="562">
        <f t="shared" si="10"/>
        <v>0</v>
      </c>
      <c r="M24" s="371">
        <f t="shared" si="7"/>
        <v>0</v>
      </c>
    </row>
    <row r="25" spans="2:14" x14ac:dyDescent="0.2">
      <c r="B25" s="239" t="str">
        <f>IF(topdowntables!N4=1, "energi forbrug til tørring, olie, kg per ha", "energy for drying, oil, kg per ha")</f>
        <v>energi forbrug til tørring, olie, kg per ha</v>
      </c>
      <c r="C25" s="562"/>
      <c r="D25" s="562"/>
      <c r="E25" s="562"/>
      <c r="F25" s="562"/>
      <c r="G25" s="562">
        <f>G30/100*6.2/40.7</f>
        <v>0</v>
      </c>
      <c r="H25" s="562">
        <f t="shared" ref="H25:L25" si="11">H30/100*6.2/40.7</f>
        <v>0</v>
      </c>
      <c r="I25" s="562">
        <f t="shared" si="11"/>
        <v>0</v>
      </c>
      <c r="J25" s="562">
        <f t="shared" si="11"/>
        <v>0</v>
      </c>
      <c r="K25" s="562">
        <f t="shared" si="11"/>
        <v>0</v>
      </c>
      <c r="L25" s="562">
        <f t="shared" si="11"/>
        <v>0</v>
      </c>
      <c r="M25" s="371">
        <f t="shared" si="7"/>
        <v>0</v>
      </c>
    </row>
    <row r="26" spans="2:14" x14ac:dyDescent="0.2">
      <c r="B26" s="239" t="str">
        <f>IF(topdowntables!$N$4=1, "disel forbrug til markoperationer, l per ha", "diesel for field work, l per ha")</f>
        <v>disel forbrug til markoperationer, l per ha</v>
      </c>
      <c r="C26" s="616">
        <f>IF(C6&gt;0, 'input-data'!$E$493, 0)</f>
        <v>0</v>
      </c>
      <c r="D26" s="616">
        <f>IF(D6&gt;0, 'input-data'!$E$493, 0)</f>
        <v>0</v>
      </c>
      <c r="E26" s="616">
        <f>IF(E6&gt;0, 'input-data'!$E$493, 0)</f>
        <v>0</v>
      </c>
      <c r="F26" s="616">
        <f>IF(F6&gt;0, 'input-data'!$E$493, 0)</f>
        <v>0</v>
      </c>
      <c r="G26" s="562">
        <f>IF(G6&gt;0, 'input-data'!$E$493, 0)</f>
        <v>0</v>
      </c>
      <c r="H26" s="562">
        <f>IF(H6&gt;0, 'input-data'!$E$493, 0)</f>
        <v>0</v>
      </c>
      <c r="I26" s="562">
        <f>IF(I6&gt;0, 'input-data'!$E$493, 0)</f>
        <v>0</v>
      </c>
      <c r="J26" s="562">
        <f>IF(J6&gt;0, 'input-data'!$E$493, 0)</f>
        <v>0</v>
      </c>
      <c r="K26" s="562">
        <f>IF(K6&gt;0, 'input-data'!$E$493, 0)</f>
        <v>0</v>
      </c>
      <c r="L26" s="562">
        <f>IF(L6&gt;0, 'input-data'!$E$493, 0)</f>
        <v>0</v>
      </c>
      <c r="M26" s="371">
        <f t="shared" si="7"/>
        <v>0</v>
      </c>
    </row>
    <row r="27" spans="2:14" ht="15" thickBot="1" x14ac:dyDescent="0.25">
      <c r="B27" s="246" t="str">
        <f>IF(topdowntables!N4=1, "smøremiddelolie, l per ha", "lubricant oil, l per ha")</f>
        <v>smøremiddelolie, l per ha</v>
      </c>
      <c r="C27" s="564"/>
      <c r="D27" s="565"/>
      <c r="E27" s="565"/>
      <c r="F27" s="565"/>
      <c r="G27" s="565">
        <f>G26*0.1</f>
        <v>0</v>
      </c>
      <c r="H27" s="565">
        <f t="shared" ref="H27:L27" si="12">H26*0.1</f>
        <v>0</v>
      </c>
      <c r="I27" s="565">
        <f t="shared" si="12"/>
        <v>0</v>
      </c>
      <c r="J27" s="565">
        <f t="shared" si="12"/>
        <v>0</v>
      </c>
      <c r="K27" s="565">
        <f t="shared" si="12"/>
        <v>0</v>
      </c>
      <c r="L27" s="565">
        <f t="shared" si="12"/>
        <v>0</v>
      </c>
      <c r="M27" s="372">
        <f>$C$6*C27+$D$6*D27+$E$6*E27+$F$6*F27+$G$6*G27+$H$6*H27+$I$6*I27+$J$6*J27+$K$6*K27+$L$6*L27</f>
        <v>0</v>
      </c>
    </row>
    <row r="28" spans="2:14" ht="15" thickBot="1" x14ac:dyDescent="0.25">
      <c r="C28" s="272"/>
      <c r="D28" s="272"/>
      <c r="E28" s="272"/>
      <c r="F28" s="272"/>
      <c r="G28" s="272"/>
      <c r="H28" s="272"/>
      <c r="I28" s="272"/>
      <c r="J28" s="272"/>
      <c r="K28" s="272"/>
      <c r="L28" s="272"/>
      <c r="M28" s="272"/>
    </row>
    <row r="29" spans="2:14" x14ac:dyDescent="0.2">
      <c r="B29" s="566" t="s">
        <v>1491</v>
      </c>
      <c r="C29" s="567" t="str">
        <f>C5</f>
        <v/>
      </c>
      <c r="D29" s="567" t="str">
        <f t="shared" ref="D29:L29" si="13">D5</f>
        <v/>
      </c>
      <c r="E29" s="567" t="str">
        <f t="shared" si="13"/>
        <v/>
      </c>
      <c r="F29" s="567" t="str">
        <f t="shared" si="13"/>
        <v/>
      </c>
      <c r="G29" s="567" t="str">
        <f t="shared" si="13"/>
        <v/>
      </c>
      <c r="H29" s="567" t="str">
        <f t="shared" si="13"/>
        <v/>
      </c>
      <c r="I29" s="567" t="str">
        <f t="shared" si="13"/>
        <v/>
      </c>
      <c r="J29" s="567" t="str">
        <f t="shared" si="13"/>
        <v/>
      </c>
      <c r="K29" s="567" t="str">
        <f t="shared" si="13"/>
        <v/>
      </c>
      <c r="L29" s="567" t="str">
        <f t="shared" si="13"/>
        <v/>
      </c>
      <c r="M29" s="568" t="str">
        <f>M4</f>
        <v>Total</v>
      </c>
    </row>
    <row r="30" spans="2:14" x14ac:dyDescent="0.2">
      <c r="B30" s="569" t="str">
        <f>IF(topdowntables!$N$4=1, "udbytte, kg per ha", "yield, kg per ha")</f>
        <v>udbytte, kg per ha</v>
      </c>
      <c r="C30" s="562">
        <f>IF(C6&gt;0, C31*5, 0)</f>
        <v>0</v>
      </c>
      <c r="D30" s="562">
        <f t="shared" ref="D30:F30" si="14">IF(D6&gt;0, D31*5, 0)</f>
        <v>0</v>
      </c>
      <c r="E30" s="562">
        <f t="shared" si="14"/>
        <v>0</v>
      </c>
      <c r="F30" s="562">
        <f t="shared" si="14"/>
        <v>0</v>
      </c>
      <c r="G30" s="562">
        <f>IF(OR(G5=topdowntables!$R$11,G5=topdowntables!$R$23),'input-data'!E431/0.23,IF(OR(G5=topdowntables!$R$12,G5=topdowntables!$R$24),'input-data'!E431/0.23,'input-data'!E431))</f>
        <v>0</v>
      </c>
      <c r="H30" s="562">
        <f>IF(OR(H5=topdowntables!$R$11,H5=topdowntables!$R$23),'input-data'!E441/0.23,IF(OR(H5=topdowntables!$R$12,H5=topdowntables!$R$24),'input-data'!E441/0.23,'input-data'!E441))</f>
        <v>0</v>
      </c>
      <c r="I30" s="562">
        <f>IF(OR(I5=topdowntables!$R$11,I5=topdowntables!$R$23),'input-data'!E451/0.23,IF(OR(I5=topdowntables!$R$12,I5=topdowntables!$R$24),'input-data'!E451/0.23,'input-data'!E451))</f>
        <v>0</v>
      </c>
      <c r="J30" s="562">
        <f>IF(OR(J5=topdowntables!$R$11,J5=topdowntables!$R$23),'input-data'!E461/0.23,IF(OR(J5=topdowntables!$R$12,J5=topdowntables!$R$24),'input-data'!E461/0.23,'input-data'!E461))</f>
        <v>0</v>
      </c>
      <c r="K30" s="562">
        <f>IF(OR(K5=topdowntables!$R$11,K5=topdowntables!$R$23),'input-data'!E471/0.23,IF(OR(K5=topdowntables!$R$12,K5=topdowntables!$R$24),'input-data'!E471/0.23,'input-data'!E471))</f>
        <v>0</v>
      </c>
      <c r="L30" s="562">
        <f>IF(OR(L5=topdowntables!$R$11,L5=topdowntables!$R$23),'input-data'!E481/0.23,IF(OR(L5=topdowntables!$R$12,L5=topdowntables!$R$24),'input-data'!E481/0.23,'input-data'!E481))</f>
        <v>0</v>
      </c>
      <c r="M30" s="572"/>
    </row>
    <row r="31" spans="2:14" x14ac:dyDescent="0.2">
      <c r="B31" s="570" t="str">
        <f>IF(topdowntables!$N$4=1, "udbytte, kg TS per ha", "yield, kg DM per ha")</f>
        <v>udbytte, kg TS per ha</v>
      </c>
      <c r="C31" s="574">
        <f>IF(C6&gt;0, C32*1.05, 0)</f>
        <v>0</v>
      </c>
      <c r="D31" s="574">
        <f t="shared" ref="D31:F31" si="15">IF(D6&gt;0, D32*1.05, 0)</f>
        <v>0</v>
      </c>
      <c r="E31" s="574">
        <f t="shared" si="15"/>
        <v>0</v>
      </c>
      <c r="F31" s="574">
        <f t="shared" si="15"/>
        <v>0</v>
      </c>
      <c r="G31" s="574">
        <f>IFERROR(VLOOKUP(G5, topdowntables!$R$5:$AH$26, 5, FALSE)*G30, 0)</f>
        <v>0</v>
      </c>
      <c r="H31" s="574">
        <f>IFERROR(VLOOKUP(H5, topdowntables!$R$5:$AH$26, 5, FALSE)*H30, 0)</f>
        <v>0</v>
      </c>
      <c r="I31" s="574">
        <f>IFERROR(VLOOKUP(I5, topdowntables!$R$5:$AH$26, 5, FALSE)*I30, 0)</f>
        <v>0</v>
      </c>
      <c r="J31" s="574">
        <f>IFERROR(VLOOKUP(J5, topdowntables!$R$5:$AH$26, 5, FALSE)*J30, 0)</f>
        <v>0</v>
      </c>
      <c r="K31" s="574">
        <f>IFERROR(VLOOKUP(K5, topdowntables!$R$5:$AH$26, 5, FALSE)*K30, 0)</f>
        <v>0</v>
      </c>
      <c r="L31" s="574">
        <f>IFERROR(VLOOKUP(L5, topdowntables!$R$5:$AH$26, 5, FALSE)*L30, 0)</f>
        <v>0</v>
      </c>
      <c r="M31" s="572"/>
    </row>
    <row r="32" spans="2:14" x14ac:dyDescent="0.2">
      <c r="B32" s="569" t="str">
        <f>IF(topdowntables!$N$4=1, "udbytte, SFU per ha", "yield, FU per ha")</f>
        <v>udbytte, SFU per ha</v>
      </c>
      <c r="C32" s="616">
        <f>IF(C6&gt;0, 1500+'input-data'!E408, 0)</f>
        <v>0</v>
      </c>
      <c r="D32" s="616">
        <f>IF(D6&gt;0, 1500+'input-data'!E413, 0)</f>
        <v>0</v>
      </c>
      <c r="E32" s="616">
        <f>IF(E6&gt;0, 1500+'input-data'!E418, 0)</f>
        <v>0</v>
      </c>
      <c r="F32" s="616">
        <f>IF(F6&gt;0, 1500+'input-data'!E423:F423, 0)</f>
        <v>0</v>
      </c>
      <c r="G32" s="562">
        <f>IFERROR(VLOOKUP(G5, topdowntables!$R$5:$AH$26, 6, FALSE)*G30, 0)</f>
        <v>0</v>
      </c>
      <c r="H32" s="562">
        <f>IFERROR(VLOOKUP(H5, topdowntables!$R$5:$AH$26, 6, FALSE)*H30, 0)</f>
        <v>0</v>
      </c>
      <c r="I32" s="562">
        <f>IFERROR(VLOOKUP(I5, topdowntables!$R$5:$AH$26, 6, FALSE)*I30, 0)</f>
        <v>0</v>
      </c>
      <c r="J32" s="562">
        <f>IFERROR(VLOOKUP(J5, topdowntables!$R$5:$AH$26, 6, FALSE)*J30, 0)</f>
        <v>0</v>
      </c>
      <c r="K32" s="562">
        <f>IFERROR(VLOOKUP(K5, topdowntables!$R$5:$AH$26, 6, FALSE)*K30, 0)</f>
        <v>0</v>
      </c>
      <c r="L32" s="562">
        <f>IFERROR(VLOOKUP(L5, topdowntables!$R$5:$AH$26, 6, FALSE)*L30, 0)</f>
        <v>0</v>
      </c>
      <c r="M32" s="572"/>
    </row>
    <row r="33" spans="2:14" x14ac:dyDescent="0.2">
      <c r="B33" s="569" t="str">
        <f>IF(topdowntables!N4=1, "tab, % af TS", "total losses, % of DM")</f>
        <v>tab, % af TS</v>
      </c>
      <c r="C33" s="562">
        <f>IF(C6&gt;0, 60, 0)</f>
        <v>0</v>
      </c>
      <c r="D33" s="562">
        <f>IF(D6&gt;0, 60, 0)</f>
        <v>0</v>
      </c>
      <c r="E33" s="562">
        <f>IF(E6&gt;0, 60, 0)</f>
        <v>0</v>
      </c>
      <c r="F33" s="562">
        <f>IF(F6&gt;0, 60, 0)</f>
        <v>0</v>
      </c>
      <c r="G33" s="562">
        <f>IFERROR(VLOOKUP(G5, topdowntables!$R$5:$AH$26, 7, FALSE), 0)</f>
        <v>0</v>
      </c>
      <c r="H33" s="562">
        <f>IFERROR(VLOOKUP(H5, topdowntables!$R$5:$AH$26, 7, FALSE), 0)</f>
        <v>0</v>
      </c>
      <c r="I33" s="562">
        <f>IFERROR(VLOOKUP(I5, topdowntables!$R$5:$AH$26, 7, FALSE), 0)</f>
        <v>0</v>
      </c>
      <c r="J33" s="562">
        <f>IFERROR(VLOOKUP(J5, topdowntables!$R$5:$AH$26, 7, FALSE), 0)</f>
        <v>0</v>
      </c>
      <c r="K33" s="562">
        <f>IFERROR(VLOOKUP(K5, topdowntables!$R$5:$AH$26, 7, FALSE), 0)</f>
        <v>0</v>
      </c>
      <c r="L33" s="562">
        <f>IFERROR(VLOOKUP(L5, topdowntables!$R$5:$AH$26, 7, FALSE), 0)</f>
        <v>0</v>
      </c>
      <c r="M33" s="572"/>
    </row>
    <row r="34" spans="2:14" x14ac:dyDescent="0.2">
      <c r="B34" s="569" t="str">
        <f>IF(topdowntables!N4=1, "udbytte, kg TS i alt", "total yield, kg DM")</f>
        <v>udbytte, kg TS i alt</v>
      </c>
      <c r="C34" s="562">
        <f>C31*(100+C33)/100</f>
        <v>0</v>
      </c>
      <c r="D34" s="562">
        <f t="shared" ref="D34:F34" si="16">D31*(100+D33)/100</f>
        <v>0</v>
      </c>
      <c r="E34" s="562">
        <f t="shared" si="16"/>
        <v>0</v>
      </c>
      <c r="F34" s="562">
        <f t="shared" si="16"/>
        <v>0</v>
      </c>
      <c r="G34" s="562">
        <f>G31*(100+G33)/100</f>
        <v>0</v>
      </c>
      <c r="H34" s="562">
        <f t="shared" ref="H34:L34" si="17">H31*(100+H33)/100</f>
        <v>0</v>
      </c>
      <c r="I34" s="562">
        <f t="shared" si="17"/>
        <v>0</v>
      </c>
      <c r="J34" s="562">
        <f t="shared" si="17"/>
        <v>0</v>
      </c>
      <c r="K34" s="562">
        <f t="shared" si="17"/>
        <v>0</v>
      </c>
      <c r="L34" s="562">
        <f t="shared" si="17"/>
        <v>0</v>
      </c>
      <c r="M34" s="572"/>
    </row>
    <row r="35" spans="2:14" x14ac:dyDescent="0.2">
      <c r="B35" s="569" t="str">
        <f>IF(topdowntables!$N$4=1, "halm, kg TS", "straw, kg DM per ha")</f>
        <v>halm, kg TS</v>
      </c>
      <c r="C35" s="562"/>
      <c r="D35" s="562"/>
      <c r="E35" s="562"/>
      <c r="F35" s="562"/>
      <c r="G35" s="562">
        <f>IFERROR(VLOOKUP(G5, topdowntables!$R$5:$AH$26,8, FALSE)/100*G31, 0)</f>
        <v>0</v>
      </c>
      <c r="H35" s="562">
        <f>IFERROR(VLOOKUP(H5, topdowntables!$R$5:$AH$26,8, FALSE)/100*H31, 0)</f>
        <v>0</v>
      </c>
      <c r="I35" s="562">
        <f>IFERROR(VLOOKUP(I5, topdowntables!$R$5:$AH$26,8, FALSE)/100*I31, 0)</f>
        <v>0</v>
      </c>
      <c r="J35" s="562">
        <f>IFERROR(VLOOKUP(J5, topdowntables!$R$5:$AH$26,8, FALSE)/100*J31, 0)</f>
        <v>0</v>
      </c>
      <c r="K35" s="562">
        <f>IFERROR(VLOOKUP(K5, topdowntables!$R$5:$AH$26,8, FALSE)/100*K31, 0)</f>
        <v>0</v>
      </c>
      <c r="L35" s="562">
        <f>IFERROR(VLOOKUP(L5, topdowntables!$R$5:$AH$26,8, FALSE)/100*L31, 0)</f>
        <v>0</v>
      </c>
      <c r="M35" s="572"/>
    </row>
    <row r="36" spans="2:14" x14ac:dyDescent="0.2">
      <c r="B36" s="569" t="str">
        <f>IF(topdowntables!$N$4=1, "   heraf høstet, %", "   hereof harvested, %")</f>
        <v xml:space="preserve">   heraf høstet, %</v>
      </c>
      <c r="C36" s="562"/>
      <c r="D36" s="562"/>
      <c r="E36" s="562"/>
      <c r="F36" s="562"/>
      <c r="G36" s="562">
        <f>'input-data'!$E$432</f>
        <v>0</v>
      </c>
      <c r="H36" s="562">
        <f>'input-data'!$E$442</f>
        <v>0</v>
      </c>
      <c r="I36" s="562">
        <f>'input-data'!$E$452</f>
        <v>0</v>
      </c>
      <c r="J36" s="562">
        <f>'input-data'!$E$462</f>
        <v>0</v>
      </c>
      <c r="K36" s="562">
        <f>'input-data'!$E$472</f>
        <v>0</v>
      </c>
      <c r="L36" s="562">
        <f>'input-data'!$E$482</f>
        <v>0</v>
      </c>
      <c r="M36" s="572"/>
    </row>
    <row r="37" spans="2:14" ht="15" thickBot="1" x14ac:dyDescent="0.25">
      <c r="B37" s="618" t="str">
        <f>IF(topdowntables!N4=1, "   heraf nedmuldet, %", "   hereof incorporated in soil, %")</f>
        <v xml:space="preserve">   heraf nedmuldet, %</v>
      </c>
      <c r="C37" s="571"/>
      <c r="D37" s="571"/>
      <c r="E37" s="571"/>
      <c r="F37" s="571"/>
      <c r="G37" s="571">
        <f>IF(G35&gt;0, 100-G36, 0)</f>
        <v>0</v>
      </c>
      <c r="H37" s="571">
        <f t="shared" ref="H37:L37" si="18">IF(H35&gt;0, 100-H36, 0)</f>
        <v>0</v>
      </c>
      <c r="I37" s="571">
        <f t="shared" si="18"/>
        <v>0</v>
      </c>
      <c r="J37" s="571">
        <f t="shared" si="18"/>
        <v>0</v>
      </c>
      <c r="K37" s="571">
        <f t="shared" si="18"/>
        <v>0</v>
      </c>
      <c r="L37" s="571">
        <f t="shared" si="18"/>
        <v>0</v>
      </c>
      <c r="M37" s="573"/>
    </row>
    <row r="39" spans="2:14" ht="15" thickBot="1" x14ac:dyDescent="0.25"/>
    <row r="40" spans="2:14" x14ac:dyDescent="0.2">
      <c r="B40" s="334" t="str">
        <f>IF(topdowntables!$N$4=1, " Emission ved ændret kulstof i jord per ha", "Soil C changes, per ha")</f>
        <v xml:space="preserve"> Emission ved ændret kulstof i jord per ha</v>
      </c>
      <c r="C40" s="332" t="str">
        <f>C5</f>
        <v/>
      </c>
      <c r="D40" s="332" t="str">
        <f t="shared" ref="D40:L40" si="19">D5</f>
        <v/>
      </c>
      <c r="E40" s="332" t="str">
        <f t="shared" si="19"/>
        <v/>
      </c>
      <c r="F40" s="332" t="str">
        <f t="shared" si="19"/>
        <v/>
      </c>
      <c r="G40" s="332" t="str">
        <f t="shared" si="19"/>
        <v/>
      </c>
      <c r="H40" s="332" t="str">
        <f t="shared" si="19"/>
        <v/>
      </c>
      <c r="I40" s="332" t="str">
        <f t="shared" si="19"/>
        <v/>
      </c>
      <c r="J40" s="332" t="str">
        <f t="shared" si="19"/>
        <v/>
      </c>
      <c r="K40" s="332" t="str">
        <f t="shared" si="19"/>
        <v/>
      </c>
      <c r="L40" s="332" t="str">
        <f t="shared" si="19"/>
        <v/>
      </c>
      <c r="M40" s="590" t="str">
        <f>M4</f>
        <v>Total</v>
      </c>
    </row>
    <row r="41" spans="2:14" x14ac:dyDescent="0.2">
      <c r="B41" s="277" t="str">
        <f>IF(topdowntables!$N$4=1, "C tool indikatorer", "C tool parameters")</f>
        <v>C tool indikatorer</v>
      </c>
      <c r="C41" s="575"/>
      <c r="D41" s="575"/>
      <c r="E41" s="575"/>
      <c r="F41" s="575"/>
      <c r="G41" s="575"/>
      <c r="H41" s="575"/>
      <c r="I41" s="575"/>
      <c r="J41" s="575"/>
      <c r="K41" s="575"/>
      <c r="L41" s="575"/>
      <c r="M41" s="572"/>
      <c r="N41" s="338" t="s">
        <v>1504</v>
      </c>
    </row>
    <row r="42" spans="2:14" x14ac:dyDescent="0.2">
      <c r="B42" s="239" t="s">
        <v>1485</v>
      </c>
      <c r="C42" s="576">
        <f>IF(C6&gt;0, 0.55, 0)</f>
        <v>0</v>
      </c>
      <c r="D42" s="576">
        <f>IF(D6&gt;0, 0.55, 0)</f>
        <v>0</v>
      </c>
      <c r="E42" s="576">
        <f>IF(E6&gt;0, 0.55, 0)</f>
        <v>0</v>
      </c>
      <c r="F42" s="576">
        <f>IF(F6&gt;0, 0.55, 0)</f>
        <v>0</v>
      </c>
      <c r="G42" s="576">
        <f>IFERROR(VLOOKUP(G5, topdowntables!$R$5:$AH$26, 2, FALSE), 0)</f>
        <v>0</v>
      </c>
      <c r="H42" s="576">
        <f>IFERROR(VLOOKUP(H5, topdowntables!$R$5:$AH$26, 2, FALSE), 0)</f>
        <v>0</v>
      </c>
      <c r="I42" s="577">
        <f>IFERROR(VLOOKUP(I5, topdowntables!$R$5:$AH$26, 2, FALSE), 0)</f>
        <v>0</v>
      </c>
      <c r="J42" s="576">
        <f>IFERROR(VLOOKUP(J5, topdowntables!$R$5:$AH$26, 2, FALSE), 0)</f>
        <v>0</v>
      </c>
      <c r="K42" s="576">
        <f>IFERROR(VLOOKUP(K5, topdowntables!$R$5:$AH$26, 2, FALSE), 0)</f>
        <v>0</v>
      </c>
      <c r="L42" s="576">
        <f>IFERROR(VLOOKUP(L5, topdowntables!$R$5:$AH$26, 2, FALSE), 0)</f>
        <v>0</v>
      </c>
      <c r="M42" s="572"/>
      <c r="N42" s="338" t="s">
        <v>1505</v>
      </c>
    </row>
    <row r="43" spans="2:14" x14ac:dyDescent="0.2">
      <c r="B43" s="239" t="s">
        <v>1486</v>
      </c>
      <c r="C43" s="576">
        <f>IF(C6&gt;0, 0.45, 0)</f>
        <v>0</v>
      </c>
      <c r="D43" s="576">
        <f>IF(D6&gt;0, 0.45, 0)</f>
        <v>0</v>
      </c>
      <c r="E43" s="576">
        <f>IF(E6&gt;0, 0.45, 0)</f>
        <v>0</v>
      </c>
      <c r="F43" s="576">
        <f>IF(F6&gt;0, 0.45, 0)</f>
        <v>0</v>
      </c>
      <c r="G43" s="576">
        <f>IFERROR(VLOOKUP(G5, topdowntables!$R$5:$AH$26, 3, FALSE), 0)</f>
        <v>0</v>
      </c>
      <c r="H43" s="576">
        <f>IFERROR(VLOOKUP(H5, topdowntables!$R$5:$AH$26, 3, FALSE), 0)</f>
        <v>0</v>
      </c>
      <c r="I43" s="577">
        <f>IFERROR(VLOOKUP(I5, topdowntables!$R$5:$AH$26, 3, FALSE), 0)</f>
        <v>0</v>
      </c>
      <c r="J43" s="576">
        <f>IFERROR(VLOOKUP(J5, topdowntables!$R$5:$AH$26, 3, FALSE), 0)</f>
        <v>0</v>
      </c>
      <c r="K43" s="576">
        <f>IFERROR(VLOOKUP(K5, topdowntables!$R$5:$AH$26, 3, FALSE), 0)</f>
        <v>0</v>
      </c>
      <c r="L43" s="576">
        <f>IFERROR(VLOOKUP(L5, topdowntables!$R$5:$AH$26, 3, FALSE), 0)</f>
        <v>0</v>
      </c>
      <c r="M43" s="572"/>
      <c r="N43" s="338" t="s">
        <v>1506</v>
      </c>
    </row>
    <row r="44" spans="2:14" x14ac:dyDescent="0.2">
      <c r="B44" s="239" t="s">
        <v>1488</v>
      </c>
      <c r="C44" s="576">
        <v>0</v>
      </c>
      <c r="D44" s="576">
        <v>0</v>
      </c>
      <c r="E44" s="576">
        <v>0</v>
      </c>
      <c r="F44" s="576">
        <v>0</v>
      </c>
      <c r="G44" s="576">
        <f>IFERROR(VLOOKUP(G5, topdowntables!$R$5:$AH$26, 4, FALSE), 0)</f>
        <v>0</v>
      </c>
      <c r="H44" s="576">
        <f>IFERROR(VLOOKUP(H5, topdowntables!$R$5:$AH$26, 4, FALSE), 0)</f>
        <v>0</v>
      </c>
      <c r="I44" s="577">
        <f>IFERROR(VLOOKUP(I5, topdowntables!$R$5:$AH$26, 4, FALSE), 0)</f>
        <v>0</v>
      </c>
      <c r="J44" s="576">
        <f>IFERROR(VLOOKUP(J5, topdowntables!$R$5:$AH$26, 4, FALSE), 0)</f>
        <v>0</v>
      </c>
      <c r="K44" s="576">
        <f>IFERROR(VLOOKUP(K5, topdowntables!$R$5:$AH$26, 4, FALSE), 0)</f>
        <v>0</v>
      </c>
      <c r="L44" s="576">
        <f>IFERROR(VLOOKUP(L5, topdowntables!$R$5:$AH$26, 4, FALSE), 0)</f>
        <v>0</v>
      </c>
      <c r="M44" s="572"/>
    </row>
    <row r="45" spans="2:14" x14ac:dyDescent="0.2">
      <c r="B45" s="239" t="str">
        <f>IF(topdowntables!$N$4=1, "total produktion, kg TS per ha", "total production, kg DM per ha")</f>
        <v>total produktion, kg TS per ha</v>
      </c>
      <c r="C45" s="562">
        <f>IFERROR((1500*(1+C33/100)+(C31-1500))*(1/((1-C43)*C42)), 0)</f>
        <v>0</v>
      </c>
      <c r="D45" s="562">
        <f t="shared" ref="D45:F45" si="20">IFERROR((1500*(1+D33/100)+(D31-1500))*(1/((1-D43)*D42)), 0)</f>
        <v>0</v>
      </c>
      <c r="E45" s="562">
        <f t="shared" si="20"/>
        <v>0</v>
      </c>
      <c r="F45" s="562">
        <f t="shared" si="20"/>
        <v>0</v>
      </c>
      <c r="G45" s="562">
        <f t="shared" ref="G45:L45" si="21">IFERROR(G31*(1/((1-G43)*G42)), 0)</f>
        <v>0</v>
      </c>
      <c r="H45" s="562">
        <f t="shared" si="21"/>
        <v>0</v>
      </c>
      <c r="I45" s="562">
        <f t="shared" si="21"/>
        <v>0</v>
      </c>
      <c r="J45" s="562">
        <f t="shared" si="21"/>
        <v>0</v>
      </c>
      <c r="K45" s="562">
        <f t="shared" si="21"/>
        <v>0</v>
      </c>
      <c r="L45" s="562">
        <f t="shared" si="21"/>
        <v>0</v>
      </c>
      <c r="M45" s="572"/>
    </row>
    <row r="46" spans="2:14" x14ac:dyDescent="0.2">
      <c r="B46" s="239" t="str">
        <f>IF(topdowntables!$N$4=1, "underjordiske rester, kg TS per ha", "belowground crop residues, kg DM per ha")</f>
        <v>underjordiske rester, kg TS per ha</v>
      </c>
      <c r="C46" s="562">
        <f>C45*C43</f>
        <v>0</v>
      </c>
      <c r="D46" s="562">
        <f t="shared" ref="D46:L46" si="22">D45*D43</f>
        <v>0</v>
      </c>
      <c r="E46" s="562">
        <f t="shared" si="22"/>
        <v>0</v>
      </c>
      <c r="F46" s="562">
        <f t="shared" si="22"/>
        <v>0</v>
      </c>
      <c r="G46" s="562">
        <f>G45*G43</f>
        <v>0</v>
      </c>
      <c r="H46" s="562">
        <f t="shared" si="22"/>
        <v>0</v>
      </c>
      <c r="I46" s="562">
        <f t="shared" si="22"/>
        <v>0</v>
      </c>
      <c r="J46" s="562">
        <f t="shared" si="22"/>
        <v>0</v>
      </c>
      <c r="K46" s="562">
        <f t="shared" si="22"/>
        <v>0</v>
      </c>
      <c r="L46" s="562">
        <f t="shared" si="22"/>
        <v>0</v>
      </c>
      <c r="M46" s="572"/>
    </row>
    <row r="47" spans="2:14" x14ac:dyDescent="0.2">
      <c r="B47" s="239" t="str">
        <f>IF(topdowntables!$N$4=1, "overjordiske rester, kg TS per ha", "aboveground crop residues, kg DM per ha")</f>
        <v>overjordiske rester, kg TS per ha</v>
      </c>
      <c r="C47" s="562">
        <f>C45-C46-C31-C35*C36/100</f>
        <v>0</v>
      </c>
      <c r="D47" s="562">
        <f t="shared" ref="D47:L47" si="23">D45-D46-D31-D35*D36/100</f>
        <v>0</v>
      </c>
      <c r="E47" s="562">
        <f t="shared" si="23"/>
        <v>0</v>
      </c>
      <c r="F47" s="562">
        <f t="shared" si="23"/>
        <v>0</v>
      </c>
      <c r="G47" s="562">
        <f t="shared" si="23"/>
        <v>0</v>
      </c>
      <c r="H47" s="562">
        <f t="shared" si="23"/>
        <v>0</v>
      </c>
      <c r="I47" s="562">
        <f t="shared" si="23"/>
        <v>0</v>
      </c>
      <c r="J47" s="562">
        <f t="shared" si="23"/>
        <v>0</v>
      </c>
      <c r="K47" s="562">
        <f t="shared" si="23"/>
        <v>0</v>
      </c>
      <c r="L47" s="562">
        <f t="shared" si="23"/>
        <v>0</v>
      </c>
      <c r="M47" s="572"/>
    </row>
    <row r="48" spans="2:14" x14ac:dyDescent="0.2">
      <c r="B48" s="277" t="str">
        <f>IF(topdowntables!$N$4=1, "C input i jord, kg C per ha", "C input to soil, kg C per ha")</f>
        <v>C input i jord, kg C per ha</v>
      </c>
      <c r="C48" s="575"/>
      <c r="D48" s="575"/>
      <c r="E48" s="575"/>
      <c r="F48" s="575"/>
      <c r="G48" s="575"/>
      <c r="H48" s="575"/>
      <c r="I48" s="575"/>
      <c r="J48" s="575"/>
      <c r="K48" s="575"/>
      <c r="L48" s="575"/>
      <c r="M48" s="572"/>
    </row>
    <row r="49" spans="2:14" x14ac:dyDescent="0.2">
      <c r="B49" s="239" t="str">
        <f>IF(topdowntables!$N$4=1, "   fra under- og over-jordiske rester", "   from AG, BG crop residues")</f>
        <v xml:space="preserve">   fra under- og over-jordiske rester</v>
      </c>
      <c r="C49" s="562">
        <f t="shared" ref="C49:L49" si="24">(C46+C47)*0.45</f>
        <v>0</v>
      </c>
      <c r="D49" s="562">
        <f t="shared" si="24"/>
        <v>0</v>
      </c>
      <c r="E49" s="562">
        <f t="shared" si="24"/>
        <v>0</v>
      </c>
      <c r="F49" s="562">
        <f t="shared" si="24"/>
        <v>0</v>
      </c>
      <c r="G49" s="562">
        <f t="shared" si="24"/>
        <v>0</v>
      </c>
      <c r="H49" s="562">
        <f t="shared" si="24"/>
        <v>0</v>
      </c>
      <c r="I49" s="562">
        <f t="shared" si="24"/>
        <v>0</v>
      </c>
      <c r="J49" s="562">
        <f t="shared" si="24"/>
        <v>0</v>
      </c>
      <c r="K49" s="562">
        <f t="shared" si="24"/>
        <v>0</v>
      </c>
      <c r="L49" s="562">
        <f t="shared" si="24"/>
        <v>0</v>
      </c>
      <c r="M49" s="572"/>
      <c r="N49" s="110" t="s">
        <v>1527</v>
      </c>
    </row>
    <row r="50" spans="2:14" x14ac:dyDescent="0.2">
      <c r="B50" s="239" t="str">
        <f>IF(topdowntables!$N$4=1, "   fra gødning", "   from manure")</f>
        <v xml:space="preserve">   fra gødning</v>
      </c>
      <c r="C50" s="562">
        <f>(C16+(C10*(C11+C12+C13)/100))*8*1.3/10+C10*(C15+C14)/100*21*1.3/10</f>
        <v>0</v>
      </c>
      <c r="D50" s="562">
        <f t="shared" ref="D50:L50" si="25">(D16+(D10*(D11+D12+D13)/100))*8*1.3/10+D10*(D15+D14)/100*21*1.3/10</f>
        <v>0</v>
      </c>
      <c r="E50" s="562">
        <f>IFERROR((E16+(E10*(E11+E12+E13)/100))*8*1.3/10+E10*(E15+E14)/100*21*1.3/10, 0)</f>
        <v>0</v>
      </c>
      <c r="F50" s="562">
        <f t="shared" si="25"/>
        <v>0</v>
      </c>
      <c r="G50" s="562">
        <f t="shared" si="25"/>
        <v>0</v>
      </c>
      <c r="H50" s="562">
        <f t="shared" si="25"/>
        <v>0</v>
      </c>
      <c r="I50" s="562">
        <f t="shared" si="25"/>
        <v>0</v>
      </c>
      <c r="J50" s="562">
        <f t="shared" si="25"/>
        <v>0</v>
      </c>
      <c r="K50" s="576">
        <f t="shared" si="25"/>
        <v>0</v>
      </c>
      <c r="L50" s="576">
        <f t="shared" si="25"/>
        <v>0</v>
      </c>
      <c r="M50" s="572"/>
    </row>
    <row r="51" spans="2:14" x14ac:dyDescent="0.2">
      <c r="B51" s="237" t="str">
        <f>IF(topdowntables!$N$4=1, "C input, kg C i alt per ha", "Total C input, kg C per ha")</f>
        <v>C input, kg C i alt per ha</v>
      </c>
      <c r="C51" s="562">
        <f t="shared" ref="C51:L51" si="26">SUM(C49:C50)</f>
        <v>0</v>
      </c>
      <c r="D51" s="562">
        <f t="shared" si="26"/>
        <v>0</v>
      </c>
      <c r="E51" s="562">
        <f t="shared" si="26"/>
        <v>0</v>
      </c>
      <c r="F51" s="562">
        <f t="shared" si="26"/>
        <v>0</v>
      </c>
      <c r="G51" s="562">
        <f t="shared" si="26"/>
        <v>0</v>
      </c>
      <c r="H51" s="562">
        <f t="shared" si="26"/>
        <v>0</v>
      </c>
      <c r="I51" s="562">
        <f t="shared" si="26"/>
        <v>0</v>
      </c>
      <c r="J51" s="562">
        <f t="shared" si="26"/>
        <v>0</v>
      </c>
      <c r="K51" s="562">
        <f t="shared" si="26"/>
        <v>0</v>
      </c>
      <c r="L51" s="562">
        <f t="shared" si="26"/>
        <v>0</v>
      </c>
      <c r="M51" s="572"/>
    </row>
    <row r="52" spans="2:14" x14ac:dyDescent="0.2">
      <c r="B52" s="341" t="str">
        <f>IF(topdowntables!$N$4=1, "arealforbrug faktor", "LU factor")</f>
        <v>arealforbrug faktor</v>
      </c>
      <c r="C52" s="577">
        <v>0.93</v>
      </c>
      <c r="D52" s="577">
        <v>0.93</v>
      </c>
      <c r="E52" s="577">
        <v>0.93</v>
      </c>
      <c r="F52" s="577">
        <v>0.93</v>
      </c>
      <c r="G52" s="577">
        <f>IFERROR(VLOOKUP(G5, topdowntables!$R$5:$AH$26, 9, FALSE),0)</f>
        <v>0</v>
      </c>
      <c r="H52" s="577">
        <f>IFERROR(VLOOKUP(H5, topdowntables!$R$5:$AH$26, 9, FALSE),0)</f>
        <v>0</v>
      </c>
      <c r="I52" s="577">
        <f>IFERROR(VLOOKUP(I5, topdowntables!$R$5:$AH$26, 9, FALSE),0)</f>
        <v>0</v>
      </c>
      <c r="J52" s="577">
        <f>IFERROR(VLOOKUP(J5, topdowntables!$R$5:$AH$26, 9, FALSE),0)</f>
        <v>0</v>
      </c>
      <c r="K52" s="577">
        <f>IFERROR(VLOOKUP(K5, topdowntables!$R$5:$AH$26, 9, FALSE),0)</f>
        <v>0</v>
      </c>
      <c r="L52" s="577">
        <f>IFERROR(VLOOKUP(L5, topdowntables!$R$5:$AH$26, 9, FALSE),0)</f>
        <v>0</v>
      </c>
      <c r="M52" s="572"/>
    </row>
    <row r="53" spans="2:14" x14ac:dyDescent="0.2">
      <c r="B53" s="341" t="str">
        <f>IF(topdowntables!$N$4=1, "jordbearbejdningsfaktor", "tillage factor")</f>
        <v>jordbearbejdningsfaktor</v>
      </c>
      <c r="C53" s="577">
        <v>1.1000000000000001</v>
      </c>
      <c r="D53" s="577">
        <v>1.1000000000000001</v>
      </c>
      <c r="E53" s="577">
        <v>1.1000000000000001</v>
      </c>
      <c r="F53" s="577">
        <v>1.1000000000000001</v>
      </c>
      <c r="G53" s="577">
        <f>IFERROR(VLOOKUP(G5, topdowntables!$R$5:$AH$26, 10, FALSE), 0)</f>
        <v>0</v>
      </c>
      <c r="H53" s="577">
        <f>IFERROR(VLOOKUP(H5, topdowntables!$R$5:$AH$26, 10, FALSE), 0)</f>
        <v>0</v>
      </c>
      <c r="I53" s="577">
        <f>IFERROR(VLOOKUP(I5, topdowntables!$R$5:$AH$26, 10, FALSE), 0)</f>
        <v>0</v>
      </c>
      <c r="J53" s="577">
        <f>IFERROR(VLOOKUP(J5, topdowntables!$R$5:$AH$26, 10, FALSE), 0)</f>
        <v>0</v>
      </c>
      <c r="K53" s="577">
        <f>IFERROR(VLOOKUP(K5, topdowntables!$R$5:$AH$26, 10, FALSE), 0)</f>
        <v>0</v>
      </c>
      <c r="L53" s="577">
        <f>IFERROR(VLOOKUP(L5, topdowntables!$R$5:$AH$26, 10, FALSE), 0)</f>
        <v>0</v>
      </c>
      <c r="M53" s="572"/>
    </row>
    <row r="54" spans="2:14" x14ac:dyDescent="0.2">
      <c r="B54" s="239" t="str">
        <f>IF(topdowntables!$N$4=1, "C i jord 100 år perspektiv, kg C per ha", "C that remains in soil in 100 years perspective, kg C per ha")</f>
        <v>C i jord 100 år perspektiv, kg C per ha</v>
      </c>
      <c r="C54" s="562">
        <f>C51*C52*C53*0.097</f>
        <v>0</v>
      </c>
      <c r="D54" s="562">
        <f t="shared" ref="D54:L54" si="27">D51*D52*D53*0.097</f>
        <v>0</v>
      </c>
      <c r="E54" s="562">
        <f t="shared" si="27"/>
        <v>0</v>
      </c>
      <c r="F54" s="562">
        <f t="shared" si="27"/>
        <v>0</v>
      </c>
      <c r="G54" s="562">
        <f t="shared" si="27"/>
        <v>0</v>
      </c>
      <c r="H54" s="562">
        <f t="shared" si="27"/>
        <v>0</v>
      </c>
      <c r="I54" s="562">
        <f t="shared" si="27"/>
        <v>0</v>
      </c>
      <c r="J54" s="562">
        <f t="shared" si="27"/>
        <v>0</v>
      </c>
      <c r="K54" s="562">
        <f t="shared" si="27"/>
        <v>0</v>
      </c>
      <c r="L54" s="562">
        <f t="shared" si="27"/>
        <v>0</v>
      </c>
      <c r="M54" s="572"/>
    </row>
    <row r="55" spans="2:14" x14ac:dyDescent="0.2">
      <c r="B55" s="239" t="str">
        <f>IF(topdowntables!$N$4=1, "C i jord 20 år perspektiv, kg C per ha", "C that remains in soil in 20 years perspective, kg C per ha")</f>
        <v>C i jord 20 år perspektiv, kg C per ha</v>
      </c>
      <c r="C55" s="562">
        <f>C51*C52*C53*0.213</f>
        <v>0</v>
      </c>
      <c r="D55" s="562">
        <f t="shared" ref="D55:L55" si="28">D51*D52*D53*0.213</f>
        <v>0</v>
      </c>
      <c r="E55" s="562">
        <f t="shared" si="28"/>
        <v>0</v>
      </c>
      <c r="F55" s="562">
        <f t="shared" si="28"/>
        <v>0</v>
      </c>
      <c r="G55" s="562">
        <f t="shared" si="28"/>
        <v>0</v>
      </c>
      <c r="H55" s="562">
        <f t="shared" si="28"/>
        <v>0</v>
      </c>
      <c r="I55" s="562">
        <f t="shared" si="28"/>
        <v>0</v>
      </c>
      <c r="J55" s="562">
        <f t="shared" si="28"/>
        <v>0</v>
      </c>
      <c r="K55" s="562">
        <f t="shared" si="28"/>
        <v>0</v>
      </c>
      <c r="L55" s="562">
        <f t="shared" si="28"/>
        <v>0</v>
      </c>
      <c r="M55" s="572"/>
    </row>
    <row r="56" spans="2:14" x14ac:dyDescent="0.2">
      <c r="B56" s="239" t="str">
        <f>IF(topdowntables!N4=1, "skalering til reference afgrøde (hvede)", "scaling to reference crop (wheat)")</f>
        <v>skalering til reference afgrøde (hvede)</v>
      </c>
      <c r="C56" s="575"/>
      <c r="D56" s="575"/>
      <c r="E56" s="575"/>
      <c r="F56" s="575"/>
      <c r="G56" s="575"/>
      <c r="H56" s="575"/>
      <c r="I56" s="575"/>
      <c r="J56" s="575"/>
      <c r="K56" s="575"/>
      <c r="L56" s="575"/>
      <c r="M56" s="572"/>
    </row>
    <row r="57" spans="2:14" x14ac:dyDescent="0.2">
      <c r="B57" s="239" t="str">
        <f>IF(topdowntables!$N$4=1, "   C i jord 100 år perspektiv, kg C per ha", "   C in soil 100 years perspective , kg C per ha")</f>
        <v xml:space="preserve">   C i jord 100 år perspektiv, kg C per ha</v>
      </c>
      <c r="C57" s="563">
        <f t="shared" ref="C57:L57" si="29">IF(C6&gt;0, C54-397, 0)</f>
        <v>0</v>
      </c>
      <c r="D57" s="563">
        <f t="shared" si="29"/>
        <v>0</v>
      </c>
      <c r="E57" s="563">
        <f t="shared" si="29"/>
        <v>0</v>
      </c>
      <c r="F57" s="563">
        <f t="shared" si="29"/>
        <v>0</v>
      </c>
      <c r="G57" s="563">
        <f t="shared" si="29"/>
        <v>0</v>
      </c>
      <c r="H57" s="563">
        <f t="shared" si="29"/>
        <v>0</v>
      </c>
      <c r="I57" s="563">
        <f>IF(I6&gt;0, I54-397, 0)</f>
        <v>0</v>
      </c>
      <c r="J57" s="563">
        <f t="shared" si="29"/>
        <v>0</v>
      </c>
      <c r="K57" s="563">
        <f t="shared" si="29"/>
        <v>0</v>
      </c>
      <c r="L57" s="563">
        <f t="shared" si="29"/>
        <v>0</v>
      </c>
      <c r="M57" s="572"/>
      <c r="N57" s="110" t="s">
        <v>1778</v>
      </c>
    </row>
    <row r="58" spans="2:14" x14ac:dyDescent="0.2">
      <c r="B58" s="239" t="str">
        <f>IF(topdowntables!$N$4=1, "   C i jord 20 år perspektiv, kg C per ha", "   C in soil 20 years perspective , kg C per ha")</f>
        <v xml:space="preserve">   C i jord 20 år perspektiv, kg C per ha</v>
      </c>
      <c r="C58" s="563">
        <f t="shared" ref="C58:L58" si="30">IF(C6&gt;0, C55-846, 0)</f>
        <v>0</v>
      </c>
      <c r="D58" s="563">
        <f t="shared" si="30"/>
        <v>0</v>
      </c>
      <c r="E58" s="563">
        <f t="shared" si="30"/>
        <v>0</v>
      </c>
      <c r="F58" s="563">
        <f t="shared" si="30"/>
        <v>0</v>
      </c>
      <c r="G58" s="563">
        <f t="shared" si="30"/>
        <v>0</v>
      </c>
      <c r="H58" s="563">
        <f t="shared" si="30"/>
        <v>0</v>
      </c>
      <c r="I58" s="563">
        <f t="shared" si="30"/>
        <v>0</v>
      </c>
      <c r="J58" s="563">
        <f t="shared" si="30"/>
        <v>0</v>
      </c>
      <c r="K58" s="563">
        <f t="shared" si="30"/>
        <v>0</v>
      </c>
      <c r="L58" s="563">
        <f t="shared" si="30"/>
        <v>0</v>
      </c>
      <c r="M58" s="572"/>
      <c r="N58" s="110" t="s">
        <v>1778</v>
      </c>
    </row>
    <row r="59" spans="2:14" x14ac:dyDescent="0.2">
      <c r="B59" s="339" t="str">
        <f>IF(topdowntables!$N$4=1, "emission ved ændret kulstof i jord 100 år perspektiv, kg CO2 ækv.", "soil change 100 years perspective, kg CO2 eq.")</f>
        <v>emission ved ændret kulstof i jord 100 år perspektiv, kg CO2 ækv.</v>
      </c>
      <c r="C59" s="574">
        <f>-C57*44/12</f>
        <v>0</v>
      </c>
      <c r="D59" s="574">
        <f t="shared" ref="D59:L59" si="31">-D57*44/12</f>
        <v>0</v>
      </c>
      <c r="E59" s="574">
        <f t="shared" si="31"/>
        <v>0</v>
      </c>
      <c r="F59" s="574">
        <f t="shared" si="31"/>
        <v>0</v>
      </c>
      <c r="G59" s="574">
        <f t="shared" si="31"/>
        <v>0</v>
      </c>
      <c r="H59" s="574">
        <f t="shared" si="31"/>
        <v>0</v>
      </c>
      <c r="I59" s="574">
        <f t="shared" si="31"/>
        <v>0</v>
      </c>
      <c r="J59" s="574">
        <f t="shared" si="31"/>
        <v>0</v>
      </c>
      <c r="K59" s="574">
        <f t="shared" si="31"/>
        <v>0</v>
      </c>
      <c r="L59" s="574">
        <f t="shared" si="31"/>
        <v>0</v>
      </c>
      <c r="M59" s="582">
        <f>$C$6*C59+$D$6*D59+$E$6*E59+$F$6*F59+$G$6*G59+$H$6*H59+$I$6*I59+$J$6*J59+$K$6*K59+$L$6*L59</f>
        <v>0</v>
      </c>
    </row>
    <row r="60" spans="2:14" ht="15" thickBot="1" x14ac:dyDescent="0.25">
      <c r="B60" s="340" t="str">
        <f>IF(topdowntables!$N$4=1, "emission ved ændret kulstof i jord 20 år perspektiv, kg CO2 ækv.", "soil change 20 years perspective, kg CO2 eq.")</f>
        <v>emission ved ændret kulstof i jord 20 år perspektiv, kg CO2 ækv.</v>
      </c>
      <c r="C60" s="565">
        <f>-C58*44/12</f>
        <v>0</v>
      </c>
      <c r="D60" s="565">
        <f t="shared" ref="D60:L60" si="32">-D58*44/12</f>
        <v>0</v>
      </c>
      <c r="E60" s="565">
        <f t="shared" si="32"/>
        <v>0</v>
      </c>
      <c r="F60" s="565">
        <f t="shared" si="32"/>
        <v>0</v>
      </c>
      <c r="G60" s="565">
        <f t="shared" si="32"/>
        <v>0</v>
      </c>
      <c r="H60" s="565">
        <f t="shared" si="32"/>
        <v>0</v>
      </c>
      <c r="I60" s="565">
        <f t="shared" si="32"/>
        <v>0</v>
      </c>
      <c r="J60" s="565">
        <f t="shared" si="32"/>
        <v>0</v>
      </c>
      <c r="K60" s="565">
        <f t="shared" si="32"/>
        <v>0</v>
      </c>
      <c r="L60" s="565">
        <f t="shared" si="32"/>
        <v>0</v>
      </c>
      <c r="M60" s="583">
        <f>$C$6*C60+$D$6*D60+$E$6*E60+$F$6*F60+$G$6*G60+$H$6*H60+$I$6*I60+$J$6*J60+$K$6*K60+$L$6*L60</f>
        <v>0</v>
      </c>
    </row>
    <row r="61" spans="2:14" ht="15" thickBot="1" x14ac:dyDescent="0.25"/>
    <row r="62" spans="2:14" x14ac:dyDescent="0.2">
      <c r="B62" s="334" t="str">
        <f>IF(topdowntables!$N$4=1, " Estimation af emissioner", "Estimation of emission")</f>
        <v xml:space="preserve"> Estimation af emissioner</v>
      </c>
      <c r="C62" s="332" t="str">
        <f>C5</f>
        <v/>
      </c>
      <c r="D62" s="332" t="str">
        <f t="shared" ref="D62:L62" si="33">D5</f>
        <v/>
      </c>
      <c r="E62" s="332" t="str">
        <f t="shared" si="33"/>
        <v/>
      </c>
      <c r="F62" s="332" t="str">
        <f t="shared" si="33"/>
        <v/>
      </c>
      <c r="G62" s="332" t="str">
        <f t="shared" si="33"/>
        <v/>
      </c>
      <c r="H62" s="332" t="str">
        <f t="shared" si="33"/>
        <v/>
      </c>
      <c r="I62" s="332" t="str">
        <f t="shared" si="33"/>
        <v/>
      </c>
      <c r="J62" s="332" t="str">
        <f t="shared" si="33"/>
        <v/>
      </c>
      <c r="K62" s="332" t="str">
        <f t="shared" si="33"/>
        <v/>
      </c>
      <c r="L62" s="332" t="str">
        <f t="shared" si="33"/>
        <v/>
      </c>
      <c r="M62" s="333" t="str">
        <f>M4</f>
        <v>Total</v>
      </c>
    </row>
    <row r="63" spans="2:14" x14ac:dyDescent="0.2">
      <c r="B63" s="343" t="str">
        <f>IF(topdowntables!$N$4=1, " Estimation af N emissioner", "Estimation of N emission")</f>
        <v xml:space="preserve"> Estimation af N emissioner</v>
      </c>
      <c r="C63" s="48"/>
      <c r="D63" s="48"/>
      <c r="E63" s="48"/>
      <c r="F63" s="48"/>
      <c r="G63" s="48"/>
      <c r="H63" s="48"/>
      <c r="I63" s="48"/>
      <c r="J63" s="48"/>
      <c r="K63" s="48"/>
      <c r="L63" s="48"/>
      <c r="M63" s="584"/>
    </row>
    <row r="64" spans="2:14" x14ac:dyDescent="0.2">
      <c r="B64" s="341" t="str">
        <f>IF(topdowntables!$N$4=1, "direkt N2O", "direct N2O")</f>
        <v>direkt N2O</v>
      </c>
      <c r="C64" s="575"/>
      <c r="D64" s="575"/>
      <c r="E64" s="575"/>
      <c r="F64" s="575"/>
      <c r="G64" s="575"/>
      <c r="H64" s="575"/>
      <c r="I64" s="575"/>
      <c r="J64" s="575"/>
      <c r="K64" s="575"/>
      <c r="L64" s="575"/>
      <c r="M64" s="584"/>
    </row>
    <row r="65" spans="2:14" x14ac:dyDescent="0.2">
      <c r="B65" s="341" t="str">
        <f>IF(topdowntables!$N$4=1, "   fra husdyrgødning, kg N2O-N", "   from manure, kg N2O-N")</f>
        <v xml:space="preserve">   fra husdyrgødning, kg N2O-N</v>
      </c>
      <c r="C65" s="578">
        <f>IFERROR('N-P balance sohold'!C37/C6, 0)</f>
        <v>0</v>
      </c>
      <c r="D65" s="578">
        <f>IFERROR('N-P balance sohold'!C141/D6, 0)</f>
        <v>0</v>
      </c>
      <c r="E65" s="578">
        <f>IFERROR('N-P balance smågrise'!C37/E6, 0)</f>
        <v>0</v>
      </c>
      <c r="F65" s="578">
        <f>IFERROR('N-P balance slagtesvin'!C37/F6, 0)</f>
        <v>0</v>
      </c>
      <c r="G65" s="578">
        <f>G10*G11/100*'Udbringning af gylleApplication'!$E$6+G10*G12/100*'Udbringning af gylleApplication'!$E$7+G10*G13/100*'Udbringning af gylleApplication'!$E$8+G10*G14/100*'Udbringning af gylleApplication'!$E$10+G10*G15/100*'Udbringning af gylleApplication'!$E$9+G16*'Opstaldingsform-Housing '!$I$33</f>
        <v>0</v>
      </c>
      <c r="H65" s="578">
        <f>H10*H11/100*'Udbringning af gylleApplication'!$E$6+H10*H12/100*'Udbringning af gylleApplication'!$E$7+H10*H13/100*'Udbringning af gylleApplication'!$E$8+H10*H14/100*'Udbringning af gylleApplication'!$E$10+H10*H15/100*'Udbringning af gylleApplication'!$E$9+H16*'Opstaldingsform-Housing '!$I$33</f>
        <v>0</v>
      </c>
      <c r="I65" s="578">
        <f>I10*I11/100*'Udbringning af gylleApplication'!$E$6+I10*I12/100*'Udbringning af gylleApplication'!$E$7+I10*I13/100*'Udbringning af gylleApplication'!$E$8+I10*I14/100*'Udbringning af gylleApplication'!$E$10+I10*I15/100*'Udbringning af gylleApplication'!$E$9+I16*'Opstaldingsform-Housing '!$I$33</f>
        <v>0</v>
      </c>
      <c r="J65" s="578">
        <f>J10*J11/100*'Udbringning af gylleApplication'!$E$6+J10*J12/100*'Udbringning af gylleApplication'!$E$7+J10*J13/100*'Udbringning af gylleApplication'!$E$8+J10*J14/100*'Udbringning af gylleApplication'!$E$10+J10*J15/100*'Udbringning af gylleApplication'!$E$9+J16*'Opstaldingsform-Housing '!$I$33</f>
        <v>0</v>
      </c>
      <c r="K65" s="578">
        <f>K10*K11/100*'Udbringning af gylleApplication'!$E$6+K10*K12/100*'Udbringning af gylleApplication'!$E$7+K10*K13/100*'Udbringning af gylleApplication'!$E$8+K10*K14/100*'Udbringning af gylleApplication'!$E$10+K10*K15/100*'Udbringning af gylleApplication'!$E$9+K16*'Opstaldingsform-Housing '!$I$33</f>
        <v>0</v>
      </c>
      <c r="L65" s="578">
        <f>L10*L11/100*'Udbringning af gylleApplication'!$E$6+L10*L12/100*'Udbringning af gylleApplication'!$E$7+L10*L13/100*'Udbringning af gylleApplication'!$E$8+L10*L14/100*'Udbringning af gylleApplication'!$E$10+L10*L15/100*'Udbringning af gylleApplication'!$E$9+L16*'Opstaldingsform-Housing '!$I$33</f>
        <v>0</v>
      </c>
      <c r="M65" s="585">
        <f>$C$6*C65+$D$6*D65+$E$6*E65+$F$6*F65+$G$6*G65+$H$6*H65+$I$6*I65+$J$6*J65+$K$6*K65+$L$6*L65</f>
        <v>0</v>
      </c>
    </row>
    <row r="66" spans="2:14" x14ac:dyDescent="0.2">
      <c r="B66" s="341" t="str">
        <f>IF(topdowntables!$N$4=1, "   fra afgrøder rester, kg N2O-N", "   from crop residues, kg N2O-N")</f>
        <v xml:space="preserve">   fra afgrøder rester, kg N2O-N</v>
      </c>
      <c r="C66" s="578">
        <f>(C46*9.2/100/6.25+C47*22/100/6.25)*1/100</f>
        <v>0</v>
      </c>
      <c r="D66" s="578">
        <f t="shared" ref="D66:F66" si="34">(D46*9.2/100/6.25+D47*22/100/6.25)*1/100</f>
        <v>0</v>
      </c>
      <c r="E66" s="578">
        <f t="shared" si="34"/>
        <v>0</v>
      </c>
      <c r="F66" s="578">
        <f t="shared" si="34"/>
        <v>0</v>
      </c>
      <c r="G66" s="578">
        <f>IFERROR((G46*VLOOKUP(G5,topdowntables!$R$5:$AH$26, 12, FALSE)/100/6.25+G47*VLOOKUP(G5, topdowntables!$R$5:$AH$26, 11, FALSE)/100/6.25), 0)*1/100</f>
        <v>0</v>
      </c>
      <c r="H66" s="578">
        <f>IFERROR((H46*VLOOKUP(H5,topdowntables!$R$5:$AH$26, 12, FALSE)/100/6.25+H47*VLOOKUP(H5, topdowntables!$R$5:$AH$26, 11, FALSE)/100/6.25), 0)*1/100</f>
        <v>0</v>
      </c>
      <c r="I66" s="578">
        <f>IFERROR((I46*VLOOKUP(I5,topdowntables!$R$5:$AH$26, 12, FALSE)/100/6.25+I47*VLOOKUP(I5, topdowntables!$R$5:$AH$26, 11, FALSE)/100/6.25), 0)*1/100</f>
        <v>0</v>
      </c>
      <c r="J66" s="578">
        <f>IFERROR((J46*VLOOKUP(J5,topdowntables!$R$5:$AH$26, 12, FALSE)/100/6.25+J47*VLOOKUP(J5, topdowntables!$R$5:$AH$26, 11, FALSE)/100/6.25), 0)*1/100</f>
        <v>0</v>
      </c>
      <c r="K66" s="578">
        <f>IFERROR((K46*VLOOKUP(K5,topdowntables!$R$5:$AH$26, 12, FALSE)/100/6.25+K47*VLOOKUP(K5, topdowntables!$R$5:$AH$26, 11, FALSE)/100/6.25), 0)*1/100</f>
        <v>0</v>
      </c>
      <c r="L66" s="578">
        <f>IFERROR((L46*VLOOKUP(L5,topdowntables!$R$5:$AH$26, 12, FALSE)/100/6.25+L47*VLOOKUP(L5, topdowntables!$R$5:$AH$26, 11, FALSE)/100/6.25), 0)*1/100</f>
        <v>0</v>
      </c>
      <c r="M66" s="585">
        <f t="shared" ref="M66:M79" si="35">$C$6*C66+$D$6*D66+$E$6*E66+$F$6*F66+$G$6*G66+$H$6*H66+$I$6*I66+$J$6*J66+$K$6*K66+$L$6*L66</f>
        <v>0</v>
      </c>
      <c r="N66" s="110" t="s">
        <v>1524</v>
      </c>
    </row>
    <row r="67" spans="2:14" x14ac:dyDescent="0.2">
      <c r="B67" s="341" t="s">
        <v>908</v>
      </c>
      <c r="C67" s="576"/>
      <c r="D67" s="576"/>
      <c r="E67" s="576"/>
      <c r="F67" s="576"/>
      <c r="G67" s="576"/>
      <c r="H67" s="576"/>
      <c r="I67" s="576"/>
      <c r="J67" s="576"/>
      <c r="K67" s="576"/>
      <c r="L67" s="576"/>
      <c r="M67" s="585"/>
    </row>
    <row r="68" spans="2:14" x14ac:dyDescent="0.2">
      <c r="B68" s="341" t="str">
        <f>IF(topdowntables!$N$4=1, "   fra husdyrgødning, kg NH3-N", "   from manure, kg NH3-N")</f>
        <v xml:space="preserve">   fra husdyrgødning, kg NH3-N</v>
      </c>
      <c r="C68" s="578">
        <f>IFERROR('N-P balance sohold'!C36/C6, 0)</f>
        <v>0</v>
      </c>
      <c r="D68" s="578">
        <f>IFERROR('N-P balance sohold'!C140/D6, 0)</f>
        <v>0</v>
      </c>
      <c r="E68" s="578">
        <f>IFERROR('N-P balance smågrise'!C36/E6, 0)</f>
        <v>0</v>
      </c>
      <c r="F68" s="578">
        <f>IFERROR('N-P balance slagtesvin'!C36/F6, 0)</f>
        <v>0</v>
      </c>
      <c r="G68" s="578">
        <f>G10*G11/100*'Udbringning af gylleApplication'!$C$6+G10*G12/100*'Udbringning af gylleApplication'!$C$7+G10*G13/100*'Udbringning af gylleApplication'!$C$8+G10*G14/100*'Udbringning af gylleApplication'!$C$10+G10*G15/100*'Udbringning af gylleApplication'!$C$9</f>
        <v>0</v>
      </c>
      <c r="H68" s="578">
        <f>H10*H11/100*'Udbringning af gylleApplication'!$C$6+H10*H12/100*'Udbringning af gylleApplication'!$C$7+H10*H13/100*'Udbringning af gylleApplication'!$C$8+H10*H14/100*'Udbringning af gylleApplication'!$C$10+H10*H15/100*'Udbringning af gylleApplication'!$C$9</f>
        <v>0</v>
      </c>
      <c r="I68" s="578">
        <f>I10*I11/100*'Udbringning af gylleApplication'!$C$6+I10*I12/100*'Udbringning af gylleApplication'!$C$7+I10*I13/100*'Udbringning af gylleApplication'!$C$8+I10*I14/100*'Udbringning af gylleApplication'!$C$10+I10*I15/100*'Udbringning af gylleApplication'!$C$9</f>
        <v>0</v>
      </c>
      <c r="J68" s="578">
        <f>J10*J11/100*'Udbringning af gylleApplication'!$C$6+J10*J12/100*'Udbringning af gylleApplication'!$C$7+J10*J13/100*'Udbringning af gylleApplication'!$C$8+J10*J14/100*'Udbringning af gylleApplication'!$C$10+J10*J15/100*'Udbringning af gylleApplication'!$C$9</f>
        <v>0</v>
      </c>
      <c r="K68" s="578">
        <f>K10*K11/100*'Udbringning af gylleApplication'!$C$6+K10*K12/100*'Udbringning af gylleApplication'!$C$7+K10*K13/100*'Udbringning af gylleApplication'!$C$8+K10*K14/100*'Udbringning af gylleApplication'!$C$10+K10*K15/100*'Udbringning af gylleApplication'!$C$9</f>
        <v>0</v>
      </c>
      <c r="L68" s="578">
        <f>L10*L11/100*'Udbringning af gylleApplication'!$C$6+L10*L12/100*'Udbringning af gylleApplication'!$C$7+L10*L13/100*'Udbringning af gylleApplication'!$C$8+L10*L14/100*'Udbringning af gylleApplication'!$C$10+L10*L15/100*'Udbringning af gylleApplication'!$C$9</f>
        <v>0</v>
      </c>
      <c r="M68" s="585">
        <f t="shared" si="35"/>
        <v>0</v>
      </c>
    </row>
    <row r="69" spans="2:14" x14ac:dyDescent="0.2">
      <c r="B69" s="341" t="str">
        <f>IF(topdowntables!$N$4=1, "   fra afgrøder, kg NH3-N", "   from crop, kg NH3-N")</f>
        <v xml:space="preserve">   fra afgrøder, kg NH3-N</v>
      </c>
      <c r="C69" s="578">
        <f>IF(C6&gt;0, 0.5, 0)</f>
        <v>0</v>
      </c>
      <c r="D69" s="578">
        <f t="shared" ref="D69:F69" si="36">IF(D6&gt;0, 0.5, 0)</f>
        <v>0</v>
      </c>
      <c r="E69" s="578">
        <f t="shared" si="36"/>
        <v>0</v>
      </c>
      <c r="F69" s="578">
        <f t="shared" si="36"/>
        <v>0</v>
      </c>
      <c r="G69" s="578">
        <f>IF(G6&gt;0, 2, 0)</f>
        <v>0</v>
      </c>
      <c r="H69" s="578">
        <f t="shared" ref="H69:L69" si="37">IF(H6&gt;0, 2, 0)</f>
        <v>0</v>
      </c>
      <c r="I69" s="578">
        <f t="shared" si="37"/>
        <v>0</v>
      </c>
      <c r="J69" s="578">
        <f t="shared" si="37"/>
        <v>0</v>
      </c>
      <c r="K69" s="578">
        <f t="shared" si="37"/>
        <v>0</v>
      </c>
      <c r="L69" s="578">
        <f t="shared" si="37"/>
        <v>0</v>
      </c>
      <c r="M69" s="585">
        <f t="shared" si="35"/>
        <v>0</v>
      </c>
    </row>
    <row r="70" spans="2:14" x14ac:dyDescent="0.2">
      <c r="B70" s="341" t="s">
        <v>1521</v>
      </c>
      <c r="C70" s="578"/>
      <c r="D70" s="578"/>
      <c r="E70" s="578"/>
      <c r="F70" s="578"/>
      <c r="G70" s="578"/>
      <c r="H70" s="578"/>
      <c r="I70" s="578"/>
      <c r="J70" s="578"/>
      <c r="K70" s="578"/>
      <c r="L70" s="578"/>
      <c r="M70" s="585"/>
    </row>
    <row r="71" spans="2:14" x14ac:dyDescent="0.2">
      <c r="B71" s="341" t="str">
        <f>IF(topdowntables!$N$4=1, "   fra husdyrgødning, kg NOx-N", "   from manure, kg NOx-N")</f>
        <v xml:space="preserve">   fra husdyrgødning, kg NOx-N</v>
      </c>
      <c r="C71" s="578">
        <f>IFERROR('N-P balance sohold'!C39/C6, 0)</f>
        <v>0</v>
      </c>
      <c r="D71" s="578">
        <f>IFERROR('N-P balance sohold'!C143/D6, 0)</f>
        <v>0</v>
      </c>
      <c r="E71" s="578">
        <f>IFERROR('N-P balance smågrise'!C39/E6, 0)</f>
        <v>0</v>
      </c>
      <c r="F71" s="578">
        <f>IFERROR('N-P balance slagtesvin'!C46/F6, 0)</f>
        <v>0</v>
      </c>
      <c r="G71" s="578">
        <f>G10*G11/100*'Udbringning af gylleApplication'!$I$6+G10*G12/100*'Udbringning af gylleApplication'!$I$7+G10*G13/100*'Udbringning af gylleApplication'!$I$8+G10*G14/100*'Udbringning af gylleApplication'!$I$10+G10*G15/100*'Udbringning af gylleApplication'!$I$9</f>
        <v>0</v>
      </c>
      <c r="H71" s="578">
        <f>H10*H11/100*'Udbringning af gylleApplication'!$I$6+H10*H12/100*'Udbringning af gylleApplication'!$I$7+H10*H13/100*'Udbringning af gylleApplication'!$I$8+H10*H14/100*'Udbringning af gylleApplication'!$I$10+H10*H15/100*'Udbringning af gylleApplication'!$I$9</f>
        <v>0</v>
      </c>
      <c r="I71" s="578">
        <f>I10*I11/100*'Udbringning af gylleApplication'!$I$6+I10*I12/100*'Udbringning af gylleApplication'!$I$7+I10*I13/100*'Udbringning af gylleApplication'!$I$8+I10*I14/100*'Udbringning af gylleApplication'!$I$10+I10*I15/100*'Udbringning af gylleApplication'!$I$9</f>
        <v>0</v>
      </c>
      <c r="J71" s="578">
        <f>J10*J11/100*'Udbringning af gylleApplication'!$I$6+J10*J12/100*'Udbringning af gylleApplication'!$I$7+J10*J13/100*'Udbringning af gylleApplication'!$I$8+J10*J14/100*'Udbringning af gylleApplication'!$I$10+J10*J15/100*'Udbringning af gylleApplication'!$I$9</f>
        <v>0</v>
      </c>
      <c r="K71" s="578">
        <f>K10*K11/100*'Udbringning af gylleApplication'!$I$6+K10*K12/100*'Udbringning af gylleApplication'!$I$7+K10*K13/100*'Udbringning af gylleApplication'!$I$8+K10*K14/100*'Udbringning af gylleApplication'!$I$10+K10*K15/100*'Udbringning af gylleApplication'!$I$9</f>
        <v>0</v>
      </c>
      <c r="L71" s="578">
        <f>L10*L11/100*'Udbringning af gylleApplication'!$I$6+L10*L12/100*'Udbringning af gylleApplication'!$I$7+L10*L13/100*'Udbringning af gylleApplication'!$I$8+L10*L14/100*'Udbringning af gylleApplication'!$I$10+L10*L15/100*'Udbringning af gylleApplication'!$I$9</f>
        <v>0</v>
      </c>
      <c r="M71" s="585">
        <f t="shared" si="35"/>
        <v>0</v>
      </c>
    </row>
    <row r="72" spans="2:14" x14ac:dyDescent="0.2">
      <c r="B72" s="341" t="str">
        <f>IF(topdowntables!$N$4=1, "   fra afgrøder rester, kg NOx-N", "   from crop residues, kg NOx-N")</f>
        <v xml:space="preserve">   fra afgrøder rester, kg NOx-N</v>
      </c>
      <c r="C72" s="578">
        <f>(C46*9.2/100/6.25+C47*22/100/6.25)*0.1/100</f>
        <v>0</v>
      </c>
      <c r="D72" s="578">
        <f t="shared" ref="D72:F72" si="38">(D46*9.2/100/6.25+D47*22/100/6.25)*0.1/100</f>
        <v>0</v>
      </c>
      <c r="E72" s="578">
        <f t="shared" si="38"/>
        <v>0</v>
      </c>
      <c r="F72" s="578">
        <f t="shared" si="38"/>
        <v>0</v>
      </c>
      <c r="G72" s="578">
        <f>IFERROR((G47*VLOOKUP(G5, topdowntables!$R$5:$AH$26, 11, FALSE)/100/6.25+G46*VLOOKUP(G5, topdowntables!$R$5:$AH$26, 12, FALSE)/100/6.25), 0)*0.1/100</f>
        <v>0</v>
      </c>
      <c r="H72" s="578">
        <f>IFERROR((H47*VLOOKUP(H5, topdowntables!$R$5:$AH$26, 11, FALSE)/100/6.25+H46*VLOOKUP(H5, topdowntables!$R$5:$AH$26, 12, FALSE)/100/6.25), 0)*0.1/100</f>
        <v>0</v>
      </c>
      <c r="I72" s="578">
        <f>IFERROR((I47*VLOOKUP(I5, topdowntables!$R$5:$AH$26, 11, FALSE)/100/6.25+I46*VLOOKUP(I5, topdowntables!$R$5:$AH$26, 12, FALSE)/100/6.25), 0)*0.1/100</f>
        <v>0</v>
      </c>
      <c r="J72" s="578">
        <f>IFERROR((J47*VLOOKUP(J5, topdowntables!$R$5:$AH$26, 11, FALSE)/100/6.25+J46*VLOOKUP(J5, topdowntables!$R$5:$AH$26, 12, FALSE)/100/6.25), 0)*0.1/100</f>
        <v>0</v>
      </c>
      <c r="K72" s="578">
        <f>IFERROR((K47*VLOOKUP(K5, topdowntables!$R$5:$AH$26, 11, FALSE)/100/6.25+K46*VLOOKUP(K5, topdowntables!$R$5:$AH$26, 12, FALSE)/100/6.25), 0)*0.1/100</f>
        <v>0</v>
      </c>
      <c r="L72" s="578">
        <f>IFERROR((L47*VLOOKUP(L5, topdowntables!$R$5:$AH$26, 11, FALSE)/100/6.25+L46*VLOOKUP(L5, topdowntables!$R$5:$AH$26, 12, FALSE)/100/6.25), 0)*0.1/100</f>
        <v>0</v>
      </c>
      <c r="M72" s="585">
        <f t="shared" si="35"/>
        <v>0</v>
      </c>
      <c r="N72" s="110" t="s">
        <v>1525</v>
      </c>
    </row>
    <row r="73" spans="2:14" x14ac:dyDescent="0.2">
      <c r="B73" s="341" t="s">
        <v>911</v>
      </c>
      <c r="C73" s="578"/>
      <c r="D73" s="578"/>
      <c r="E73" s="578"/>
      <c r="F73" s="578"/>
      <c r="G73" s="578"/>
      <c r="H73" s="578"/>
      <c r="I73" s="578"/>
      <c r="J73" s="578"/>
      <c r="K73" s="578"/>
      <c r="L73" s="578"/>
      <c r="M73" s="585"/>
    </row>
    <row r="74" spans="2:14" x14ac:dyDescent="0.2">
      <c r="B74" s="341" t="str">
        <f>IF(topdowntables!$N$4=1, "   fra husdyrgødning, kg N2-N", "   from manure, kg N2-N")</f>
        <v xml:space="preserve">   fra husdyrgødning, kg N2-N</v>
      </c>
      <c r="C74" s="578">
        <f>IFERROR('N-P balance sohold'!C38/C6, 0)</f>
        <v>0</v>
      </c>
      <c r="D74" s="578">
        <f>IFERROR('N-P balance sohold'!C143/D6, 0)</f>
        <v>0</v>
      </c>
      <c r="E74" s="578">
        <f>IFERROR('N-P balance smågrise'!C38/E6, 0)</f>
        <v>0</v>
      </c>
      <c r="F74" s="578">
        <f>IFERROR('N-P balance slagtesvin'!C38/F6, 0)</f>
        <v>0</v>
      </c>
      <c r="G74" s="578">
        <f>G10*G11/100*'Udbringning af gylleApplication'!$G$6+G10*G12/100*'Udbringning af gylleApplication'!$G$7+G10*G13/100*'Udbringning af gylleApplication'!$G$8+G10*G14/100*'Udbringning af gylleApplication'!$G$10+G10*G15/100*'Udbringning af gylleApplication'!$G$9</f>
        <v>0</v>
      </c>
      <c r="H74" s="578">
        <f>H10*H11/100*'Udbringning af gylleApplication'!$G$6+H10*H12/100*'Udbringning af gylleApplication'!$G$7+H10*H13/100*'Udbringning af gylleApplication'!$G$8+H10*H14/100*'Udbringning af gylleApplication'!$G$10+H10*H15/100*'Udbringning af gylleApplication'!$G$9</f>
        <v>0</v>
      </c>
      <c r="I74" s="578">
        <f>I10*I11/100*'Udbringning af gylleApplication'!$G$6+I10*I12/100*'Udbringning af gylleApplication'!$G$7+I10*I13/100*'Udbringning af gylleApplication'!$G$8+I10*I14/100*'Udbringning af gylleApplication'!$G$10+I10*I15/100*'Udbringning af gylleApplication'!$G$9</f>
        <v>0</v>
      </c>
      <c r="J74" s="578">
        <f>J10*J11/100*'Udbringning af gylleApplication'!$G$6+J10*J12/100*'Udbringning af gylleApplication'!$G$7+J10*J13/100*'Udbringning af gylleApplication'!$G$8+J10*J14/100*'Udbringning af gylleApplication'!$G$10+J10*J15/100*'Udbringning af gylleApplication'!$G$9</f>
        <v>0</v>
      </c>
      <c r="K74" s="578">
        <f>K10*K11/100*'Udbringning af gylleApplication'!$G$6+K10*K12/100*'Udbringning af gylleApplication'!$G$7+K10*K13/100*'Udbringning af gylleApplication'!$G$8+K10*K14/100*'Udbringning af gylleApplication'!$G$10+K10*K15/100*'Udbringning af gylleApplication'!$G$9</f>
        <v>0</v>
      </c>
      <c r="L74" s="578">
        <f>L10*L11/100*'Udbringning af gylleApplication'!$G$6+L10*L12/100*'Udbringning af gylleApplication'!$G$7+L10*L13/100*'Udbringning af gylleApplication'!$G$8+L10*L14/100*'Udbringning af gylleApplication'!$G$10+L10*L15/100*'Udbringning af gylleApplication'!$G$9</f>
        <v>0</v>
      </c>
      <c r="M74" s="585">
        <f t="shared" si="35"/>
        <v>0</v>
      </c>
    </row>
    <row r="75" spans="2:14" x14ac:dyDescent="0.2">
      <c r="B75" s="341" t="str">
        <f>IF(topdowntables!$N$4=1, "   fra afgrøder rester, kg N2-N", "   from crop residues, kg N2-N")</f>
        <v xml:space="preserve">   fra afgrøder rester, kg N2-N</v>
      </c>
      <c r="C75" s="578">
        <f>(C46*9.2/100/6.25+C47*22/100/6.25)*3/100</f>
        <v>0</v>
      </c>
      <c r="D75" s="578">
        <f t="shared" ref="D75:F75" si="39">(D46*9.2/100/6.25+D47*22/100/6.25)*3/100</f>
        <v>0</v>
      </c>
      <c r="E75" s="578">
        <f t="shared" si="39"/>
        <v>0</v>
      </c>
      <c r="F75" s="578">
        <f t="shared" si="39"/>
        <v>0</v>
      </c>
      <c r="G75" s="578">
        <f>IFERROR((G47*VLOOKUP(G5, topdowntables!$R$5:$AH$26, 11, FALSE)/100/6.25+G46*VLOOKUP(G5, topdowntables!$R$5:$AH$26, 12, FALSE)/100/6.25), 0)*3/100</f>
        <v>0</v>
      </c>
      <c r="H75" s="578">
        <f>IFERROR((H47*VLOOKUP(H5, topdowntables!$R$5:$AH$26, 11, FALSE)/100/6.25+H46*VLOOKUP(H5, topdowntables!$R$5:$AH$26, 12, FALSE)/100/6.25), 0)*3/100</f>
        <v>0</v>
      </c>
      <c r="I75" s="578">
        <f>IFERROR((I47*VLOOKUP(I5, topdowntables!$R$5:$AH$26, 11, FALSE)/100/6.25+I46*VLOOKUP(I5, topdowntables!$R$5:$AH$26, 12, FALSE)/100/6.25), 0)*3/100</f>
        <v>0</v>
      </c>
      <c r="J75" s="578">
        <f>IFERROR((J47*VLOOKUP(J5, topdowntables!$R$5:$AH$26, 11, FALSE)/100/6.25+J46*VLOOKUP(J5, topdowntables!$R$5:$AH$26, 12, FALSE)/100/6.25), 0)*3/100</f>
        <v>0</v>
      </c>
      <c r="K75" s="578">
        <f>IFERROR((K47*VLOOKUP(K5, topdowntables!$R$5:$AH$26, 11, FALSE)/100/6.25+K46*VLOOKUP(K5, topdowntables!$R$5:$AH$26, 12, FALSE)/100/6.25), 0)*3/100</f>
        <v>0</v>
      </c>
      <c r="L75" s="578">
        <f>IFERROR((L47*VLOOKUP(L5, topdowntables!$R$5:$AH$26, 11, FALSE)/100/6.25+L46*VLOOKUP(L5, topdowntables!$R$5:$AH$26, 12, FALSE)/100/6.25), 0)*3/100</f>
        <v>0</v>
      </c>
      <c r="M75" s="585">
        <f t="shared" si="35"/>
        <v>0</v>
      </c>
      <c r="N75" s="110" t="s">
        <v>1526</v>
      </c>
    </row>
    <row r="76" spans="2:14" x14ac:dyDescent="0.2">
      <c r="B76" s="341" t="str">
        <f>IF(topdowntables!$N$4=1, "indirekt N2O", "indirect N2O")</f>
        <v>indirekt N2O</v>
      </c>
      <c r="C76" s="576"/>
      <c r="D76" s="576"/>
      <c r="E76" s="576"/>
      <c r="F76" s="576"/>
      <c r="G76" s="576"/>
      <c r="H76" s="576"/>
      <c r="I76" s="576"/>
      <c r="J76" s="576"/>
      <c r="K76" s="576"/>
      <c r="L76" s="576"/>
      <c r="M76" s="585"/>
    </row>
    <row r="77" spans="2:14" x14ac:dyDescent="0.2">
      <c r="B77" s="341" t="str">
        <f>IF(topdowntables!$N$4=1, "   fra NH3, kg N2O-N", "   from NH3, kg N2O-N")</f>
        <v xml:space="preserve">   fra NH3, kg N2O-N</v>
      </c>
      <c r="C77" s="578">
        <f>(C68+C69)*1/100</f>
        <v>0</v>
      </c>
      <c r="D77" s="578">
        <f t="shared" ref="D77:L77" si="40">(D68+D69)*1/100</f>
        <v>0</v>
      </c>
      <c r="E77" s="578">
        <f t="shared" si="40"/>
        <v>0</v>
      </c>
      <c r="F77" s="578">
        <f t="shared" si="40"/>
        <v>0</v>
      </c>
      <c r="G77" s="578">
        <f t="shared" si="40"/>
        <v>0</v>
      </c>
      <c r="H77" s="578">
        <f t="shared" si="40"/>
        <v>0</v>
      </c>
      <c r="I77" s="578">
        <f t="shared" si="40"/>
        <v>0</v>
      </c>
      <c r="J77" s="578">
        <f t="shared" si="40"/>
        <v>0</v>
      </c>
      <c r="K77" s="578">
        <f t="shared" si="40"/>
        <v>0</v>
      </c>
      <c r="L77" s="578">
        <f t="shared" si="40"/>
        <v>0</v>
      </c>
      <c r="M77" s="585">
        <f t="shared" si="35"/>
        <v>0</v>
      </c>
      <c r="N77" s="110" t="s">
        <v>1524</v>
      </c>
    </row>
    <row r="78" spans="2:14" x14ac:dyDescent="0.2">
      <c r="B78" s="343" t="str">
        <f>IF(topdowntables!$N$4=1, " Estimation af  CO2 emissioner", "Estimation of CO2 emission")</f>
        <v xml:space="preserve"> Estimation af  CO2 emissioner</v>
      </c>
      <c r="C78" s="348"/>
      <c r="D78" s="348"/>
      <c r="E78" s="348"/>
      <c r="F78" s="348"/>
      <c r="G78" s="348"/>
      <c r="H78" s="348"/>
      <c r="I78" s="348"/>
      <c r="J78" s="348"/>
      <c r="K78" s="348"/>
      <c r="L78" s="348"/>
      <c r="M78" s="585"/>
    </row>
    <row r="79" spans="2:14" ht="15" thickBot="1" x14ac:dyDescent="0.25">
      <c r="B79" s="342" t="str">
        <f>IF(topdowntables!$N$4=1, "   fra kalkning, kg CO2", "   from liming, kg CO2")</f>
        <v xml:space="preserve">   fra kalkning, kg CO2</v>
      </c>
      <c r="C79" s="581">
        <f t="shared" ref="C79:L79" si="41">C21*0.12*(44/12)</f>
        <v>0</v>
      </c>
      <c r="D79" s="581">
        <f t="shared" si="41"/>
        <v>0</v>
      </c>
      <c r="E79" s="581">
        <f t="shared" si="41"/>
        <v>0</v>
      </c>
      <c r="F79" s="581">
        <f t="shared" si="41"/>
        <v>0</v>
      </c>
      <c r="G79" s="581">
        <f t="shared" si="41"/>
        <v>0</v>
      </c>
      <c r="H79" s="581">
        <f t="shared" si="41"/>
        <v>0</v>
      </c>
      <c r="I79" s="581">
        <f t="shared" si="41"/>
        <v>0</v>
      </c>
      <c r="J79" s="581">
        <f t="shared" si="41"/>
        <v>0</v>
      </c>
      <c r="K79" s="581">
        <f t="shared" si="41"/>
        <v>0</v>
      </c>
      <c r="L79" s="581">
        <f t="shared" si="41"/>
        <v>0</v>
      </c>
      <c r="M79" s="586">
        <f t="shared" si="35"/>
        <v>0</v>
      </c>
      <c r="N79" s="110" t="s">
        <v>1528</v>
      </c>
    </row>
    <row r="80" spans="2:14" ht="15" thickBot="1" x14ac:dyDescent="0.25"/>
    <row r="81" spans="2:14" x14ac:dyDescent="0.2">
      <c r="B81" s="334" t="str">
        <f>IF(topdowntables!$N$4=1, " N balance", "N balance")</f>
        <v xml:space="preserve"> N balance</v>
      </c>
      <c r="C81" s="332" t="str">
        <f>C5</f>
        <v/>
      </c>
      <c r="D81" s="332" t="str">
        <f t="shared" ref="D81:L81" si="42">D5</f>
        <v/>
      </c>
      <c r="E81" s="332" t="str">
        <f t="shared" si="42"/>
        <v/>
      </c>
      <c r="F81" s="332" t="str">
        <f t="shared" si="42"/>
        <v/>
      </c>
      <c r="G81" s="332" t="str">
        <f t="shared" si="42"/>
        <v/>
      </c>
      <c r="H81" s="332" t="str">
        <f t="shared" si="42"/>
        <v/>
      </c>
      <c r="I81" s="332" t="str">
        <f t="shared" si="42"/>
        <v/>
      </c>
      <c r="J81" s="332" t="str">
        <f t="shared" si="42"/>
        <v/>
      </c>
      <c r="K81" s="332" t="str">
        <f t="shared" si="42"/>
        <v/>
      </c>
      <c r="L81" s="332" t="str">
        <f t="shared" si="42"/>
        <v/>
      </c>
      <c r="M81" s="333"/>
    </row>
    <row r="82" spans="2:14" x14ac:dyDescent="0.2">
      <c r="B82" s="277" t="s">
        <v>1522</v>
      </c>
      <c r="C82" s="575"/>
      <c r="D82" s="575"/>
      <c r="E82" s="575"/>
      <c r="F82" s="575"/>
      <c r="G82" s="575"/>
      <c r="H82" s="575"/>
      <c r="I82" s="575"/>
      <c r="J82" s="575"/>
      <c r="K82" s="575"/>
      <c r="L82" s="575"/>
      <c r="M82" s="587"/>
    </row>
    <row r="83" spans="2:14" x14ac:dyDescent="0.2">
      <c r="B83" s="239" t="str">
        <f>IF(topdowntables!$N$4=1, "   husdyrgødning", "   manure")</f>
        <v xml:space="preserve">   husdyrgødning</v>
      </c>
      <c r="C83" s="579">
        <f t="shared" ref="C83:L83" si="43">C17/0.75</f>
        <v>0</v>
      </c>
      <c r="D83" s="579">
        <f t="shared" si="43"/>
        <v>0</v>
      </c>
      <c r="E83" s="579">
        <f t="shared" si="43"/>
        <v>0</v>
      </c>
      <c r="F83" s="579">
        <f t="shared" si="43"/>
        <v>0</v>
      </c>
      <c r="G83" s="579">
        <f t="shared" si="43"/>
        <v>0</v>
      </c>
      <c r="H83" s="579">
        <f t="shared" si="43"/>
        <v>0</v>
      </c>
      <c r="I83" s="579">
        <f t="shared" si="43"/>
        <v>0</v>
      </c>
      <c r="J83" s="579">
        <f t="shared" si="43"/>
        <v>0</v>
      </c>
      <c r="K83" s="579">
        <f t="shared" si="43"/>
        <v>0</v>
      </c>
      <c r="L83" s="579">
        <f t="shared" si="43"/>
        <v>0</v>
      </c>
      <c r="M83" s="371">
        <f t="shared" ref="M83:M102" si="44">$C$6*C83+$D$6*D83+$E$6*E83+$F$6*F83+$G$6*G83+$H$6*H83+$I$6*I83+$J$6*J83+$K$6*K83+$L$6*L83</f>
        <v>0</v>
      </c>
    </row>
    <row r="84" spans="2:14" x14ac:dyDescent="0.2">
      <c r="B84" s="239" t="str">
        <f>IF(topdowntables!$N$4=1, "   udsæd", "   seed")</f>
        <v xml:space="preserve">   udsæd</v>
      </c>
      <c r="C84" s="579">
        <f>IFERROR(C20*C31/C30*22/100/6.25, 0)</f>
        <v>0</v>
      </c>
      <c r="D84" s="579">
        <f>IFERROR(D20*D31/D30*22/100/6.25, 0)</f>
        <v>0</v>
      </c>
      <c r="E84" s="579">
        <f>IFERROR(E20*E31/E30*22/100/6.25, 0)</f>
        <v>0</v>
      </c>
      <c r="F84" s="579">
        <f>IFERROR(F20*F31/F30*22/100/6.25, 0)</f>
        <v>0</v>
      </c>
      <c r="G84" s="579">
        <f>IFERROR(G20*VLOOKUP(G5, topdowntables!$R$5:$AH$26, 5, FALSE)*VLOOKUP(G5, topdowntables!$R$5:$AH$26, 13, FALSE)/100/6.25, 0)</f>
        <v>0</v>
      </c>
      <c r="H84" s="579">
        <f>IFERROR(H20*VLOOKUP(H5, topdowntables!$R$5:$AH$26, 5, FALSE)*VLOOKUP(H5, topdowntables!$R$5:$AH$26, 13, FALSE)/100/6.25, 0)</f>
        <v>0</v>
      </c>
      <c r="I84" s="579">
        <f>IFERROR(I20*VLOOKUP(I5, topdowntables!$R$5:$AH$26, 5, FALSE)*VLOOKUP(I5, topdowntables!$R$5:$AH$26, 13, FALSE)/100/6.25, 0)</f>
        <v>0</v>
      </c>
      <c r="J84" s="579">
        <f>IFERROR(J20*VLOOKUP(J5, topdowntables!$R$5:$AH$26, 5, FALSE)*VLOOKUP(J5, topdowntables!$R$5:$AH$26, 13, FALSE)/100/6.25, 0)</f>
        <v>0</v>
      </c>
      <c r="K84" s="579">
        <f>IFERROR(K20*VLOOKUP(K5, topdowntables!$R$5:$AH$26, 5, FALSE)*VLOOKUP(K5, topdowntables!$R$5:$AH$26, 13, FALSE)/100/6.25, 0)</f>
        <v>0</v>
      </c>
      <c r="L84" s="579">
        <f>IFERROR(L20*VLOOKUP(L5, topdowntables!$R$5:$AH$26, 5, FALSE)*VLOOKUP(L5, topdowntables!$R$5:$AH$26, 13, FALSE)/100/6.25, 0)</f>
        <v>0</v>
      </c>
      <c r="M84" s="371">
        <f t="shared" si="44"/>
        <v>0</v>
      </c>
    </row>
    <row r="85" spans="2:14" x14ac:dyDescent="0.2">
      <c r="B85" s="239" t="str">
        <f>IF(topdowntables!$N$4=1, "   fixering", "   fixation")</f>
        <v xml:space="preserve">   fixering</v>
      </c>
      <c r="C85" s="616">
        <f>2.829*C32/100-0.0101*C32/100*C17*0.3+0.00001109*(C32/100)*(C17*0.3)*(C17*0.3)</f>
        <v>0</v>
      </c>
      <c r="D85" s="616">
        <f>2.829*D32/100-0.0101*D32/100*D17*0.3+0.00001109*(D32/100)*(D17*0.3)*(D17*0.3)</f>
        <v>0</v>
      </c>
      <c r="E85" s="616">
        <f>2.829*E32/100-0.0101*E32/100*E17*0.3+0.00001109*(E32/100)*(E17*0.3)*(E17*0.3)</f>
        <v>0</v>
      </c>
      <c r="F85" s="616">
        <f>2.829*F32/100-0.0101*F32/100*F17*0.3+0.00001109*(F32/100)*(F17*0.3)*(F17*0.3)</f>
        <v>0</v>
      </c>
      <c r="G85" s="616">
        <f>IF(OR(G5=topdowntables!$R$10, G5=topdowntables!$R$22, G5=topdowntables!$R$11, G5=topdowntables!$R$12, G5=topdowntables!$R$23, G5=topdowntables!$R$24), 2.829*G32/100-0.0101*G32/100*G17*0.3+0.00001109*(G32/100)*(G17*0.3)*(G17*0.3), 0)</f>
        <v>0</v>
      </c>
      <c r="H85" s="616">
        <f>IF(OR(H5=topdowntables!$R$10, H5=topdowntables!$R$22, H5=topdowntables!$R$11, H5=topdowntables!$R$12, H5=topdowntables!$R$23, H5=topdowntables!$R$24), 2.829*H32/100-0.0101*H32/100*H17*0.3+0.00001109*(H32/100)*(H17*0.3)*(H17*0.3), 0)</f>
        <v>0</v>
      </c>
      <c r="I85" s="616">
        <f>IF(OR(I5=topdowntables!$R$10, I5=topdowntables!$R$22, I5=topdowntables!$R$11, I5=topdowntables!$R$12, I5=topdowntables!$R$23, I5=topdowntables!$R$24), 2.829*I32/100-0.0101*I32/100*I17*0.3+0.00001109*(I32/100)*(I17*0.3)*(I17*0.3), 0)</f>
        <v>0</v>
      </c>
      <c r="J85" s="616">
        <f>IF(OR(J5=topdowntables!$R$10, J5=topdowntables!$R$22, J5=topdowntables!$R$11, J5=topdowntables!$R$12, J5=topdowntables!$R$23, J5=topdowntables!$R$24), 2.829*J32/100-0.0101*J32/100*J17*0.3+0.00001109*(J32/100)*(J17*0.3)*(J17*0.3), 0)</f>
        <v>0</v>
      </c>
      <c r="K85" s="616">
        <f>IF(OR(K5=topdowntables!$R$10, K5=topdowntables!$R$22, K5=topdowntables!$R$11, K5=topdowntables!$R$12, K5=topdowntables!$R$23, K5=topdowntables!$R$24), 2.829*K32/100-0.0101*K32/100*K17*0.3+0.00001109*(K32/100)*(K17*0.3)*(K17*0.3), 0)</f>
        <v>0</v>
      </c>
      <c r="L85" s="616">
        <f>IF(OR(L5=topdowntables!$R$10, L5=topdowntables!$R$22, L5=topdowntables!$R$11, L5=topdowntables!$R$12, L5=topdowntables!$R$23, L5=topdowntables!$R$24), 2.829*L32/100-0.0101*L32/100*L17*0.3+0.00001109*(L32/100)*(L17*0.3)*(L17*0.3), 0)</f>
        <v>0</v>
      </c>
      <c r="M85" s="371">
        <f t="shared" si="44"/>
        <v>0</v>
      </c>
      <c r="N85" s="110" t="s">
        <v>1531</v>
      </c>
    </row>
    <row r="86" spans="2:14" x14ac:dyDescent="0.2">
      <c r="B86" s="239" t="str">
        <f>IF(topdowntables!$N$4=1, "   atmosfærisk deposition", "   atmosferic deposition")</f>
        <v xml:space="preserve">   atmosfærisk deposition</v>
      </c>
      <c r="C86" s="576">
        <f t="shared" ref="C86:L86" si="45">IF(C6&gt;0, 14, 0)</f>
        <v>0</v>
      </c>
      <c r="D86" s="576">
        <f t="shared" si="45"/>
        <v>0</v>
      </c>
      <c r="E86" s="576">
        <f t="shared" si="45"/>
        <v>0</v>
      </c>
      <c r="F86" s="576">
        <f t="shared" si="45"/>
        <v>0</v>
      </c>
      <c r="G86" s="576">
        <f t="shared" si="45"/>
        <v>0</v>
      </c>
      <c r="H86" s="576">
        <f t="shared" si="45"/>
        <v>0</v>
      </c>
      <c r="I86" s="576">
        <f t="shared" si="45"/>
        <v>0</v>
      </c>
      <c r="J86" s="576">
        <f t="shared" si="45"/>
        <v>0</v>
      </c>
      <c r="K86" s="576">
        <f t="shared" si="45"/>
        <v>0</v>
      </c>
      <c r="L86" s="576">
        <f t="shared" si="45"/>
        <v>0</v>
      </c>
      <c r="M86" s="371">
        <f t="shared" si="44"/>
        <v>0</v>
      </c>
    </row>
    <row r="87" spans="2:14" x14ac:dyDescent="0.2">
      <c r="B87" s="277" t="str">
        <f>IF(topdowntables!$N$4=1,"N input, kg N i alt per ha","Total N input, kg N per ha")</f>
        <v>N input, kg N i alt per ha</v>
      </c>
      <c r="C87" s="574">
        <f t="shared" ref="C87:L87" si="46">SUM(C83:C86)</f>
        <v>0</v>
      </c>
      <c r="D87" s="574">
        <f t="shared" si="46"/>
        <v>0</v>
      </c>
      <c r="E87" s="574">
        <f t="shared" si="46"/>
        <v>0</v>
      </c>
      <c r="F87" s="574">
        <f t="shared" si="46"/>
        <v>0</v>
      </c>
      <c r="G87" s="574">
        <f t="shared" si="46"/>
        <v>0</v>
      </c>
      <c r="H87" s="574">
        <f t="shared" si="46"/>
        <v>0</v>
      </c>
      <c r="I87" s="574">
        <f t="shared" si="46"/>
        <v>0</v>
      </c>
      <c r="J87" s="574">
        <f t="shared" si="46"/>
        <v>0</v>
      </c>
      <c r="K87" s="574">
        <f t="shared" si="46"/>
        <v>0</v>
      </c>
      <c r="L87" s="574">
        <f t="shared" si="46"/>
        <v>0</v>
      </c>
      <c r="M87" s="371">
        <f t="shared" si="44"/>
        <v>0</v>
      </c>
    </row>
    <row r="88" spans="2:14" x14ac:dyDescent="0.2">
      <c r="B88" s="277" t="str">
        <f>IF(topdowntables!$N$4=1,"N output, kg N per ha","N output, kg N per ha")</f>
        <v>N output, kg N per ha</v>
      </c>
      <c r="C88" s="575"/>
      <c r="D88" s="575"/>
      <c r="E88" s="575"/>
      <c r="F88" s="575"/>
      <c r="G88" s="575"/>
      <c r="H88" s="575"/>
      <c r="I88" s="575"/>
      <c r="J88" s="575"/>
      <c r="K88" s="575"/>
      <c r="L88" s="575"/>
      <c r="M88" s="371"/>
    </row>
    <row r="89" spans="2:14" x14ac:dyDescent="0.2">
      <c r="B89" s="239" t="str">
        <f>IF(topdowntables!$N$4=1, "   udbytte", "   crop yield")</f>
        <v xml:space="preserve">   udbytte</v>
      </c>
      <c r="C89" s="616">
        <f>C31*20/100/6.25</f>
        <v>0</v>
      </c>
      <c r="D89" s="616">
        <f>D31*20/100/6.25</f>
        <v>0</v>
      </c>
      <c r="E89" s="616">
        <f>E31*20/100/6.25</f>
        <v>0</v>
      </c>
      <c r="F89" s="616">
        <f>F31*20/100/6.25</f>
        <v>0</v>
      </c>
      <c r="G89" s="562">
        <f>IFERROR(G31*VLOOKUP(G5, topdowntables!$R$5:$AH$26, 13, FALSE)/100/6.25, 0)</f>
        <v>0</v>
      </c>
      <c r="H89" s="562">
        <f>IFERROR(H31*VLOOKUP(H5, topdowntables!$R$5:$AH$26, 13, FALSE)/100/6.25, 0)</f>
        <v>0</v>
      </c>
      <c r="I89" s="562">
        <f>IFERROR(I31*VLOOKUP(I5, topdowntables!$R$5:$AH$26, 13, FALSE)/100/6.25, 0)</f>
        <v>0</v>
      </c>
      <c r="J89" s="562">
        <f>IFERROR(J31*VLOOKUP(J5, topdowntables!$R$5:$AH$26, 13, FALSE)/100/6.25, 0)</f>
        <v>0</v>
      </c>
      <c r="K89" s="562">
        <f>IFERROR(K31*VLOOKUP(K5, topdowntables!$R$5:$AH$26, 13, FALSE)/100/6.25, 0)</f>
        <v>0</v>
      </c>
      <c r="L89" s="562">
        <f>IFERROR(L31*VLOOKUP(L5, topdowntables!$R$5:$AH$26, 13, FALSE)/100/6.25, 0)</f>
        <v>0</v>
      </c>
      <c r="M89" s="371">
        <f t="shared" si="44"/>
        <v>0</v>
      </c>
    </row>
    <row r="90" spans="2:14" x14ac:dyDescent="0.2">
      <c r="B90" s="239" t="str">
        <f>IF(topdowntables!$N$4=1, "   halmudbytte", "   straw yield")</f>
        <v xml:space="preserve">   halmudbytte</v>
      </c>
      <c r="C90" s="575"/>
      <c r="D90" s="575"/>
      <c r="E90" s="575"/>
      <c r="F90" s="575"/>
      <c r="G90" s="562">
        <f>IFERROR(G35*G36/100*VLOOKUP(G5, topdowntables!$R$5:$AH$26, 14, FALSE)/100/6.25, 0)</f>
        <v>0</v>
      </c>
      <c r="H90" s="562">
        <f>IFERROR(H35*H36/100*VLOOKUP(H5, topdowntables!$R$5:$AH$26, 14, FALSE)/100/6.25, 0)</f>
        <v>0</v>
      </c>
      <c r="I90" s="562">
        <f>IFERROR(I35*I36/100*VLOOKUP(I5, topdowntables!$R$5:$AH$26, 14, FALSE)/100/6.25, 0)</f>
        <v>0</v>
      </c>
      <c r="J90" s="562">
        <f>IFERROR(J35*J36/100*VLOOKUP(J5, topdowntables!$R$5:$AH$26, 14, FALSE)/100/6.25, 0)</f>
        <v>0</v>
      </c>
      <c r="K90" s="562">
        <f>IFERROR(K35*K36/100*VLOOKUP(K5, topdowntables!$R$5:$AH$26, 14, FALSE)/100/6.25, 0)</f>
        <v>0</v>
      </c>
      <c r="L90" s="562">
        <f>IFERROR(L35*L36/100*VLOOKUP(L5, topdowntables!$R$5:$AH$26, 14, FALSE)/100/6.25, 0)</f>
        <v>0</v>
      </c>
      <c r="M90" s="371">
        <f t="shared" si="44"/>
        <v>0</v>
      </c>
    </row>
    <row r="91" spans="2:14" x14ac:dyDescent="0.2">
      <c r="B91" s="277" t="str">
        <f>IF(topdowntables!$N$4=1,"N output, kg N i alt per ha","Total N output, kg N per ha")</f>
        <v>N output, kg N i alt per ha</v>
      </c>
      <c r="C91" s="574">
        <f>SUM(C89:C90)</f>
        <v>0</v>
      </c>
      <c r="D91" s="574">
        <f t="shared" ref="D91:L91" si="47">SUM(D89:D90)</f>
        <v>0</v>
      </c>
      <c r="E91" s="574">
        <f t="shared" si="47"/>
        <v>0</v>
      </c>
      <c r="F91" s="574">
        <f t="shared" si="47"/>
        <v>0</v>
      </c>
      <c r="G91" s="574">
        <f t="shared" si="47"/>
        <v>0</v>
      </c>
      <c r="H91" s="574">
        <f t="shared" si="47"/>
        <v>0</v>
      </c>
      <c r="I91" s="574">
        <f t="shared" si="47"/>
        <v>0</v>
      </c>
      <c r="J91" s="574">
        <f t="shared" si="47"/>
        <v>0</v>
      </c>
      <c r="K91" s="574">
        <f t="shared" si="47"/>
        <v>0</v>
      </c>
      <c r="L91" s="574">
        <f t="shared" si="47"/>
        <v>0</v>
      </c>
      <c r="M91" s="371">
        <f t="shared" si="44"/>
        <v>0</v>
      </c>
    </row>
    <row r="92" spans="2:14" x14ac:dyDescent="0.2">
      <c r="B92" s="277" t="str">
        <f>IF(topdowntables!$N$4=1,"N overskud, kg N per ha","N surplus, kg N per ha")</f>
        <v>N overskud, kg N per ha</v>
      </c>
      <c r="C92" s="574">
        <f>C87-C91</f>
        <v>0</v>
      </c>
      <c r="D92" s="574">
        <f t="shared" ref="D92:L92" si="48">D87-D91</f>
        <v>0</v>
      </c>
      <c r="E92" s="574">
        <f t="shared" si="48"/>
        <v>0</v>
      </c>
      <c r="F92" s="574">
        <f t="shared" si="48"/>
        <v>0</v>
      </c>
      <c r="G92" s="574">
        <f t="shared" si="48"/>
        <v>0</v>
      </c>
      <c r="H92" s="574">
        <f t="shared" si="48"/>
        <v>0</v>
      </c>
      <c r="I92" s="574">
        <f t="shared" si="48"/>
        <v>0</v>
      </c>
      <c r="J92" s="574">
        <f t="shared" si="48"/>
        <v>0</v>
      </c>
      <c r="K92" s="574">
        <f t="shared" si="48"/>
        <v>0</v>
      </c>
      <c r="L92" s="574">
        <f t="shared" si="48"/>
        <v>0</v>
      </c>
      <c r="M92" s="371">
        <f t="shared" si="44"/>
        <v>0</v>
      </c>
    </row>
    <row r="93" spans="2:14" x14ac:dyDescent="0.2">
      <c r="B93" s="277" t="str">
        <f>IF(topdowntables!$N$4=1,"Tabposter N, kg N per ha","N emissions, kg N per ha")</f>
        <v>Tabposter N, kg N per ha</v>
      </c>
      <c r="C93" s="575"/>
      <c r="D93" s="575"/>
      <c r="E93" s="575"/>
      <c r="F93" s="575"/>
      <c r="G93" s="575"/>
      <c r="H93" s="575"/>
      <c r="I93" s="575"/>
      <c r="J93" s="575"/>
      <c r="K93" s="575"/>
      <c r="L93" s="575"/>
      <c r="M93" s="371"/>
    </row>
    <row r="94" spans="2:14" x14ac:dyDescent="0.2">
      <c r="B94" s="341" t="str">
        <f>IF(topdowntables!$N$4=1, "   direkt N2O, kg N2O-N", "direct N2O, kg N2O-N")</f>
        <v xml:space="preserve">   direkt N2O, kg N2O-N</v>
      </c>
      <c r="C94" s="579">
        <f t="shared" ref="C94:L94" si="49">C65+C66</f>
        <v>0</v>
      </c>
      <c r="D94" s="579">
        <f t="shared" si="49"/>
        <v>0</v>
      </c>
      <c r="E94" s="579">
        <f t="shared" si="49"/>
        <v>0</v>
      </c>
      <c r="F94" s="579">
        <f t="shared" si="49"/>
        <v>0</v>
      </c>
      <c r="G94" s="579">
        <f t="shared" si="49"/>
        <v>0</v>
      </c>
      <c r="H94" s="579">
        <f t="shared" si="49"/>
        <v>0</v>
      </c>
      <c r="I94" s="579">
        <f t="shared" si="49"/>
        <v>0</v>
      </c>
      <c r="J94" s="579">
        <f t="shared" si="49"/>
        <v>0</v>
      </c>
      <c r="K94" s="579">
        <f t="shared" si="49"/>
        <v>0</v>
      </c>
      <c r="L94" s="579">
        <f t="shared" si="49"/>
        <v>0</v>
      </c>
      <c r="M94" s="371">
        <f t="shared" si="44"/>
        <v>0</v>
      </c>
    </row>
    <row r="95" spans="2:14" x14ac:dyDescent="0.2">
      <c r="B95" s="341" t="str">
        <f>IF(topdowntables!$N$4=1, "   indirekt N2O, kg N2O-N", "indirect N2O, kg N2O-N")</f>
        <v xml:space="preserve">   indirekt N2O, kg N2O-N</v>
      </c>
      <c r="C95" s="579">
        <f t="shared" ref="C95:L95" si="50">C77</f>
        <v>0</v>
      </c>
      <c r="D95" s="579">
        <f t="shared" si="50"/>
        <v>0</v>
      </c>
      <c r="E95" s="579">
        <f t="shared" si="50"/>
        <v>0</v>
      </c>
      <c r="F95" s="579">
        <f t="shared" si="50"/>
        <v>0</v>
      </c>
      <c r="G95" s="579">
        <f t="shared" si="50"/>
        <v>0</v>
      </c>
      <c r="H95" s="579">
        <f t="shared" si="50"/>
        <v>0</v>
      </c>
      <c r="I95" s="579">
        <f t="shared" si="50"/>
        <v>0</v>
      </c>
      <c r="J95" s="579">
        <f t="shared" si="50"/>
        <v>0</v>
      </c>
      <c r="K95" s="579">
        <f t="shared" si="50"/>
        <v>0</v>
      </c>
      <c r="L95" s="579">
        <f t="shared" si="50"/>
        <v>0</v>
      </c>
      <c r="M95" s="371">
        <f t="shared" si="44"/>
        <v>0</v>
      </c>
    </row>
    <row r="96" spans="2:14" x14ac:dyDescent="0.2">
      <c r="B96" s="341" t="str">
        <f>IF(topdowntables!$N$4=1, "   NH3, kg NH3-N", "   NH3, kg NH3-N")</f>
        <v xml:space="preserve">   NH3, kg NH3-N</v>
      </c>
      <c r="C96" s="579">
        <f t="shared" ref="C96:L96" si="51">C68+C69</f>
        <v>0</v>
      </c>
      <c r="D96" s="579">
        <f t="shared" si="51"/>
        <v>0</v>
      </c>
      <c r="E96" s="579">
        <f t="shared" si="51"/>
        <v>0</v>
      </c>
      <c r="F96" s="579">
        <f t="shared" si="51"/>
        <v>0</v>
      </c>
      <c r="G96" s="579">
        <f t="shared" si="51"/>
        <v>0</v>
      </c>
      <c r="H96" s="579">
        <f t="shared" si="51"/>
        <v>0</v>
      </c>
      <c r="I96" s="579">
        <f t="shared" si="51"/>
        <v>0</v>
      </c>
      <c r="J96" s="579">
        <f t="shared" si="51"/>
        <v>0</v>
      </c>
      <c r="K96" s="579">
        <f t="shared" si="51"/>
        <v>0</v>
      </c>
      <c r="L96" s="579">
        <f t="shared" si="51"/>
        <v>0</v>
      </c>
      <c r="M96" s="371">
        <f t="shared" si="44"/>
        <v>0</v>
      </c>
    </row>
    <row r="97" spans="2:14" x14ac:dyDescent="0.2">
      <c r="B97" s="341" t="str">
        <f>IF(topdowntables!$N$4=1, "   NOx, kg NOx-N", "   NOx, kg NOx-N")</f>
        <v xml:space="preserve">   NOx, kg NOx-N</v>
      </c>
      <c r="C97" s="578">
        <f t="shared" ref="C97:L97" si="52">C71+C72</f>
        <v>0</v>
      </c>
      <c r="D97" s="578">
        <f t="shared" si="52"/>
        <v>0</v>
      </c>
      <c r="E97" s="578">
        <f t="shared" si="52"/>
        <v>0</v>
      </c>
      <c r="F97" s="578">
        <f t="shared" si="52"/>
        <v>0</v>
      </c>
      <c r="G97" s="580">
        <f t="shared" si="52"/>
        <v>0</v>
      </c>
      <c r="H97" s="580">
        <f t="shared" si="52"/>
        <v>0</v>
      </c>
      <c r="I97" s="580">
        <f t="shared" si="52"/>
        <v>0</v>
      </c>
      <c r="J97" s="580">
        <f t="shared" si="52"/>
        <v>0</v>
      </c>
      <c r="K97" s="580">
        <f t="shared" si="52"/>
        <v>0</v>
      </c>
      <c r="L97" s="580">
        <f t="shared" si="52"/>
        <v>0</v>
      </c>
      <c r="M97" s="371">
        <f t="shared" si="44"/>
        <v>0</v>
      </c>
    </row>
    <row r="98" spans="2:14" x14ac:dyDescent="0.2">
      <c r="B98" s="341" t="str">
        <f>IF(topdowntables!$N$4=1, "   N2, kg N2-N", "   N2, kg N2-N")</f>
        <v xml:space="preserve">   N2, kg N2-N</v>
      </c>
      <c r="C98" s="578">
        <f t="shared" ref="C98:L98" si="53">C74+C75</f>
        <v>0</v>
      </c>
      <c r="D98" s="578">
        <f t="shared" si="53"/>
        <v>0</v>
      </c>
      <c r="E98" s="578">
        <f t="shared" si="53"/>
        <v>0</v>
      </c>
      <c r="F98" s="578">
        <f t="shared" si="53"/>
        <v>0</v>
      </c>
      <c r="G98" s="580">
        <f t="shared" si="53"/>
        <v>0</v>
      </c>
      <c r="H98" s="580">
        <f t="shared" si="53"/>
        <v>0</v>
      </c>
      <c r="I98" s="580">
        <f t="shared" si="53"/>
        <v>0</v>
      </c>
      <c r="J98" s="580">
        <f t="shared" si="53"/>
        <v>0</v>
      </c>
      <c r="K98" s="580">
        <f t="shared" si="53"/>
        <v>0</v>
      </c>
      <c r="L98" s="580">
        <f t="shared" si="53"/>
        <v>0</v>
      </c>
      <c r="M98" s="371">
        <f t="shared" si="44"/>
        <v>0</v>
      </c>
    </row>
    <row r="99" spans="2:14" x14ac:dyDescent="0.2">
      <c r="B99" s="239" t="str">
        <f>IF(topdowntables!$N$4=1,"N i jord 100 år perspektiv, kg N per ha","soil N change 100 years perspective, kg N per ha")</f>
        <v>N i jord 100 år perspektiv, kg N per ha</v>
      </c>
      <c r="C99" s="562">
        <f t="shared" ref="C99:L99" si="54">C57/10</f>
        <v>0</v>
      </c>
      <c r="D99" s="562">
        <f t="shared" si="54"/>
        <v>0</v>
      </c>
      <c r="E99" s="562">
        <f t="shared" si="54"/>
        <v>0</v>
      </c>
      <c r="F99" s="562">
        <f t="shared" si="54"/>
        <v>0</v>
      </c>
      <c r="G99" s="562">
        <f t="shared" si="54"/>
        <v>0</v>
      </c>
      <c r="H99" s="562">
        <f t="shared" si="54"/>
        <v>0</v>
      </c>
      <c r="I99" s="562">
        <f t="shared" si="54"/>
        <v>0</v>
      </c>
      <c r="J99" s="562">
        <f t="shared" si="54"/>
        <v>0</v>
      </c>
      <c r="K99" s="562">
        <f t="shared" si="54"/>
        <v>0</v>
      </c>
      <c r="L99" s="562">
        <f t="shared" si="54"/>
        <v>0</v>
      </c>
      <c r="M99" s="371">
        <f>$C$6*C99+$D$6*D99+$E$6*E99+$F$6*F99+$G$6*G99+$H$6*H99+$I$6*I99+$J$6*J99+$K$6*K99+$L$6*L99</f>
        <v>0</v>
      </c>
    </row>
    <row r="100" spans="2:14" x14ac:dyDescent="0.2">
      <c r="B100" s="239" t="str">
        <f>IF(topdowntables!$N$4=1,"N optag fra treer, kg N per ha","N uptake by trees, kg N per ha")</f>
        <v>N optag fra treer, kg N per ha</v>
      </c>
      <c r="C100" s="616">
        <f>IF(OR(C5="kløvergræs + treer",C5="Paddock - grass clover + trees"),IF(OR('input-data'!E409=topdowntables!$C$35,'input-data'!E409=topdowntables!$C$40),'øvrige EFS-other EFs'!$J$24*'input-data'!F307/100,IF(OR('input-data'!E409=topdowntables!$C$36,'input-data'!E409=topdowntables!$C$41),'øvrige EFS-other EFs'!$J$25*'input-data'!F307/100,0)), 0)</f>
        <v>0</v>
      </c>
      <c r="D100" s="616">
        <f>IF(OR(D5="kløvergræs + treer",D5="Paddock - grass clover + trees"),IF(OR('input-data'!E414=topdowntables!$C$35,'input-data'!E414=topdowntables!$C$40),'øvrige EFS-other EFs'!$J$24*'input-data'!F329/100,IF(OR('input-data'!E414=topdowntables!$C$36,'input-data'!E414=topdowntables!$C$41),'øvrige EFS-other EFs'!$J$25*'input-data'!F329/100,0)), 0)</f>
        <v>0</v>
      </c>
      <c r="E100" s="616">
        <f>IF(OR(E5="kløvergræs + treer",E5="Paddock - grass clover + trees"),IF(OR('input-data'!E419=topdowntables!$C$35,'input-data'!E419=topdowntables!$C$40),'øvrige EFS-other EFs'!$J$24*'input-data'!F351/100,IF(OR('input-data'!E419=topdowntables!$C$36,'input-data'!E419=topdowntables!$C$41),'øvrige EFS-other EFs'!$J$25*'input-data'!F351/100,0)), 0)</f>
        <v>0</v>
      </c>
      <c r="F100" s="616">
        <f>IF(OR(F5="kløvergræs + treer",F5="Paddock - grass clover + trees"),IF(OR('input-data'!E424=topdowntables!$C$35,'input-data'!E424=topdowntables!$C$40),'øvrige EFS-other EFs'!$J$24*'input-data'!F373/100,IF(OR('input-data'!E424=topdowntables!$C$36,'input-data'!E424=topdowntables!$C$41),'øvrige EFS-other EFs'!$J$25*'input-data'!F373/100,0)), 0)</f>
        <v>0</v>
      </c>
      <c r="G100" s="563"/>
      <c r="H100" s="563"/>
      <c r="I100" s="563"/>
      <c r="J100" s="563"/>
      <c r="K100" s="563"/>
      <c r="L100" s="563"/>
      <c r="M100" s="371"/>
    </row>
    <row r="101" spans="2:14" x14ac:dyDescent="0.2">
      <c r="B101" s="277" t="str">
        <f>IF(topdowntables!$N$4=1,"Potentiel N udvaskning, kg NO3-N per ha","Potential N leaching, kg NO3-N per ha")</f>
        <v>Potentiel N udvaskning, kg NO3-N per ha</v>
      </c>
      <c r="C101" s="562">
        <f>C92-SUM(C94:C98)-C99-C100</f>
        <v>0</v>
      </c>
      <c r="D101" s="562">
        <f t="shared" ref="D101:L101" si="55">D92-SUM(D94:D98)-D99-D100</f>
        <v>0</v>
      </c>
      <c r="E101" s="562">
        <f t="shared" si="55"/>
        <v>0</v>
      </c>
      <c r="F101" s="562">
        <f t="shared" si="55"/>
        <v>0</v>
      </c>
      <c r="G101" s="562">
        <f t="shared" si="55"/>
        <v>0</v>
      </c>
      <c r="H101" s="562">
        <f t="shared" si="55"/>
        <v>0</v>
      </c>
      <c r="I101" s="562">
        <f t="shared" si="55"/>
        <v>0</v>
      </c>
      <c r="J101" s="562">
        <f t="shared" si="55"/>
        <v>0</v>
      </c>
      <c r="K101" s="562">
        <f t="shared" si="55"/>
        <v>0</v>
      </c>
      <c r="L101" s="562">
        <f t="shared" si="55"/>
        <v>0</v>
      </c>
      <c r="M101" s="371">
        <f t="shared" si="44"/>
        <v>0</v>
      </c>
    </row>
    <row r="102" spans="2:14" ht="15" thickBot="1" x14ac:dyDescent="0.25">
      <c r="B102" s="342" t="str">
        <f>IF(topdowntables!$N$4=1, "   indirekt N2O fra udvaskning, kg N2O-N", "indirect N2O from leaching, kg N2O-N")</f>
        <v xml:space="preserve">   indirekt N2O fra udvaskning, kg N2O-N</v>
      </c>
      <c r="C102" s="588">
        <f>C101*0.0075</f>
        <v>0</v>
      </c>
      <c r="D102" s="588">
        <f t="shared" ref="D102:L102" si="56">D101*0.0075</f>
        <v>0</v>
      </c>
      <c r="E102" s="588">
        <f t="shared" si="56"/>
        <v>0</v>
      </c>
      <c r="F102" s="588">
        <f t="shared" si="56"/>
        <v>0</v>
      </c>
      <c r="G102" s="588">
        <f t="shared" si="56"/>
        <v>0</v>
      </c>
      <c r="H102" s="588">
        <f t="shared" si="56"/>
        <v>0</v>
      </c>
      <c r="I102" s="588">
        <f t="shared" si="56"/>
        <v>0</v>
      </c>
      <c r="J102" s="588">
        <f t="shared" si="56"/>
        <v>0</v>
      </c>
      <c r="K102" s="588">
        <f t="shared" si="56"/>
        <v>0</v>
      </c>
      <c r="L102" s="588">
        <f t="shared" si="56"/>
        <v>0</v>
      </c>
      <c r="M102" s="372">
        <f t="shared" si="44"/>
        <v>0</v>
      </c>
    </row>
    <row r="103" spans="2:14" ht="15" thickBot="1" x14ac:dyDescent="0.25"/>
    <row r="104" spans="2:14" x14ac:dyDescent="0.2">
      <c r="B104" s="334" t="str">
        <f>IF(topdowntables!$N$4=1, " P balance", "P balance")</f>
        <v xml:space="preserve"> P balance</v>
      </c>
      <c r="C104" s="332" t="str">
        <f t="shared" ref="C104:L104" si="57">C5</f>
        <v/>
      </c>
      <c r="D104" s="332" t="str">
        <f t="shared" si="57"/>
        <v/>
      </c>
      <c r="E104" s="332" t="str">
        <f t="shared" si="57"/>
        <v/>
      </c>
      <c r="F104" s="332" t="str">
        <f t="shared" si="57"/>
        <v/>
      </c>
      <c r="G104" s="332" t="str">
        <f t="shared" si="57"/>
        <v/>
      </c>
      <c r="H104" s="332" t="str">
        <f t="shared" si="57"/>
        <v/>
      </c>
      <c r="I104" s="332" t="str">
        <f t="shared" si="57"/>
        <v/>
      </c>
      <c r="J104" s="332" t="str">
        <f t="shared" si="57"/>
        <v/>
      </c>
      <c r="K104" s="332" t="str">
        <f t="shared" si="57"/>
        <v/>
      </c>
      <c r="L104" s="332" t="str">
        <f t="shared" si="57"/>
        <v/>
      </c>
      <c r="M104" s="333"/>
    </row>
    <row r="105" spans="2:14" x14ac:dyDescent="0.2">
      <c r="B105" s="277" t="s">
        <v>1523</v>
      </c>
      <c r="C105" s="575"/>
      <c r="D105" s="575"/>
      <c r="E105" s="575"/>
      <c r="F105" s="575"/>
      <c r="G105" s="575"/>
      <c r="H105" s="575"/>
      <c r="I105" s="575"/>
      <c r="J105" s="575"/>
      <c r="K105" s="575"/>
      <c r="L105" s="575"/>
      <c r="M105" s="587"/>
    </row>
    <row r="106" spans="2:14" x14ac:dyDescent="0.2">
      <c r="B106" s="239" t="str">
        <f>IF(topdowntables!$N$4=1, "   husdyrgødning", "   manure")</f>
        <v xml:space="preserve">   husdyrgødning</v>
      </c>
      <c r="C106" s="579">
        <f t="shared" ref="C106:L106" si="58">C18</f>
        <v>0</v>
      </c>
      <c r="D106" s="579">
        <f t="shared" si="58"/>
        <v>0</v>
      </c>
      <c r="E106" s="579">
        <f t="shared" si="58"/>
        <v>0</v>
      </c>
      <c r="F106" s="579">
        <f t="shared" si="58"/>
        <v>0</v>
      </c>
      <c r="G106" s="579">
        <f t="shared" si="58"/>
        <v>0</v>
      </c>
      <c r="H106" s="579">
        <f t="shared" si="58"/>
        <v>0</v>
      </c>
      <c r="I106" s="579">
        <f t="shared" si="58"/>
        <v>0</v>
      </c>
      <c r="J106" s="579">
        <f t="shared" si="58"/>
        <v>0</v>
      </c>
      <c r="K106" s="579">
        <f t="shared" si="58"/>
        <v>0</v>
      </c>
      <c r="L106" s="579">
        <f t="shared" si="58"/>
        <v>0</v>
      </c>
      <c r="M106" s="585">
        <f t="shared" ref="M106:M115" si="59">$C$6*C106+$D$6*D106+$E$6*E106+$F$6*F106+$G$6*G106+$H$6*H106+$I$6*I106+$J$6*J106+$K$6*K106+$L$6*L106</f>
        <v>0</v>
      </c>
    </row>
    <row r="107" spans="2:14" x14ac:dyDescent="0.2">
      <c r="B107" s="239" t="str">
        <f>IF(topdowntables!$N$4=1, "   udsæd", "   seed")</f>
        <v xml:space="preserve">   udsæd</v>
      </c>
      <c r="C107" s="576">
        <f>IFERROR(C20*C31/C30*4/100, 0)</f>
        <v>0</v>
      </c>
      <c r="D107" s="576">
        <f>IFERROR(D20*D31/D30*4/100, 0)</f>
        <v>0</v>
      </c>
      <c r="E107" s="576">
        <f>IFERROR(E20*E31/E30*4/100, 0)</f>
        <v>0</v>
      </c>
      <c r="F107" s="576">
        <f>IFERROR(F20*F31/F30*4/100, 0)</f>
        <v>0</v>
      </c>
      <c r="G107" s="579">
        <f>IFERROR(G20*G31/G30*VLOOKUP(G5, topdowntables!$R$5:$AH$26, 15, FALSE)/100, 0)</f>
        <v>0</v>
      </c>
      <c r="H107" s="579">
        <f>IFERROR(H20*H31/H30*VLOOKUP(H5, topdowntables!$R$5:$AH$26, 15, FALSE)/100, 0)</f>
        <v>0</v>
      </c>
      <c r="I107" s="579">
        <f>IFERROR(I20*I31/I30*VLOOKUP(I5, topdowntables!$R$5:$AH$26, 15, FALSE)/100, 0)</f>
        <v>0</v>
      </c>
      <c r="J107" s="579">
        <f>IFERROR(J20*J31/J30*VLOOKUP(J5, topdowntables!$R$5:$AH$26, 15, FALSE)/100, 0)</f>
        <v>0</v>
      </c>
      <c r="K107" s="579">
        <f>IFERROR(K20*K31/K30*VLOOKUP(K5, topdowntables!$R$5:$AH$26, 15, FALSE)/100, 0)</f>
        <v>0</v>
      </c>
      <c r="L107" s="579">
        <f>IFERROR(L20*L31/L30*VLOOKUP(L5, topdowntables!$R$5:$AH$26, 15, FALSE)/100, 0)</f>
        <v>0</v>
      </c>
      <c r="M107" s="591">
        <f t="shared" si="59"/>
        <v>0</v>
      </c>
    </row>
    <row r="108" spans="2:14" x14ac:dyDescent="0.2">
      <c r="B108" s="277" t="str">
        <f>IF(topdowntables!$N$4=1,"P input, kg P i alt per ha","Total P input, kg P per ha")</f>
        <v>P input, kg P i alt per ha</v>
      </c>
      <c r="C108" s="589">
        <f t="shared" ref="C108:L108" si="60">C106+C107</f>
        <v>0</v>
      </c>
      <c r="D108" s="589">
        <f t="shared" si="60"/>
        <v>0</v>
      </c>
      <c r="E108" s="589">
        <f t="shared" si="60"/>
        <v>0</v>
      </c>
      <c r="F108" s="589">
        <f t="shared" si="60"/>
        <v>0</v>
      </c>
      <c r="G108" s="589">
        <f t="shared" si="60"/>
        <v>0</v>
      </c>
      <c r="H108" s="589">
        <f t="shared" si="60"/>
        <v>0</v>
      </c>
      <c r="I108" s="589">
        <f t="shared" si="60"/>
        <v>0</v>
      </c>
      <c r="J108" s="589">
        <f t="shared" si="60"/>
        <v>0</v>
      </c>
      <c r="K108" s="589">
        <f t="shared" si="60"/>
        <v>0</v>
      </c>
      <c r="L108" s="589">
        <f t="shared" si="60"/>
        <v>0</v>
      </c>
      <c r="M108" s="591">
        <f t="shared" si="59"/>
        <v>0</v>
      </c>
    </row>
    <row r="109" spans="2:14" x14ac:dyDescent="0.2">
      <c r="B109" s="277" t="str">
        <f>IF(topdowntables!$N$4=1,"P output, kg P per ha","P output, kg P per ha")</f>
        <v>P output, kg P per ha</v>
      </c>
      <c r="C109" s="575"/>
      <c r="D109" s="575"/>
      <c r="E109" s="575"/>
      <c r="F109" s="575"/>
      <c r="G109" s="575"/>
      <c r="H109" s="575"/>
      <c r="I109" s="575"/>
      <c r="J109" s="575"/>
      <c r="K109" s="575"/>
      <c r="L109" s="575"/>
      <c r="M109" s="591">
        <f t="shared" si="59"/>
        <v>0</v>
      </c>
    </row>
    <row r="110" spans="2:14" x14ac:dyDescent="0.2">
      <c r="B110" s="239" t="str">
        <f>IF(topdowntables!$N$4=1, "   udbytte", "   crop yield")</f>
        <v xml:space="preserve">   udbytte</v>
      </c>
      <c r="C110" s="579">
        <f>IFERROR(C31*0.4/100, 0)</f>
        <v>0</v>
      </c>
      <c r="D110" s="579">
        <f>IFERROR(D31*0.4/100, 0)</f>
        <v>0</v>
      </c>
      <c r="E110" s="579">
        <f>IFERROR(E31*0.4/100, 0)</f>
        <v>0</v>
      </c>
      <c r="F110" s="579">
        <f>IFERROR(F31*0.4/100, 0)</f>
        <v>0</v>
      </c>
      <c r="G110" s="579">
        <f>IFERROR(G31*VLOOKUP(G5, topdowntables!$R$5:$AH$26, 15, FALSE)/100, 0)</f>
        <v>0</v>
      </c>
      <c r="H110" s="579">
        <f>IFERROR(H31*VLOOKUP(H5, topdowntables!$R$5:$AH$26, 15, FALSE)/100, 0)</f>
        <v>0</v>
      </c>
      <c r="I110" s="579">
        <f>IFERROR(I31*VLOOKUP(I5, topdowntables!$R$5:$AH$26, 15, FALSE)/100, 0)</f>
        <v>0</v>
      </c>
      <c r="J110" s="579">
        <f>IFERROR(J31*VLOOKUP(J5, topdowntables!$R$5:$AH$26, 15, FALSE)/100, 0)</f>
        <v>0</v>
      </c>
      <c r="K110" s="579">
        <f>IFERROR(K31*VLOOKUP(K5, topdowntables!$R$5:$AH$26, 15, FALSE)/100, 0)</f>
        <v>0</v>
      </c>
      <c r="L110" s="579">
        <f>IFERROR(L31*VLOOKUP(L5, topdowntables!$R$5:$AH$26, 15, FALSE)/100, 0)</f>
        <v>0</v>
      </c>
      <c r="M110" s="591">
        <f t="shared" si="59"/>
        <v>0</v>
      </c>
    </row>
    <row r="111" spans="2:14" x14ac:dyDescent="0.2">
      <c r="B111" s="239" t="str">
        <f>IF(topdowntables!$N$4=1, "   halmudbytte", "   straw yield")</f>
        <v xml:space="preserve">   halmudbytte</v>
      </c>
      <c r="C111" s="575"/>
      <c r="D111" s="575"/>
      <c r="E111" s="575"/>
      <c r="F111" s="575"/>
      <c r="G111" s="579">
        <f t="shared" ref="G111:L111" si="61">G35*G36/100*0.0009</f>
        <v>0</v>
      </c>
      <c r="H111" s="579">
        <f t="shared" si="61"/>
        <v>0</v>
      </c>
      <c r="I111" s="579">
        <f t="shared" si="61"/>
        <v>0</v>
      </c>
      <c r="J111" s="579">
        <f t="shared" si="61"/>
        <v>0</v>
      </c>
      <c r="K111" s="579">
        <f t="shared" si="61"/>
        <v>0</v>
      </c>
      <c r="L111" s="579">
        <f t="shared" si="61"/>
        <v>0</v>
      </c>
      <c r="M111" s="591">
        <f t="shared" si="59"/>
        <v>0</v>
      </c>
      <c r="N111" s="110" t="s">
        <v>1534</v>
      </c>
    </row>
    <row r="112" spans="2:14" x14ac:dyDescent="0.2">
      <c r="B112" s="277" t="str">
        <f>IF(topdowntables!$N$4=1,"P output, kg P i alt per ha","Total P output, kg P per ha")</f>
        <v>P output, kg P i alt per ha</v>
      </c>
      <c r="C112" s="589">
        <f>SUM(C110:C111)</f>
        <v>0</v>
      </c>
      <c r="D112" s="589">
        <f t="shared" ref="D112:L112" si="62">SUM(D110:D111)</f>
        <v>0</v>
      </c>
      <c r="E112" s="589">
        <f t="shared" si="62"/>
        <v>0</v>
      </c>
      <c r="F112" s="589">
        <f t="shared" si="62"/>
        <v>0</v>
      </c>
      <c r="G112" s="589">
        <f t="shared" si="62"/>
        <v>0</v>
      </c>
      <c r="H112" s="589">
        <f t="shared" si="62"/>
        <v>0</v>
      </c>
      <c r="I112" s="589">
        <f t="shared" si="62"/>
        <v>0</v>
      </c>
      <c r="J112" s="589">
        <f t="shared" si="62"/>
        <v>0</v>
      </c>
      <c r="K112" s="589">
        <f t="shared" si="62"/>
        <v>0</v>
      </c>
      <c r="L112" s="589">
        <f t="shared" si="62"/>
        <v>0</v>
      </c>
      <c r="M112" s="591">
        <f t="shared" si="59"/>
        <v>0</v>
      </c>
    </row>
    <row r="113" spans="2:13" x14ac:dyDescent="0.2">
      <c r="B113" s="277" t="str">
        <f>IF(topdowntables!$N$4=1,"P overskud, kg P per ha","P surplus, kg P per ha")</f>
        <v>P overskud, kg P per ha</v>
      </c>
      <c r="C113" s="589">
        <f>C108-C112</f>
        <v>0</v>
      </c>
      <c r="D113" s="589">
        <f t="shared" ref="D113:L113" si="63">D108-D112</f>
        <v>0</v>
      </c>
      <c r="E113" s="589">
        <f t="shared" si="63"/>
        <v>0</v>
      </c>
      <c r="F113" s="589">
        <f t="shared" si="63"/>
        <v>0</v>
      </c>
      <c r="G113" s="589">
        <f t="shared" si="63"/>
        <v>0</v>
      </c>
      <c r="H113" s="589">
        <f t="shared" si="63"/>
        <v>0</v>
      </c>
      <c r="I113" s="589">
        <f t="shared" si="63"/>
        <v>0</v>
      </c>
      <c r="J113" s="589">
        <f t="shared" si="63"/>
        <v>0</v>
      </c>
      <c r="K113" s="589">
        <f t="shared" si="63"/>
        <v>0</v>
      </c>
      <c r="L113" s="589">
        <f t="shared" si="63"/>
        <v>0</v>
      </c>
      <c r="M113" s="591">
        <f t="shared" si="59"/>
        <v>0</v>
      </c>
    </row>
    <row r="114" spans="2:13" x14ac:dyDescent="0.2">
      <c r="B114" s="239" t="str">
        <f>IF(topdowntables!$N$4=1,"P i jord, kg P per ha","soil P change, kg P per ha")</f>
        <v>P i jord, kg P per ha</v>
      </c>
      <c r="C114" s="579">
        <f>C113*0.97</f>
        <v>0</v>
      </c>
      <c r="D114" s="579">
        <f t="shared" ref="D114:L114" si="64">D113*0.97</f>
        <v>0</v>
      </c>
      <c r="E114" s="579">
        <f t="shared" si="64"/>
        <v>0</v>
      </c>
      <c r="F114" s="579">
        <f t="shared" si="64"/>
        <v>0</v>
      </c>
      <c r="G114" s="579">
        <f t="shared" si="64"/>
        <v>0</v>
      </c>
      <c r="H114" s="579">
        <f t="shared" si="64"/>
        <v>0</v>
      </c>
      <c r="I114" s="579">
        <f t="shared" si="64"/>
        <v>0</v>
      </c>
      <c r="J114" s="579">
        <f t="shared" si="64"/>
        <v>0</v>
      </c>
      <c r="K114" s="579">
        <f t="shared" si="64"/>
        <v>0</v>
      </c>
      <c r="L114" s="579">
        <f t="shared" si="64"/>
        <v>0</v>
      </c>
      <c r="M114" s="591">
        <f t="shared" si="59"/>
        <v>0</v>
      </c>
    </row>
    <row r="115" spans="2:13" ht="15" thickBot="1" x14ac:dyDescent="0.25">
      <c r="B115" s="344" t="str">
        <f>IF(topdowntables!$N$4=1,"Potentiel P udvaskning, kg PO4-P per ha","Potential P leaching, kg PO4-P per ha")</f>
        <v>Potentiel P udvaskning, kg PO4-P per ha</v>
      </c>
      <c r="C115" s="588">
        <f>IF(C113-C114&gt;0, C113-C114, 0)</f>
        <v>0</v>
      </c>
      <c r="D115" s="588">
        <f t="shared" ref="D115:L115" si="65">IF(D113-D114&gt;0, D113-D114, 0)</f>
        <v>0</v>
      </c>
      <c r="E115" s="588">
        <f t="shared" si="65"/>
        <v>0</v>
      </c>
      <c r="F115" s="588">
        <f t="shared" si="65"/>
        <v>0</v>
      </c>
      <c r="G115" s="588">
        <f t="shared" si="65"/>
        <v>0</v>
      </c>
      <c r="H115" s="588">
        <f t="shared" si="65"/>
        <v>0</v>
      </c>
      <c r="I115" s="588">
        <f t="shared" si="65"/>
        <v>0</v>
      </c>
      <c r="J115" s="588">
        <f t="shared" si="65"/>
        <v>0</v>
      </c>
      <c r="K115" s="588">
        <f t="shared" si="65"/>
        <v>0</v>
      </c>
      <c r="L115" s="588">
        <f t="shared" si="65"/>
        <v>0</v>
      </c>
      <c r="M115" s="592">
        <f t="shared" si="59"/>
        <v>0</v>
      </c>
    </row>
    <row r="117" spans="2:13" ht="15" thickBot="1" x14ac:dyDescent="0.25"/>
    <row r="118" spans="2:13" x14ac:dyDescent="0.2">
      <c r="B118" s="353" t="str">
        <f>IF(topdowntables!$N$4=1, "Økonomisk allokering faktorer, %", "Economic allocation factors, %")</f>
        <v>Økonomisk allokering faktorer, %</v>
      </c>
      <c r="C118" s="354" t="str">
        <f t="shared" ref="C118:L118" si="66">C5</f>
        <v/>
      </c>
      <c r="D118" s="354" t="str">
        <f t="shared" si="66"/>
        <v/>
      </c>
      <c r="E118" s="354" t="str">
        <f t="shared" si="66"/>
        <v/>
      </c>
      <c r="F118" s="354" t="str">
        <f t="shared" si="66"/>
        <v/>
      </c>
      <c r="G118" s="354" t="str">
        <f t="shared" si="66"/>
        <v/>
      </c>
      <c r="H118" s="354" t="str">
        <f t="shared" si="66"/>
        <v/>
      </c>
      <c r="I118" s="354" t="str">
        <f t="shared" si="66"/>
        <v/>
      </c>
      <c r="J118" s="354" t="str">
        <f t="shared" si="66"/>
        <v/>
      </c>
      <c r="K118" s="354" t="str">
        <f t="shared" si="66"/>
        <v/>
      </c>
      <c r="L118" s="354" t="str">
        <f t="shared" si="66"/>
        <v/>
      </c>
      <c r="M118" s="355"/>
    </row>
    <row r="119" spans="2:13" x14ac:dyDescent="0.2">
      <c r="B119" s="351" t="str">
        <f>IF(topdowntables!$N$4=1, "   hovedprodukt", "   main product")</f>
        <v xml:space="preserve">   hovedprodukt</v>
      </c>
      <c r="C119" s="576" t="str">
        <f t="shared" ref="C119:L119" si="67">IF(C6&gt;0, IF(C35=0, 100, 95*C36/100+100*C37/100), "")</f>
        <v/>
      </c>
      <c r="D119" s="576" t="str">
        <f t="shared" si="67"/>
        <v/>
      </c>
      <c r="E119" s="576" t="str">
        <f t="shared" si="67"/>
        <v/>
      </c>
      <c r="F119" s="576" t="str">
        <f t="shared" si="67"/>
        <v/>
      </c>
      <c r="G119" s="580" t="str">
        <f t="shared" si="67"/>
        <v/>
      </c>
      <c r="H119" s="580" t="str">
        <f t="shared" si="67"/>
        <v/>
      </c>
      <c r="I119" s="580" t="str">
        <f t="shared" si="67"/>
        <v/>
      </c>
      <c r="J119" s="580" t="str">
        <f t="shared" si="67"/>
        <v/>
      </c>
      <c r="K119" s="579" t="str">
        <f t="shared" si="67"/>
        <v/>
      </c>
      <c r="L119" s="579" t="str">
        <f t="shared" si="67"/>
        <v/>
      </c>
      <c r="M119" s="598"/>
    </row>
    <row r="120" spans="2:13" ht="15" thickBot="1" x14ac:dyDescent="0.25">
      <c r="B120" s="352" t="str">
        <f>IF(topdowntables!$N$4=1, "   biprodukt (halm)", "   by-product (straw)")</f>
        <v xml:space="preserve">   biprodukt (halm)</v>
      </c>
      <c r="C120" s="593" t="str">
        <f t="shared" ref="C120:L120" si="68">IF(C35&gt;0, 100-C119, "")</f>
        <v/>
      </c>
      <c r="D120" s="593" t="str">
        <f t="shared" si="68"/>
        <v/>
      </c>
      <c r="E120" s="593" t="str">
        <f t="shared" si="68"/>
        <v/>
      </c>
      <c r="F120" s="593" t="str">
        <f t="shared" si="68"/>
        <v/>
      </c>
      <c r="G120" s="594" t="str">
        <f t="shared" si="68"/>
        <v/>
      </c>
      <c r="H120" s="594" t="str">
        <f t="shared" si="68"/>
        <v/>
      </c>
      <c r="I120" s="594" t="str">
        <f t="shared" si="68"/>
        <v/>
      </c>
      <c r="J120" s="594" t="str">
        <f t="shared" si="68"/>
        <v/>
      </c>
      <c r="K120" s="595" t="str">
        <f t="shared" si="68"/>
        <v/>
      </c>
      <c r="L120" s="593" t="str">
        <f t="shared" si="68"/>
        <v/>
      </c>
      <c r="M120" s="599"/>
    </row>
    <row r="122" spans="2:13" ht="15" thickBot="1" x14ac:dyDescent="0.25"/>
    <row r="123" spans="2:13" x14ac:dyDescent="0.2">
      <c r="B123" s="356"/>
      <c r="C123" s="357" t="str">
        <f t="shared" ref="C123:L123" si="69">C5</f>
        <v/>
      </c>
      <c r="D123" s="357" t="str">
        <f t="shared" si="69"/>
        <v/>
      </c>
      <c r="E123" s="357" t="str">
        <f t="shared" si="69"/>
        <v/>
      </c>
      <c r="F123" s="357" t="str">
        <f t="shared" si="69"/>
        <v/>
      </c>
      <c r="G123" s="357" t="str">
        <f t="shared" si="69"/>
        <v/>
      </c>
      <c r="H123" s="357" t="str">
        <f t="shared" si="69"/>
        <v/>
      </c>
      <c r="I123" s="357" t="str">
        <f t="shared" si="69"/>
        <v/>
      </c>
      <c r="J123" s="357" t="str">
        <f t="shared" si="69"/>
        <v/>
      </c>
      <c r="K123" s="357" t="str">
        <f t="shared" si="69"/>
        <v/>
      </c>
      <c r="L123" s="357" t="str">
        <f t="shared" si="69"/>
        <v/>
      </c>
      <c r="M123" s="358"/>
    </row>
    <row r="124" spans="2:13" x14ac:dyDescent="0.2">
      <c r="B124" s="359" t="str">
        <f>IF(topdowntables!$N$4=1, "Klimaaftryk", "Climate change")</f>
        <v>Klimaaftryk</v>
      </c>
      <c r="C124" s="57"/>
      <c r="D124" s="57"/>
      <c r="E124" s="57"/>
      <c r="F124" s="57"/>
      <c r="G124" s="57"/>
      <c r="H124" s="57"/>
      <c r="I124" s="57"/>
      <c r="J124" s="57"/>
      <c r="K124" s="57"/>
      <c r="L124" s="57"/>
      <c r="M124" s="598"/>
    </row>
    <row r="125" spans="2:13" x14ac:dyDescent="0.2">
      <c r="B125" s="360" t="str">
        <f>IF(topdowntables!$N$4=1, "Bidrag, kg CO2 ækv. per ha", "Contributors,  kg CO2 eq. per ha")</f>
        <v>Bidrag, kg CO2 ækv. per ha</v>
      </c>
      <c r="C125" s="596"/>
      <c r="D125" s="596"/>
      <c r="E125" s="596"/>
      <c r="F125" s="596"/>
      <c r="G125" s="596"/>
      <c r="H125" s="596"/>
      <c r="I125" s="596"/>
      <c r="J125" s="596"/>
      <c r="K125" s="596"/>
      <c r="L125" s="596"/>
      <c r="M125" s="598"/>
    </row>
    <row r="126" spans="2:13" x14ac:dyDescent="0.2">
      <c r="B126" s="351" t="str">
        <f>IF(topdowntables!$N$4=1, "  udsæd", "  production of seed")</f>
        <v xml:space="preserve">  udsæd</v>
      </c>
      <c r="C126" s="562">
        <f>C20*'background data'!$K$31</f>
        <v>0</v>
      </c>
      <c r="D126" s="562">
        <f>D20*'background data'!$K$31</f>
        <v>0</v>
      </c>
      <c r="E126" s="562">
        <f>E20*'background data'!$K$31</f>
        <v>0</v>
      </c>
      <c r="F126" s="562">
        <f>F20*'background data'!$K$31</f>
        <v>0</v>
      </c>
      <c r="G126" s="562">
        <f>G20*'background data'!$K$31</f>
        <v>0</v>
      </c>
      <c r="H126" s="562">
        <f>H20*'background data'!$K$31</f>
        <v>0</v>
      </c>
      <c r="I126" s="562">
        <f>I20*'background data'!$K$31</f>
        <v>0</v>
      </c>
      <c r="J126" s="562">
        <f>J20*'background data'!$K$31</f>
        <v>0</v>
      </c>
      <c r="K126" s="562">
        <f>K20*'background data'!$K$31</f>
        <v>0</v>
      </c>
      <c r="L126" s="562">
        <f>L20*'background data'!$K$31</f>
        <v>0</v>
      </c>
      <c r="M126" s="598"/>
    </row>
    <row r="127" spans="2:13" x14ac:dyDescent="0.2">
      <c r="B127" s="351" t="str">
        <f>IF(topdowntables!$N$4=1, "  diesel", "  production of diesel")</f>
        <v xml:space="preserve">  diesel</v>
      </c>
      <c r="C127" s="562">
        <f>C26*'background data'!$K$34</f>
        <v>0</v>
      </c>
      <c r="D127" s="562">
        <f>D26*'background data'!$K$34</f>
        <v>0</v>
      </c>
      <c r="E127" s="562">
        <f>E26*'background data'!$K$34</f>
        <v>0</v>
      </c>
      <c r="F127" s="562">
        <f>F26*'background data'!$K$34</f>
        <v>0</v>
      </c>
      <c r="G127" s="562">
        <f>G26*'background data'!$K$34</f>
        <v>0</v>
      </c>
      <c r="H127" s="562">
        <f>H26*'background data'!$K$34</f>
        <v>0</v>
      </c>
      <c r="I127" s="562">
        <f>I26*'background data'!$K$34</f>
        <v>0</v>
      </c>
      <c r="J127" s="562">
        <f>J26*'background data'!$K$34</f>
        <v>0</v>
      </c>
      <c r="K127" s="562">
        <f>K26*'background data'!$K$34</f>
        <v>0</v>
      </c>
      <c r="L127" s="562">
        <f>L26*'background data'!$K$34</f>
        <v>0</v>
      </c>
      <c r="M127" s="598"/>
    </row>
    <row r="128" spans="2:13" x14ac:dyDescent="0.2">
      <c r="B128" s="351" t="str">
        <f>IF(topdowntables!$N$4=1, "  olie", "  production of oil")</f>
        <v xml:space="preserve">  olie</v>
      </c>
      <c r="C128" s="562">
        <f>(C25*1.13+C27)*'background data'!$K$35</f>
        <v>0</v>
      </c>
      <c r="D128" s="562">
        <f>(D25*1.13+D27)*'background data'!$K$35</f>
        <v>0</v>
      </c>
      <c r="E128" s="562">
        <f>(E25*1.13+E27)*'background data'!$K$35</f>
        <v>0</v>
      </c>
      <c r="F128" s="562">
        <f>(F25*1.13+F27)*'background data'!$K$35</f>
        <v>0</v>
      </c>
      <c r="G128" s="562">
        <f>(G25*1.13+G27)*'background data'!$K$35</f>
        <v>0</v>
      </c>
      <c r="H128" s="562">
        <f>(H25*1.13+H27)*'background data'!$K$35</f>
        <v>0</v>
      </c>
      <c r="I128" s="562">
        <f>(I25*1.13+I27)*'background data'!$K$35</f>
        <v>0</v>
      </c>
      <c r="J128" s="562">
        <f>(J25*1.13+J27)*'background data'!$K$35</f>
        <v>0</v>
      </c>
      <c r="K128" s="562">
        <f>(K25*1.13+K27)*'background data'!$K$35</f>
        <v>0</v>
      </c>
      <c r="L128" s="562">
        <f>(L25*1.13+L27)*'background data'!$K$35</f>
        <v>0</v>
      </c>
      <c r="M128" s="598"/>
    </row>
    <row r="129" spans="2:13" x14ac:dyDescent="0.2">
      <c r="B129" s="351" t="str">
        <f>IF(topdowntables!$N$4=1, "  electricitet", "  electricity")</f>
        <v xml:space="preserve">  electricitet</v>
      </c>
      <c r="C129" s="562">
        <f>C24*'background data'!$K$38</f>
        <v>0</v>
      </c>
      <c r="D129" s="562">
        <f>D24*'background data'!$K$38</f>
        <v>0</v>
      </c>
      <c r="E129" s="562">
        <f>E24*'background data'!$K$38</f>
        <v>0</v>
      </c>
      <c r="F129" s="562">
        <f>F24*'background data'!$K$38</f>
        <v>0</v>
      </c>
      <c r="G129" s="562">
        <f>G24*'background data'!$K$38</f>
        <v>0</v>
      </c>
      <c r="H129" s="562">
        <f>H24*'background data'!$K$38</f>
        <v>0</v>
      </c>
      <c r="I129" s="562">
        <f>I24*'background data'!$K$38</f>
        <v>0</v>
      </c>
      <c r="J129" s="562">
        <f>J24*'background data'!$K$38</f>
        <v>0</v>
      </c>
      <c r="K129" s="562">
        <f>K24*'background data'!$K$38</f>
        <v>0</v>
      </c>
      <c r="L129" s="562">
        <f>L24*'background data'!$K$38</f>
        <v>0</v>
      </c>
      <c r="M129" s="598"/>
    </row>
    <row r="130" spans="2:13" x14ac:dyDescent="0.2">
      <c r="B130" s="351" t="str">
        <f>IF(topdowntables!$N$4=1, "  produktion af kalk", "  production of lime")</f>
        <v xml:space="preserve">  produktion af kalk</v>
      </c>
      <c r="C130" s="562">
        <f>C21*'background data'!$K$27</f>
        <v>0</v>
      </c>
      <c r="D130" s="562">
        <f>D21*'background data'!$K$27</f>
        <v>0</v>
      </c>
      <c r="E130" s="562">
        <f>E21*'background data'!$K$27</f>
        <v>0</v>
      </c>
      <c r="F130" s="562">
        <f>F21*'background data'!$K$27</f>
        <v>0</v>
      </c>
      <c r="G130" s="562">
        <f>G21*'background data'!$K$27</f>
        <v>0</v>
      </c>
      <c r="H130" s="562">
        <f>H21*'background data'!$K$27</f>
        <v>0</v>
      </c>
      <c r="I130" s="562">
        <f>I21*'background data'!$K$27</f>
        <v>0</v>
      </c>
      <c r="J130" s="562">
        <f>J21*'background data'!$K$27</f>
        <v>0</v>
      </c>
      <c r="K130" s="562">
        <f>K21*'background data'!$K$27</f>
        <v>0</v>
      </c>
      <c r="L130" s="562">
        <f>L21*'background data'!$K$27</f>
        <v>0</v>
      </c>
      <c r="M130" s="598"/>
    </row>
    <row r="131" spans="2:13" x14ac:dyDescent="0.2">
      <c r="B131" s="351" t="str">
        <f>IF(topdowntables!$N$4=1, "  kalkforbrug", "  use of lime")</f>
        <v xml:space="preserve">  kalkforbrug</v>
      </c>
      <c r="C131" s="562">
        <f t="shared" ref="C131:L131" si="70">C79</f>
        <v>0</v>
      </c>
      <c r="D131" s="562">
        <f t="shared" si="70"/>
        <v>0</v>
      </c>
      <c r="E131" s="562">
        <f t="shared" si="70"/>
        <v>0</v>
      </c>
      <c r="F131" s="562">
        <f t="shared" si="70"/>
        <v>0</v>
      </c>
      <c r="G131" s="562">
        <f t="shared" si="70"/>
        <v>0</v>
      </c>
      <c r="H131" s="562">
        <f t="shared" si="70"/>
        <v>0</v>
      </c>
      <c r="I131" s="562">
        <f t="shared" si="70"/>
        <v>0</v>
      </c>
      <c r="J131" s="562">
        <f t="shared" si="70"/>
        <v>0</v>
      </c>
      <c r="K131" s="562">
        <f t="shared" si="70"/>
        <v>0</v>
      </c>
      <c r="L131" s="562">
        <f t="shared" si="70"/>
        <v>0</v>
      </c>
      <c r="M131" s="598"/>
    </row>
    <row r="132" spans="2:13" x14ac:dyDescent="0.2">
      <c r="B132" s="351" t="str">
        <f>IF(topdowntables!$N$4=1, "  N2O emission", "  N2O emission")</f>
        <v xml:space="preserve">  N2O emission</v>
      </c>
      <c r="C132" s="562">
        <f>(C94+C95+C102)*44/28*'øvrige EFS-other EFs'!$D$27</f>
        <v>0</v>
      </c>
      <c r="D132" s="562">
        <f>(D94+D95+D102)*44/28*'øvrige EFS-other EFs'!$D$27</f>
        <v>0</v>
      </c>
      <c r="E132" s="562">
        <f>(E94+E95+E102)*44/28*'øvrige EFS-other EFs'!$D$27</f>
        <v>0</v>
      </c>
      <c r="F132" s="562">
        <f>(F94+F95+F102)*44/28*'øvrige EFS-other EFs'!$D$27</f>
        <v>0</v>
      </c>
      <c r="G132" s="562">
        <f>(G94+G95+G102)*44/28*'øvrige EFS-other EFs'!$D$27</f>
        <v>0</v>
      </c>
      <c r="H132" s="562">
        <f>(H94+H95+H102)*44/28*'øvrige EFS-other EFs'!$D$27</f>
        <v>0</v>
      </c>
      <c r="I132" s="562">
        <f>(I94+I95+I102)*44/28*'øvrige EFS-other EFs'!$D$27</f>
        <v>0</v>
      </c>
      <c r="J132" s="562">
        <f>(J94+J95+J102)*44/28*'øvrige EFS-other EFs'!$D$27</f>
        <v>0</v>
      </c>
      <c r="K132" s="562">
        <f>(K94+K95+K102)*44/28*'øvrige EFS-other EFs'!$D$27</f>
        <v>0</v>
      </c>
      <c r="L132" s="562">
        <f>(L94+L95+L102)*44/28*'øvrige EFS-other EFs'!$D$27</f>
        <v>0</v>
      </c>
      <c r="M132" s="598"/>
    </row>
    <row r="133" spans="2:13" x14ac:dyDescent="0.2">
      <c r="B133" s="360" t="str">
        <f>IF(topdowntables!$N$4=1, "Total emission, kg CO2 ækv. per ha", "Total,  kg CO2 eq. per ha")</f>
        <v>Total emission, kg CO2 ækv. per ha</v>
      </c>
      <c r="C133" s="574">
        <f>SUM(C126:C132)</f>
        <v>0</v>
      </c>
      <c r="D133" s="574">
        <f t="shared" ref="D133:L133" si="71">SUM(D126:D132)</f>
        <v>0</v>
      </c>
      <c r="E133" s="574">
        <f t="shared" si="71"/>
        <v>0</v>
      </c>
      <c r="F133" s="574">
        <f t="shared" si="71"/>
        <v>0</v>
      </c>
      <c r="G133" s="574">
        <f t="shared" si="71"/>
        <v>0</v>
      </c>
      <c r="H133" s="574">
        <f t="shared" si="71"/>
        <v>0</v>
      </c>
      <c r="I133" s="574">
        <f t="shared" si="71"/>
        <v>0</v>
      </c>
      <c r="J133" s="574">
        <f t="shared" si="71"/>
        <v>0</v>
      </c>
      <c r="K133" s="574">
        <f t="shared" si="71"/>
        <v>0</v>
      </c>
      <c r="L133" s="574">
        <f t="shared" si="71"/>
        <v>0</v>
      </c>
      <c r="M133" s="598"/>
    </row>
    <row r="134" spans="2:13" x14ac:dyDescent="0.2">
      <c r="B134" s="360" t="str">
        <f>IF(topdowntables!$N$4=1, "C i jord 100 år perspektiv, kg CO2 ækv. per ha", "soil C change 100 years perspective, kg CO2 eq. per ha")</f>
        <v>C i jord 100 år perspektiv, kg CO2 ækv. per ha</v>
      </c>
      <c r="C134" s="574">
        <f t="shared" ref="C134:L134" si="72">C59</f>
        <v>0</v>
      </c>
      <c r="D134" s="574">
        <f t="shared" si="72"/>
        <v>0</v>
      </c>
      <c r="E134" s="574">
        <f t="shared" si="72"/>
        <v>0</v>
      </c>
      <c r="F134" s="574">
        <f t="shared" si="72"/>
        <v>0</v>
      </c>
      <c r="G134" s="574">
        <f t="shared" si="72"/>
        <v>0</v>
      </c>
      <c r="H134" s="574">
        <f t="shared" si="72"/>
        <v>0</v>
      </c>
      <c r="I134" s="574">
        <f t="shared" si="72"/>
        <v>0</v>
      </c>
      <c r="J134" s="574">
        <f t="shared" si="72"/>
        <v>0</v>
      </c>
      <c r="K134" s="574">
        <f t="shared" si="72"/>
        <v>0</v>
      </c>
      <c r="L134" s="574">
        <f t="shared" si="72"/>
        <v>0</v>
      </c>
      <c r="M134" s="598"/>
    </row>
    <row r="135" spans="2:13" x14ac:dyDescent="0.2">
      <c r="B135" s="360" t="str">
        <f>IF(topdowntables!$N$4=1, "iLUC,  kg CO2 ækv. per ha", "iLUC, kg CO2 eq. per ha")</f>
        <v>iLUC,  kg CO2 ækv. per ha</v>
      </c>
      <c r="C135" s="597">
        <f>1430</f>
        <v>1430</v>
      </c>
      <c r="D135" s="597">
        <f>1430</f>
        <v>1430</v>
      </c>
      <c r="E135" s="597">
        <f>1430</f>
        <v>1430</v>
      </c>
      <c r="F135" s="597">
        <f>1430</f>
        <v>1430</v>
      </c>
      <c r="G135" s="597">
        <f>1430</f>
        <v>1430</v>
      </c>
      <c r="H135" s="597">
        <f>1430</f>
        <v>1430</v>
      </c>
      <c r="I135" s="597">
        <f>1430</f>
        <v>1430</v>
      </c>
      <c r="J135" s="597">
        <f>1430</f>
        <v>1430</v>
      </c>
      <c r="K135" s="597">
        <f>1430</f>
        <v>1430</v>
      </c>
      <c r="L135" s="597">
        <f>1430</f>
        <v>1430</v>
      </c>
      <c r="M135" s="598"/>
    </row>
    <row r="136" spans="2:13" x14ac:dyDescent="0.2">
      <c r="B136" s="361"/>
      <c r="C136" s="575"/>
      <c r="D136" s="575"/>
      <c r="E136" s="575"/>
      <c r="F136" s="575"/>
      <c r="G136" s="575"/>
      <c r="H136" s="575"/>
      <c r="I136" s="575"/>
      <c r="J136" s="575"/>
      <c r="K136" s="575"/>
      <c r="L136" s="575"/>
      <c r="M136" s="598"/>
    </row>
    <row r="137" spans="2:13" x14ac:dyDescent="0.2">
      <c r="B137" s="362" t="str">
        <f>IF(topdowntables!$N$4=1, "per kg TS", "per kg DM")</f>
        <v>per kg TS</v>
      </c>
      <c r="C137" s="57"/>
      <c r="D137" s="57"/>
      <c r="E137" s="57"/>
      <c r="F137" s="57"/>
      <c r="G137" s="57"/>
      <c r="H137" s="57"/>
      <c r="I137" s="57"/>
      <c r="J137" s="57"/>
      <c r="K137" s="57"/>
      <c r="L137" s="57"/>
      <c r="M137" s="598"/>
    </row>
    <row r="138" spans="2:13" x14ac:dyDescent="0.2">
      <c r="B138" s="361"/>
      <c r="C138" s="575"/>
      <c r="D138" s="575"/>
      <c r="E138" s="575"/>
      <c r="F138" s="575"/>
      <c r="G138" s="575"/>
      <c r="H138" s="575"/>
      <c r="I138" s="575"/>
      <c r="J138" s="575"/>
      <c r="K138" s="575"/>
      <c r="L138" s="575"/>
      <c r="M138" s="598"/>
    </row>
    <row r="139" spans="2:13" x14ac:dyDescent="0.2">
      <c r="B139" s="363" t="str">
        <f>IF(topdowntables!$N$4=1, "Klimaaftryk, kg CO2 ækv. per kg TS", "Climate change, kg CO2 eq. per kg DM")</f>
        <v>Klimaaftryk, kg CO2 ækv. per kg TS</v>
      </c>
      <c r="C139" s="575"/>
      <c r="D139" s="575"/>
      <c r="E139" s="575"/>
      <c r="F139" s="575"/>
      <c r="G139" s="575"/>
      <c r="H139" s="575"/>
      <c r="I139" s="575"/>
      <c r="J139" s="575"/>
      <c r="K139" s="575"/>
      <c r="L139" s="575"/>
      <c r="M139" s="598"/>
    </row>
    <row r="140" spans="2:13" x14ac:dyDescent="0.2">
      <c r="B140" s="363" t="str">
        <f>B119</f>
        <v xml:space="preserve">   hovedprodukt</v>
      </c>
      <c r="C140" s="580">
        <f t="shared" ref="C140:J140" si="73">IFERROR(C133*C$119/100/C$31, 0)</f>
        <v>0</v>
      </c>
      <c r="D140" s="580">
        <f t="shared" si="73"/>
        <v>0</v>
      </c>
      <c r="E140" s="580">
        <f t="shared" si="73"/>
        <v>0</v>
      </c>
      <c r="F140" s="580">
        <f t="shared" si="73"/>
        <v>0</v>
      </c>
      <c r="G140" s="580">
        <f t="shared" si="73"/>
        <v>0</v>
      </c>
      <c r="H140" s="580">
        <f t="shared" si="73"/>
        <v>0</v>
      </c>
      <c r="I140" s="580">
        <f t="shared" si="73"/>
        <v>0</v>
      </c>
      <c r="J140" s="580">
        <f t="shared" si="73"/>
        <v>0</v>
      </c>
      <c r="K140" s="580" t="str">
        <f t="shared" ref="K140:L140" si="74">IFERROR(K133*K$119/100/K$31, "")</f>
        <v/>
      </c>
      <c r="L140" s="580" t="str">
        <f t="shared" si="74"/>
        <v/>
      </c>
      <c r="M140" s="598"/>
    </row>
    <row r="141" spans="2:13" x14ac:dyDescent="0.2">
      <c r="B141" s="363" t="str">
        <f>B120</f>
        <v xml:space="preserve">   biprodukt (halm)</v>
      </c>
      <c r="C141" s="576">
        <f t="shared" ref="C141:J141" si="75">IFERROR(C133*C$120/100/(C$35*C$36/100), 0)</f>
        <v>0</v>
      </c>
      <c r="D141" s="576">
        <f t="shared" si="75"/>
        <v>0</v>
      </c>
      <c r="E141" s="576">
        <f t="shared" si="75"/>
        <v>0</v>
      </c>
      <c r="F141" s="576">
        <f t="shared" si="75"/>
        <v>0</v>
      </c>
      <c r="G141" s="578">
        <f t="shared" si="75"/>
        <v>0</v>
      </c>
      <c r="H141" s="578">
        <f t="shared" si="75"/>
        <v>0</v>
      </c>
      <c r="I141" s="576">
        <f t="shared" si="75"/>
        <v>0</v>
      </c>
      <c r="J141" s="576">
        <f t="shared" si="75"/>
        <v>0</v>
      </c>
      <c r="K141" s="576" t="str">
        <f t="shared" ref="K141:L141" si="76">IFERROR(K133*K$120/100/(K$35*K$36/100), "")</f>
        <v/>
      </c>
      <c r="L141" s="576" t="str">
        <f t="shared" si="76"/>
        <v/>
      </c>
      <c r="M141" s="598"/>
    </row>
    <row r="142" spans="2:13" x14ac:dyDescent="0.2">
      <c r="B142" s="351" t="str">
        <f>IF(topdowntables!N4=1, "C i jord 100 år perspektiv, kg CO2 ækv. per kg TS", "soil C change 100 years perspective, kg CO2 eq. per kg DM")</f>
        <v>C i jord 100 år perspektiv, kg CO2 ækv. per kg TS</v>
      </c>
      <c r="C142" s="580"/>
      <c r="D142" s="575"/>
      <c r="E142" s="575"/>
      <c r="F142" s="575"/>
      <c r="G142" s="575"/>
      <c r="H142" s="575"/>
      <c r="I142" s="575"/>
      <c r="J142" s="575"/>
      <c r="K142" s="575"/>
      <c r="L142" s="575"/>
      <c r="M142" s="598"/>
    </row>
    <row r="143" spans="2:13" x14ac:dyDescent="0.2">
      <c r="B143" s="363" t="str">
        <f>B140</f>
        <v xml:space="preserve">   hovedprodukt</v>
      </c>
      <c r="C143" s="580">
        <f t="shared" ref="C143:J143" si="77">IFERROR(C134*C$119/100/C$31, 0)</f>
        <v>0</v>
      </c>
      <c r="D143" s="580">
        <f t="shared" si="77"/>
        <v>0</v>
      </c>
      <c r="E143" s="580">
        <f t="shared" si="77"/>
        <v>0</v>
      </c>
      <c r="F143" s="580">
        <f t="shared" si="77"/>
        <v>0</v>
      </c>
      <c r="G143" s="580">
        <f t="shared" si="77"/>
        <v>0</v>
      </c>
      <c r="H143" s="580">
        <f t="shared" si="77"/>
        <v>0</v>
      </c>
      <c r="I143" s="580">
        <f t="shared" si="77"/>
        <v>0</v>
      </c>
      <c r="J143" s="580">
        <f t="shared" si="77"/>
        <v>0</v>
      </c>
      <c r="K143" s="580" t="str">
        <f t="shared" ref="K143:L143" si="78">IFERROR(K134*K$119/100/K$31, "")</f>
        <v/>
      </c>
      <c r="L143" s="580" t="str">
        <f t="shared" si="78"/>
        <v/>
      </c>
      <c r="M143" s="598"/>
    </row>
    <row r="144" spans="2:13" x14ac:dyDescent="0.2">
      <c r="B144" s="363" t="str">
        <f>B141</f>
        <v xml:space="preserve">   biprodukt (halm)</v>
      </c>
      <c r="C144" s="576">
        <f t="shared" ref="C144:J144" si="79">IFERROR(C134*C$120/100/(C$35*C$36/100), 0)</f>
        <v>0</v>
      </c>
      <c r="D144" s="576">
        <f t="shared" si="79"/>
        <v>0</v>
      </c>
      <c r="E144" s="576">
        <f t="shared" si="79"/>
        <v>0</v>
      </c>
      <c r="F144" s="576">
        <f t="shared" si="79"/>
        <v>0</v>
      </c>
      <c r="G144" s="580">
        <f t="shared" si="79"/>
        <v>0</v>
      </c>
      <c r="H144" s="580">
        <f t="shared" si="79"/>
        <v>0</v>
      </c>
      <c r="I144" s="580">
        <f t="shared" si="79"/>
        <v>0</v>
      </c>
      <c r="J144" s="580">
        <f t="shared" si="79"/>
        <v>0</v>
      </c>
      <c r="K144" s="580" t="str">
        <f t="shared" ref="K144:L144" si="80">IFERROR(K134*K$120/100/(K$35*K$36/100), "")</f>
        <v/>
      </c>
      <c r="L144" s="580" t="str">
        <f t="shared" si="80"/>
        <v/>
      </c>
      <c r="M144" s="598"/>
    </row>
    <row r="145" spans="2:13" x14ac:dyDescent="0.2">
      <c r="B145" s="351" t="str">
        <f>IF(topdowntables!$N$4=1, "iLUC,  kg CO2 ækv. per kg TS", "iLUC, kg CO2 eq. per kg DM")</f>
        <v>iLUC,  kg CO2 ækv. per kg TS</v>
      </c>
      <c r="C145" s="576"/>
      <c r="D145" s="576"/>
      <c r="E145" s="576"/>
      <c r="F145" s="576"/>
      <c r="G145" s="580"/>
      <c r="H145" s="580"/>
      <c r="I145" s="580"/>
      <c r="J145" s="580"/>
      <c r="K145" s="580"/>
      <c r="L145" s="580"/>
      <c r="M145" s="598"/>
    </row>
    <row r="146" spans="2:13" x14ac:dyDescent="0.2">
      <c r="B146" s="363" t="str">
        <f>B143</f>
        <v xml:space="preserve">   hovedprodukt</v>
      </c>
      <c r="C146" s="580">
        <f t="shared" ref="C146:J146" si="81">IFERROR(C135*C$119/100/C$31, 0)</f>
        <v>0</v>
      </c>
      <c r="D146" s="580">
        <f t="shared" si="81"/>
        <v>0</v>
      </c>
      <c r="E146" s="580">
        <f t="shared" si="81"/>
        <v>0</v>
      </c>
      <c r="F146" s="580">
        <f t="shared" si="81"/>
        <v>0</v>
      </c>
      <c r="G146" s="580">
        <f t="shared" si="81"/>
        <v>0</v>
      </c>
      <c r="H146" s="580">
        <f t="shared" si="81"/>
        <v>0</v>
      </c>
      <c r="I146" s="580">
        <f t="shared" si="81"/>
        <v>0</v>
      </c>
      <c r="J146" s="580">
        <f t="shared" si="81"/>
        <v>0</v>
      </c>
      <c r="K146" s="580" t="str">
        <f t="shared" ref="K146:L146" si="82">IFERROR(K135*K$119/100/K$31, "")</f>
        <v/>
      </c>
      <c r="L146" s="580" t="str">
        <f t="shared" si="82"/>
        <v/>
      </c>
      <c r="M146" s="598"/>
    </row>
    <row r="147" spans="2:13" ht="15" thickBot="1" x14ac:dyDescent="0.25">
      <c r="B147" s="364" t="str">
        <f>B144</f>
        <v xml:space="preserve">   biprodukt (halm)</v>
      </c>
      <c r="C147" s="593">
        <f t="shared" ref="C147:J147" si="83">IFERROR(C135*C$120/100/(C$35*C$36/100), 0)</f>
        <v>0</v>
      </c>
      <c r="D147" s="593">
        <f t="shared" si="83"/>
        <v>0</v>
      </c>
      <c r="E147" s="593">
        <f t="shared" si="83"/>
        <v>0</v>
      </c>
      <c r="F147" s="593">
        <f t="shared" si="83"/>
        <v>0</v>
      </c>
      <c r="G147" s="594">
        <f t="shared" si="83"/>
        <v>0</v>
      </c>
      <c r="H147" s="594">
        <f t="shared" si="83"/>
        <v>0</v>
      </c>
      <c r="I147" s="594">
        <f t="shared" si="83"/>
        <v>0</v>
      </c>
      <c r="J147" s="594">
        <f t="shared" si="83"/>
        <v>0</v>
      </c>
      <c r="K147" s="594" t="str">
        <f t="shared" ref="K147:L147" si="84">IFERROR(K135*K$120/100/(K$35*K$36/100), "")</f>
        <v/>
      </c>
      <c r="L147" s="593" t="str">
        <f t="shared" si="84"/>
        <v/>
      </c>
      <c r="M147" s="599"/>
    </row>
    <row r="148" spans="2:13" x14ac:dyDescent="0.2">
      <c r="B148" s="350"/>
    </row>
    <row r="149" spans="2:13" ht="15" thickBot="1" x14ac:dyDescent="0.25">
      <c r="B149" s="350"/>
    </row>
    <row r="150" spans="2:13" x14ac:dyDescent="0.2">
      <c r="B150" s="356"/>
      <c r="C150" s="357" t="str">
        <f t="shared" ref="C150:L150" si="85">C5</f>
        <v/>
      </c>
      <c r="D150" s="357" t="str">
        <f t="shared" si="85"/>
        <v/>
      </c>
      <c r="E150" s="357" t="str">
        <f t="shared" si="85"/>
        <v/>
      </c>
      <c r="F150" s="357" t="str">
        <f t="shared" si="85"/>
        <v/>
      </c>
      <c r="G150" s="357" t="str">
        <f t="shared" si="85"/>
        <v/>
      </c>
      <c r="H150" s="357" t="str">
        <f t="shared" si="85"/>
        <v/>
      </c>
      <c r="I150" s="357" t="str">
        <f t="shared" si="85"/>
        <v/>
      </c>
      <c r="J150" s="357" t="str">
        <f t="shared" si="85"/>
        <v/>
      </c>
      <c r="K150" s="357" t="str">
        <f t="shared" si="85"/>
        <v/>
      </c>
      <c r="L150" s="357" t="str">
        <f t="shared" si="85"/>
        <v/>
      </c>
      <c r="M150" s="358"/>
    </row>
    <row r="151" spans="2:13" x14ac:dyDescent="0.2">
      <c r="B151" s="359" t="str">
        <f>IF(topdowntables!$N$4=1, "Eutrofiering", "Eutrophication potential")</f>
        <v>Eutrofiering</v>
      </c>
      <c r="C151" s="57"/>
      <c r="D151" s="57"/>
      <c r="E151" s="57"/>
      <c r="F151" s="57"/>
      <c r="G151" s="57"/>
      <c r="H151" s="57"/>
      <c r="I151" s="57"/>
      <c r="J151" s="57"/>
      <c r="K151" s="57"/>
      <c r="L151" s="57"/>
      <c r="M151" s="598"/>
    </row>
    <row r="152" spans="2:13" x14ac:dyDescent="0.2">
      <c r="B152" s="360" t="str">
        <f>IF(topdowntables!$N$4=1, "Bidrag, kg NO3 ækv. per ha", "Contributors,  kg NO3 eq. per ha")</f>
        <v>Bidrag, kg NO3 ækv. per ha</v>
      </c>
      <c r="C152" s="575"/>
      <c r="D152" s="575"/>
      <c r="E152" s="575"/>
      <c r="F152" s="575"/>
      <c r="G152" s="575"/>
      <c r="H152" s="575"/>
      <c r="I152" s="575"/>
      <c r="J152" s="575"/>
      <c r="K152" s="575"/>
      <c r="L152" s="575"/>
      <c r="M152" s="598"/>
    </row>
    <row r="153" spans="2:13" x14ac:dyDescent="0.2">
      <c r="B153" s="351" t="str">
        <f>IF(topdowntables!$N$4=1, "  udsæd", "  production of seed")</f>
        <v xml:space="preserve">  udsæd</v>
      </c>
      <c r="C153" s="579">
        <f>IF(C6&gt;0, C20*'background data'!$L$31/1000, 0)</f>
        <v>0</v>
      </c>
      <c r="D153" s="579">
        <f>IF(D6&gt;0, D20*'background data'!$L$31/1000, 0)</f>
        <v>0</v>
      </c>
      <c r="E153" s="579">
        <f>IF(E6&gt;0, E20*'background data'!$L$31/1000, 0)</f>
        <v>0</v>
      </c>
      <c r="F153" s="579">
        <f>IF(F6&gt;0, F20*'background data'!$L$31/1000, 0)</f>
        <v>0</v>
      </c>
      <c r="G153" s="579">
        <f>IF(G6&gt;0, G20*'background data'!$L$31/1000, 0)</f>
        <v>0</v>
      </c>
      <c r="H153" s="579">
        <f>IF(H6&gt;0, H20*'background data'!$L$31/1000, 0)</f>
        <v>0</v>
      </c>
      <c r="I153" s="579">
        <f>IF(I6&gt;0, I20*'background data'!$L$31/1000, 0)</f>
        <v>0</v>
      </c>
      <c r="J153" s="579">
        <f>IF(J6&gt;0, J20*'background data'!$L$31/1000, 0)</f>
        <v>0</v>
      </c>
      <c r="K153" s="579">
        <f>IF(K6&gt;0, K20*'background data'!$L$31/1000, 0)</f>
        <v>0</v>
      </c>
      <c r="L153" s="579">
        <f>IF(L6&gt;0, L20*'background data'!$L$31/1000, 0)</f>
        <v>0</v>
      </c>
      <c r="M153" s="598"/>
    </row>
    <row r="154" spans="2:13" x14ac:dyDescent="0.2">
      <c r="B154" s="351" t="str">
        <f>IF(topdowntables!$N$4=1, "  diesel", "  production of diesel")</f>
        <v xml:space="preserve">  diesel</v>
      </c>
      <c r="C154" s="579">
        <f>IF(C6&gt;0, C26*'background data'!$L$34/1000, 0)</f>
        <v>0</v>
      </c>
      <c r="D154" s="579">
        <f>IF(D6&gt;0, D26*'background data'!$L$34/1000, 0)</f>
        <v>0</v>
      </c>
      <c r="E154" s="579">
        <f>IF(E6&gt;0, E26*'background data'!$L$34/1000, 0)</f>
        <v>0</v>
      </c>
      <c r="F154" s="579">
        <f>IF(F6&gt;0, F26*'background data'!$L$34/1000, 0)</f>
        <v>0</v>
      </c>
      <c r="G154" s="579">
        <f>IF(G6&gt;0, G26*'background data'!$L$34/1000, 0)</f>
        <v>0</v>
      </c>
      <c r="H154" s="579">
        <f>IF(H6&gt;0, H26*'background data'!$L$34/1000, 0)</f>
        <v>0</v>
      </c>
      <c r="I154" s="579">
        <f>IF(I6&gt;0, I26*'background data'!$L$34/1000, 0)</f>
        <v>0</v>
      </c>
      <c r="J154" s="579">
        <f>IF(J6&gt;0, J26*'background data'!$L$34/1000, 0)</f>
        <v>0</v>
      </c>
      <c r="K154" s="579">
        <f>IF(K6&gt;0, K26*'background data'!$L$34/1000, 0)</f>
        <v>0</v>
      </c>
      <c r="L154" s="579">
        <f>IF(L6&gt;0, L26*'background data'!$L$34/1000, 0)</f>
        <v>0</v>
      </c>
      <c r="M154" s="598"/>
    </row>
    <row r="155" spans="2:13" x14ac:dyDescent="0.2">
      <c r="B155" s="351" t="str">
        <f>IF(topdowntables!$N$4=1, "  olie", "  production of oil")</f>
        <v xml:space="preserve">  olie</v>
      </c>
      <c r="C155" s="579">
        <f>IF(C6&gt;0, (C25*1.13+C27)*'background data'!$L$35/1000, 0)</f>
        <v>0</v>
      </c>
      <c r="D155" s="579">
        <f>IF(D6&gt;0, (D25*1.13+D27)*'background data'!$L$35/1000, 0)</f>
        <v>0</v>
      </c>
      <c r="E155" s="579">
        <f>IF(E6&gt;0, (E25*1.13+E27)*'background data'!$L$35/1000, 0)</f>
        <v>0</v>
      </c>
      <c r="F155" s="579">
        <f>IF(F6&gt;0, (F25*1.13+F27)*'background data'!$L$35/1000, 0)</f>
        <v>0</v>
      </c>
      <c r="G155" s="579">
        <f>IF(G6&gt;0, (G25*1.13+G27)*'background data'!$L$35/1000, 0)</f>
        <v>0</v>
      </c>
      <c r="H155" s="579">
        <f>IF(H6&gt;0, (H25*1.13+H27)*'background data'!$L$35/1000, 0)</f>
        <v>0</v>
      </c>
      <c r="I155" s="579">
        <f>IF(I6&gt;0, (I25*1.13+I27)*'background data'!$L$35/1000, 0)</f>
        <v>0</v>
      </c>
      <c r="J155" s="579">
        <f>IF(J6&gt;0, (J25*1.13+J27)*'background data'!$L$35/1000, 0)</f>
        <v>0</v>
      </c>
      <c r="K155" s="579">
        <f>IF(K6&gt;0, (K25*1.13+K27)*'background data'!$L$35/1000, 0)</f>
        <v>0</v>
      </c>
      <c r="L155" s="579">
        <f>IF(L6&gt;0, (L25*1.13+L27)*'background data'!$L$35/1000, 0)</f>
        <v>0</v>
      </c>
      <c r="M155" s="598"/>
    </row>
    <row r="156" spans="2:13" x14ac:dyDescent="0.2">
      <c r="B156" s="351" t="str">
        <f>IF(topdowntables!$N$4=1, "  electricitet", "  electricity")</f>
        <v xml:space="preserve">  electricitet</v>
      </c>
      <c r="C156" s="579">
        <f>IF(C6&gt;0, C24*'background data'!$L$38/1000, 0)</f>
        <v>0</v>
      </c>
      <c r="D156" s="579">
        <f>IF(D6&gt;0, D24*'background data'!$L$38/1000, 0)</f>
        <v>0</v>
      </c>
      <c r="E156" s="579">
        <f>IF(E6&gt;0, E24*'background data'!$L$38/1000, 0)</f>
        <v>0</v>
      </c>
      <c r="F156" s="579">
        <f>IF(F6&gt;0, F24*'background data'!$L$38/1000, 0)</f>
        <v>0</v>
      </c>
      <c r="G156" s="579">
        <f>IF(G6&gt;0, G24*'background data'!$L$38/1000, 0)</f>
        <v>0</v>
      </c>
      <c r="H156" s="579">
        <f>IF(H6&gt;0, H24*'background data'!$L$38/1000, 0)</f>
        <v>0</v>
      </c>
      <c r="I156" s="579">
        <f>IF(I6&gt;0, I24*'background data'!$L$38/1000, 0)</f>
        <v>0</v>
      </c>
      <c r="J156" s="579">
        <f>IF(J6&gt;0, J24*'background data'!$L$38/1000, 0)</f>
        <v>0</v>
      </c>
      <c r="K156" s="579">
        <f>IF(K6&gt;0, K24*'background data'!$L$38/1000, 0)</f>
        <v>0</v>
      </c>
      <c r="L156" s="579">
        <f>IF(L6&gt;0, L24*'background data'!$L$38/1000, 0)</f>
        <v>0</v>
      </c>
      <c r="M156" s="598"/>
    </row>
    <row r="157" spans="2:13" x14ac:dyDescent="0.2">
      <c r="B157" s="351" t="str">
        <f>IF(topdowntables!$N$4=1, "  produktion af kalk", "  production of lime")</f>
        <v xml:space="preserve">  produktion af kalk</v>
      </c>
      <c r="C157" s="579">
        <f>IF(C6&gt;0, C21*'background data'!$L$27/1000, 0)</f>
        <v>0</v>
      </c>
      <c r="D157" s="579">
        <f>IF(D6&gt;0, D21*'background data'!$L$27/1000, 0)</f>
        <v>0</v>
      </c>
      <c r="E157" s="579">
        <f>IF(E6&gt;0, E21*'background data'!$L$27/1000, 0)</f>
        <v>0</v>
      </c>
      <c r="F157" s="579">
        <f>IF(F6&gt;0, F21*'background data'!$L$27/1000, 0)</f>
        <v>0</v>
      </c>
      <c r="G157" s="579">
        <f>IF(G6&gt;0, G21*'background data'!$L$27/1000, 0)</f>
        <v>0</v>
      </c>
      <c r="H157" s="579">
        <f>IF(H6&gt;0, H21*'background data'!$L$27/1000, 0)</f>
        <v>0</v>
      </c>
      <c r="I157" s="579">
        <f>IF(I6&gt;0, I21*'background data'!$L$27/1000, 0)</f>
        <v>0</v>
      </c>
      <c r="J157" s="579">
        <f>IF(J6&gt;0, J21*'background data'!$L$27/1000, 0)</f>
        <v>0</v>
      </c>
      <c r="K157" s="579">
        <f>IF(K6&gt;0, K21*'background data'!$L$27/1000, 0)</f>
        <v>0</v>
      </c>
      <c r="L157" s="579">
        <f>IF(L6&gt;0, L21*'background data'!$L$27/1000, 0)</f>
        <v>0</v>
      </c>
      <c r="M157" s="598"/>
    </row>
    <row r="158" spans="2:13" x14ac:dyDescent="0.2">
      <c r="B158" s="351" t="str">
        <f>IF(topdowntables!$N$4=1, "  NO3 udvaskning", "  NO3 leaching")</f>
        <v xml:space="preserve">  NO3 udvaskning</v>
      </c>
      <c r="C158" s="579">
        <f>IF(C6&gt;0, C101*62/14*'øvrige EFS-other EFs'!$I$29, 0)</f>
        <v>0</v>
      </c>
      <c r="D158" s="579">
        <f>IF(D6&gt;0, D101*62/14*'øvrige EFS-other EFs'!$I$29, 0)</f>
        <v>0</v>
      </c>
      <c r="E158" s="579">
        <f>IF(E6&gt;0, E101*62/14*'øvrige EFS-other EFs'!$I$29, 0)</f>
        <v>0</v>
      </c>
      <c r="F158" s="579">
        <f>IF(F6&gt;0, F101*62/14*'øvrige EFS-other EFs'!$I$29, 0)</f>
        <v>0</v>
      </c>
      <c r="G158" s="579">
        <f>IF(G6&gt;0, G101*62/14*'øvrige EFS-other EFs'!$I$29, 0)</f>
        <v>0</v>
      </c>
      <c r="H158" s="579">
        <f>IF(H6&gt;0, H101*62/14*'øvrige EFS-other EFs'!$I$29, 0)</f>
        <v>0</v>
      </c>
      <c r="I158" s="579">
        <f>IF(I6&gt;0, I101*62/14*'øvrige EFS-other EFs'!$I$29, 0)</f>
        <v>0</v>
      </c>
      <c r="J158" s="579">
        <f>IF(J6&gt;0, J101*62/14*'øvrige EFS-other EFs'!$I$29, 0)</f>
        <v>0</v>
      </c>
      <c r="K158" s="579">
        <f>IF(K6&gt;0, K101*62/14*'øvrige EFS-other EFs'!$I$29, 0)</f>
        <v>0</v>
      </c>
      <c r="L158" s="579">
        <f>IF(L6&gt;0, L101*62/14*'øvrige EFS-other EFs'!$I$29, 0)</f>
        <v>0</v>
      </c>
      <c r="M158" s="598"/>
    </row>
    <row r="159" spans="2:13" x14ac:dyDescent="0.2">
      <c r="B159" s="351" t="str">
        <f>IF(topdowntables!$N$4=1, "  PO4 udvaskning", "  PO4 leaching")</f>
        <v xml:space="preserve">  PO4 udvaskning</v>
      </c>
      <c r="C159" s="579">
        <f>IF(C6&gt;0, C115*'øvrige EFS-other EFs'!$I$30, 0)</f>
        <v>0</v>
      </c>
      <c r="D159" s="579">
        <f>IF(D6&gt;0, D115*'øvrige EFS-other EFs'!$I$30, 0)</f>
        <v>0</v>
      </c>
      <c r="E159" s="579">
        <f>IF(E6&gt;0, E115*'øvrige EFS-other EFs'!$I$30, 0)</f>
        <v>0</v>
      </c>
      <c r="F159" s="579">
        <f>IF(F6&gt;0, F115*'øvrige EFS-other EFs'!$I$30, 0)</f>
        <v>0</v>
      </c>
      <c r="G159" s="579">
        <f>IF(G6&gt;0, G115*'øvrige EFS-other EFs'!$I$30, 0)</f>
        <v>0</v>
      </c>
      <c r="H159" s="579">
        <f>IF(H6&gt;0, H115*'øvrige EFS-other EFs'!$I$30, 0)</f>
        <v>0</v>
      </c>
      <c r="I159" s="579">
        <f>IF(I6&gt;0, I115*'øvrige EFS-other EFs'!$I$30, 0)</f>
        <v>0</v>
      </c>
      <c r="J159" s="579">
        <f>IF(J6&gt;0, J115*'øvrige EFS-other EFs'!$I$30, 0)</f>
        <v>0</v>
      </c>
      <c r="K159" s="579">
        <f>IF(K6&gt;0, K115*'øvrige EFS-other EFs'!$I$30, 0)</f>
        <v>0</v>
      </c>
      <c r="L159" s="579">
        <f>IF(L6&gt;0, L115*'øvrige EFS-other EFs'!$I$30, 0)</f>
        <v>0</v>
      </c>
      <c r="M159" s="598"/>
    </row>
    <row r="160" spans="2:13" x14ac:dyDescent="0.2">
      <c r="B160" s="351" t="str">
        <f>IF(topdowntables!$N$4=1, "  NH3 emissioner", "  NH3 emission")</f>
        <v xml:space="preserve">  NH3 emissioner</v>
      </c>
      <c r="C160" s="579">
        <f>IF(C6&gt;0, C96*17/14*'øvrige EFS-other EFs'!$I$31, 0)</f>
        <v>0</v>
      </c>
      <c r="D160" s="579">
        <f>IF(D6&gt;0, D96*17/14*'øvrige EFS-other EFs'!$I$31, 0)</f>
        <v>0</v>
      </c>
      <c r="E160" s="579">
        <f>IF(E6&gt;0, E96*17/14*'øvrige EFS-other EFs'!$I$31, 0)</f>
        <v>0</v>
      </c>
      <c r="F160" s="579">
        <f>IF(F6&gt;0, F96*17/14*'øvrige EFS-other EFs'!$I$31, 0)</f>
        <v>0</v>
      </c>
      <c r="G160" s="579">
        <f>IF(G6&gt;0, G96*17/14*'øvrige EFS-other EFs'!$I$31, 0)</f>
        <v>0</v>
      </c>
      <c r="H160" s="579">
        <f>IF(H6&gt;0, H96*17/14*'øvrige EFS-other EFs'!$I$31, 0)</f>
        <v>0</v>
      </c>
      <c r="I160" s="579">
        <f>IF(I6&gt;0, I96*17/14*'øvrige EFS-other EFs'!$I$31, 0)</f>
        <v>0</v>
      </c>
      <c r="J160" s="579">
        <f>IF(J6&gt;0, J96*17/14*'øvrige EFS-other EFs'!$I$31, 0)</f>
        <v>0</v>
      </c>
      <c r="K160" s="579">
        <f>IF(K6&gt;0, K96*17/14*'øvrige EFS-other EFs'!$I$31, 0)</f>
        <v>0</v>
      </c>
      <c r="L160" s="579">
        <f>IF(L6&gt;0, L96*17/14*'øvrige EFS-other EFs'!$I$31, 0)</f>
        <v>0</v>
      </c>
      <c r="M160" s="598"/>
    </row>
    <row r="161" spans="2:13" x14ac:dyDescent="0.2">
      <c r="B161" s="351" t="str">
        <f>IF(topdowntables!$N$4=1, "  NOx emissioner", "  NOx emission")</f>
        <v xml:space="preserve">  NOx emissioner</v>
      </c>
      <c r="C161" s="579">
        <f>IF(C6&gt;0, C97*30/14*'øvrige EFS-other EFs'!$I$32, 0)</f>
        <v>0</v>
      </c>
      <c r="D161" s="579">
        <f>IF(D6&gt;0, D97*30/14*'øvrige EFS-other EFs'!$I$32, 0)</f>
        <v>0</v>
      </c>
      <c r="E161" s="579">
        <f>IF(E6&gt;0, E97*30/14*'øvrige EFS-other EFs'!$I$32, 0)</f>
        <v>0</v>
      </c>
      <c r="F161" s="579">
        <f>IF(F6&gt;0, F97*30/14*'øvrige EFS-other EFs'!$I$32, 0)</f>
        <v>0</v>
      </c>
      <c r="G161" s="579">
        <f>IF(G6&gt;0, G97*30/14*'øvrige EFS-other EFs'!$I$32, 0)</f>
        <v>0</v>
      </c>
      <c r="H161" s="579">
        <f>IF(H6&gt;0, H97*30/14*'øvrige EFS-other EFs'!$I$32, 0)</f>
        <v>0</v>
      </c>
      <c r="I161" s="579">
        <f>IF(I6&gt;0, I97*30/14*'øvrige EFS-other EFs'!$I$32, 0)</f>
        <v>0</v>
      </c>
      <c r="J161" s="579">
        <f>IF(J6&gt;0, J97*30/14*'øvrige EFS-other EFs'!$I$32, 0)</f>
        <v>0</v>
      </c>
      <c r="K161" s="579">
        <f>IF(K6&gt;0, K97*30/14*'øvrige EFS-other EFs'!$I$32, 0)</f>
        <v>0</v>
      </c>
      <c r="L161" s="579">
        <f>IF(L6&gt;0, L97*30/14*'øvrige EFS-other EFs'!$I$32, 0)</f>
        <v>0</v>
      </c>
      <c r="M161" s="598"/>
    </row>
    <row r="162" spans="2:13" x14ac:dyDescent="0.2">
      <c r="B162" s="360" t="str">
        <f>IF(topdowntables!$N$4=1, "Total emission, kg N03 ækv. per ha", "Total,  kg NO3 eq. per ha")</f>
        <v>Total emission, kg N03 ækv. per ha</v>
      </c>
      <c r="C162" s="579">
        <f>IFERROR(SUM(C153:C161), 0)</f>
        <v>0</v>
      </c>
      <c r="D162" s="579">
        <f>IFERROR(SUM(D153:D161), 0)</f>
        <v>0</v>
      </c>
      <c r="E162" s="579">
        <f t="shared" ref="E162:F162" si="86">IFERROR(SUM(E153:E161), 0)</f>
        <v>0</v>
      </c>
      <c r="F162" s="579">
        <f t="shared" si="86"/>
        <v>0</v>
      </c>
      <c r="G162" s="579">
        <f>IFERROR(SUM(G153:G161), 0)</f>
        <v>0</v>
      </c>
      <c r="H162" s="579">
        <f t="shared" ref="H162:L162" si="87">IFERROR(SUM(H153:H161), 0)</f>
        <v>0</v>
      </c>
      <c r="I162" s="579">
        <f t="shared" si="87"/>
        <v>0</v>
      </c>
      <c r="J162" s="579">
        <f t="shared" si="87"/>
        <v>0</v>
      </c>
      <c r="K162" s="579">
        <f t="shared" si="87"/>
        <v>0</v>
      </c>
      <c r="L162" s="579">
        <f t="shared" si="87"/>
        <v>0</v>
      </c>
      <c r="M162" s="598"/>
    </row>
    <row r="163" spans="2:13" x14ac:dyDescent="0.2">
      <c r="B163" s="360"/>
      <c r="C163" s="575"/>
      <c r="D163" s="575"/>
      <c r="E163" s="575"/>
      <c r="F163" s="575"/>
      <c r="G163" s="575"/>
      <c r="H163" s="575"/>
      <c r="I163" s="575"/>
      <c r="J163" s="575"/>
      <c r="K163" s="575"/>
      <c r="L163" s="575"/>
      <c r="M163" s="598"/>
    </row>
    <row r="164" spans="2:13" x14ac:dyDescent="0.2">
      <c r="B164" s="362" t="str">
        <f>IF(topdowntables!$N$4=1, "per kg TS", "per kg DM")</f>
        <v>per kg TS</v>
      </c>
      <c r="C164" s="57"/>
      <c r="D164" s="57"/>
      <c r="E164" s="57"/>
      <c r="F164" s="57"/>
      <c r="G164" s="57"/>
      <c r="H164" s="57"/>
      <c r="I164" s="57"/>
      <c r="J164" s="57"/>
      <c r="K164" s="57"/>
      <c r="L164" s="57"/>
      <c r="M164" s="598"/>
    </row>
    <row r="165" spans="2:13" x14ac:dyDescent="0.2">
      <c r="B165" s="351" t="str">
        <f>IF(topdowntables!$N$4=1, "Eutrofiering, kg NO3 ækv. per kg TS", "Eutrophication potential,  kg NO3 eq. per kg DM")</f>
        <v>Eutrofiering, kg NO3 ækv. per kg TS</v>
      </c>
      <c r="C165" s="575"/>
      <c r="D165" s="575"/>
      <c r="E165" s="575"/>
      <c r="F165" s="575"/>
      <c r="G165" s="575"/>
      <c r="H165" s="575"/>
      <c r="I165" s="575"/>
      <c r="J165" s="575"/>
      <c r="K165" s="575"/>
      <c r="L165" s="575"/>
      <c r="M165" s="598"/>
    </row>
    <row r="166" spans="2:13" x14ac:dyDescent="0.2">
      <c r="B166" s="351" t="str">
        <f>B140</f>
        <v xml:space="preserve">   hovedprodukt</v>
      </c>
      <c r="C166" s="578">
        <f>IFERROR(C162*C$119/100/C$31, 0)</f>
        <v>0</v>
      </c>
      <c r="D166" s="578">
        <f t="shared" ref="D166:F166" si="88">IFERROR(D162*D$119/100/D$31, 0)</f>
        <v>0</v>
      </c>
      <c r="E166" s="578">
        <f t="shared" si="88"/>
        <v>0</v>
      </c>
      <c r="F166" s="578">
        <f t="shared" si="88"/>
        <v>0</v>
      </c>
      <c r="G166" s="578">
        <f>IFERROR(G162*G$119/100/G$31, 0)</f>
        <v>0</v>
      </c>
      <c r="H166" s="578">
        <f t="shared" ref="H166:L166" si="89">IFERROR(H162*H$119/100/H$31, 0)</f>
        <v>0</v>
      </c>
      <c r="I166" s="578">
        <f t="shared" si="89"/>
        <v>0</v>
      </c>
      <c r="J166" s="578">
        <f t="shared" si="89"/>
        <v>0</v>
      </c>
      <c r="K166" s="578">
        <f t="shared" si="89"/>
        <v>0</v>
      </c>
      <c r="L166" s="578">
        <f t="shared" si="89"/>
        <v>0</v>
      </c>
      <c r="M166" s="598"/>
    </row>
    <row r="167" spans="2:13" x14ac:dyDescent="0.2">
      <c r="B167" s="351" t="str">
        <f>B141</f>
        <v xml:space="preserve">   biprodukt (halm)</v>
      </c>
      <c r="C167" s="576">
        <f>IFERROR(C162*C$120/100/(C$35*C$36/100), 0)</f>
        <v>0</v>
      </c>
      <c r="D167" s="576">
        <f t="shared" ref="D167:F167" si="90">IFERROR(D162*D$120/100/(D$35*D$36/100), 0)</f>
        <v>0</v>
      </c>
      <c r="E167" s="576">
        <f t="shared" si="90"/>
        <v>0</v>
      </c>
      <c r="F167" s="576">
        <f t="shared" si="90"/>
        <v>0</v>
      </c>
      <c r="G167" s="578">
        <f>IFERROR(G162*G$120/100/(G$35*G$36/100), 0)</f>
        <v>0</v>
      </c>
      <c r="H167" s="578">
        <f t="shared" ref="H167:L167" si="91">IFERROR(H162*H$120/100/(H$35*H$36/100), 0)</f>
        <v>0</v>
      </c>
      <c r="I167" s="578">
        <f t="shared" si="91"/>
        <v>0</v>
      </c>
      <c r="J167" s="578">
        <f t="shared" si="91"/>
        <v>0</v>
      </c>
      <c r="K167" s="578">
        <f t="shared" si="91"/>
        <v>0</v>
      </c>
      <c r="L167" s="578">
        <f t="shared" si="91"/>
        <v>0</v>
      </c>
      <c r="M167" s="598"/>
    </row>
    <row r="168" spans="2:13" ht="15" thickBot="1" x14ac:dyDescent="0.25">
      <c r="B168" s="366"/>
      <c r="C168" s="600"/>
      <c r="D168" s="600"/>
      <c r="E168" s="600"/>
      <c r="F168" s="600"/>
      <c r="G168" s="600"/>
      <c r="H168" s="600"/>
      <c r="I168" s="600"/>
      <c r="J168" s="600"/>
      <c r="K168" s="600"/>
      <c r="L168" s="600"/>
      <c r="M168" s="599"/>
    </row>
    <row r="169" spans="2:13" ht="15" thickBot="1" x14ac:dyDescent="0.25">
      <c r="B169" s="264"/>
    </row>
    <row r="170" spans="2:13" x14ac:dyDescent="0.2">
      <c r="B170" s="356"/>
      <c r="C170" s="357" t="str">
        <f t="shared" ref="C170:L170" si="92">C5</f>
        <v/>
      </c>
      <c r="D170" s="357" t="str">
        <f t="shared" si="92"/>
        <v/>
      </c>
      <c r="E170" s="357" t="str">
        <f t="shared" si="92"/>
        <v/>
      </c>
      <c r="F170" s="357" t="str">
        <f t="shared" si="92"/>
        <v/>
      </c>
      <c r="G170" s="357" t="str">
        <f t="shared" si="92"/>
        <v/>
      </c>
      <c r="H170" s="357" t="str">
        <f t="shared" si="92"/>
        <v/>
      </c>
      <c r="I170" s="357" t="str">
        <f t="shared" si="92"/>
        <v/>
      </c>
      <c r="J170" s="357" t="str">
        <f t="shared" si="92"/>
        <v/>
      </c>
      <c r="K170" s="357" t="str">
        <f t="shared" si="92"/>
        <v/>
      </c>
      <c r="L170" s="357" t="str">
        <f t="shared" si="92"/>
        <v/>
      </c>
      <c r="M170" s="358"/>
    </row>
    <row r="171" spans="2:13" x14ac:dyDescent="0.2">
      <c r="B171" s="359" t="str">
        <f>IF(topdowntables!$N$4=1, "Forsuring potentiel", "Acidification potential")</f>
        <v>Forsuring potentiel</v>
      </c>
      <c r="C171" s="57"/>
      <c r="D171" s="57"/>
      <c r="E171" s="57"/>
      <c r="F171" s="57"/>
      <c r="G171" s="57"/>
      <c r="H171" s="57"/>
      <c r="I171" s="57"/>
      <c r="J171" s="57"/>
      <c r="K171" s="57"/>
      <c r="L171" s="57"/>
      <c r="M171" s="598"/>
    </row>
    <row r="172" spans="2:13" x14ac:dyDescent="0.2">
      <c r="B172" s="360" t="str">
        <f>IF(topdowntables!$N$4=1, "Bidrag, kg SO2 ækv. per ha", "Contributors,  kg SO2 eq. per ha")</f>
        <v>Bidrag, kg SO2 ækv. per ha</v>
      </c>
      <c r="C172" s="575"/>
      <c r="D172" s="575"/>
      <c r="E172" s="575"/>
      <c r="F172" s="575"/>
      <c r="G172" s="575"/>
      <c r="H172" s="575"/>
      <c r="I172" s="575"/>
      <c r="J172" s="575"/>
      <c r="K172" s="575"/>
      <c r="L172" s="575"/>
      <c r="M172" s="598"/>
    </row>
    <row r="173" spans="2:13" x14ac:dyDescent="0.2">
      <c r="B173" s="351" t="str">
        <f>IF(topdowntables!$N$4=1, "  udsæd", "  production of seed")</f>
        <v xml:space="preserve">  udsæd</v>
      </c>
      <c r="C173" s="579">
        <f>IF(C6&gt;0, C20*'background data'!$N$31/1000, 0)</f>
        <v>0</v>
      </c>
      <c r="D173" s="579">
        <f>IF(D6&gt;0, D20*'background data'!$N$31/1000, 0)</f>
        <v>0</v>
      </c>
      <c r="E173" s="579">
        <f>IF(E6&gt;0, E20*'background data'!$N$31/1000, 0)</f>
        <v>0</v>
      </c>
      <c r="F173" s="579">
        <f>IF(F6&gt;0, F20*'background data'!$N$31/1000, 0)</f>
        <v>0</v>
      </c>
      <c r="G173" s="579">
        <f>IF(G6&gt;0, G20*'background data'!$N$31/1000, 0)</f>
        <v>0</v>
      </c>
      <c r="H173" s="579">
        <f>IF(H6&gt;0, H20*'background data'!$N$31/1000, 0)</f>
        <v>0</v>
      </c>
      <c r="I173" s="579">
        <f>IF(I6&gt;0, I20*'background data'!$N$31/1000, 0)</f>
        <v>0</v>
      </c>
      <c r="J173" s="579">
        <f>IF(J6&gt;0, J20*'background data'!$N$31/1000, 0)</f>
        <v>0</v>
      </c>
      <c r="K173" s="579">
        <f>IF(K6&gt;0, K20*'background data'!$N$31/1000, 0)</f>
        <v>0</v>
      </c>
      <c r="L173" s="579">
        <f>IF(L6&gt;0, L20*'background data'!$N$31/1000, 0)</f>
        <v>0</v>
      </c>
      <c r="M173" s="598"/>
    </row>
    <row r="174" spans="2:13" x14ac:dyDescent="0.2">
      <c r="B174" s="351" t="str">
        <f>IF(topdowntables!$N$4=1, "  diesel", "  production of diesel")</f>
        <v xml:space="preserve">  diesel</v>
      </c>
      <c r="C174" s="579">
        <f>IF(C6&gt;0, C26*'background data'!$N$34/1000, 0)</f>
        <v>0</v>
      </c>
      <c r="D174" s="579">
        <f>IF(D6&gt;0, D26*'background data'!$N$34/1000, 0)</f>
        <v>0</v>
      </c>
      <c r="E174" s="579">
        <f>IF(E6&gt;0, E26*'background data'!$N$34/1000, 0)</f>
        <v>0</v>
      </c>
      <c r="F174" s="579">
        <f>IF(F6&gt;0, F26*'background data'!$N$34/1000, 0)</f>
        <v>0</v>
      </c>
      <c r="G174" s="579">
        <f>IF(G6&gt;0, G26*'background data'!$N$34/1000, 0)</f>
        <v>0</v>
      </c>
      <c r="H174" s="579">
        <f>IF(H6&gt;0, H26*'background data'!$N$34/1000, 0)</f>
        <v>0</v>
      </c>
      <c r="I174" s="579">
        <f>IF(I6&gt;0, I26*'background data'!$N$34/1000, 0)</f>
        <v>0</v>
      </c>
      <c r="J174" s="579">
        <f>IF(J6&gt;0, J26*'background data'!$N$34/1000, 0)</f>
        <v>0</v>
      </c>
      <c r="K174" s="579">
        <f>IF(K6&gt;0, K26*'background data'!$N$34/1000, 0)</f>
        <v>0</v>
      </c>
      <c r="L174" s="579">
        <f>IF(L6&gt;0, L26*'background data'!$N$34/1000, 0)</f>
        <v>0</v>
      </c>
      <c r="M174" s="598"/>
    </row>
    <row r="175" spans="2:13" x14ac:dyDescent="0.2">
      <c r="B175" s="351" t="str">
        <f>IF(topdowntables!$N$4=1, "  olie", "  production of oil")</f>
        <v xml:space="preserve">  olie</v>
      </c>
      <c r="C175" s="579">
        <f>IF(C6&gt;0, (C25*1.13+C47)*'background data'!$N$35/1000, 0)</f>
        <v>0</v>
      </c>
      <c r="D175" s="579">
        <f>IF(D6&gt;0, (D25*1.13+D47)*'background data'!$N$35/1000, 0)</f>
        <v>0</v>
      </c>
      <c r="E175" s="579">
        <f>IF(E6&gt;0, (E25*1.13+E47)*'background data'!$N$35/1000, 0)</f>
        <v>0</v>
      </c>
      <c r="F175" s="579">
        <f>IF(F6&gt;0, (F25*1.13+F47)*'background data'!$N$35/1000, 0)</f>
        <v>0</v>
      </c>
      <c r="G175" s="579">
        <f>IF(G6&gt;0, (G25*1.13+G47)*'background data'!$N$35/1000, 0)</f>
        <v>0</v>
      </c>
      <c r="H175" s="579">
        <f>IF(H6&gt;0, (H25*1.13+H47)*'background data'!$N$35/1000, 0)</f>
        <v>0</v>
      </c>
      <c r="I175" s="579">
        <f>IF(I6&gt;0, (I25*1.13+I47)*'background data'!$N$35/1000, 0)</f>
        <v>0</v>
      </c>
      <c r="J175" s="579">
        <f>IF(J6&gt;0, (J25*1.13+J47)*'background data'!$N$35/1000, 0)</f>
        <v>0</v>
      </c>
      <c r="K175" s="579">
        <f>IF(K6&gt;0, (K25*1.13+K47)*'background data'!$N$35/1000, 0)</f>
        <v>0</v>
      </c>
      <c r="L175" s="579">
        <f>IF(L6&gt;0, (L25*1.13+L47)*'background data'!$N$35/1000, 0)</f>
        <v>0</v>
      </c>
      <c r="M175" s="598"/>
    </row>
    <row r="176" spans="2:13" x14ac:dyDescent="0.2">
      <c r="B176" s="351" t="str">
        <f>IF(topdowntables!$N$4=1, "  electricitet", "  electricity")</f>
        <v xml:space="preserve">  electricitet</v>
      </c>
      <c r="C176" s="579">
        <f>IF(C6&gt;0, C24*'background data'!$N$38/1000, 0)</f>
        <v>0</v>
      </c>
      <c r="D176" s="579">
        <f>IF(D6&gt;0, D24*'background data'!$N$38/1000, 0)</f>
        <v>0</v>
      </c>
      <c r="E176" s="579">
        <f>IF(E6&gt;0, E24*'background data'!$N$38/1000, 0)</f>
        <v>0</v>
      </c>
      <c r="F176" s="579">
        <f>IF(F6&gt;0, F24*'background data'!$N$38/1000, 0)</f>
        <v>0</v>
      </c>
      <c r="G176" s="579">
        <f>IF(G6&gt;0, G24*'background data'!$N$38/1000, 0)</f>
        <v>0</v>
      </c>
      <c r="H176" s="579">
        <f>IF(H6&gt;0, H24*'background data'!$N$38/1000, 0)</f>
        <v>0</v>
      </c>
      <c r="I176" s="579">
        <f>IF(I6&gt;0, I24*'background data'!$N$38/1000, 0)</f>
        <v>0</v>
      </c>
      <c r="J176" s="579">
        <f>IF(J6&gt;0, J24*'background data'!$N$38/1000, 0)</f>
        <v>0</v>
      </c>
      <c r="K176" s="579">
        <f>IF(K6&gt;0, K24*'background data'!$N$38/1000, 0)</f>
        <v>0</v>
      </c>
      <c r="L176" s="579">
        <f>IF(L6&gt;0, L24*'background data'!$N$38/1000, 0)</f>
        <v>0</v>
      </c>
      <c r="M176" s="598"/>
    </row>
    <row r="177" spans="2:13" x14ac:dyDescent="0.2">
      <c r="B177" s="351" t="str">
        <f>IF(topdowntables!$N$4=1, "  produktion af kalk", "  production of lime")</f>
        <v xml:space="preserve">  produktion af kalk</v>
      </c>
      <c r="C177" s="579">
        <f>IF(C6&gt;0, C21*'background data'!$N$27/1000, 0)</f>
        <v>0</v>
      </c>
      <c r="D177" s="579">
        <f>IF(D6&gt;0, D21*'background data'!$N$27/1000, 0)</f>
        <v>0</v>
      </c>
      <c r="E177" s="579">
        <f>IF(E6&gt;0, E21*'background data'!$N$27/1000, 0)</f>
        <v>0</v>
      </c>
      <c r="F177" s="579">
        <f>IF(F6&gt;0, F21*'background data'!$N$27/1000, 0)</f>
        <v>0</v>
      </c>
      <c r="G177" s="579">
        <f>IF(G6&gt;0, G21*'background data'!$N$27/1000, 0)</f>
        <v>0</v>
      </c>
      <c r="H177" s="579">
        <f>IF(H6&gt;0, H21*'background data'!$N$27/1000, 0)</f>
        <v>0</v>
      </c>
      <c r="I177" s="579">
        <f>IF(I6&gt;0, I21*'background data'!$N$27/1000, 0)</f>
        <v>0</v>
      </c>
      <c r="J177" s="579">
        <f>IF(J6&gt;0, J21*'background data'!$N$27/1000, 0)</f>
        <v>0</v>
      </c>
      <c r="K177" s="579">
        <f>IF(K6&gt;0, K21*'background data'!$N$27/1000, 0)</f>
        <v>0</v>
      </c>
      <c r="L177" s="579">
        <f>IF(L6&gt;0, L21*'background data'!$N$27/1000, 0)</f>
        <v>0</v>
      </c>
      <c r="M177" s="598"/>
    </row>
    <row r="178" spans="2:13" x14ac:dyDescent="0.2">
      <c r="B178" s="351" t="str">
        <f>IF(topdowntables!$N$4=1, "  NH3 emissioner", "  NH3 emission")</f>
        <v xml:space="preserve">  NH3 emissioner</v>
      </c>
      <c r="C178" s="579">
        <f>IF(C6&gt;0, C96*17/14*'øvrige EFS-other EFs'!$K$31, 0)</f>
        <v>0</v>
      </c>
      <c r="D178" s="579">
        <f>IF(D6&gt;0, D96*17/14*'øvrige EFS-other EFs'!$K$31, 0)</f>
        <v>0</v>
      </c>
      <c r="E178" s="579">
        <f>IF(E6&gt;0, E96*17/14*'øvrige EFS-other EFs'!$K$31, 0)</f>
        <v>0</v>
      </c>
      <c r="F178" s="579">
        <f>IF(F6&gt;0, F96*17/14*'øvrige EFS-other EFs'!$K$31, 0)</f>
        <v>0</v>
      </c>
      <c r="G178" s="579">
        <f>IF(G6&gt;0, G96*17/14*'øvrige EFS-other EFs'!$K$31, 0)</f>
        <v>0</v>
      </c>
      <c r="H178" s="579">
        <f>IF(H6&gt;0, H96*17/14*'øvrige EFS-other EFs'!$K$31, 0)</f>
        <v>0</v>
      </c>
      <c r="I178" s="579">
        <f>IF(I6&gt;0, I96*17/14*'øvrige EFS-other EFs'!$K$31, 0)</f>
        <v>0</v>
      </c>
      <c r="J178" s="579">
        <f>IF(J6&gt;0, J96*17/14*'øvrige EFS-other EFs'!$K$31, 0)</f>
        <v>0</v>
      </c>
      <c r="K178" s="579">
        <f>IF(K6&gt;0, K96*17/14*'øvrige EFS-other EFs'!$K$31, 0)</f>
        <v>0</v>
      </c>
      <c r="L178" s="579">
        <f>IF(L6&gt;0, L96*17/14*'øvrige EFS-other EFs'!$K$31, 0)</f>
        <v>0</v>
      </c>
      <c r="M178" s="598"/>
    </row>
    <row r="179" spans="2:13" x14ac:dyDescent="0.2">
      <c r="B179" s="351" t="str">
        <f>IF(topdowntables!$N$4=1, "  NOx emissioner", "  NOx emission")</f>
        <v xml:space="preserve">  NOx emissioner</v>
      </c>
      <c r="C179" s="579">
        <f>IF(C6&gt;0, C97*30/14*'øvrige EFS-other EFs'!$K$32, 0)</f>
        <v>0</v>
      </c>
      <c r="D179" s="579">
        <f>IF(D6&gt;0, D97*30/14*'øvrige EFS-other EFs'!$K$32, 0)</f>
        <v>0</v>
      </c>
      <c r="E179" s="579">
        <f>IF(E6&gt;0, E97*30/14*'øvrige EFS-other EFs'!$K$32, 0)</f>
        <v>0</v>
      </c>
      <c r="F179" s="579">
        <f>IF(F6&gt;0, F97*30/14*'øvrige EFS-other EFs'!$K$32, 0)</f>
        <v>0</v>
      </c>
      <c r="G179" s="579">
        <f>IF(G6&gt;0, G97*30/14*'øvrige EFS-other EFs'!$K$32, 0)</f>
        <v>0</v>
      </c>
      <c r="H179" s="579">
        <f>IF(H6&gt;0, H97*30/14*'øvrige EFS-other EFs'!$K$32, 0)</f>
        <v>0</v>
      </c>
      <c r="I179" s="579">
        <f>IF(I6&gt;0, I97*30/14*'øvrige EFS-other EFs'!$K$32, 0)</f>
        <v>0</v>
      </c>
      <c r="J179" s="579">
        <f>IF(J6&gt;0, J97*30/14*'øvrige EFS-other EFs'!$K$32, 0)</f>
        <v>0</v>
      </c>
      <c r="K179" s="579">
        <f>IF(K6&gt;0, K97*30/14*'øvrige EFS-other EFs'!$K$32, 0)</f>
        <v>0</v>
      </c>
      <c r="L179" s="579">
        <f>IF(L6&gt;0, L97*30/14*'øvrige EFS-other EFs'!$K$32, 0)</f>
        <v>0</v>
      </c>
      <c r="M179" s="598"/>
    </row>
    <row r="180" spans="2:13" x14ac:dyDescent="0.2">
      <c r="B180" s="360" t="str">
        <f>IF(topdowntables!$N$4=1, "Total emission, kg SO2 ækv. per ha", "Total,  kg SO2 eq. per ha")</f>
        <v>Total emission, kg SO2 ækv. per ha</v>
      </c>
      <c r="C180" s="579">
        <f>IFERROR(SUM(C173:C179), 0)</f>
        <v>0</v>
      </c>
      <c r="D180" s="579">
        <f t="shared" ref="D180:F180" si="93">IFERROR(SUM(D173:D179), 0)</f>
        <v>0</v>
      </c>
      <c r="E180" s="579">
        <f t="shared" si="93"/>
        <v>0</v>
      </c>
      <c r="F180" s="579">
        <f t="shared" si="93"/>
        <v>0</v>
      </c>
      <c r="G180" s="579">
        <f>IFERROR(SUM(G173:G179), 0)</f>
        <v>0</v>
      </c>
      <c r="H180" s="579">
        <f t="shared" ref="H180:L180" si="94">IFERROR(SUM(H173:H179), 0)</f>
        <v>0</v>
      </c>
      <c r="I180" s="579">
        <f t="shared" si="94"/>
        <v>0</v>
      </c>
      <c r="J180" s="579">
        <f t="shared" si="94"/>
        <v>0</v>
      </c>
      <c r="K180" s="579">
        <f t="shared" si="94"/>
        <v>0</v>
      </c>
      <c r="L180" s="579">
        <f t="shared" si="94"/>
        <v>0</v>
      </c>
      <c r="M180" s="598"/>
    </row>
    <row r="181" spans="2:13" x14ac:dyDescent="0.2">
      <c r="B181" s="360"/>
      <c r="C181" s="575"/>
      <c r="D181" s="575"/>
      <c r="E181" s="575"/>
      <c r="F181" s="575"/>
      <c r="G181" s="575"/>
      <c r="H181" s="575"/>
      <c r="I181" s="575"/>
      <c r="J181" s="575"/>
      <c r="K181" s="575"/>
      <c r="L181" s="575"/>
      <c r="M181" s="598"/>
    </row>
    <row r="182" spans="2:13" x14ac:dyDescent="0.2">
      <c r="B182" s="362" t="str">
        <f>IF(topdowntables!$N$4=1, "per kg TS", "per kg DM")</f>
        <v>per kg TS</v>
      </c>
      <c r="C182" s="57"/>
      <c r="D182" s="57"/>
      <c r="E182" s="57"/>
      <c r="F182" s="57"/>
      <c r="G182" s="57"/>
      <c r="H182" s="57"/>
      <c r="I182" s="57"/>
      <c r="J182" s="57"/>
      <c r="K182" s="57"/>
      <c r="L182" s="57"/>
      <c r="M182" s="598"/>
    </row>
    <row r="183" spans="2:13" x14ac:dyDescent="0.2">
      <c r="B183" s="351" t="str">
        <f>IF(topdowntables!$N$4=1, "Forsyring potentiel, kg SO2 ækv. per kg TS", "Acidification potential,  kg SO2 eq. per kg DM")</f>
        <v>Forsyring potentiel, kg SO2 ækv. per kg TS</v>
      </c>
      <c r="C183" s="575"/>
      <c r="D183" s="575"/>
      <c r="E183" s="575"/>
      <c r="F183" s="575"/>
      <c r="G183" s="575"/>
      <c r="H183" s="575"/>
      <c r="I183" s="575"/>
      <c r="J183" s="575"/>
      <c r="K183" s="575"/>
      <c r="L183" s="575"/>
      <c r="M183" s="598"/>
    </row>
    <row r="184" spans="2:13" x14ac:dyDescent="0.2">
      <c r="B184" s="351" t="str">
        <f>B166</f>
        <v xml:space="preserve">   hovedprodukt</v>
      </c>
      <c r="C184" s="578">
        <f>IFERROR(C180*C$119/100/C$31, 0)</f>
        <v>0</v>
      </c>
      <c r="D184" s="578">
        <f t="shared" ref="D184:F184" si="95">IFERROR(D180*D$119/100/D$31, 0)</f>
        <v>0</v>
      </c>
      <c r="E184" s="578">
        <f t="shared" si="95"/>
        <v>0</v>
      </c>
      <c r="F184" s="578">
        <f t="shared" si="95"/>
        <v>0</v>
      </c>
      <c r="G184" s="578">
        <f>IFERROR(G180*G$119/100/G$31, 0)</f>
        <v>0</v>
      </c>
      <c r="H184" s="578">
        <f t="shared" ref="H184:L184" si="96">IFERROR(H180*H$119/100/H$31, 0)</f>
        <v>0</v>
      </c>
      <c r="I184" s="578">
        <f t="shared" si="96"/>
        <v>0</v>
      </c>
      <c r="J184" s="578">
        <f t="shared" si="96"/>
        <v>0</v>
      </c>
      <c r="K184" s="578">
        <f t="shared" si="96"/>
        <v>0</v>
      </c>
      <c r="L184" s="578">
        <f t="shared" si="96"/>
        <v>0</v>
      </c>
      <c r="M184" s="598"/>
    </row>
    <row r="185" spans="2:13" x14ac:dyDescent="0.2">
      <c r="B185" s="351" t="str">
        <f>B167</f>
        <v xml:space="preserve">   biprodukt (halm)</v>
      </c>
      <c r="C185" s="576">
        <f>IFERROR(C180*C$120/100/(C$35*C$36/100), 0)</f>
        <v>0</v>
      </c>
      <c r="D185" s="576">
        <f t="shared" ref="D185:F185" si="97">IFERROR(D180*D$120/100/(D$35*D$36/100), 0)</f>
        <v>0</v>
      </c>
      <c r="E185" s="576">
        <f t="shared" si="97"/>
        <v>0</v>
      </c>
      <c r="F185" s="576">
        <f t="shared" si="97"/>
        <v>0</v>
      </c>
      <c r="G185" s="578">
        <f>IFERROR(G180*G$120/100/(G$35*G$36/100), 0)</f>
        <v>0</v>
      </c>
      <c r="H185" s="578">
        <f t="shared" ref="H185:L185" si="98">IFERROR(H180*H$120/100/(H$35*H$36/100), 0)</f>
        <v>0</v>
      </c>
      <c r="I185" s="578">
        <f t="shared" si="98"/>
        <v>0</v>
      </c>
      <c r="J185" s="578">
        <f t="shared" si="98"/>
        <v>0</v>
      </c>
      <c r="K185" s="578">
        <f t="shared" si="98"/>
        <v>0</v>
      </c>
      <c r="L185" s="578">
        <f t="shared" si="98"/>
        <v>0</v>
      </c>
      <c r="M185" s="598"/>
    </row>
    <row r="186" spans="2:13" ht="15" thickBot="1" x14ac:dyDescent="0.25">
      <c r="B186" s="366"/>
      <c r="C186" s="600"/>
      <c r="D186" s="600"/>
      <c r="E186" s="600"/>
      <c r="F186" s="600"/>
      <c r="G186" s="600"/>
      <c r="H186" s="600"/>
      <c r="I186" s="600"/>
      <c r="J186" s="600"/>
      <c r="K186" s="600"/>
      <c r="L186" s="600"/>
      <c r="M186" s="599"/>
    </row>
    <row r="187" spans="2:13" ht="15" thickBot="1" x14ac:dyDescent="0.25">
      <c r="B187" s="369"/>
      <c r="C187" s="370"/>
      <c r="D187" s="370"/>
      <c r="E187" s="370"/>
      <c r="F187" s="370"/>
      <c r="G187" s="370"/>
      <c r="H187" s="370"/>
      <c r="I187" s="370"/>
      <c r="J187" s="370"/>
      <c r="K187" s="370"/>
      <c r="L187" s="370"/>
      <c r="M187" s="370"/>
    </row>
    <row r="188" spans="2:13" x14ac:dyDescent="0.2">
      <c r="B188" s="356"/>
      <c r="C188" s="357" t="str">
        <f t="shared" ref="C188:L188" si="99">C5</f>
        <v/>
      </c>
      <c r="D188" s="357" t="str">
        <f t="shared" si="99"/>
        <v/>
      </c>
      <c r="E188" s="357" t="str">
        <f t="shared" si="99"/>
        <v/>
      </c>
      <c r="F188" s="357" t="str">
        <f t="shared" si="99"/>
        <v/>
      </c>
      <c r="G188" s="357" t="str">
        <f t="shared" si="99"/>
        <v/>
      </c>
      <c r="H188" s="357" t="str">
        <f t="shared" si="99"/>
        <v/>
      </c>
      <c r="I188" s="357" t="str">
        <f t="shared" si="99"/>
        <v/>
      </c>
      <c r="J188" s="357" t="str">
        <f t="shared" si="99"/>
        <v/>
      </c>
      <c r="K188" s="357" t="str">
        <f t="shared" si="99"/>
        <v/>
      </c>
      <c r="L188" s="357" t="str">
        <f t="shared" si="99"/>
        <v/>
      </c>
      <c r="M188" s="358"/>
    </row>
    <row r="189" spans="2:13" x14ac:dyDescent="0.2">
      <c r="B189" s="359" t="str">
        <f>IF(topdowntables!$N$4=1, "Energiforbrug", "Energy use")</f>
        <v>Energiforbrug</v>
      </c>
      <c r="C189" s="57"/>
      <c r="D189" s="57"/>
      <c r="E189" s="57"/>
      <c r="F189" s="57"/>
      <c r="G189" s="57"/>
      <c r="H189" s="57"/>
      <c r="I189" s="57"/>
      <c r="J189" s="57"/>
      <c r="K189" s="57"/>
      <c r="L189" s="57"/>
      <c r="M189" s="598"/>
    </row>
    <row r="190" spans="2:13" x14ac:dyDescent="0.2">
      <c r="B190" s="360" t="str">
        <f>IF(topdowntables!$N$4=1, "Bidrag, MJ per ha", "Contributors,  MJ per ha")</f>
        <v>Bidrag, MJ per ha</v>
      </c>
      <c r="C190" s="575"/>
      <c r="D190" s="575"/>
      <c r="E190" s="575"/>
      <c r="F190" s="575"/>
      <c r="G190" s="575"/>
      <c r="H190" s="575"/>
      <c r="I190" s="575"/>
      <c r="J190" s="575"/>
      <c r="K190" s="575"/>
      <c r="L190" s="575"/>
      <c r="M190" s="598"/>
    </row>
    <row r="191" spans="2:13" x14ac:dyDescent="0.2">
      <c r="B191" s="351" t="str">
        <f>IF(topdowntables!$N$4=1, "  udsæd", "  production of seed")</f>
        <v xml:space="preserve">  udsæd</v>
      </c>
      <c r="C191" s="562">
        <f>IF(C6&gt;0, C20*'background data'!$M$31, 0)</f>
        <v>0</v>
      </c>
      <c r="D191" s="562">
        <f>IF(D6&gt;0, D20*'background data'!$M$31, 0)</f>
        <v>0</v>
      </c>
      <c r="E191" s="562">
        <f>IF(E6&gt;0, E20*'background data'!$M$31, 0)</f>
        <v>0</v>
      </c>
      <c r="F191" s="562">
        <f>IF(F6&gt;0, F20*'background data'!$M$31, 0)</f>
        <v>0</v>
      </c>
      <c r="G191" s="562">
        <f>IF(G6&gt;0, G20*'background data'!$M$31, 0)</f>
        <v>0</v>
      </c>
      <c r="H191" s="562">
        <f>IF(H6&gt;0, H20*'background data'!$M$31, 0)</f>
        <v>0</v>
      </c>
      <c r="I191" s="562">
        <f>IF(I6&gt;0, I20*'background data'!$M$31, 0)</f>
        <v>0</v>
      </c>
      <c r="J191" s="562">
        <f>IF(J6&gt;0, J20*'background data'!$M$31, 0)</f>
        <v>0</v>
      </c>
      <c r="K191" s="562">
        <f>IF(K6&gt;0, K20*'background data'!$M$31, 0)</f>
        <v>0</v>
      </c>
      <c r="L191" s="562">
        <f>IF(L6&gt;0, L20*'background data'!$M$31, 0)</f>
        <v>0</v>
      </c>
      <c r="M191" s="598"/>
    </row>
    <row r="192" spans="2:13" x14ac:dyDescent="0.2">
      <c r="B192" s="351" t="str">
        <f>IF(topdowntables!$N$4=1, "  diesel", "  production of diesel")</f>
        <v xml:space="preserve">  diesel</v>
      </c>
      <c r="C192" s="562">
        <f>IF(C6&gt;0, C26*'background data'!$M$34, 0)</f>
        <v>0</v>
      </c>
      <c r="D192" s="562">
        <f>IF(D6&gt;0, D26*'background data'!$M$34, 0)</f>
        <v>0</v>
      </c>
      <c r="E192" s="562">
        <f>IF(E6&gt;0, E26*'background data'!$M$34, 0)</f>
        <v>0</v>
      </c>
      <c r="F192" s="562">
        <f>IF(F6&gt;0, F26*'background data'!$M$34, 0)</f>
        <v>0</v>
      </c>
      <c r="G192" s="562">
        <f>IF(G6&gt;0, G26*'background data'!$M$34, 0)</f>
        <v>0</v>
      </c>
      <c r="H192" s="562">
        <f>IF(H6&gt;0, H26*'background data'!$M$34, 0)</f>
        <v>0</v>
      </c>
      <c r="I192" s="562">
        <f>IF(I6&gt;0, I26*'background data'!$M$34, 0)</f>
        <v>0</v>
      </c>
      <c r="J192" s="562">
        <f>IF(J6&gt;0, J26*'background data'!$M$34, 0)</f>
        <v>0</v>
      </c>
      <c r="K192" s="562">
        <f>IF(K6&gt;0, K26*'background data'!$M$34, 0)</f>
        <v>0</v>
      </c>
      <c r="L192" s="562">
        <f>IF(L6&gt;0, L26*'background data'!$M$34, 0)</f>
        <v>0</v>
      </c>
      <c r="M192" s="598"/>
    </row>
    <row r="193" spans="2:13" x14ac:dyDescent="0.2">
      <c r="B193" s="351" t="str">
        <f>IF(topdowntables!$N$4=1, "  olie", "  production of oil")</f>
        <v xml:space="preserve">  olie</v>
      </c>
      <c r="C193" s="576">
        <f>IF(C6&gt;0, (C25*1.13+C27)*'background data'!$M$35, 0)</f>
        <v>0</v>
      </c>
      <c r="D193" s="576">
        <f>IF(D6&gt;0, (D25*1.13+D27)*'background data'!$M$35, 0)</f>
        <v>0</v>
      </c>
      <c r="E193" s="576">
        <f>IF(E6&gt;0, (E25*1.13+E27)*'background data'!$M$35, 0)</f>
        <v>0</v>
      </c>
      <c r="F193" s="576">
        <f>IF(F6&gt;0, (F25*1.13+F27)*'background data'!$M$35, 0)</f>
        <v>0</v>
      </c>
      <c r="G193" s="562">
        <f>IF(G6&gt;0, (G25*1.13+G27)*'background data'!$M$35, 0)</f>
        <v>0</v>
      </c>
      <c r="H193" s="562">
        <f>IF(H6&gt;0, (H25*1.13+H27)*'background data'!$M$35, 0)</f>
        <v>0</v>
      </c>
      <c r="I193" s="562">
        <f>IF(I6&gt;0, (I25*1.13+I27)*'background data'!$M$35, 0)</f>
        <v>0</v>
      </c>
      <c r="J193" s="562">
        <f>IF(J6&gt;0, (J25*1.13+J27)*'background data'!$M$35, 0)</f>
        <v>0</v>
      </c>
      <c r="K193" s="562">
        <f>IF(K6&gt;0, (K25*1.13+K27)*'background data'!$M$35, 0)</f>
        <v>0</v>
      </c>
      <c r="L193" s="562">
        <f>IF(L6&gt;0, (L25*1.13+L27)*'background data'!$M$35, 0)</f>
        <v>0</v>
      </c>
      <c r="M193" s="598"/>
    </row>
    <row r="194" spans="2:13" x14ac:dyDescent="0.2">
      <c r="B194" s="351" t="str">
        <f>IF(topdowntables!$N$4=1, "  electricitet", "  electricity")</f>
        <v xml:space="preserve">  electricitet</v>
      </c>
      <c r="C194" s="562">
        <f>IF(C6&gt;0, C24*'background data'!$M$38, 0)</f>
        <v>0</v>
      </c>
      <c r="D194" s="562">
        <f>IF(D6&gt;0, D24*'background data'!$M$38, 0)</f>
        <v>0</v>
      </c>
      <c r="E194" s="562">
        <f>IF(E6&gt;0, E24*'background data'!$M$38, 0)</f>
        <v>0</v>
      </c>
      <c r="F194" s="562">
        <f>IF(F6&gt;0, F24*'background data'!$M$38, 0)</f>
        <v>0</v>
      </c>
      <c r="G194" s="562">
        <f>IF(G6&gt;0, G24*'background data'!$M$38, 0)</f>
        <v>0</v>
      </c>
      <c r="H194" s="562">
        <f>IF(H6&gt;0, H24*'background data'!$M$38, 0)</f>
        <v>0</v>
      </c>
      <c r="I194" s="562">
        <f>IF(I6&gt;0, I24*'background data'!$M$38, 0)</f>
        <v>0</v>
      </c>
      <c r="J194" s="562">
        <f>IF(J6&gt;0, J24*'background data'!$M$38, 0)</f>
        <v>0</v>
      </c>
      <c r="K194" s="562">
        <f>IF(K6&gt;0, K24*'background data'!$M$38, 0)</f>
        <v>0</v>
      </c>
      <c r="L194" s="562">
        <f>IF(L6&gt;0, L24*'background data'!$M$38, 0)</f>
        <v>0</v>
      </c>
      <c r="M194" s="598"/>
    </row>
    <row r="195" spans="2:13" x14ac:dyDescent="0.2">
      <c r="B195" s="351" t="str">
        <f>IF(topdowntables!$N$4=1, "  produktion af kalk", "  production of lime")</f>
        <v xml:space="preserve">  produktion af kalk</v>
      </c>
      <c r="C195" s="576">
        <f>IF(C6&gt;0, C21*'background data'!$M$27, 0)</f>
        <v>0</v>
      </c>
      <c r="D195" s="576">
        <f>IF(D6&gt;0, D21*'background data'!$M$27, 0)</f>
        <v>0</v>
      </c>
      <c r="E195" s="576">
        <f>IF(E6&gt;0, E21*'background data'!$M$27, 0)</f>
        <v>0</v>
      </c>
      <c r="F195" s="576">
        <f>IF(F6&gt;0, F21*'background data'!$M$27, 0)</f>
        <v>0</v>
      </c>
      <c r="G195" s="562">
        <f>IF(G6&gt;0, G21*'background data'!$M$27, 0)</f>
        <v>0</v>
      </c>
      <c r="H195" s="562">
        <f>IF(H6&gt;0, H21*'background data'!$M$27, 0)</f>
        <v>0</v>
      </c>
      <c r="I195" s="562">
        <f>IF(I6&gt;0, I21*'background data'!$M$27, 0)</f>
        <v>0</v>
      </c>
      <c r="J195" s="562">
        <f>IF(J6&gt;0, J21*'background data'!$M$27, 0)</f>
        <v>0</v>
      </c>
      <c r="K195" s="562">
        <f>IF(K6&gt;0, K21*'background data'!$M$27, 0)</f>
        <v>0</v>
      </c>
      <c r="L195" s="562">
        <f>IF(L6&gt;0, L21*'background data'!$M$27, 0)</f>
        <v>0</v>
      </c>
      <c r="M195" s="598"/>
    </row>
    <row r="196" spans="2:13" x14ac:dyDescent="0.2">
      <c r="B196" s="360" t="str">
        <f>IF(topdowntables!$N$4=1, "Total, MJ per ha", "Total,  MJ per ha")</f>
        <v>Total, MJ per ha</v>
      </c>
      <c r="C196" s="562">
        <f>SUM(C191:C195)</f>
        <v>0</v>
      </c>
      <c r="D196" s="562">
        <f t="shared" ref="D196:F196" si="100">SUM(D191:D195)</f>
        <v>0</v>
      </c>
      <c r="E196" s="562">
        <f t="shared" si="100"/>
        <v>0</v>
      </c>
      <c r="F196" s="562">
        <f t="shared" si="100"/>
        <v>0</v>
      </c>
      <c r="G196" s="562">
        <f t="shared" ref="G196" si="101">SUM(G191:G195)</f>
        <v>0</v>
      </c>
      <c r="H196" s="562">
        <f t="shared" ref="H196:L196" si="102">SUM(H191:H195)</f>
        <v>0</v>
      </c>
      <c r="I196" s="562">
        <f t="shared" si="102"/>
        <v>0</v>
      </c>
      <c r="J196" s="562">
        <f t="shared" si="102"/>
        <v>0</v>
      </c>
      <c r="K196" s="562">
        <f t="shared" si="102"/>
        <v>0</v>
      </c>
      <c r="L196" s="562">
        <f t="shared" si="102"/>
        <v>0</v>
      </c>
      <c r="M196" s="598"/>
    </row>
    <row r="197" spans="2:13" x14ac:dyDescent="0.2">
      <c r="B197" s="365"/>
      <c r="C197" s="575"/>
      <c r="D197" s="575"/>
      <c r="E197" s="575"/>
      <c r="F197" s="575"/>
      <c r="G197" s="575"/>
      <c r="H197" s="575"/>
      <c r="I197" s="575"/>
      <c r="J197" s="575"/>
      <c r="K197" s="575"/>
      <c r="L197" s="575"/>
      <c r="M197" s="598"/>
    </row>
    <row r="198" spans="2:13" x14ac:dyDescent="0.2">
      <c r="B198" s="362" t="str">
        <f>IF(topdowntables!$N$4=1, "per kg TS", "per kg DM")</f>
        <v>per kg TS</v>
      </c>
      <c r="C198" s="57"/>
      <c r="D198" s="57"/>
      <c r="E198" s="57"/>
      <c r="F198" s="57"/>
      <c r="G198" s="57"/>
      <c r="H198" s="57"/>
      <c r="I198" s="57"/>
      <c r="J198" s="57"/>
      <c r="K198" s="57"/>
      <c r="L198" s="57"/>
      <c r="M198" s="598"/>
    </row>
    <row r="199" spans="2:13" x14ac:dyDescent="0.2">
      <c r="B199" s="351" t="str">
        <f>IF(topdowntables!$N$4=1, "Energiforbrug, MJ per kg TS", "Energy use, MJ per kg DM")</f>
        <v>Energiforbrug, MJ per kg TS</v>
      </c>
      <c r="C199" s="575"/>
      <c r="D199" s="575"/>
      <c r="E199" s="575"/>
      <c r="F199" s="575"/>
      <c r="G199" s="575"/>
      <c r="H199" s="575"/>
      <c r="I199" s="575"/>
      <c r="J199" s="575"/>
      <c r="K199" s="575"/>
      <c r="L199" s="575"/>
      <c r="M199" s="598"/>
    </row>
    <row r="200" spans="2:13" x14ac:dyDescent="0.2">
      <c r="B200" s="351" t="str">
        <f>B166</f>
        <v xml:space="preserve">   hovedprodukt</v>
      </c>
      <c r="C200" s="578">
        <f>IFERROR(C196*C$119/100/C$31, 0)</f>
        <v>0</v>
      </c>
      <c r="D200" s="578">
        <f t="shared" ref="D200:F200" si="103">IFERROR(D196*D$119/100/D$31, 0)</f>
        <v>0</v>
      </c>
      <c r="E200" s="578">
        <f t="shared" si="103"/>
        <v>0</v>
      </c>
      <c r="F200" s="578">
        <f t="shared" si="103"/>
        <v>0</v>
      </c>
      <c r="G200" s="578">
        <f>IFERROR(G196*G$119/100/G$31, 0)</f>
        <v>0</v>
      </c>
      <c r="H200" s="578">
        <f t="shared" ref="H200:L200" si="104">IFERROR(H196*H$119/100/H$31, 0)</f>
        <v>0</v>
      </c>
      <c r="I200" s="578">
        <f t="shared" si="104"/>
        <v>0</v>
      </c>
      <c r="J200" s="578">
        <f t="shared" si="104"/>
        <v>0</v>
      </c>
      <c r="K200" s="578">
        <f t="shared" si="104"/>
        <v>0</v>
      </c>
      <c r="L200" s="578">
        <f t="shared" si="104"/>
        <v>0</v>
      </c>
      <c r="M200" s="598"/>
    </row>
    <row r="201" spans="2:13" x14ac:dyDescent="0.2">
      <c r="B201" s="351" t="str">
        <f>B167</f>
        <v xml:space="preserve">   biprodukt (halm)</v>
      </c>
      <c r="C201" s="576">
        <f>IFERROR(C196*C$120/100/(C$35*C$36/100), 0)</f>
        <v>0</v>
      </c>
      <c r="D201" s="576">
        <f t="shared" ref="D201:F201" si="105">IFERROR(D196*D$120/100/(D$35*D$36/100), 0)</f>
        <v>0</v>
      </c>
      <c r="E201" s="576">
        <f t="shared" si="105"/>
        <v>0</v>
      </c>
      <c r="F201" s="576">
        <f t="shared" si="105"/>
        <v>0</v>
      </c>
      <c r="G201" s="578">
        <f>IFERROR(G196*G$120/100/(G$35*G$36/100), 0)</f>
        <v>0</v>
      </c>
      <c r="H201" s="578">
        <f t="shared" ref="H201:L201" si="106">IFERROR(H196*H$120/100/(H$35*H$36/100), 0)</f>
        <v>0</v>
      </c>
      <c r="I201" s="578">
        <f t="shared" si="106"/>
        <v>0</v>
      </c>
      <c r="J201" s="578">
        <f t="shared" si="106"/>
        <v>0</v>
      </c>
      <c r="K201" s="578">
        <f t="shared" si="106"/>
        <v>0</v>
      </c>
      <c r="L201" s="578">
        <f t="shared" si="106"/>
        <v>0</v>
      </c>
      <c r="M201" s="598"/>
    </row>
    <row r="202" spans="2:13" ht="15" thickBot="1" x14ac:dyDescent="0.25">
      <c r="B202" s="352"/>
      <c r="C202" s="600"/>
      <c r="D202" s="600"/>
      <c r="E202" s="600"/>
      <c r="F202" s="600"/>
      <c r="G202" s="600"/>
      <c r="H202" s="600"/>
      <c r="I202" s="600"/>
      <c r="J202" s="600"/>
      <c r="K202" s="600"/>
      <c r="L202" s="600"/>
      <c r="M202" s="599"/>
    </row>
    <row r="203" spans="2:13" ht="15" thickBot="1" x14ac:dyDescent="0.25">
      <c r="B203" s="264"/>
    </row>
    <row r="204" spans="2:13" x14ac:dyDescent="0.2">
      <c r="B204" s="356"/>
      <c r="C204" s="357" t="str">
        <f t="shared" ref="C204:L204" si="107">C5</f>
        <v/>
      </c>
      <c r="D204" s="357" t="str">
        <f t="shared" si="107"/>
        <v/>
      </c>
      <c r="E204" s="357" t="str">
        <f t="shared" si="107"/>
        <v/>
      </c>
      <c r="F204" s="357" t="str">
        <f t="shared" si="107"/>
        <v/>
      </c>
      <c r="G204" s="357" t="str">
        <f t="shared" si="107"/>
        <v/>
      </c>
      <c r="H204" s="357" t="str">
        <f t="shared" si="107"/>
        <v/>
      </c>
      <c r="I204" s="357" t="str">
        <f t="shared" si="107"/>
        <v/>
      </c>
      <c r="J204" s="357" t="str">
        <f t="shared" si="107"/>
        <v/>
      </c>
      <c r="K204" s="357" t="str">
        <f t="shared" si="107"/>
        <v/>
      </c>
      <c r="L204" s="357" t="str">
        <f t="shared" si="107"/>
        <v/>
      </c>
      <c r="M204" s="358"/>
    </row>
    <row r="205" spans="2:13" x14ac:dyDescent="0.2">
      <c r="B205" s="367" t="str">
        <f>IF(topdowntables!$N$4=1, "Arealforbrug, m2 per ha", "LU, m2 per ha")</f>
        <v>Arealforbrug, m2 per ha</v>
      </c>
      <c r="C205" s="576">
        <f>IF(C6&gt;0, 10000, 0)</f>
        <v>0</v>
      </c>
      <c r="D205" s="576">
        <f t="shared" ref="D205:L205" si="108">IF(D6&gt;0, 10000, 0)</f>
        <v>0</v>
      </c>
      <c r="E205" s="576">
        <f t="shared" si="108"/>
        <v>0</v>
      </c>
      <c r="F205" s="576">
        <f t="shared" si="108"/>
        <v>0</v>
      </c>
      <c r="G205" s="576">
        <f t="shared" si="108"/>
        <v>0</v>
      </c>
      <c r="H205" s="576">
        <f t="shared" si="108"/>
        <v>0</v>
      </c>
      <c r="I205" s="576">
        <f t="shared" si="108"/>
        <v>0</v>
      </c>
      <c r="J205" s="576">
        <f t="shared" si="108"/>
        <v>0</v>
      </c>
      <c r="K205" s="576">
        <f t="shared" si="108"/>
        <v>0</v>
      </c>
      <c r="L205" s="576">
        <f t="shared" si="108"/>
        <v>0</v>
      </c>
      <c r="M205" s="598"/>
    </row>
    <row r="206" spans="2:13" x14ac:dyDescent="0.2">
      <c r="B206" s="368"/>
      <c r="C206" s="576"/>
      <c r="D206" s="576"/>
      <c r="E206" s="576"/>
      <c r="F206" s="576"/>
      <c r="G206" s="576"/>
      <c r="H206" s="576"/>
      <c r="I206" s="576"/>
      <c r="J206" s="576"/>
      <c r="K206" s="576"/>
      <c r="L206" s="576"/>
      <c r="M206" s="598"/>
    </row>
    <row r="207" spans="2:13" x14ac:dyDescent="0.2">
      <c r="B207" s="368" t="str">
        <f>IF(topdowntables!$N$4=1, "arealforbrug, m2 per kg TS", "LU, m2 per kg DM")</f>
        <v>arealforbrug, m2 per kg TS</v>
      </c>
      <c r="C207" s="576"/>
      <c r="D207" s="576"/>
      <c r="E207" s="576"/>
      <c r="F207" s="576"/>
      <c r="G207" s="576"/>
      <c r="H207" s="576"/>
      <c r="I207" s="576"/>
      <c r="J207" s="576"/>
      <c r="K207" s="576"/>
      <c r="L207" s="576"/>
      <c r="M207" s="598"/>
    </row>
    <row r="208" spans="2:13" x14ac:dyDescent="0.2">
      <c r="B208" s="368" t="str">
        <f>B200</f>
        <v xml:space="preserve">   hovedprodukt</v>
      </c>
      <c r="C208" s="579">
        <f>IFERROR(C205*C$119/100/C$31, 0)</f>
        <v>0</v>
      </c>
      <c r="D208" s="579">
        <f t="shared" ref="D208:F208" si="109">IFERROR(D205*D$119/100/D$31, 0)</f>
        <v>0</v>
      </c>
      <c r="E208" s="579">
        <f t="shared" si="109"/>
        <v>0</v>
      </c>
      <c r="F208" s="579">
        <f t="shared" si="109"/>
        <v>0</v>
      </c>
      <c r="G208" s="579">
        <f>IFERROR(G205*G$119/100/G$31, 0)</f>
        <v>0</v>
      </c>
      <c r="H208" s="579">
        <f t="shared" ref="H208:L208" si="110">IFERROR(H205*H$119/100/H$31, 0)</f>
        <v>0</v>
      </c>
      <c r="I208" s="579">
        <f t="shared" si="110"/>
        <v>0</v>
      </c>
      <c r="J208" s="579">
        <f t="shared" si="110"/>
        <v>0</v>
      </c>
      <c r="K208" s="579">
        <f t="shared" si="110"/>
        <v>0</v>
      </c>
      <c r="L208" s="579">
        <f t="shared" si="110"/>
        <v>0</v>
      </c>
      <c r="M208" s="598"/>
    </row>
    <row r="209" spans="2:13" x14ac:dyDescent="0.2">
      <c r="B209" s="351" t="str">
        <f>B201</f>
        <v xml:space="preserve">   biprodukt (halm)</v>
      </c>
      <c r="C209" s="576">
        <f>IFERROR(C205*C$120/100/(C$35*C$36/100), 0)</f>
        <v>0</v>
      </c>
      <c r="D209" s="576">
        <f t="shared" ref="D209:F209" si="111">IFERROR(D205*D$120/100/(D$35*D$36/100), 0)</f>
        <v>0</v>
      </c>
      <c r="E209" s="576">
        <f t="shared" si="111"/>
        <v>0</v>
      </c>
      <c r="F209" s="576">
        <f t="shared" si="111"/>
        <v>0</v>
      </c>
      <c r="G209" s="580">
        <f>IFERROR(G205*G$120/100/(G$35*G$36/100), 0)</f>
        <v>0</v>
      </c>
      <c r="H209" s="580">
        <f t="shared" ref="H209:L209" si="112">IFERROR(H205*H$120/100/(H$35*H$36/100), 0)</f>
        <v>0</v>
      </c>
      <c r="I209" s="580">
        <f t="shared" si="112"/>
        <v>0</v>
      </c>
      <c r="J209" s="580">
        <f t="shared" si="112"/>
        <v>0</v>
      </c>
      <c r="K209" s="580">
        <f t="shared" si="112"/>
        <v>0</v>
      </c>
      <c r="L209" s="580">
        <f t="shared" si="112"/>
        <v>0</v>
      </c>
      <c r="M209" s="598"/>
    </row>
    <row r="210" spans="2:13" ht="15" thickBot="1" x14ac:dyDescent="0.25">
      <c r="B210" s="352"/>
      <c r="C210" s="600"/>
      <c r="D210" s="600"/>
      <c r="E210" s="600"/>
      <c r="F210" s="600"/>
      <c r="G210" s="600"/>
      <c r="H210" s="600"/>
      <c r="I210" s="600"/>
      <c r="J210" s="600"/>
      <c r="K210" s="600"/>
      <c r="L210" s="600"/>
      <c r="M210" s="599"/>
    </row>
    <row r="211" spans="2:13" x14ac:dyDescent="0.2">
      <c r="B211" s="63"/>
    </row>
    <row r="212" spans="2:13" hidden="1" x14ac:dyDescent="0.2">
      <c r="B212" s="356"/>
      <c r="C212" s="357" t="str">
        <f t="shared" ref="C212:L212" si="113">C5</f>
        <v/>
      </c>
      <c r="D212" s="357" t="str">
        <f t="shared" si="113"/>
        <v/>
      </c>
      <c r="E212" s="357" t="str">
        <f t="shared" si="113"/>
        <v/>
      </c>
      <c r="F212" s="357" t="str">
        <f t="shared" si="113"/>
        <v/>
      </c>
      <c r="G212" s="357" t="str">
        <f t="shared" si="113"/>
        <v/>
      </c>
      <c r="H212" s="357" t="str">
        <f t="shared" si="113"/>
        <v/>
      </c>
      <c r="I212" s="357" t="str">
        <f t="shared" si="113"/>
        <v/>
      </c>
      <c r="J212" s="357" t="str">
        <f t="shared" si="113"/>
        <v/>
      </c>
      <c r="K212" s="357" t="str">
        <f t="shared" si="113"/>
        <v/>
      </c>
      <c r="L212" s="357" t="str">
        <f t="shared" si="113"/>
        <v/>
      </c>
      <c r="M212" s="358"/>
    </row>
    <row r="213" spans="2:13" hidden="1" x14ac:dyDescent="0.2">
      <c r="B213" s="368" t="s">
        <v>1540</v>
      </c>
      <c r="C213" s="576" t="str">
        <f>IF(C6&gt;0, 10000*(-0.12), "")</f>
        <v/>
      </c>
      <c r="D213" s="576" t="str">
        <f>IF(D6&gt;0, 10000*(-0.12), "")</f>
        <v/>
      </c>
      <c r="E213" s="576" t="str">
        <f>IF(E6&gt;0, 10000*(-0.12), "")</f>
        <v/>
      </c>
      <c r="F213" s="576" t="str">
        <f>IF(F6&gt;0, 10000*(-0.12), "")</f>
        <v/>
      </c>
      <c r="G213" s="576" t="str">
        <f>IFERROR(10000*VLOOKUP(G5, topdowntables!$R$5:$AH$26, 16, FALSE), "")</f>
        <v/>
      </c>
      <c r="H213" s="576" t="str">
        <f>IFERROR(10000*VLOOKUP(H5, topdowntables!$R$5:$AH$26, 16, FALSE), "")</f>
        <v/>
      </c>
      <c r="I213" s="576" t="str">
        <f>IFERROR(10000*VLOOKUP(I5, topdowntables!$R$5:$AH$26, 16, FALSE), "")</f>
        <v/>
      </c>
      <c r="J213" s="576" t="str">
        <f>IFERROR(10000*VLOOKUP(J5, topdowntables!$R$5:$AH$26, 16, FALSE), "")</f>
        <v/>
      </c>
      <c r="K213" s="576" t="str">
        <f>IFERROR(10000*VLOOKUP(K5, topdowntables!$R$5:$AH$26, 16, FALSE), "")</f>
        <v/>
      </c>
      <c r="L213" s="576" t="str">
        <f>IFERROR(10000*VLOOKUP(L5, topdowntables!$R$5:$AH$26, 16, FALSE), "")</f>
        <v/>
      </c>
      <c r="M213" s="598"/>
    </row>
    <row r="214" spans="2:13" hidden="1" x14ac:dyDescent="0.2">
      <c r="B214" s="351"/>
      <c r="C214" s="576"/>
      <c r="D214" s="576"/>
      <c r="E214" s="576"/>
      <c r="F214" s="576"/>
      <c r="G214" s="576"/>
      <c r="H214" s="576"/>
      <c r="I214" s="576"/>
      <c r="J214" s="576"/>
      <c r="K214" s="576"/>
      <c r="L214" s="576"/>
      <c r="M214" s="598"/>
    </row>
    <row r="215" spans="2:13" hidden="1" x14ac:dyDescent="0.2">
      <c r="B215" s="362" t="str">
        <f>IF(topdowntables!$N$4=1, "per kg TS", "per kg DM")</f>
        <v>per kg TS</v>
      </c>
      <c r="C215" s="57"/>
      <c r="D215" s="57"/>
      <c r="E215" s="57"/>
      <c r="F215" s="57"/>
      <c r="G215" s="57"/>
      <c r="H215" s="57"/>
      <c r="I215" s="57"/>
      <c r="J215" s="57"/>
      <c r="K215" s="57"/>
      <c r="L215" s="57"/>
      <c r="M215" s="598"/>
    </row>
    <row r="216" spans="2:13" hidden="1" x14ac:dyDescent="0.2">
      <c r="B216" s="368" t="str">
        <f>IF(topdowntables!$N$4=1, "BD, PDF per kg TS", "BD, PDF per kg DM")</f>
        <v>BD, PDF per kg TS</v>
      </c>
      <c r="C216" s="576"/>
      <c r="D216" s="576"/>
      <c r="E216" s="576"/>
      <c r="F216" s="576"/>
      <c r="G216" s="576"/>
      <c r="H216" s="576"/>
      <c r="I216" s="576"/>
      <c r="J216" s="576"/>
      <c r="K216" s="576"/>
      <c r="L216" s="576"/>
      <c r="M216" s="598"/>
    </row>
    <row r="217" spans="2:13" hidden="1" x14ac:dyDescent="0.2">
      <c r="B217" s="351" t="str">
        <f>B208</f>
        <v xml:space="preserve">   hovedprodukt</v>
      </c>
      <c r="C217" s="580" t="str">
        <f t="shared" ref="C217:L217" si="114">IFERROR(C213*C$119/100/C$31, "")</f>
        <v/>
      </c>
      <c r="D217" s="580" t="str">
        <f t="shared" si="114"/>
        <v/>
      </c>
      <c r="E217" s="580" t="str">
        <f t="shared" si="114"/>
        <v/>
      </c>
      <c r="F217" s="580" t="str">
        <f t="shared" si="114"/>
        <v/>
      </c>
      <c r="G217" s="580" t="str">
        <f t="shared" si="114"/>
        <v/>
      </c>
      <c r="H217" s="580" t="str">
        <f t="shared" si="114"/>
        <v/>
      </c>
      <c r="I217" s="580" t="str">
        <f t="shared" si="114"/>
        <v/>
      </c>
      <c r="J217" s="580" t="str">
        <f t="shared" si="114"/>
        <v/>
      </c>
      <c r="K217" s="580" t="str">
        <f t="shared" si="114"/>
        <v/>
      </c>
      <c r="L217" s="580" t="str">
        <f t="shared" si="114"/>
        <v/>
      </c>
      <c r="M217" s="598"/>
    </row>
    <row r="218" spans="2:13" hidden="1" x14ac:dyDescent="0.2">
      <c r="B218" s="351" t="str">
        <f>B209</f>
        <v xml:space="preserve">   biprodukt (halm)</v>
      </c>
      <c r="C218" s="580" t="str">
        <f t="shared" ref="C218:L218" si="115">IFERROR(C213*C$120/100/(C$35*C$36/100), "")</f>
        <v/>
      </c>
      <c r="D218" s="580" t="str">
        <f t="shared" si="115"/>
        <v/>
      </c>
      <c r="E218" s="580" t="str">
        <f t="shared" si="115"/>
        <v/>
      </c>
      <c r="F218" s="580" t="str">
        <f t="shared" si="115"/>
        <v/>
      </c>
      <c r="G218" s="580" t="str">
        <f t="shared" si="115"/>
        <v/>
      </c>
      <c r="H218" s="580" t="str">
        <f t="shared" si="115"/>
        <v/>
      </c>
      <c r="I218" s="580" t="str">
        <f t="shared" si="115"/>
        <v/>
      </c>
      <c r="J218" s="580" t="str">
        <f t="shared" si="115"/>
        <v/>
      </c>
      <c r="K218" s="580" t="str">
        <f t="shared" si="115"/>
        <v/>
      </c>
      <c r="L218" s="580" t="str">
        <f t="shared" si="115"/>
        <v/>
      </c>
      <c r="M218" s="598"/>
    </row>
    <row r="219" spans="2:13" ht="15" hidden="1" thickBot="1" x14ac:dyDescent="0.25">
      <c r="B219" s="352"/>
      <c r="C219" s="600"/>
      <c r="D219" s="600"/>
      <c r="E219" s="600"/>
      <c r="F219" s="600"/>
      <c r="G219" s="600"/>
      <c r="H219" s="600"/>
      <c r="I219" s="600"/>
      <c r="J219" s="600"/>
      <c r="K219" s="600"/>
      <c r="L219" s="600"/>
      <c r="M219" s="599"/>
    </row>
    <row r="220" spans="2:13" hidden="1" x14ac:dyDescent="0.2"/>
    <row r="221" spans="2:13" hidden="1" x14ac:dyDescent="0.2"/>
  </sheetData>
  <sheetProtection algorithmName="SHA-512" hashValue="+oUEUhI4rTk54aqibS6lZVM0vzF2tVtA94HX9/VaOEbVXHdtepfB8BN6vdPeSkGRGSzpNp9sVKbn93p1JVBrnA==" saltValue="udwmO9YnoV78qxZSIAai2g==" spinCount="100000" sheet="1" objects="1" scenarios="1"/>
  <protectedRanges>
    <protectedRange sqref="A1:XFD1048576" name="all"/>
  </protectedRanges>
  <pageMargins left="0.7" right="0.7" top="0.75" bottom="0.75" header="0.3" footer="0.3"/>
  <pageSetup paperSize="9" orientation="portrait"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AU264"/>
  <sheetViews>
    <sheetView topLeftCell="A166" workbookViewId="0">
      <selection activeCell="H58" sqref="H58"/>
    </sheetView>
  </sheetViews>
  <sheetFormatPr defaultColWidth="8.85546875" defaultRowHeight="14.25" x14ac:dyDescent="0.2"/>
  <cols>
    <col min="1" max="1" width="6.140625" style="110" customWidth="1"/>
    <col min="2" max="2" width="32.42578125" style="228" customWidth="1"/>
    <col min="3" max="3" width="18.85546875" style="228" bestFit="1" customWidth="1"/>
    <col min="4" max="4" width="23.5703125" style="228" customWidth="1"/>
    <col min="5" max="5" width="55.42578125" style="278" customWidth="1"/>
    <col min="6" max="6" width="20.28515625" style="228" customWidth="1"/>
    <col min="7" max="7" width="14.140625" style="228" customWidth="1"/>
    <col min="8" max="8" width="20.140625" style="228" customWidth="1"/>
    <col min="9" max="9" width="17.28515625" style="228" customWidth="1"/>
    <col min="10" max="10" width="13.140625" style="228" customWidth="1"/>
    <col min="11" max="11" width="16.140625" style="228" customWidth="1"/>
    <col min="12" max="12" width="16.28515625" style="228" customWidth="1"/>
    <col min="13" max="13" width="10.28515625" style="228" bestFit="1" customWidth="1"/>
    <col min="14" max="14" width="15.28515625" style="228" customWidth="1"/>
    <col min="15" max="15" width="13.28515625" style="228" customWidth="1"/>
    <col min="16" max="16" width="13.42578125" style="110" customWidth="1"/>
    <col min="17" max="17" width="27" style="110" customWidth="1"/>
    <col min="18" max="18" width="21.140625" style="110" customWidth="1"/>
    <col min="19" max="19" width="19.85546875" style="110" customWidth="1"/>
    <col min="20" max="20" width="17.28515625" style="110" customWidth="1"/>
    <col min="21" max="21" width="19.28515625" style="110" customWidth="1"/>
    <col min="22" max="22" width="33.7109375" style="110" customWidth="1"/>
    <col min="23" max="23" width="21.42578125" style="110" customWidth="1"/>
    <col min="24" max="24" width="26.28515625" style="110" customWidth="1"/>
    <col min="25" max="46" width="8.85546875" style="110"/>
    <col min="47" max="16384" width="8.85546875" style="228"/>
  </cols>
  <sheetData>
    <row r="1" spans="2:47" s="110" customFormat="1" x14ac:dyDescent="0.2">
      <c r="E1" s="678"/>
    </row>
    <row r="2" spans="2:47" x14ac:dyDescent="0.2">
      <c r="B2" s="611" t="str">
        <f>IF('input-data'!$B$3="Dansk", "FODER", "FEED OVERVIEW")</f>
        <v>FODER</v>
      </c>
      <c r="C2" s="608"/>
      <c r="D2" s="608"/>
      <c r="E2" s="650"/>
      <c r="F2" s="608"/>
      <c r="G2" s="608"/>
      <c r="H2" s="608"/>
      <c r="I2" s="608"/>
      <c r="J2" s="608"/>
      <c r="K2" s="608"/>
      <c r="L2" s="608"/>
      <c r="M2" s="608"/>
      <c r="N2" s="608"/>
      <c r="O2" s="608"/>
    </row>
    <row r="3" spans="2:47" s="110" customFormat="1" x14ac:dyDescent="0.2">
      <c r="E3" s="678"/>
    </row>
    <row r="4" spans="2:47" s="110" customFormat="1" x14ac:dyDescent="0.2">
      <c r="E4" s="678"/>
    </row>
    <row r="5" spans="2:47" x14ac:dyDescent="0.2">
      <c r="B5" s="611" t="str">
        <f>IF('input-data'!$B$3="Dansk", "HJEMMEPRODUCERET FODER", "HOME-PRODUCED FEED")</f>
        <v>HJEMMEPRODUCERET FODER</v>
      </c>
      <c r="C5" s="608"/>
      <c r="D5" s="608"/>
      <c r="E5" s="650"/>
      <c r="F5" s="608"/>
      <c r="G5" s="608"/>
      <c r="H5" s="608"/>
      <c r="I5" s="717" t="s">
        <v>1780</v>
      </c>
      <c r="J5" s="608"/>
      <c r="K5" s="608"/>
      <c r="L5" s="608"/>
      <c r="M5" s="608"/>
      <c r="N5" s="608"/>
      <c r="O5" s="608"/>
    </row>
    <row r="6" spans="2:47" ht="42.75" x14ac:dyDescent="0.2">
      <c r="B6" s="611" t="str">
        <f>IF('input-data'!$B$3="Dansk", "Afgrøder", "Produced crops")</f>
        <v>Afgrøder</v>
      </c>
      <c r="C6" s="611" t="str">
        <f>IF('input-data'!$B$3="Dansk", "Areal, ha", "Area, ha")</f>
        <v>Areal, ha</v>
      </c>
      <c r="D6" s="716" t="str">
        <f>IF('input-data'!$B$3="Dansk", "Udbytte,                 kg TS per ha", "Yield,                  kg DM per ha")</f>
        <v>Udbytte,                 kg TS per ha</v>
      </c>
      <c r="E6" s="716" t="str">
        <f>IF('input-data'!$B$3="Dansk", "Total udbytte, kg", "Total production, kg")</f>
        <v>Total udbytte, kg</v>
      </c>
      <c r="F6" s="716" t="str">
        <f>IF('input-data'!$B$3="Dansk", "Solgte afgrøder, t", "Sold crops, t")</f>
        <v>Solgte afgrøder, t</v>
      </c>
      <c r="G6" s="645"/>
      <c r="H6" s="716" t="str">
        <f>IF('input-data'!$B$3="Dansk", "Hjemmeforbrug, kg TS", "Used at farm, kg DM")</f>
        <v>Hjemmeforbrug, kg TS</v>
      </c>
      <c r="I6" s="716" t="str">
        <f>IF('input-data'!$B$3="Dansk", "Klimaaftryk, kg CO2-ækv", "GWP, kg CO2-eq")</f>
        <v>Klimaaftryk, kg CO2-ækv</v>
      </c>
      <c r="J6" s="716" t="str">
        <f>IF('input-data'!$B$3="Dansk", "C i jord, kg CO2-ækv", "soil C change, kg CO2-eq")</f>
        <v>C i jord, kg CO2-ækv</v>
      </c>
      <c r="K6" s="716" t="str">
        <f>IF('input-data'!$B$3="Dansk", "iLUC, kg CO2-ækv", "iLUC, kg CO2-eq")</f>
        <v>iLUC, kg CO2-ækv</v>
      </c>
      <c r="L6" s="716" t="str">
        <f>IF('input-data'!$B$3="Dansk", "EP, kg NO3-ækv", "EP, kg NO3-eq")</f>
        <v>EP, kg NO3-ækv</v>
      </c>
      <c r="M6" s="716" t="str">
        <f>IF('input-data'!$B$3="Dansk", "Energiforbrug, MJ", "NRE, MJ")</f>
        <v>Energiforbrug, MJ</v>
      </c>
      <c r="N6" s="716" t="str">
        <f>IF('input-data'!$B$3="Dansk", "Forsuring potential, kg SO2-ækv", "AP, kg SO2-eq.")</f>
        <v>Forsuring potential, kg SO2-ækv</v>
      </c>
      <c r="O6" s="716" t="str">
        <f>IF('input-data'!$B$3="Dansk", "Arealforbrug, m2", "LU, m2")</f>
        <v>Arealforbrug, m2</v>
      </c>
    </row>
    <row r="7" spans="2:47" x14ac:dyDescent="0.2">
      <c r="B7" s="608" t="str">
        <f>'input-data'!E429</f>
        <v>Vælg……………………………………</v>
      </c>
      <c r="C7" s="612">
        <f>IF(B7&lt;&gt;"", 'Mark-Fields'!G6, "")</f>
        <v>0</v>
      </c>
      <c r="D7" s="613">
        <f>IF(B7&lt;&gt;"", 'Mark-Fields'!G31, "")</f>
        <v>0</v>
      </c>
      <c r="E7" s="613">
        <f t="shared" ref="E7:E12" si="0">IFERROR(IF(B7&lt;&gt;"", C7*D7/(VLOOKUP(B7, Fodertabel, 9, FALSE)/100), ""), 0)</f>
        <v>0</v>
      </c>
      <c r="F7" s="648">
        <f>IF(B7&lt;&gt;"", 'input-data'!F503, "")</f>
        <v>0</v>
      </c>
      <c r="G7" s="646"/>
      <c r="H7" s="601">
        <f t="shared" ref="H7:H12" si="1">IF(C7&lt;&gt;"", (E7/1000-F7), "")</f>
        <v>0</v>
      </c>
      <c r="I7" s="614">
        <f>IF(B7&lt;&gt;"", 'Mark-Fields'!G140, "")</f>
        <v>0</v>
      </c>
      <c r="J7" s="614">
        <f>IF(B7&lt;&gt;"", 'Mark-Fields'!G143, "")</f>
        <v>0</v>
      </c>
      <c r="K7" s="614">
        <f>IF(B7&lt;&gt;"", 'Mark-Fields'!G146, "")</f>
        <v>0</v>
      </c>
      <c r="L7" s="615">
        <f>IF(B7&lt;&gt;"", 'Mark-Fields'!G166, "")</f>
        <v>0</v>
      </c>
      <c r="M7" s="615">
        <f>IF(B7&lt;&gt;"", 'Mark-Fields'!G184, "")</f>
        <v>0</v>
      </c>
      <c r="N7" s="615">
        <f>IF(B7&lt;&gt;"", 'Mark-Fields'!G200, "")</f>
        <v>0</v>
      </c>
      <c r="O7" s="614">
        <f>IF(B7&lt;&gt;"", 'Mark-Fields'!G208, "")</f>
        <v>0</v>
      </c>
      <c r="P7" s="280"/>
      <c r="Q7" s="628"/>
    </row>
    <row r="8" spans="2:47" x14ac:dyDescent="0.2">
      <c r="B8" s="608" t="str">
        <f>'input-data'!E439</f>
        <v>Vælg……………………………………</v>
      </c>
      <c r="C8" s="612">
        <f>IF(B8&lt;&gt;"", 'Mark-Fields'!H6, "")</f>
        <v>0</v>
      </c>
      <c r="D8" s="613">
        <f>IF(B8&lt;&gt;"", 'Mark-Fields'!H31, "")</f>
        <v>0</v>
      </c>
      <c r="E8" s="613">
        <f t="shared" si="0"/>
        <v>0</v>
      </c>
      <c r="F8" s="648">
        <f>IF(B8&lt;&gt;"", 'input-data'!F504, "")</f>
        <v>0</v>
      </c>
      <c r="G8" s="646"/>
      <c r="H8" s="601">
        <f t="shared" si="1"/>
        <v>0</v>
      </c>
      <c r="I8" s="614">
        <f>IF(B8&lt;&gt;"", 'Mark-Fields'!H140, "")</f>
        <v>0</v>
      </c>
      <c r="J8" s="614">
        <f>IF(B8&lt;&gt;"", 'Mark-Fields'!H152, "")</f>
        <v>0</v>
      </c>
      <c r="K8" s="614">
        <f>IF(B8&lt;&gt;"", 'Mark-Fields'!H146, "")</f>
        <v>0</v>
      </c>
      <c r="L8" s="615">
        <f>IF(B8&lt;&gt;"", 'Mark-Fields'!H166, "")</f>
        <v>0</v>
      </c>
      <c r="M8" s="615">
        <f>IF(B8&lt;&gt;"", 'Mark-Fields'!H184, "")</f>
        <v>0</v>
      </c>
      <c r="N8" s="615">
        <f>IF(B8&lt;&gt;"", 'Mark-Fields'!H200, "")</f>
        <v>0</v>
      </c>
      <c r="O8" s="614">
        <f>IF(B8&lt;&gt;"", 'Mark-Fields'!H208, "")</f>
        <v>0</v>
      </c>
      <c r="P8" s="280"/>
      <c r="Q8" s="628"/>
    </row>
    <row r="9" spans="2:47" x14ac:dyDescent="0.2">
      <c r="B9" s="608" t="str">
        <f>'input-data'!E449</f>
        <v>Vælg……………………………………</v>
      </c>
      <c r="C9" s="612">
        <f>IF(B9&lt;&gt;"", 'Mark-Fields'!I6, "")</f>
        <v>0</v>
      </c>
      <c r="D9" s="613">
        <f>IF(B9&lt;&gt;"", 'Mark-Fields'!I31, "")</f>
        <v>0</v>
      </c>
      <c r="E9" s="613">
        <f t="shared" si="0"/>
        <v>0</v>
      </c>
      <c r="F9" s="648">
        <f>IF(B9&lt;&gt;"", 'input-data'!F505, "")</f>
        <v>0</v>
      </c>
      <c r="G9" s="646"/>
      <c r="H9" s="601">
        <f t="shared" si="1"/>
        <v>0</v>
      </c>
      <c r="I9" s="614">
        <f>IF(B9&lt;&gt;"", 'Mark-Fields'!I140, "")</f>
        <v>0</v>
      </c>
      <c r="J9" s="614">
        <f>IF(B9&lt;&gt;"", 'Mark-Fields'!I143, "")</f>
        <v>0</v>
      </c>
      <c r="K9" s="614">
        <f>IF(B9&lt;&gt;"", 'Mark-Fields'!I146, "")</f>
        <v>0</v>
      </c>
      <c r="L9" s="615">
        <f>IF(B9&lt;&gt;"", 'Mark-Fields'!I166, "")</f>
        <v>0</v>
      </c>
      <c r="M9" s="615">
        <f>IF(B9&lt;&gt;"", 'Mark-Fields'!I184, "")</f>
        <v>0</v>
      </c>
      <c r="N9" s="615">
        <f>IF(B9&lt;&gt;"", 'Mark-Fields'!I200, "")</f>
        <v>0</v>
      </c>
      <c r="O9" s="614">
        <f>IF(B9&lt;&gt;"", 'Mark-Fields'!I208, "")</f>
        <v>0</v>
      </c>
      <c r="P9" s="280"/>
      <c r="Q9" s="628"/>
    </row>
    <row r="10" spans="2:47" x14ac:dyDescent="0.2">
      <c r="B10" s="608" t="str">
        <f>'input-data'!E459</f>
        <v>Vælg……………………………………</v>
      </c>
      <c r="C10" s="612">
        <f>IF(B10&lt;&gt;"", 'Mark-Fields'!J6, "")</f>
        <v>0</v>
      </c>
      <c r="D10" s="613">
        <f>IF(B10&lt;&gt;"", 'Mark-Fields'!J31, "")</f>
        <v>0</v>
      </c>
      <c r="E10" s="613">
        <f t="shared" si="0"/>
        <v>0</v>
      </c>
      <c r="F10" s="612">
        <f>IF(B10&lt;&gt;"", 'input-data'!F506, "")</f>
        <v>0</v>
      </c>
      <c r="G10" s="646"/>
      <c r="H10" s="601">
        <f t="shared" si="1"/>
        <v>0</v>
      </c>
      <c r="I10" s="614">
        <f>IF(B10&lt;&gt;"", 'Mark-Fields'!J140, "")</f>
        <v>0</v>
      </c>
      <c r="J10" s="614">
        <f>IF(B10&lt;&gt;"", 'Mark-Fields'!J143, "")</f>
        <v>0</v>
      </c>
      <c r="K10" s="614">
        <f>IF(B10&lt;&gt;"", 'Mark-Fields'!J146, "")</f>
        <v>0</v>
      </c>
      <c r="L10" s="615">
        <f>IF(B10&lt;&gt;"", 'Mark-Fields'!J166, "")</f>
        <v>0</v>
      </c>
      <c r="M10" s="615">
        <f>IF(B10&lt;&gt;"", 'Mark-Fields'!J184, "")</f>
        <v>0</v>
      </c>
      <c r="N10" s="615">
        <f>IF(B10&lt;&gt;"", 'Mark-Fields'!J200, "")</f>
        <v>0</v>
      </c>
      <c r="O10" s="614">
        <f>IF(B10&lt;&gt;"", 'Mark-Fields'!J208, "")</f>
        <v>0</v>
      </c>
      <c r="P10" s="280"/>
      <c r="Q10" s="628"/>
    </row>
    <row r="11" spans="2:47" x14ac:dyDescent="0.2">
      <c r="B11" s="608" t="str">
        <f>'input-data'!E469</f>
        <v>Vælg……………………………………</v>
      </c>
      <c r="C11" s="612">
        <f>IF(B11&lt;&gt;"", 'Mark-Fields'!K6, "")</f>
        <v>0</v>
      </c>
      <c r="D11" s="613">
        <f>IF(B11&lt;&gt;"", 'Mark-Fields'!J32, "")</f>
        <v>0</v>
      </c>
      <c r="E11" s="613">
        <f t="shared" si="0"/>
        <v>0</v>
      </c>
      <c r="F11" s="612">
        <f>IF(B11&lt;&gt;"", 'input-data'!F507, "")</f>
        <v>0</v>
      </c>
      <c r="G11" s="646"/>
      <c r="H11" s="601">
        <f t="shared" si="1"/>
        <v>0</v>
      </c>
      <c r="I11" s="614" t="str">
        <f>IF(B11&lt;&gt;"", 'Mark-Fields'!K140, "")</f>
        <v/>
      </c>
      <c r="J11" s="614" t="str">
        <f>IF(B11&lt;&gt;"", 'Mark-Fields'!K143, "")</f>
        <v/>
      </c>
      <c r="K11" s="614" t="str">
        <f>IF(B11&lt;&gt;"", 'Mark-Fields'!K146, "")</f>
        <v/>
      </c>
      <c r="L11" s="615">
        <f>IF(B11&lt;&gt;"", 'Mark-Fields'!K166, "")</f>
        <v>0</v>
      </c>
      <c r="M11" s="615">
        <f>IF(B11&lt;&gt;"", 'Mark-Fields'!K184, "")</f>
        <v>0</v>
      </c>
      <c r="N11" s="615">
        <f>IF(B11&lt;&gt;"", 'Mark-Fields'!J200, "")</f>
        <v>0</v>
      </c>
      <c r="O11" s="614">
        <f>IF(B11&lt;&gt;"", 'Mark-Fields'!K208, "")</f>
        <v>0</v>
      </c>
      <c r="P11" s="280"/>
      <c r="Q11" s="628"/>
    </row>
    <row r="12" spans="2:47" x14ac:dyDescent="0.2">
      <c r="B12" s="608" t="str">
        <f>'input-data'!E479</f>
        <v>Vælg……………………………………</v>
      </c>
      <c r="C12" s="612">
        <f>IF(B12&lt;&gt;"", 'Mark-Fields'!L6, "")</f>
        <v>0</v>
      </c>
      <c r="D12" s="613">
        <f>IF(B12&lt;&gt;"", 'Mark-Fields'!L31, "")</f>
        <v>0</v>
      </c>
      <c r="E12" s="613">
        <f t="shared" si="0"/>
        <v>0</v>
      </c>
      <c r="F12" s="612">
        <f>IF(B12&lt;&gt;"", 'input-data'!F508, "")</f>
        <v>0</v>
      </c>
      <c r="G12" s="646"/>
      <c r="H12" s="601">
        <f t="shared" si="1"/>
        <v>0</v>
      </c>
      <c r="I12" s="614" t="str">
        <f>IF(B12&lt;&gt;"", 'Mark-Fields'!L140, "")</f>
        <v/>
      </c>
      <c r="J12" s="614" t="str">
        <f>IF(B12&lt;&gt;"", 'Mark-Fields'!L143, "")</f>
        <v/>
      </c>
      <c r="K12" s="614">
        <f>IF(B12&lt;&gt;"", 'Mark-Fields'!G151, "")</f>
        <v>0</v>
      </c>
      <c r="L12" s="615">
        <f>IF(B12&lt;&gt;"", 'Mark-Fields'!L166, "")</f>
        <v>0</v>
      </c>
      <c r="M12" s="615">
        <f>IF(B12&lt;&gt;"", 'Mark-Fields'!L184, "")</f>
        <v>0</v>
      </c>
      <c r="N12" s="615">
        <f>IF(B12&lt;&gt;"", 'Mark-Fields'!L200, "")</f>
        <v>0</v>
      </c>
      <c r="O12" s="614">
        <f>IF(B12&lt;&gt;"", 'Mark-Fields'!L208, "")</f>
        <v>0</v>
      </c>
      <c r="P12" s="280"/>
      <c r="Q12" s="628"/>
    </row>
    <row r="13" spans="2:47" s="110" customFormat="1" x14ac:dyDescent="0.2">
      <c r="E13" s="678"/>
      <c r="G13" s="257"/>
    </row>
    <row r="14" spans="2:47" x14ac:dyDescent="0.2">
      <c r="B14" s="611" t="str">
        <f>IF('input-data'!$B$3="Dansk", "FODERFORBRUG", "FEED USE")</f>
        <v>FODERFORBRUG</v>
      </c>
      <c r="C14" s="611"/>
      <c r="D14" s="611"/>
      <c r="E14" s="686"/>
      <c r="F14" s="611"/>
      <c r="G14" s="619"/>
      <c r="H14" s="611"/>
      <c r="I14" s="611"/>
      <c r="J14" s="611"/>
      <c r="K14" s="611"/>
      <c r="L14" s="611"/>
      <c r="M14" s="611"/>
      <c r="N14" s="608"/>
      <c r="O14" s="608"/>
    </row>
    <row r="15" spans="2:47" ht="15" thickBot="1" x14ac:dyDescent="0.25">
      <c r="B15" s="225"/>
      <c r="C15" s="225"/>
      <c r="D15" s="225"/>
      <c r="E15" s="269"/>
      <c r="F15" s="225"/>
      <c r="G15" s="625"/>
      <c r="H15" s="225"/>
      <c r="I15" s="225"/>
      <c r="J15" s="225"/>
      <c r="K15" s="225"/>
      <c r="L15" s="225"/>
      <c r="M15" s="225"/>
      <c r="N15" s="110"/>
      <c r="O15" s="110"/>
    </row>
    <row r="16" spans="2:47" ht="15" thickBot="1" x14ac:dyDescent="0.25">
      <c r="B16" s="634" t="str">
        <f>IF('input-data'!$B$3="Dansk", "Dyr", "Animal category")</f>
        <v>Dyr</v>
      </c>
      <c r="C16" s="635" t="str">
        <f>IF('input-data'!$B$3="Dansk", "Foder type", "Feed type")</f>
        <v>Foder type</v>
      </c>
      <c r="D16" s="635" t="str">
        <f>IF('input-data'!$B$3="Dansk", "Foder blanding", "Mixture")</f>
        <v>Foder blanding</v>
      </c>
      <c r="E16" s="635" t="str">
        <f>IF('input-data'!$B$3="Dansk", "Foder", "Feedstuff type")</f>
        <v>Foder</v>
      </c>
      <c r="F16" s="635" t="str">
        <f>IF('input-data'!$B$3="Dansk", "kg per dyr", "kg per animal")</f>
        <v>kg per dyr</v>
      </c>
      <c r="G16" s="635" t="str">
        <f>IF('input-data'!$B$3="Dansk", "SFU per dyr", "FE per animal")</f>
        <v>SFU per dyr</v>
      </c>
      <c r="H16" s="635" t="str">
        <f>IF('input-data'!$B$3="Dansk", "kg per gård", "kg per farm")</f>
        <v>kg per gård</v>
      </c>
      <c r="I16" s="635" t="str">
        <f>IF('input-data'!$B$3="Dansk", "kg TS per dyr", "kg DM per animal")</f>
        <v>kg TS per dyr</v>
      </c>
      <c r="J16" s="635" t="str">
        <f>IF('input-data'!$B$3="Dansk", "kg TS per gård", "kg DM per farm")</f>
        <v>kg TS per gård</v>
      </c>
      <c r="K16" s="635" t="str">
        <f>IF('input-data'!$B$3="Dansk", "kg N per gård", "kg N per farm")</f>
        <v>kg N per gård</v>
      </c>
      <c r="L16" s="635" t="str">
        <f>IF('input-data'!$B$3="Dansk", "kg P per gård", "kg P per farm")</f>
        <v>kg P per gård</v>
      </c>
      <c r="M16" s="824" t="str">
        <f>IF('input-data'!$B$3="Dansk", "Dyrkning sted", "Cultivation place")</f>
        <v>Dyrkning sted</v>
      </c>
      <c r="N16" s="635" t="str">
        <f>IF('input-data'!$B$3="Dansk", "kg TS hjemmeproduceret", "kg DM home-produced")</f>
        <v>kg TS hjemmeproduceret</v>
      </c>
      <c r="O16" s="635" t="str">
        <f>IF('input-data'!$B$3="Dansk", "kg N hjemmeproduceret", "kg N home-produced")</f>
        <v>kg N hjemmeproduceret</v>
      </c>
      <c r="P16" s="635" t="str">
        <f>IF('input-data'!$B$3="Dansk", "kg P hjemmeproduceret", "kg P home-produced")</f>
        <v>kg P hjemmeproduceret</v>
      </c>
      <c r="Q16" s="698" t="str">
        <f>IF('input-data'!$B$3="Dansk", "Klimaaftryk, kg CO2-ækv", "GWP, kg CO2-eq")</f>
        <v>Klimaaftryk, kg CO2-ækv</v>
      </c>
      <c r="R16" s="715" t="str">
        <f>IF('input-data'!$B$3="Dansk", "C i jord, kg CO2-ækv", "soil C change, kg CO2-eq")</f>
        <v>C i jord, kg CO2-ækv</v>
      </c>
      <c r="S16" s="699" t="str">
        <f>IF('input-data'!$B$3="Dansk", "iLUC, kg CO2-ækv", "iLUC, kg CO2-eq")</f>
        <v>iLUC, kg CO2-ækv</v>
      </c>
      <c r="T16" s="699" t="str">
        <f>IF('input-data'!$B$3="Dansk", "EP, kg NO3-ækv", "EP, kg NO3-eq")</f>
        <v>EP, kg NO3-ækv</v>
      </c>
      <c r="U16" s="699" t="str">
        <f>IF('input-data'!$B$3="Dansk", "Energiforbrug, MJ", "NRE, MJ")</f>
        <v>Energiforbrug, MJ</v>
      </c>
      <c r="V16" s="699" t="str">
        <f>IF('input-data'!$B$3="Dansk", "Forsuring potential, kg SO2-ækv", "AP, kg SO2-eq.")</f>
        <v>Forsuring potential, kg SO2-ækv</v>
      </c>
      <c r="W16" s="700" t="str">
        <f>IF('input-data'!$B$3="Dansk", "Arealforbrug, m2", "LU, m2")</f>
        <v>Arealforbrug, m2</v>
      </c>
      <c r="X16" s="829"/>
      <c r="AU16" s="110"/>
    </row>
    <row r="17" spans="2:47" x14ac:dyDescent="0.2">
      <c r="B17" s="636" t="str">
        <f>'input-data'!$B$43</f>
        <v xml:space="preserve"> Diegivning søer</v>
      </c>
      <c r="C17" s="63" t="str">
        <f>'input-data'!$B$44</f>
        <v xml:space="preserve">  Kraftfoder:</v>
      </c>
      <c r="D17" s="63" t="str">
        <f>'input-data'!$B$45</f>
        <v xml:space="preserve">    blanding 1:</v>
      </c>
      <c r="E17" s="677">
        <f>'input-data'!E50</f>
        <v>0</v>
      </c>
      <c r="F17" s="261">
        <f>IFERROR('Flow sohold'!$D$31*100/'Flow sohold'!$D$55*'input-data'!I50/100,0)</f>
        <v>0</v>
      </c>
      <c r="G17" s="337">
        <f t="shared" ref="G17:G48" si="2">IFERROR(F17*VLOOKUP(E17, Fodertabel, 4, FALSE), 0)</f>
        <v>0</v>
      </c>
      <c r="H17" s="337">
        <f>F17*'Flow sohold'!$D$5</f>
        <v>0</v>
      </c>
      <c r="I17" s="337">
        <f t="shared" ref="I17:I48" si="3">IFERROR(F17*VLOOKUP(E17, Fodertabel, 9, FALSE)/100, 0)</f>
        <v>0</v>
      </c>
      <c r="J17" s="337">
        <f>I17*'Flow sohold'!$D$5</f>
        <v>0</v>
      </c>
      <c r="K17" s="337">
        <f t="shared" ref="K17:K48" si="4">IFERROR(J17*VLOOKUP(E17, Fodertabel, 60, FALSE)/100/6.25, 0)</f>
        <v>0</v>
      </c>
      <c r="L17" s="633">
        <f t="shared" ref="L17:L48" si="5">IFERROR(J17*VLOOKUP(E17, Fodertabel, 23, FALSE)/1000, 0)</f>
        <v>0</v>
      </c>
      <c r="M17" s="627">
        <f t="shared" ref="M17:M48" si="6">IFERROR(VLOOKUP(E17, Fodertabel, 226, FALSE), 0)</f>
        <v>0</v>
      </c>
      <c r="N17" s="337">
        <f t="shared" ref="N17:N48" si="7">IF(OR(M17="onfarm", M17="folde", M17="paddock"), J17, 0)</f>
        <v>0</v>
      </c>
      <c r="O17" s="337">
        <f t="shared" ref="O17:O48" si="8">IFERROR(J17/N17*K17, 0)</f>
        <v>0</v>
      </c>
      <c r="P17" s="637">
        <f t="shared" ref="P17:P48" si="9">IFERROR(N17/J17*L17, 0)</f>
        <v>0</v>
      </c>
      <c r="Q17" s="701">
        <f t="shared" ref="Q17:Q36" si="10">IFERROR(VLOOKUP($E17, Fodertabel, 218, FALSE)*$J17, 0)</f>
        <v>0</v>
      </c>
      <c r="R17" s="702">
        <f t="shared" ref="R17:R36" si="11">IFERROR(VLOOKUP($E17, Fodertabel, 219, FALSE)*$J17, 0)</f>
        <v>0</v>
      </c>
      <c r="S17" s="702">
        <f t="shared" ref="S17:S36" si="12">IFERROR(VLOOKUP($E17, Fodertabel, 220, FALSE)*$J17, 0)</f>
        <v>0</v>
      </c>
      <c r="T17" s="702">
        <f t="shared" ref="T17:T36" si="13">IFERROR(VLOOKUP($E17, Fodertabel, 221, FALSE)*$J17, 0)</f>
        <v>0</v>
      </c>
      <c r="U17" s="702">
        <f t="shared" ref="U17:U36" si="14">IFERROR(VLOOKUP($E17, Fodertabel, 222, FALSE)*$J17, 0)</f>
        <v>0</v>
      </c>
      <c r="V17" s="702">
        <f t="shared" ref="V17:V36" si="15">IFERROR(VLOOKUP($E17, Fodertabel, 223, FALSE)*$J17, 0)</f>
        <v>0</v>
      </c>
      <c r="W17" s="703">
        <f t="shared" ref="W17:W36" si="16">IFERROR(VLOOKUP($E17, Fodertabel, 224, FALSE)*$J17, 0)</f>
        <v>0</v>
      </c>
      <c r="X17" s="828">
        <f t="shared" ref="X17:X48" si="17">IFERROR(VLOOKUP(E17, Fodertabel, 227, FALSE), 0)</f>
        <v>0</v>
      </c>
      <c r="AU17" s="110"/>
    </row>
    <row r="18" spans="2:47" x14ac:dyDescent="0.2">
      <c r="B18" s="636" t="str">
        <f>'input-data'!$B$43</f>
        <v xml:space="preserve"> Diegivning søer</v>
      </c>
      <c r="C18" s="63" t="str">
        <f>'input-data'!$B$44</f>
        <v xml:space="preserve">  Kraftfoder:</v>
      </c>
      <c r="D18" s="63" t="str">
        <f>'input-data'!$B$45</f>
        <v xml:space="preserve">    blanding 1:</v>
      </c>
      <c r="E18" s="677">
        <f>'input-data'!E51</f>
        <v>0</v>
      </c>
      <c r="F18" s="261">
        <f>IFERROR('Flow sohold'!$D$31*100/'Flow sohold'!$D$55*'input-data'!I51/100,0)</f>
        <v>0</v>
      </c>
      <c r="G18" s="337">
        <f t="shared" si="2"/>
        <v>0</v>
      </c>
      <c r="H18" s="337">
        <f>F18*'Flow sohold'!$D$5</f>
        <v>0</v>
      </c>
      <c r="I18" s="337">
        <f t="shared" si="3"/>
        <v>0</v>
      </c>
      <c r="J18" s="337">
        <f>I18*'Flow sohold'!$D$5</f>
        <v>0</v>
      </c>
      <c r="K18" s="337">
        <f t="shared" si="4"/>
        <v>0</v>
      </c>
      <c r="L18" s="633">
        <f t="shared" si="5"/>
        <v>0</v>
      </c>
      <c r="M18" s="627">
        <f t="shared" si="6"/>
        <v>0</v>
      </c>
      <c r="N18" s="337">
        <f t="shared" si="7"/>
        <v>0</v>
      </c>
      <c r="O18" s="337">
        <f t="shared" si="8"/>
        <v>0</v>
      </c>
      <c r="P18" s="637">
        <f t="shared" si="9"/>
        <v>0</v>
      </c>
      <c r="Q18" s="694">
        <f t="shared" si="10"/>
        <v>0</v>
      </c>
      <c r="R18" s="337">
        <f t="shared" si="11"/>
        <v>0</v>
      </c>
      <c r="S18" s="337">
        <f t="shared" si="12"/>
        <v>0</v>
      </c>
      <c r="T18" s="337">
        <f t="shared" si="13"/>
        <v>0</v>
      </c>
      <c r="U18" s="337">
        <f t="shared" si="14"/>
        <v>0</v>
      </c>
      <c r="V18" s="337">
        <f t="shared" si="15"/>
        <v>0</v>
      </c>
      <c r="W18" s="695">
        <f t="shared" si="16"/>
        <v>0</v>
      </c>
      <c r="X18" s="828">
        <f t="shared" si="17"/>
        <v>0</v>
      </c>
      <c r="AU18" s="110"/>
    </row>
    <row r="19" spans="2:47" x14ac:dyDescent="0.2">
      <c r="B19" s="636" t="str">
        <f>'input-data'!$B$43</f>
        <v xml:space="preserve"> Diegivning søer</v>
      </c>
      <c r="C19" s="63" t="str">
        <f>'input-data'!$B$44</f>
        <v xml:space="preserve">  Kraftfoder:</v>
      </c>
      <c r="D19" s="63" t="str">
        <f>'input-data'!$B$45</f>
        <v xml:space="preserve">    blanding 1:</v>
      </c>
      <c r="E19" s="677">
        <f>'input-data'!E52</f>
        <v>0</v>
      </c>
      <c r="F19" s="261">
        <f>IFERROR('Flow sohold'!$D$31*100/'Flow sohold'!$D$55*'input-data'!I52/100,0)</f>
        <v>0</v>
      </c>
      <c r="G19" s="337">
        <f t="shared" si="2"/>
        <v>0</v>
      </c>
      <c r="H19" s="337">
        <f>F19*'Flow sohold'!$D$5</f>
        <v>0</v>
      </c>
      <c r="I19" s="337">
        <f t="shared" si="3"/>
        <v>0</v>
      </c>
      <c r="J19" s="337">
        <f>I19*'Flow sohold'!$D$5</f>
        <v>0</v>
      </c>
      <c r="K19" s="337">
        <f t="shared" si="4"/>
        <v>0</v>
      </c>
      <c r="L19" s="633">
        <f t="shared" si="5"/>
        <v>0</v>
      </c>
      <c r="M19" s="627">
        <f t="shared" si="6"/>
        <v>0</v>
      </c>
      <c r="N19" s="337">
        <f t="shared" si="7"/>
        <v>0</v>
      </c>
      <c r="O19" s="337">
        <f t="shared" si="8"/>
        <v>0</v>
      </c>
      <c r="P19" s="637">
        <f t="shared" si="9"/>
        <v>0</v>
      </c>
      <c r="Q19" s="694">
        <f t="shared" si="10"/>
        <v>0</v>
      </c>
      <c r="R19" s="337">
        <f t="shared" si="11"/>
        <v>0</v>
      </c>
      <c r="S19" s="337">
        <f t="shared" si="12"/>
        <v>0</v>
      </c>
      <c r="T19" s="337">
        <f t="shared" si="13"/>
        <v>0</v>
      </c>
      <c r="U19" s="337">
        <f t="shared" si="14"/>
        <v>0</v>
      </c>
      <c r="V19" s="337">
        <f t="shared" si="15"/>
        <v>0</v>
      </c>
      <c r="W19" s="695">
        <f t="shared" si="16"/>
        <v>0</v>
      </c>
      <c r="X19" s="828">
        <f t="shared" si="17"/>
        <v>0</v>
      </c>
      <c r="AU19" s="110"/>
    </row>
    <row r="20" spans="2:47" x14ac:dyDescent="0.2">
      <c r="B20" s="636" t="str">
        <f>'input-data'!$B$43</f>
        <v xml:space="preserve"> Diegivning søer</v>
      </c>
      <c r="C20" s="63" t="str">
        <f>'input-data'!$B$44</f>
        <v xml:space="preserve">  Kraftfoder:</v>
      </c>
      <c r="D20" s="63" t="str">
        <f>'input-data'!$B$45</f>
        <v xml:space="preserve">    blanding 1:</v>
      </c>
      <c r="E20" s="677">
        <f>'input-data'!E53</f>
        <v>0</v>
      </c>
      <c r="F20" s="261">
        <f>IFERROR('Flow sohold'!$D$31*100/'Flow sohold'!$D$55*'input-data'!I53/100,0)</f>
        <v>0</v>
      </c>
      <c r="G20" s="337">
        <f t="shared" si="2"/>
        <v>0</v>
      </c>
      <c r="H20" s="337">
        <f>F20*'Flow sohold'!$D$5</f>
        <v>0</v>
      </c>
      <c r="I20" s="337">
        <f t="shared" si="3"/>
        <v>0</v>
      </c>
      <c r="J20" s="337">
        <f>I20*'Flow sohold'!$D$5</f>
        <v>0</v>
      </c>
      <c r="K20" s="337">
        <f t="shared" si="4"/>
        <v>0</v>
      </c>
      <c r="L20" s="633">
        <f t="shared" si="5"/>
        <v>0</v>
      </c>
      <c r="M20" s="627">
        <f t="shared" si="6"/>
        <v>0</v>
      </c>
      <c r="N20" s="337">
        <f t="shared" si="7"/>
        <v>0</v>
      </c>
      <c r="O20" s="337">
        <f t="shared" si="8"/>
        <v>0</v>
      </c>
      <c r="P20" s="637">
        <f t="shared" si="9"/>
        <v>0</v>
      </c>
      <c r="Q20" s="694">
        <f t="shared" si="10"/>
        <v>0</v>
      </c>
      <c r="R20" s="337">
        <f t="shared" si="11"/>
        <v>0</v>
      </c>
      <c r="S20" s="337">
        <f t="shared" si="12"/>
        <v>0</v>
      </c>
      <c r="T20" s="337">
        <f t="shared" si="13"/>
        <v>0</v>
      </c>
      <c r="U20" s="337">
        <f t="shared" si="14"/>
        <v>0</v>
      </c>
      <c r="V20" s="337">
        <f t="shared" si="15"/>
        <v>0</v>
      </c>
      <c r="W20" s="695">
        <f t="shared" si="16"/>
        <v>0</v>
      </c>
      <c r="X20" s="828">
        <f t="shared" si="17"/>
        <v>0</v>
      </c>
      <c r="AU20" s="110"/>
    </row>
    <row r="21" spans="2:47" x14ac:dyDescent="0.2">
      <c r="B21" s="636" t="str">
        <f>'input-data'!$B$43</f>
        <v xml:space="preserve"> Diegivning søer</v>
      </c>
      <c r="C21" s="63" t="str">
        <f>'input-data'!$B$44</f>
        <v xml:space="preserve">  Kraftfoder:</v>
      </c>
      <c r="D21" s="63" t="str">
        <f>'input-data'!$B$45</f>
        <v xml:space="preserve">    blanding 1:</v>
      </c>
      <c r="E21" s="677">
        <f>'input-data'!E54</f>
        <v>0</v>
      </c>
      <c r="F21" s="261">
        <f>IFERROR('Flow sohold'!$D$31*100/'Flow sohold'!$D$55*'input-data'!I54/100,0)</f>
        <v>0</v>
      </c>
      <c r="G21" s="337">
        <f t="shared" si="2"/>
        <v>0</v>
      </c>
      <c r="H21" s="337">
        <f>F21*'Flow sohold'!$D$5</f>
        <v>0</v>
      </c>
      <c r="I21" s="337">
        <f t="shared" si="3"/>
        <v>0</v>
      </c>
      <c r="J21" s="337">
        <f>I21*'Flow sohold'!$D$5</f>
        <v>0</v>
      </c>
      <c r="K21" s="337">
        <f t="shared" si="4"/>
        <v>0</v>
      </c>
      <c r="L21" s="633">
        <f t="shared" si="5"/>
        <v>0</v>
      </c>
      <c r="M21" s="627">
        <f t="shared" si="6"/>
        <v>0</v>
      </c>
      <c r="N21" s="337">
        <f t="shared" si="7"/>
        <v>0</v>
      </c>
      <c r="O21" s="337">
        <f t="shared" si="8"/>
        <v>0</v>
      </c>
      <c r="P21" s="637">
        <f t="shared" si="9"/>
        <v>0</v>
      </c>
      <c r="Q21" s="694">
        <f t="shared" si="10"/>
        <v>0</v>
      </c>
      <c r="R21" s="337">
        <f t="shared" si="11"/>
        <v>0</v>
      </c>
      <c r="S21" s="337">
        <f t="shared" si="12"/>
        <v>0</v>
      </c>
      <c r="T21" s="337">
        <f t="shared" si="13"/>
        <v>0</v>
      </c>
      <c r="U21" s="337">
        <f t="shared" si="14"/>
        <v>0</v>
      </c>
      <c r="V21" s="337">
        <f t="shared" si="15"/>
        <v>0</v>
      </c>
      <c r="W21" s="695">
        <f t="shared" si="16"/>
        <v>0</v>
      </c>
      <c r="X21" s="828">
        <f t="shared" si="17"/>
        <v>0</v>
      </c>
      <c r="AU21" s="110"/>
    </row>
    <row r="22" spans="2:47" x14ac:dyDescent="0.2">
      <c r="B22" s="636" t="str">
        <f>'input-data'!$B$43</f>
        <v xml:space="preserve"> Diegivning søer</v>
      </c>
      <c r="C22" s="63" t="str">
        <f>'input-data'!$B$44</f>
        <v xml:space="preserve">  Kraftfoder:</v>
      </c>
      <c r="D22" s="63" t="str">
        <f>'input-data'!$B$45</f>
        <v xml:space="preserve">    blanding 1:</v>
      </c>
      <c r="E22" s="677">
        <f>'input-data'!E55</f>
        <v>0</v>
      </c>
      <c r="F22" s="261">
        <f>IFERROR('Flow sohold'!$D$31*100/'Flow sohold'!$D$55*'input-data'!I55/100,0)</f>
        <v>0</v>
      </c>
      <c r="G22" s="337">
        <f t="shared" si="2"/>
        <v>0</v>
      </c>
      <c r="H22" s="337">
        <f>F22*'Flow sohold'!$D$5</f>
        <v>0</v>
      </c>
      <c r="I22" s="337">
        <f t="shared" si="3"/>
        <v>0</v>
      </c>
      <c r="J22" s="337">
        <f>I22*'Flow sohold'!$D$5</f>
        <v>0</v>
      </c>
      <c r="K22" s="337">
        <f t="shared" si="4"/>
        <v>0</v>
      </c>
      <c r="L22" s="633">
        <f t="shared" si="5"/>
        <v>0</v>
      </c>
      <c r="M22" s="627">
        <f t="shared" si="6"/>
        <v>0</v>
      </c>
      <c r="N22" s="337">
        <f t="shared" si="7"/>
        <v>0</v>
      </c>
      <c r="O22" s="337">
        <f t="shared" si="8"/>
        <v>0</v>
      </c>
      <c r="P22" s="637">
        <f t="shared" si="9"/>
        <v>0</v>
      </c>
      <c r="Q22" s="694">
        <f t="shared" si="10"/>
        <v>0</v>
      </c>
      <c r="R22" s="337">
        <f t="shared" si="11"/>
        <v>0</v>
      </c>
      <c r="S22" s="337">
        <f t="shared" si="12"/>
        <v>0</v>
      </c>
      <c r="T22" s="337">
        <f t="shared" si="13"/>
        <v>0</v>
      </c>
      <c r="U22" s="337">
        <f t="shared" si="14"/>
        <v>0</v>
      </c>
      <c r="V22" s="337">
        <f t="shared" si="15"/>
        <v>0</v>
      </c>
      <c r="W22" s="695">
        <f t="shared" si="16"/>
        <v>0</v>
      </c>
      <c r="X22" s="828">
        <f t="shared" si="17"/>
        <v>0</v>
      </c>
      <c r="AU22" s="110"/>
    </row>
    <row r="23" spans="2:47" x14ac:dyDescent="0.2">
      <c r="B23" s="636" t="str">
        <f>'input-data'!$B$43</f>
        <v xml:space="preserve"> Diegivning søer</v>
      </c>
      <c r="C23" s="63" t="str">
        <f>'input-data'!$B$44</f>
        <v xml:space="preserve">  Kraftfoder:</v>
      </c>
      <c r="D23" s="63" t="str">
        <f>'input-data'!$B$45</f>
        <v xml:space="preserve">    blanding 1:</v>
      </c>
      <c r="E23" s="677">
        <f>'input-data'!E56</f>
        <v>0</v>
      </c>
      <c r="F23" s="261">
        <f>IFERROR('Flow sohold'!$D$31*100/'Flow sohold'!$D$55*'input-data'!I56/100,0)</f>
        <v>0</v>
      </c>
      <c r="G23" s="337">
        <f t="shared" si="2"/>
        <v>0</v>
      </c>
      <c r="H23" s="337">
        <f>F23*'Flow sohold'!$D$5</f>
        <v>0</v>
      </c>
      <c r="I23" s="337">
        <f t="shared" si="3"/>
        <v>0</v>
      </c>
      <c r="J23" s="337">
        <f>I23*'Flow sohold'!$D$5</f>
        <v>0</v>
      </c>
      <c r="K23" s="337">
        <f t="shared" si="4"/>
        <v>0</v>
      </c>
      <c r="L23" s="633">
        <f t="shared" si="5"/>
        <v>0</v>
      </c>
      <c r="M23" s="627">
        <f t="shared" si="6"/>
        <v>0</v>
      </c>
      <c r="N23" s="337">
        <f t="shared" si="7"/>
        <v>0</v>
      </c>
      <c r="O23" s="337">
        <f t="shared" si="8"/>
        <v>0</v>
      </c>
      <c r="P23" s="637">
        <f t="shared" si="9"/>
        <v>0</v>
      </c>
      <c r="Q23" s="694">
        <f t="shared" si="10"/>
        <v>0</v>
      </c>
      <c r="R23" s="337">
        <f t="shared" si="11"/>
        <v>0</v>
      </c>
      <c r="S23" s="337">
        <f t="shared" si="12"/>
        <v>0</v>
      </c>
      <c r="T23" s="337">
        <f t="shared" si="13"/>
        <v>0</v>
      </c>
      <c r="U23" s="337">
        <f t="shared" si="14"/>
        <v>0</v>
      </c>
      <c r="V23" s="337">
        <f t="shared" si="15"/>
        <v>0</v>
      </c>
      <c r="W23" s="695">
        <f t="shared" si="16"/>
        <v>0</v>
      </c>
      <c r="X23" s="828">
        <f t="shared" si="17"/>
        <v>0</v>
      </c>
      <c r="AU23" s="110"/>
    </row>
    <row r="24" spans="2:47" x14ac:dyDescent="0.2">
      <c r="B24" s="636" t="str">
        <f>'input-data'!$B$43</f>
        <v xml:space="preserve"> Diegivning søer</v>
      </c>
      <c r="C24" s="63" t="str">
        <f>'input-data'!$B$44</f>
        <v xml:space="preserve">  Kraftfoder:</v>
      </c>
      <c r="D24" s="63" t="str">
        <f>'input-data'!$B$45</f>
        <v xml:space="preserve">    blanding 1:</v>
      </c>
      <c r="E24" s="677">
        <f>'input-data'!E57</f>
        <v>0</v>
      </c>
      <c r="F24" s="261">
        <f>IFERROR('Flow sohold'!$D$31*100/'Flow sohold'!$D$55*'input-data'!I57/100,0)</f>
        <v>0</v>
      </c>
      <c r="G24" s="337">
        <f t="shared" si="2"/>
        <v>0</v>
      </c>
      <c r="H24" s="337">
        <f>F24*'Flow sohold'!$D$5</f>
        <v>0</v>
      </c>
      <c r="I24" s="337">
        <f t="shared" si="3"/>
        <v>0</v>
      </c>
      <c r="J24" s="337">
        <f>I24*'Flow sohold'!$D$5</f>
        <v>0</v>
      </c>
      <c r="K24" s="337">
        <f t="shared" si="4"/>
        <v>0</v>
      </c>
      <c r="L24" s="633">
        <f t="shared" si="5"/>
        <v>0</v>
      </c>
      <c r="M24" s="627">
        <f t="shared" si="6"/>
        <v>0</v>
      </c>
      <c r="N24" s="337">
        <f t="shared" si="7"/>
        <v>0</v>
      </c>
      <c r="O24" s="337">
        <f t="shared" si="8"/>
        <v>0</v>
      </c>
      <c r="P24" s="637">
        <f t="shared" si="9"/>
        <v>0</v>
      </c>
      <c r="Q24" s="694">
        <f t="shared" si="10"/>
        <v>0</v>
      </c>
      <c r="R24" s="337">
        <f t="shared" si="11"/>
        <v>0</v>
      </c>
      <c r="S24" s="337">
        <f t="shared" si="12"/>
        <v>0</v>
      </c>
      <c r="T24" s="337">
        <f t="shared" si="13"/>
        <v>0</v>
      </c>
      <c r="U24" s="337">
        <f t="shared" si="14"/>
        <v>0</v>
      </c>
      <c r="V24" s="337">
        <f t="shared" si="15"/>
        <v>0</v>
      </c>
      <c r="W24" s="695">
        <f t="shared" si="16"/>
        <v>0</v>
      </c>
      <c r="X24" s="828">
        <f t="shared" si="17"/>
        <v>0</v>
      </c>
      <c r="AU24" s="110"/>
    </row>
    <row r="25" spans="2:47" x14ac:dyDescent="0.2">
      <c r="B25" s="636" t="str">
        <f>'input-data'!$B$43</f>
        <v xml:space="preserve"> Diegivning søer</v>
      </c>
      <c r="C25" s="63" t="str">
        <f>'input-data'!$B$44</f>
        <v xml:space="preserve">  Kraftfoder:</v>
      </c>
      <c r="D25" s="63" t="str">
        <f>'input-data'!$B$45</f>
        <v xml:space="preserve">    blanding 1:</v>
      </c>
      <c r="E25" s="677">
        <f>'input-data'!E58</f>
        <v>0</v>
      </c>
      <c r="F25" s="261">
        <f>IFERROR('Flow sohold'!$D$31*100/'Flow sohold'!$D$55*'input-data'!I58/100,0)</f>
        <v>0</v>
      </c>
      <c r="G25" s="337">
        <f t="shared" si="2"/>
        <v>0</v>
      </c>
      <c r="H25" s="337">
        <f>F25*'Flow sohold'!$D$5</f>
        <v>0</v>
      </c>
      <c r="I25" s="337">
        <f t="shared" si="3"/>
        <v>0</v>
      </c>
      <c r="J25" s="337">
        <f>I25*'Flow sohold'!$D$5</f>
        <v>0</v>
      </c>
      <c r="K25" s="337">
        <f t="shared" si="4"/>
        <v>0</v>
      </c>
      <c r="L25" s="633">
        <f t="shared" si="5"/>
        <v>0</v>
      </c>
      <c r="M25" s="627">
        <f t="shared" si="6"/>
        <v>0</v>
      </c>
      <c r="N25" s="337">
        <f t="shared" si="7"/>
        <v>0</v>
      </c>
      <c r="O25" s="337">
        <f t="shared" si="8"/>
        <v>0</v>
      </c>
      <c r="P25" s="637">
        <f t="shared" si="9"/>
        <v>0</v>
      </c>
      <c r="Q25" s="694">
        <f t="shared" si="10"/>
        <v>0</v>
      </c>
      <c r="R25" s="337">
        <f t="shared" si="11"/>
        <v>0</v>
      </c>
      <c r="S25" s="337">
        <f t="shared" si="12"/>
        <v>0</v>
      </c>
      <c r="T25" s="337">
        <f t="shared" si="13"/>
        <v>0</v>
      </c>
      <c r="U25" s="337">
        <f t="shared" si="14"/>
        <v>0</v>
      </c>
      <c r="V25" s="337">
        <f t="shared" si="15"/>
        <v>0</v>
      </c>
      <c r="W25" s="695">
        <f t="shared" si="16"/>
        <v>0</v>
      </c>
      <c r="X25" s="828">
        <f t="shared" si="17"/>
        <v>0</v>
      </c>
      <c r="AU25" s="110"/>
    </row>
    <row r="26" spans="2:47" x14ac:dyDescent="0.2">
      <c r="B26" s="636" t="str">
        <f>'input-data'!$B$43</f>
        <v xml:space="preserve"> Diegivning søer</v>
      </c>
      <c r="C26" s="63" t="str">
        <f>'input-data'!$B$44</f>
        <v xml:space="preserve">  Kraftfoder:</v>
      </c>
      <c r="D26" s="63" t="str">
        <f>'input-data'!$B$45</f>
        <v xml:space="preserve">    blanding 1:</v>
      </c>
      <c r="E26" s="677">
        <f>'input-data'!E59</f>
        <v>0</v>
      </c>
      <c r="F26" s="261">
        <f>IFERROR('Flow sohold'!$D$31*100/'Flow sohold'!$D$55*'input-data'!I59/100,0)</f>
        <v>0</v>
      </c>
      <c r="G26" s="337">
        <f t="shared" si="2"/>
        <v>0</v>
      </c>
      <c r="H26" s="337">
        <f>F26*'Flow sohold'!$D$5</f>
        <v>0</v>
      </c>
      <c r="I26" s="337">
        <f t="shared" si="3"/>
        <v>0</v>
      </c>
      <c r="J26" s="337">
        <f>I26*'Flow sohold'!$D$5</f>
        <v>0</v>
      </c>
      <c r="K26" s="337">
        <f t="shared" si="4"/>
        <v>0</v>
      </c>
      <c r="L26" s="633">
        <f t="shared" si="5"/>
        <v>0</v>
      </c>
      <c r="M26" s="627">
        <f t="shared" si="6"/>
        <v>0</v>
      </c>
      <c r="N26" s="337">
        <f t="shared" si="7"/>
        <v>0</v>
      </c>
      <c r="O26" s="337">
        <f t="shared" si="8"/>
        <v>0</v>
      </c>
      <c r="P26" s="637">
        <f t="shared" si="9"/>
        <v>0</v>
      </c>
      <c r="Q26" s="694">
        <f t="shared" si="10"/>
        <v>0</v>
      </c>
      <c r="R26" s="337">
        <f t="shared" si="11"/>
        <v>0</v>
      </c>
      <c r="S26" s="337">
        <f t="shared" si="12"/>
        <v>0</v>
      </c>
      <c r="T26" s="337">
        <f t="shared" si="13"/>
        <v>0</v>
      </c>
      <c r="U26" s="337">
        <f t="shared" si="14"/>
        <v>0</v>
      </c>
      <c r="V26" s="337">
        <f t="shared" si="15"/>
        <v>0</v>
      </c>
      <c r="W26" s="695">
        <f t="shared" si="16"/>
        <v>0</v>
      </c>
      <c r="X26" s="828">
        <f t="shared" si="17"/>
        <v>0</v>
      </c>
      <c r="AU26" s="110"/>
    </row>
    <row r="27" spans="2:47" x14ac:dyDescent="0.2">
      <c r="B27" s="636" t="str">
        <f>'input-data'!$B$43</f>
        <v xml:space="preserve"> Diegivning søer</v>
      </c>
      <c r="C27" s="63" t="str">
        <f>'input-data'!$B$44</f>
        <v xml:space="preserve">  Kraftfoder:</v>
      </c>
      <c r="D27" s="63" t="str">
        <f>'input-data'!$B$45</f>
        <v xml:space="preserve">    blanding 1:</v>
      </c>
      <c r="E27" s="677">
        <f>'input-data'!E60</f>
        <v>0</v>
      </c>
      <c r="F27" s="261">
        <f>IFERROR('Flow sohold'!$D$31*100/'Flow sohold'!$D$55*'input-data'!I60/100,0)</f>
        <v>0</v>
      </c>
      <c r="G27" s="337">
        <f t="shared" si="2"/>
        <v>0</v>
      </c>
      <c r="H27" s="337">
        <f>F27*'Flow sohold'!$D$5</f>
        <v>0</v>
      </c>
      <c r="I27" s="337">
        <f t="shared" si="3"/>
        <v>0</v>
      </c>
      <c r="J27" s="337">
        <f>I27*'Flow sohold'!$D$5</f>
        <v>0</v>
      </c>
      <c r="K27" s="337">
        <f t="shared" si="4"/>
        <v>0</v>
      </c>
      <c r="L27" s="633">
        <f t="shared" si="5"/>
        <v>0</v>
      </c>
      <c r="M27" s="627">
        <f t="shared" si="6"/>
        <v>0</v>
      </c>
      <c r="N27" s="337">
        <f t="shared" si="7"/>
        <v>0</v>
      </c>
      <c r="O27" s="337">
        <f t="shared" si="8"/>
        <v>0</v>
      </c>
      <c r="P27" s="637">
        <f t="shared" si="9"/>
        <v>0</v>
      </c>
      <c r="Q27" s="694">
        <f t="shared" si="10"/>
        <v>0</v>
      </c>
      <c r="R27" s="337">
        <f t="shared" si="11"/>
        <v>0</v>
      </c>
      <c r="S27" s="337">
        <f t="shared" si="12"/>
        <v>0</v>
      </c>
      <c r="T27" s="337">
        <f t="shared" si="13"/>
        <v>0</v>
      </c>
      <c r="U27" s="337">
        <f t="shared" si="14"/>
        <v>0</v>
      </c>
      <c r="V27" s="337">
        <f t="shared" si="15"/>
        <v>0</v>
      </c>
      <c r="W27" s="695">
        <f t="shared" si="16"/>
        <v>0</v>
      </c>
      <c r="X27" s="828">
        <f t="shared" si="17"/>
        <v>0</v>
      </c>
      <c r="AU27" s="110"/>
    </row>
    <row r="28" spans="2:47" x14ac:dyDescent="0.2">
      <c r="B28" s="636" t="str">
        <f>'input-data'!$B$43</f>
        <v xml:space="preserve"> Diegivning søer</v>
      </c>
      <c r="C28" s="63" t="str">
        <f>'input-data'!$B$44</f>
        <v xml:space="preserve">  Kraftfoder:</v>
      </c>
      <c r="D28" s="63" t="str">
        <f>'input-data'!$B$45</f>
        <v xml:space="preserve">    blanding 1:</v>
      </c>
      <c r="E28" s="677">
        <f>'input-data'!E61</f>
        <v>0</v>
      </c>
      <c r="F28" s="261">
        <f>IFERROR('Flow sohold'!$D$31*100/'Flow sohold'!$D$55*'input-data'!I61/100,0)</f>
        <v>0</v>
      </c>
      <c r="G28" s="337">
        <f t="shared" si="2"/>
        <v>0</v>
      </c>
      <c r="H28" s="337">
        <f>F28*'Flow sohold'!$D$5</f>
        <v>0</v>
      </c>
      <c r="I28" s="337">
        <f t="shared" si="3"/>
        <v>0</v>
      </c>
      <c r="J28" s="337">
        <f>I28*'Flow sohold'!$D$5</f>
        <v>0</v>
      </c>
      <c r="K28" s="337">
        <f t="shared" si="4"/>
        <v>0</v>
      </c>
      <c r="L28" s="633">
        <f t="shared" si="5"/>
        <v>0</v>
      </c>
      <c r="M28" s="627">
        <f t="shared" si="6"/>
        <v>0</v>
      </c>
      <c r="N28" s="337">
        <f t="shared" si="7"/>
        <v>0</v>
      </c>
      <c r="O28" s="337">
        <f t="shared" si="8"/>
        <v>0</v>
      </c>
      <c r="P28" s="637">
        <f t="shared" si="9"/>
        <v>0</v>
      </c>
      <c r="Q28" s="694">
        <f t="shared" si="10"/>
        <v>0</v>
      </c>
      <c r="R28" s="337">
        <f t="shared" si="11"/>
        <v>0</v>
      </c>
      <c r="S28" s="337">
        <f t="shared" si="12"/>
        <v>0</v>
      </c>
      <c r="T28" s="337">
        <f t="shared" si="13"/>
        <v>0</v>
      </c>
      <c r="U28" s="337">
        <f t="shared" si="14"/>
        <v>0</v>
      </c>
      <c r="V28" s="337">
        <f t="shared" si="15"/>
        <v>0</v>
      </c>
      <c r="W28" s="695">
        <f t="shared" si="16"/>
        <v>0</v>
      </c>
      <c r="X28" s="828">
        <f t="shared" si="17"/>
        <v>0</v>
      </c>
      <c r="AU28" s="110"/>
    </row>
    <row r="29" spans="2:47" x14ac:dyDescent="0.2">
      <c r="B29" s="636" t="str">
        <f>'input-data'!$B$43</f>
        <v xml:space="preserve"> Diegivning søer</v>
      </c>
      <c r="C29" s="63" t="str">
        <f>'input-data'!$B$44</f>
        <v xml:space="preserve">  Kraftfoder:</v>
      </c>
      <c r="D29" s="63" t="str">
        <f>'input-data'!$B$45</f>
        <v xml:space="preserve">    blanding 1:</v>
      </c>
      <c r="E29" s="677">
        <f>'input-data'!E62</f>
        <v>0</v>
      </c>
      <c r="F29" s="261">
        <f>IFERROR('Flow sohold'!$D$31*100/'Flow sohold'!$D$55*'input-data'!I62/100,0)</f>
        <v>0</v>
      </c>
      <c r="G29" s="337">
        <f t="shared" si="2"/>
        <v>0</v>
      </c>
      <c r="H29" s="337">
        <f>F29*'Flow sohold'!$D$5</f>
        <v>0</v>
      </c>
      <c r="I29" s="337">
        <f t="shared" si="3"/>
        <v>0</v>
      </c>
      <c r="J29" s="337">
        <f>I29*'Flow sohold'!$D$5</f>
        <v>0</v>
      </c>
      <c r="K29" s="337">
        <f t="shared" si="4"/>
        <v>0</v>
      </c>
      <c r="L29" s="633">
        <f t="shared" si="5"/>
        <v>0</v>
      </c>
      <c r="M29" s="627">
        <f t="shared" si="6"/>
        <v>0</v>
      </c>
      <c r="N29" s="337">
        <f t="shared" si="7"/>
        <v>0</v>
      </c>
      <c r="O29" s="337">
        <f t="shared" si="8"/>
        <v>0</v>
      </c>
      <c r="P29" s="637">
        <f t="shared" si="9"/>
        <v>0</v>
      </c>
      <c r="Q29" s="694">
        <f t="shared" si="10"/>
        <v>0</v>
      </c>
      <c r="R29" s="337">
        <f t="shared" si="11"/>
        <v>0</v>
      </c>
      <c r="S29" s="337">
        <f t="shared" si="12"/>
        <v>0</v>
      </c>
      <c r="T29" s="337">
        <f t="shared" si="13"/>
        <v>0</v>
      </c>
      <c r="U29" s="337">
        <f t="shared" si="14"/>
        <v>0</v>
      </c>
      <c r="V29" s="337">
        <f t="shared" si="15"/>
        <v>0</v>
      </c>
      <c r="W29" s="695">
        <f t="shared" si="16"/>
        <v>0</v>
      </c>
      <c r="X29" s="828">
        <f t="shared" si="17"/>
        <v>0</v>
      </c>
      <c r="AU29" s="110"/>
    </row>
    <row r="30" spans="2:47" x14ac:dyDescent="0.2">
      <c r="B30" s="636" t="str">
        <f>'input-data'!$B$43</f>
        <v xml:space="preserve"> Diegivning søer</v>
      </c>
      <c r="C30" s="63" t="str">
        <f>'input-data'!$B$44</f>
        <v xml:space="preserve">  Kraftfoder:</v>
      </c>
      <c r="D30" s="63" t="str">
        <f>'input-data'!$B$45</f>
        <v xml:space="preserve">    blanding 1:</v>
      </c>
      <c r="E30" s="677">
        <f>'input-data'!E63</f>
        <v>0</v>
      </c>
      <c r="F30" s="261">
        <f>IFERROR('Flow sohold'!$D$31*100/'Flow sohold'!$D$55*'input-data'!I63/100,0)</f>
        <v>0</v>
      </c>
      <c r="G30" s="337">
        <f t="shared" si="2"/>
        <v>0</v>
      </c>
      <c r="H30" s="337">
        <f>F30*'Flow sohold'!$D$5</f>
        <v>0</v>
      </c>
      <c r="I30" s="337">
        <f t="shared" si="3"/>
        <v>0</v>
      </c>
      <c r="J30" s="337">
        <f>I30*'Flow sohold'!$D$5</f>
        <v>0</v>
      </c>
      <c r="K30" s="337">
        <f t="shared" si="4"/>
        <v>0</v>
      </c>
      <c r="L30" s="633">
        <f t="shared" si="5"/>
        <v>0</v>
      </c>
      <c r="M30" s="627">
        <f t="shared" si="6"/>
        <v>0</v>
      </c>
      <c r="N30" s="337">
        <f t="shared" si="7"/>
        <v>0</v>
      </c>
      <c r="O30" s="337">
        <f t="shared" si="8"/>
        <v>0</v>
      </c>
      <c r="P30" s="637">
        <f t="shared" si="9"/>
        <v>0</v>
      </c>
      <c r="Q30" s="694">
        <f t="shared" si="10"/>
        <v>0</v>
      </c>
      <c r="R30" s="337">
        <f t="shared" si="11"/>
        <v>0</v>
      </c>
      <c r="S30" s="337">
        <f t="shared" si="12"/>
        <v>0</v>
      </c>
      <c r="T30" s="337">
        <f t="shared" si="13"/>
        <v>0</v>
      </c>
      <c r="U30" s="337">
        <f t="shared" si="14"/>
        <v>0</v>
      </c>
      <c r="V30" s="337">
        <f t="shared" si="15"/>
        <v>0</v>
      </c>
      <c r="W30" s="695">
        <f t="shared" si="16"/>
        <v>0</v>
      </c>
      <c r="X30" s="828">
        <f t="shared" si="17"/>
        <v>0</v>
      </c>
      <c r="AU30" s="110"/>
    </row>
    <row r="31" spans="2:47" x14ac:dyDescent="0.2">
      <c r="B31" s="636" t="str">
        <f>'input-data'!$B$43</f>
        <v xml:space="preserve"> Diegivning søer</v>
      </c>
      <c r="C31" s="63" t="str">
        <f>'input-data'!$B$44</f>
        <v xml:space="preserve">  Kraftfoder:</v>
      </c>
      <c r="D31" s="63" t="str">
        <f>'input-data'!$B$45</f>
        <v xml:space="preserve">    blanding 1:</v>
      </c>
      <c r="E31" s="677">
        <f>'input-data'!E64</f>
        <v>0</v>
      </c>
      <c r="F31" s="261">
        <f>IFERROR('Flow sohold'!$D$31*100/'Flow sohold'!$D$55*'input-data'!I64/100,0)</f>
        <v>0</v>
      </c>
      <c r="G31" s="337">
        <f t="shared" si="2"/>
        <v>0</v>
      </c>
      <c r="H31" s="337">
        <f>F31*'Flow sohold'!$D$5</f>
        <v>0</v>
      </c>
      <c r="I31" s="337">
        <f t="shared" si="3"/>
        <v>0</v>
      </c>
      <c r="J31" s="337">
        <f>I31*'Flow sohold'!$D$5</f>
        <v>0</v>
      </c>
      <c r="K31" s="337">
        <f t="shared" si="4"/>
        <v>0</v>
      </c>
      <c r="L31" s="633">
        <f t="shared" si="5"/>
        <v>0</v>
      </c>
      <c r="M31" s="627">
        <f t="shared" si="6"/>
        <v>0</v>
      </c>
      <c r="N31" s="337">
        <f t="shared" si="7"/>
        <v>0</v>
      </c>
      <c r="O31" s="337">
        <f t="shared" si="8"/>
        <v>0</v>
      </c>
      <c r="P31" s="637">
        <f t="shared" si="9"/>
        <v>0</v>
      </c>
      <c r="Q31" s="694">
        <f t="shared" si="10"/>
        <v>0</v>
      </c>
      <c r="R31" s="337">
        <f t="shared" si="11"/>
        <v>0</v>
      </c>
      <c r="S31" s="337">
        <f t="shared" si="12"/>
        <v>0</v>
      </c>
      <c r="T31" s="337">
        <f t="shared" si="13"/>
        <v>0</v>
      </c>
      <c r="U31" s="337">
        <f t="shared" si="14"/>
        <v>0</v>
      </c>
      <c r="V31" s="337">
        <f t="shared" si="15"/>
        <v>0</v>
      </c>
      <c r="W31" s="695">
        <f t="shared" si="16"/>
        <v>0</v>
      </c>
      <c r="X31" s="828">
        <f t="shared" si="17"/>
        <v>0</v>
      </c>
      <c r="AU31" s="110"/>
    </row>
    <row r="32" spans="2:47" x14ac:dyDescent="0.2">
      <c r="B32" s="636" t="str">
        <f>'input-data'!$B$43</f>
        <v xml:space="preserve"> Diegivning søer</v>
      </c>
      <c r="C32" s="63" t="str">
        <f>'input-data'!$B$66</f>
        <v xml:space="preserve">  Grovfoder:</v>
      </c>
      <c r="D32" s="63" t="str">
        <f>'Flow sohold'!$C$41</f>
        <v>Tildelt grovfoder</v>
      </c>
      <c r="E32" s="677">
        <f>'input-data'!E70</f>
        <v>0</v>
      </c>
      <c r="F32" s="261">
        <f>IFERROR('Flow sohold'!$D$41*'input-data'!I70/100, 0)</f>
        <v>0</v>
      </c>
      <c r="G32" s="337">
        <f t="shared" si="2"/>
        <v>0</v>
      </c>
      <c r="H32" s="337">
        <f>F32*'Flow sohold'!$D$5</f>
        <v>0</v>
      </c>
      <c r="I32" s="337">
        <f t="shared" si="3"/>
        <v>0</v>
      </c>
      <c r="J32" s="337">
        <f>I32*'Flow sohold'!$D$5</f>
        <v>0</v>
      </c>
      <c r="K32" s="337">
        <f t="shared" si="4"/>
        <v>0</v>
      </c>
      <c r="L32" s="633">
        <f t="shared" si="5"/>
        <v>0</v>
      </c>
      <c r="M32" s="627">
        <f t="shared" si="6"/>
        <v>0</v>
      </c>
      <c r="N32" s="337">
        <f t="shared" si="7"/>
        <v>0</v>
      </c>
      <c r="O32" s="337">
        <f t="shared" si="8"/>
        <v>0</v>
      </c>
      <c r="P32" s="637">
        <f t="shared" si="9"/>
        <v>0</v>
      </c>
      <c r="Q32" s="694">
        <f t="shared" si="10"/>
        <v>0</v>
      </c>
      <c r="R32" s="337">
        <f t="shared" si="11"/>
        <v>0</v>
      </c>
      <c r="S32" s="337">
        <f t="shared" si="12"/>
        <v>0</v>
      </c>
      <c r="T32" s="337">
        <f t="shared" si="13"/>
        <v>0</v>
      </c>
      <c r="U32" s="337">
        <f t="shared" si="14"/>
        <v>0</v>
      </c>
      <c r="V32" s="337">
        <f t="shared" si="15"/>
        <v>0</v>
      </c>
      <c r="W32" s="695">
        <f t="shared" si="16"/>
        <v>0</v>
      </c>
      <c r="X32" s="828">
        <f t="shared" si="17"/>
        <v>0</v>
      </c>
      <c r="AU32" s="110"/>
    </row>
    <row r="33" spans="2:47" x14ac:dyDescent="0.2">
      <c r="B33" s="636" t="str">
        <f>'input-data'!$B$43</f>
        <v xml:space="preserve"> Diegivning søer</v>
      </c>
      <c r="C33" s="63" t="str">
        <f>'input-data'!$B$66</f>
        <v xml:space="preserve">  Grovfoder:</v>
      </c>
      <c r="D33" s="63" t="str">
        <f>'Flow sohold'!$C$41</f>
        <v>Tildelt grovfoder</v>
      </c>
      <c r="E33" s="677">
        <f>'input-data'!E71</f>
        <v>0</v>
      </c>
      <c r="F33" s="261">
        <f>IFERROR('Flow sohold'!$D$41*'input-data'!I71/100, 0)</f>
        <v>0</v>
      </c>
      <c r="G33" s="337">
        <f t="shared" si="2"/>
        <v>0</v>
      </c>
      <c r="H33" s="337">
        <f>F33*'Flow sohold'!$D$5</f>
        <v>0</v>
      </c>
      <c r="I33" s="337">
        <f t="shared" si="3"/>
        <v>0</v>
      </c>
      <c r="J33" s="337">
        <f>I33*'Flow sohold'!$D$5</f>
        <v>0</v>
      </c>
      <c r="K33" s="337">
        <f t="shared" si="4"/>
        <v>0</v>
      </c>
      <c r="L33" s="633">
        <f t="shared" si="5"/>
        <v>0</v>
      </c>
      <c r="M33" s="627">
        <f t="shared" si="6"/>
        <v>0</v>
      </c>
      <c r="N33" s="337">
        <f t="shared" si="7"/>
        <v>0</v>
      </c>
      <c r="O33" s="337">
        <f t="shared" si="8"/>
        <v>0</v>
      </c>
      <c r="P33" s="637">
        <f t="shared" si="9"/>
        <v>0</v>
      </c>
      <c r="Q33" s="694">
        <f t="shared" si="10"/>
        <v>0</v>
      </c>
      <c r="R33" s="337">
        <f t="shared" si="11"/>
        <v>0</v>
      </c>
      <c r="S33" s="337">
        <f t="shared" si="12"/>
        <v>0</v>
      </c>
      <c r="T33" s="337">
        <f t="shared" si="13"/>
        <v>0</v>
      </c>
      <c r="U33" s="337">
        <f t="shared" si="14"/>
        <v>0</v>
      </c>
      <c r="V33" s="337">
        <f t="shared" si="15"/>
        <v>0</v>
      </c>
      <c r="W33" s="695">
        <f t="shared" si="16"/>
        <v>0</v>
      </c>
      <c r="X33" s="828">
        <f t="shared" si="17"/>
        <v>0</v>
      </c>
      <c r="AU33" s="110"/>
    </row>
    <row r="34" spans="2:47" x14ac:dyDescent="0.2">
      <c r="B34" s="636" t="str">
        <f>'input-data'!$B$43</f>
        <v xml:space="preserve"> Diegivning søer</v>
      </c>
      <c r="C34" s="63" t="str">
        <f>'input-data'!$B$66</f>
        <v xml:space="preserve">  Grovfoder:</v>
      </c>
      <c r="D34" s="63" t="str">
        <f>'Flow sohold'!$C$41</f>
        <v>Tildelt grovfoder</v>
      </c>
      <c r="E34" s="677">
        <f>'input-data'!E72</f>
        <v>0</v>
      </c>
      <c r="F34" s="261">
        <f>IFERROR('Flow sohold'!$D$41*'input-data'!I72/100, 0)</f>
        <v>0</v>
      </c>
      <c r="G34" s="337">
        <f t="shared" si="2"/>
        <v>0</v>
      </c>
      <c r="H34" s="337">
        <f>F34*'Flow sohold'!$D$5</f>
        <v>0</v>
      </c>
      <c r="I34" s="337">
        <f t="shared" si="3"/>
        <v>0</v>
      </c>
      <c r="J34" s="337">
        <f>I34*'Flow sohold'!$D$5</f>
        <v>0</v>
      </c>
      <c r="K34" s="337">
        <f t="shared" si="4"/>
        <v>0</v>
      </c>
      <c r="L34" s="633">
        <f t="shared" si="5"/>
        <v>0</v>
      </c>
      <c r="M34" s="627">
        <f t="shared" si="6"/>
        <v>0</v>
      </c>
      <c r="N34" s="337">
        <f t="shared" si="7"/>
        <v>0</v>
      </c>
      <c r="O34" s="337">
        <f t="shared" si="8"/>
        <v>0</v>
      </c>
      <c r="P34" s="637">
        <f t="shared" si="9"/>
        <v>0</v>
      </c>
      <c r="Q34" s="694">
        <f t="shared" si="10"/>
        <v>0</v>
      </c>
      <c r="R34" s="337">
        <f t="shared" si="11"/>
        <v>0</v>
      </c>
      <c r="S34" s="337">
        <f t="shared" si="12"/>
        <v>0</v>
      </c>
      <c r="T34" s="337">
        <f t="shared" si="13"/>
        <v>0</v>
      </c>
      <c r="U34" s="337">
        <f t="shared" si="14"/>
        <v>0</v>
      </c>
      <c r="V34" s="337">
        <f t="shared" si="15"/>
        <v>0</v>
      </c>
      <c r="W34" s="695">
        <f t="shared" si="16"/>
        <v>0</v>
      </c>
      <c r="X34" s="828">
        <f t="shared" si="17"/>
        <v>0</v>
      </c>
      <c r="AU34" s="110"/>
    </row>
    <row r="35" spans="2:47" x14ac:dyDescent="0.2">
      <c r="B35" s="636" t="str">
        <f>'input-data'!$B$43</f>
        <v xml:space="preserve"> Diegivning søer</v>
      </c>
      <c r="C35" s="63" t="str">
        <f>'input-data'!$B$66</f>
        <v xml:space="preserve">  Grovfoder:</v>
      </c>
      <c r="D35" s="63" t="str">
        <f>'Flow sohold'!$C$41</f>
        <v>Tildelt grovfoder</v>
      </c>
      <c r="E35" s="677">
        <f>'input-data'!E73</f>
        <v>0</v>
      </c>
      <c r="F35" s="261">
        <f>IFERROR('Flow sohold'!$D$41*'input-data'!I73/100, 0)</f>
        <v>0</v>
      </c>
      <c r="G35" s="337">
        <f t="shared" si="2"/>
        <v>0</v>
      </c>
      <c r="H35" s="337">
        <f>F35*'Flow sohold'!$D$5</f>
        <v>0</v>
      </c>
      <c r="I35" s="337">
        <f t="shared" si="3"/>
        <v>0</v>
      </c>
      <c r="J35" s="337">
        <f>I35*'Flow sohold'!$D$5</f>
        <v>0</v>
      </c>
      <c r="K35" s="337">
        <f t="shared" si="4"/>
        <v>0</v>
      </c>
      <c r="L35" s="633">
        <f t="shared" si="5"/>
        <v>0</v>
      </c>
      <c r="M35" s="627">
        <f t="shared" si="6"/>
        <v>0</v>
      </c>
      <c r="N35" s="337">
        <f t="shared" si="7"/>
        <v>0</v>
      </c>
      <c r="O35" s="337">
        <f t="shared" si="8"/>
        <v>0</v>
      </c>
      <c r="P35" s="637">
        <f t="shared" si="9"/>
        <v>0</v>
      </c>
      <c r="Q35" s="694">
        <f t="shared" si="10"/>
        <v>0</v>
      </c>
      <c r="R35" s="337">
        <f t="shared" si="11"/>
        <v>0</v>
      </c>
      <c r="S35" s="337">
        <f t="shared" si="12"/>
        <v>0</v>
      </c>
      <c r="T35" s="337">
        <f t="shared" si="13"/>
        <v>0</v>
      </c>
      <c r="U35" s="337">
        <f t="shared" si="14"/>
        <v>0</v>
      </c>
      <c r="V35" s="337">
        <f t="shared" si="15"/>
        <v>0</v>
      </c>
      <c r="W35" s="695">
        <f t="shared" si="16"/>
        <v>0</v>
      </c>
      <c r="X35" s="828">
        <f t="shared" si="17"/>
        <v>0</v>
      </c>
      <c r="AU35" s="110"/>
    </row>
    <row r="36" spans="2:47" x14ac:dyDescent="0.2">
      <c r="B36" s="636" t="str">
        <f>'input-data'!$B$43</f>
        <v xml:space="preserve"> Diegivning søer</v>
      </c>
      <c r="C36" s="63" t="str">
        <f>'input-data'!$B$66</f>
        <v xml:space="preserve">  Grovfoder:</v>
      </c>
      <c r="D36" s="63" t="str">
        <f>'Flow sohold'!$C$41</f>
        <v>Tildelt grovfoder</v>
      </c>
      <c r="E36" s="677">
        <f>'input-data'!E74</f>
        <v>0</v>
      </c>
      <c r="F36" s="261">
        <f>IFERROR('Flow sohold'!$D$41*'input-data'!I74/100, 0)</f>
        <v>0</v>
      </c>
      <c r="G36" s="337">
        <f t="shared" si="2"/>
        <v>0</v>
      </c>
      <c r="H36" s="337">
        <f>F36*'Flow sohold'!$D$5</f>
        <v>0</v>
      </c>
      <c r="I36" s="337">
        <f t="shared" si="3"/>
        <v>0</v>
      </c>
      <c r="J36" s="337">
        <f>I36*'Flow sohold'!$D$5</f>
        <v>0</v>
      </c>
      <c r="K36" s="337">
        <f t="shared" si="4"/>
        <v>0</v>
      </c>
      <c r="L36" s="633">
        <f t="shared" si="5"/>
        <v>0</v>
      </c>
      <c r="M36" s="627">
        <f t="shared" si="6"/>
        <v>0</v>
      </c>
      <c r="N36" s="337">
        <f t="shared" si="7"/>
        <v>0</v>
      </c>
      <c r="O36" s="337">
        <f t="shared" si="8"/>
        <v>0</v>
      </c>
      <c r="P36" s="637">
        <f t="shared" si="9"/>
        <v>0</v>
      </c>
      <c r="Q36" s="694">
        <f t="shared" si="10"/>
        <v>0</v>
      </c>
      <c r="R36" s="337">
        <f t="shared" si="11"/>
        <v>0</v>
      </c>
      <c r="S36" s="337">
        <f t="shared" si="12"/>
        <v>0</v>
      </c>
      <c r="T36" s="337">
        <f t="shared" si="13"/>
        <v>0</v>
      </c>
      <c r="U36" s="337">
        <f t="shared" si="14"/>
        <v>0</v>
      </c>
      <c r="V36" s="337">
        <f t="shared" si="15"/>
        <v>0</v>
      </c>
      <c r="W36" s="695">
        <f t="shared" si="16"/>
        <v>0</v>
      </c>
      <c r="X36" s="828">
        <f t="shared" si="17"/>
        <v>0</v>
      </c>
      <c r="AU36" s="110"/>
    </row>
    <row r="37" spans="2:47" x14ac:dyDescent="0.2">
      <c r="B37" s="636" t="str">
        <f>'input-data'!$B$43</f>
        <v xml:space="preserve"> Diegivning søer</v>
      </c>
      <c r="C37" s="63" t="str">
        <f>'input-data'!$B$66</f>
        <v xml:space="preserve">  Grovfoder:</v>
      </c>
      <c r="D37" s="63" t="str">
        <f>'Flow sohold'!$C$40</f>
        <v>Afgræsning (april-september)</v>
      </c>
      <c r="E37" s="677" t="str">
        <f>Fodertabel!D319</f>
        <v xml:space="preserve">kløvergræs </v>
      </c>
      <c r="F37" s="261">
        <f>'Flow sohold'!D40</f>
        <v>0</v>
      </c>
      <c r="G37" s="337">
        <f t="shared" si="2"/>
        <v>0</v>
      </c>
      <c r="H37" s="337">
        <f>F37*'Flow sohold'!$D$5</f>
        <v>0</v>
      </c>
      <c r="I37" s="337">
        <f t="shared" si="3"/>
        <v>0</v>
      </c>
      <c r="J37" s="337">
        <f>I37*'Flow sohold'!$D$5</f>
        <v>0</v>
      </c>
      <c r="K37" s="337">
        <f t="shared" si="4"/>
        <v>0</v>
      </c>
      <c r="L37" s="633">
        <f t="shared" si="5"/>
        <v>0</v>
      </c>
      <c r="M37" s="627" t="str">
        <f t="shared" si="6"/>
        <v>folde</v>
      </c>
      <c r="N37" s="337">
        <f t="shared" si="7"/>
        <v>0</v>
      </c>
      <c r="O37" s="337">
        <f t="shared" si="8"/>
        <v>0</v>
      </c>
      <c r="P37" s="637">
        <f t="shared" si="9"/>
        <v>0</v>
      </c>
      <c r="Q37" s="694">
        <f>$J37*'Mark-Fields'!$C$140</f>
        <v>0</v>
      </c>
      <c r="R37" s="337">
        <f>$J37*'Mark-Fields'!$C$143</f>
        <v>0</v>
      </c>
      <c r="S37" s="337">
        <f>$J37*'Mark-Fields'!$C$146</f>
        <v>0</v>
      </c>
      <c r="T37" s="337">
        <f>$J37*'Mark-Fields'!$C$166</f>
        <v>0</v>
      </c>
      <c r="U37" s="337">
        <f>$J37*'Mark-Fields'!$C$200</f>
        <v>0</v>
      </c>
      <c r="V37" s="337">
        <f>$J37*'Mark-Fields'!$C$184</f>
        <v>0</v>
      </c>
      <c r="W37" s="695">
        <f>$J37*'Mark-Fields'!$C$208</f>
        <v>0</v>
      </c>
      <c r="X37" s="828" t="str">
        <f t="shared" si="17"/>
        <v>kløvergræs</v>
      </c>
      <c r="AU37" s="110"/>
    </row>
    <row r="38" spans="2:47" s="110" customFormat="1" x14ac:dyDescent="0.2">
      <c r="B38" s="636" t="str">
        <f>'input-data'!$B$77</f>
        <v xml:space="preserve"> Pattegrisene ved soen</v>
      </c>
      <c r="C38" s="63" t="str">
        <f>'input-data'!$B$78</f>
        <v xml:space="preserve">  Kraftfoder:</v>
      </c>
      <c r="D38" s="63"/>
      <c r="E38" s="677">
        <f>'input-data'!E81</f>
        <v>0</v>
      </c>
      <c r="F38" s="261">
        <f>IFERROR('Flow sohold'!$D$34*100/'Flow sohold'!$D$66*'Flow sohold'!$D$5/'Flow sohold'!$D$18*'input-data'!I81/100,0)</f>
        <v>0</v>
      </c>
      <c r="G38" s="781">
        <f t="shared" si="2"/>
        <v>0</v>
      </c>
      <c r="H38" s="337">
        <f>F38*'Flow sohold'!$D$18</f>
        <v>0</v>
      </c>
      <c r="I38" s="337">
        <f t="shared" si="3"/>
        <v>0</v>
      </c>
      <c r="J38" s="337">
        <f>I38*'Flow sohold'!$D$18</f>
        <v>0</v>
      </c>
      <c r="K38" s="337">
        <f t="shared" si="4"/>
        <v>0</v>
      </c>
      <c r="L38" s="633">
        <f t="shared" si="5"/>
        <v>0</v>
      </c>
      <c r="M38" s="627">
        <f t="shared" si="6"/>
        <v>0</v>
      </c>
      <c r="N38" s="337">
        <f t="shared" si="7"/>
        <v>0</v>
      </c>
      <c r="O38" s="337">
        <f t="shared" si="8"/>
        <v>0</v>
      </c>
      <c r="P38" s="637">
        <f t="shared" si="9"/>
        <v>0</v>
      </c>
      <c r="Q38" s="694">
        <f t="shared" ref="Q38:Q69" si="18">IFERROR(VLOOKUP($E38, Fodertabel, 218, FALSE)*$J38, 0)</f>
        <v>0</v>
      </c>
      <c r="R38" s="337">
        <f t="shared" ref="R38:R69" si="19">IFERROR(VLOOKUP($E38, Fodertabel, 219, FALSE)*$J38, 0)</f>
        <v>0</v>
      </c>
      <c r="S38" s="337">
        <f t="shared" ref="S38:S69" si="20">IFERROR(VLOOKUP($E38, Fodertabel, 220, FALSE)*$J38, 0)</f>
        <v>0</v>
      </c>
      <c r="T38" s="337">
        <f t="shared" ref="T38:T69" si="21">IFERROR(VLOOKUP($E38, Fodertabel, 221, FALSE)*$J38, 0)</f>
        <v>0</v>
      </c>
      <c r="U38" s="337">
        <f t="shared" ref="U38:U69" si="22">IFERROR(VLOOKUP($E38, Fodertabel, 222, FALSE)*$J38, 0)</f>
        <v>0</v>
      </c>
      <c r="V38" s="337">
        <f t="shared" ref="V38:V69" si="23">IFERROR(VLOOKUP($E38, Fodertabel, 223, FALSE)*$J38, 0)</f>
        <v>0</v>
      </c>
      <c r="W38" s="695">
        <f t="shared" ref="W38:W69" si="24">IFERROR(VLOOKUP($E38, Fodertabel, 224, FALSE)*$J38, 0)</f>
        <v>0</v>
      </c>
      <c r="X38" s="828">
        <f t="shared" si="17"/>
        <v>0</v>
      </c>
    </row>
    <row r="39" spans="2:47" s="110" customFormat="1" x14ac:dyDescent="0.2">
      <c r="B39" s="636" t="str">
        <f>'input-data'!$B$77</f>
        <v xml:space="preserve"> Pattegrisene ved soen</v>
      </c>
      <c r="C39" s="63" t="str">
        <f>'input-data'!$B$78</f>
        <v xml:space="preserve">  Kraftfoder:</v>
      </c>
      <c r="D39" s="63"/>
      <c r="E39" s="677">
        <f>'input-data'!E82</f>
        <v>0</v>
      </c>
      <c r="F39" s="261">
        <f>IFERROR('Flow sohold'!$D$34*100/'Flow sohold'!$D$66*'Flow sohold'!$D$5/'Flow sohold'!$D$18*'input-data'!I82/100,0)</f>
        <v>0</v>
      </c>
      <c r="G39" s="781">
        <f t="shared" si="2"/>
        <v>0</v>
      </c>
      <c r="H39" s="337">
        <f>F39*'Flow sohold'!$D$18</f>
        <v>0</v>
      </c>
      <c r="I39" s="337">
        <f t="shared" si="3"/>
        <v>0</v>
      </c>
      <c r="J39" s="337">
        <f>I39*'Flow sohold'!$D$18</f>
        <v>0</v>
      </c>
      <c r="K39" s="337">
        <f t="shared" si="4"/>
        <v>0</v>
      </c>
      <c r="L39" s="633">
        <f t="shared" si="5"/>
        <v>0</v>
      </c>
      <c r="M39" s="627">
        <f t="shared" si="6"/>
        <v>0</v>
      </c>
      <c r="N39" s="337">
        <f t="shared" si="7"/>
        <v>0</v>
      </c>
      <c r="O39" s="337">
        <f t="shared" si="8"/>
        <v>0</v>
      </c>
      <c r="P39" s="637">
        <f t="shared" si="9"/>
        <v>0</v>
      </c>
      <c r="Q39" s="694">
        <f t="shared" si="18"/>
        <v>0</v>
      </c>
      <c r="R39" s="337">
        <f t="shared" si="19"/>
        <v>0</v>
      </c>
      <c r="S39" s="337">
        <f t="shared" si="20"/>
        <v>0</v>
      </c>
      <c r="T39" s="337">
        <f t="shared" si="21"/>
        <v>0</v>
      </c>
      <c r="U39" s="337">
        <f t="shared" si="22"/>
        <v>0</v>
      </c>
      <c r="V39" s="337">
        <f t="shared" si="23"/>
        <v>0</v>
      </c>
      <c r="W39" s="695">
        <f t="shared" si="24"/>
        <v>0</v>
      </c>
      <c r="X39" s="828">
        <f t="shared" si="17"/>
        <v>0</v>
      </c>
    </row>
    <row r="40" spans="2:47" s="110" customFormat="1" x14ac:dyDescent="0.2">
      <c r="B40" s="636" t="str">
        <f>'input-data'!$B$77</f>
        <v xml:space="preserve"> Pattegrisene ved soen</v>
      </c>
      <c r="C40" s="63" t="str">
        <f>'input-data'!$B$78</f>
        <v xml:space="preserve">  Kraftfoder:</v>
      </c>
      <c r="D40" s="63"/>
      <c r="E40" s="677">
        <f>'input-data'!E83</f>
        <v>0</v>
      </c>
      <c r="F40" s="261">
        <f>IFERROR('Flow sohold'!$D$34*100/'Flow sohold'!$D$66*'Flow sohold'!$D$5/'Flow sohold'!$D$18*'input-data'!I83/100,0)</f>
        <v>0</v>
      </c>
      <c r="G40" s="781">
        <f t="shared" si="2"/>
        <v>0</v>
      </c>
      <c r="H40" s="337">
        <f>F40*'Flow sohold'!$D$18</f>
        <v>0</v>
      </c>
      <c r="I40" s="337">
        <f t="shared" si="3"/>
        <v>0</v>
      </c>
      <c r="J40" s="337">
        <f>I40*'Flow sohold'!$D$18</f>
        <v>0</v>
      </c>
      <c r="K40" s="337">
        <f t="shared" si="4"/>
        <v>0</v>
      </c>
      <c r="L40" s="633">
        <f t="shared" si="5"/>
        <v>0</v>
      </c>
      <c r="M40" s="627">
        <f t="shared" si="6"/>
        <v>0</v>
      </c>
      <c r="N40" s="337">
        <f t="shared" si="7"/>
        <v>0</v>
      </c>
      <c r="O40" s="337">
        <f t="shared" si="8"/>
        <v>0</v>
      </c>
      <c r="P40" s="637">
        <f t="shared" si="9"/>
        <v>0</v>
      </c>
      <c r="Q40" s="694">
        <f t="shared" si="18"/>
        <v>0</v>
      </c>
      <c r="R40" s="337">
        <f t="shared" si="19"/>
        <v>0</v>
      </c>
      <c r="S40" s="337">
        <f t="shared" si="20"/>
        <v>0</v>
      </c>
      <c r="T40" s="337">
        <f t="shared" si="21"/>
        <v>0</v>
      </c>
      <c r="U40" s="337">
        <f t="shared" si="22"/>
        <v>0</v>
      </c>
      <c r="V40" s="337">
        <f t="shared" si="23"/>
        <v>0</v>
      </c>
      <c r="W40" s="695">
        <f t="shared" si="24"/>
        <v>0</v>
      </c>
      <c r="X40" s="828">
        <f t="shared" si="17"/>
        <v>0</v>
      </c>
    </row>
    <row r="41" spans="2:47" s="110" customFormat="1" x14ac:dyDescent="0.2">
      <c r="B41" s="636" t="str">
        <f>'input-data'!$B$77</f>
        <v xml:space="preserve"> Pattegrisene ved soen</v>
      </c>
      <c r="C41" s="63" t="str">
        <f>'input-data'!$B$78</f>
        <v xml:space="preserve">  Kraftfoder:</v>
      </c>
      <c r="D41" s="63"/>
      <c r="E41" s="677">
        <f>'input-data'!E84</f>
        <v>0</v>
      </c>
      <c r="F41" s="261">
        <f>IFERROR('Flow sohold'!$D$34*100/'Flow sohold'!$D$66*'Flow sohold'!$D$5/'Flow sohold'!$D$18*'input-data'!I84/100,0)</f>
        <v>0</v>
      </c>
      <c r="G41" s="781">
        <f t="shared" si="2"/>
        <v>0</v>
      </c>
      <c r="H41" s="337">
        <f>F41*'Flow sohold'!$D$18</f>
        <v>0</v>
      </c>
      <c r="I41" s="337">
        <f t="shared" si="3"/>
        <v>0</v>
      </c>
      <c r="J41" s="337">
        <f>I41*'Flow sohold'!$D$18</f>
        <v>0</v>
      </c>
      <c r="K41" s="337">
        <f t="shared" si="4"/>
        <v>0</v>
      </c>
      <c r="L41" s="633">
        <f t="shared" si="5"/>
        <v>0</v>
      </c>
      <c r="M41" s="627">
        <f t="shared" si="6"/>
        <v>0</v>
      </c>
      <c r="N41" s="337">
        <f t="shared" si="7"/>
        <v>0</v>
      </c>
      <c r="O41" s="337">
        <f t="shared" si="8"/>
        <v>0</v>
      </c>
      <c r="P41" s="637">
        <f t="shared" si="9"/>
        <v>0</v>
      </c>
      <c r="Q41" s="694">
        <f t="shared" si="18"/>
        <v>0</v>
      </c>
      <c r="R41" s="337">
        <f t="shared" si="19"/>
        <v>0</v>
      </c>
      <c r="S41" s="337">
        <f t="shared" si="20"/>
        <v>0</v>
      </c>
      <c r="T41" s="337">
        <f t="shared" si="21"/>
        <v>0</v>
      </c>
      <c r="U41" s="337">
        <f t="shared" si="22"/>
        <v>0</v>
      </c>
      <c r="V41" s="337">
        <f t="shared" si="23"/>
        <v>0</v>
      </c>
      <c r="W41" s="695">
        <f t="shared" si="24"/>
        <v>0</v>
      </c>
      <c r="X41" s="828">
        <f t="shared" si="17"/>
        <v>0</v>
      </c>
    </row>
    <row r="42" spans="2:47" s="110" customFormat="1" x14ac:dyDescent="0.2">
      <c r="B42" s="636" t="str">
        <f>'input-data'!$B$77</f>
        <v xml:space="preserve"> Pattegrisene ved soen</v>
      </c>
      <c r="C42" s="63" t="str">
        <f>'input-data'!$B$78</f>
        <v xml:space="preserve">  Kraftfoder:</v>
      </c>
      <c r="D42" s="63"/>
      <c r="E42" s="677">
        <f>'input-data'!E85</f>
        <v>0</v>
      </c>
      <c r="F42" s="261">
        <f>IFERROR('Flow sohold'!$D$34*100/'Flow sohold'!$D$66*'Flow sohold'!$D$5/'Flow sohold'!$D$18*'input-data'!I85/100,0)</f>
        <v>0</v>
      </c>
      <c r="G42" s="781">
        <f t="shared" si="2"/>
        <v>0</v>
      </c>
      <c r="H42" s="337">
        <f>F42*'Flow sohold'!$D$18</f>
        <v>0</v>
      </c>
      <c r="I42" s="337">
        <f t="shared" si="3"/>
        <v>0</v>
      </c>
      <c r="J42" s="337">
        <f>I42*'Flow sohold'!$D$18</f>
        <v>0</v>
      </c>
      <c r="K42" s="337">
        <f t="shared" si="4"/>
        <v>0</v>
      </c>
      <c r="L42" s="633">
        <f t="shared" si="5"/>
        <v>0</v>
      </c>
      <c r="M42" s="627">
        <f t="shared" si="6"/>
        <v>0</v>
      </c>
      <c r="N42" s="337">
        <f t="shared" si="7"/>
        <v>0</v>
      </c>
      <c r="O42" s="337">
        <f t="shared" si="8"/>
        <v>0</v>
      </c>
      <c r="P42" s="637">
        <f t="shared" si="9"/>
        <v>0</v>
      </c>
      <c r="Q42" s="694">
        <f t="shared" si="18"/>
        <v>0</v>
      </c>
      <c r="R42" s="337">
        <f t="shared" si="19"/>
        <v>0</v>
      </c>
      <c r="S42" s="337">
        <f t="shared" si="20"/>
        <v>0</v>
      </c>
      <c r="T42" s="337">
        <f t="shared" si="21"/>
        <v>0</v>
      </c>
      <c r="U42" s="337">
        <f t="shared" si="22"/>
        <v>0</v>
      </c>
      <c r="V42" s="337">
        <f t="shared" si="23"/>
        <v>0</v>
      </c>
      <c r="W42" s="695">
        <f t="shared" si="24"/>
        <v>0</v>
      </c>
      <c r="X42" s="828">
        <f t="shared" si="17"/>
        <v>0</v>
      </c>
    </row>
    <row r="43" spans="2:47" s="110" customFormat="1" x14ac:dyDescent="0.2">
      <c r="B43" s="636" t="str">
        <f>'input-data'!$B$77</f>
        <v xml:space="preserve"> Pattegrisene ved soen</v>
      </c>
      <c r="C43" s="63" t="str">
        <f>'input-data'!$B$78</f>
        <v xml:space="preserve">  Kraftfoder:</v>
      </c>
      <c r="D43" s="63"/>
      <c r="E43" s="677">
        <f>'input-data'!E86</f>
        <v>0</v>
      </c>
      <c r="F43" s="261">
        <f>IFERROR('Flow sohold'!$D$34*100/'Flow sohold'!$D$66*'Flow sohold'!$D$5/'Flow sohold'!$D$18*'input-data'!I86/100,0)</f>
        <v>0</v>
      </c>
      <c r="G43" s="781">
        <f t="shared" si="2"/>
        <v>0</v>
      </c>
      <c r="H43" s="337">
        <f>F43*'Flow sohold'!$D$18</f>
        <v>0</v>
      </c>
      <c r="I43" s="337">
        <f t="shared" si="3"/>
        <v>0</v>
      </c>
      <c r="J43" s="337">
        <f>I43*'Flow sohold'!$D$18</f>
        <v>0</v>
      </c>
      <c r="K43" s="337">
        <f t="shared" si="4"/>
        <v>0</v>
      </c>
      <c r="L43" s="633">
        <f t="shared" si="5"/>
        <v>0</v>
      </c>
      <c r="M43" s="627">
        <f t="shared" si="6"/>
        <v>0</v>
      </c>
      <c r="N43" s="337">
        <f t="shared" si="7"/>
        <v>0</v>
      </c>
      <c r="O43" s="337">
        <f t="shared" si="8"/>
        <v>0</v>
      </c>
      <c r="P43" s="637">
        <f t="shared" si="9"/>
        <v>0</v>
      </c>
      <c r="Q43" s="694">
        <f t="shared" si="18"/>
        <v>0</v>
      </c>
      <c r="R43" s="337">
        <f t="shared" si="19"/>
        <v>0</v>
      </c>
      <c r="S43" s="337">
        <f t="shared" si="20"/>
        <v>0</v>
      </c>
      <c r="T43" s="337">
        <f t="shared" si="21"/>
        <v>0</v>
      </c>
      <c r="U43" s="337">
        <f t="shared" si="22"/>
        <v>0</v>
      </c>
      <c r="V43" s="337">
        <f t="shared" si="23"/>
        <v>0</v>
      </c>
      <c r="W43" s="695">
        <f t="shared" si="24"/>
        <v>0</v>
      </c>
      <c r="X43" s="828">
        <f t="shared" si="17"/>
        <v>0</v>
      </c>
    </row>
    <row r="44" spans="2:47" s="110" customFormat="1" x14ac:dyDescent="0.2">
      <c r="B44" s="636" t="str">
        <f>'input-data'!$B$77</f>
        <v xml:space="preserve"> Pattegrisene ved soen</v>
      </c>
      <c r="C44" s="63" t="str">
        <f>'input-data'!$B$78</f>
        <v xml:space="preserve">  Kraftfoder:</v>
      </c>
      <c r="D44" s="63"/>
      <c r="E44" s="677">
        <f>'input-data'!E87</f>
        <v>0</v>
      </c>
      <c r="F44" s="261">
        <f>IFERROR('Flow sohold'!$D$34*100/'Flow sohold'!$D$66*'Flow sohold'!$D$5/'Flow sohold'!$D$18*'input-data'!I87/100,0)</f>
        <v>0</v>
      </c>
      <c r="G44" s="781">
        <f t="shared" si="2"/>
        <v>0</v>
      </c>
      <c r="H44" s="337">
        <f>F44*'Flow sohold'!$D$18</f>
        <v>0</v>
      </c>
      <c r="I44" s="337">
        <f t="shared" si="3"/>
        <v>0</v>
      </c>
      <c r="J44" s="337">
        <f>I44*'Flow sohold'!$D$18</f>
        <v>0</v>
      </c>
      <c r="K44" s="337">
        <f t="shared" si="4"/>
        <v>0</v>
      </c>
      <c r="L44" s="633">
        <f t="shared" si="5"/>
        <v>0</v>
      </c>
      <c r="M44" s="627">
        <f t="shared" si="6"/>
        <v>0</v>
      </c>
      <c r="N44" s="337">
        <f t="shared" si="7"/>
        <v>0</v>
      </c>
      <c r="O44" s="337">
        <f t="shared" si="8"/>
        <v>0</v>
      </c>
      <c r="P44" s="637">
        <f t="shared" si="9"/>
        <v>0</v>
      </c>
      <c r="Q44" s="694">
        <f t="shared" si="18"/>
        <v>0</v>
      </c>
      <c r="R44" s="337">
        <f t="shared" si="19"/>
        <v>0</v>
      </c>
      <c r="S44" s="337">
        <f t="shared" si="20"/>
        <v>0</v>
      </c>
      <c r="T44" s="337">
        <f t="shared" si="21"/>
        <v>0</v>
      </c>
      <c r="U44" s="337">
        <f t="shared" si="22"/>
        <v>0</v>
      </c>
      <c r="V44" s="337">
        <f t="shared" si="23"/>
        <v>0</v>
      </c>
      <c r="W44" s="695">
        <f t="shared" si="24"/>
        <v>0</v>
      </c>
      <c r="X44" s="828">
        <f t="shared" si="17"/>
        <v>0</v>
      </c>
    </row>
    <row r="45" spans="2:47" s="110" customFormat="1" x14ac:dyDescent="0.2">
      <c r="B45" s="636" t="str">
        <f>'input-data'!$B$77</f>
        <v xml:space="preserve"> Pattegrisene ved soen</v>
      </c>
      <c r="C45" s="63" t="str">
        <f>'input-data'!$B$78</f>
        <v xml:space="preserve">  Kraftfoder:</v>
      </c>
      <c r="D45" s="63"/>
      <c r="E45" s="677">
        <f>'input-data'!E88</f>
        <v>0</v>
      </c>
      <c r="F45" s="261">
        <f>IFERROR('Flow sohold'!$D$34*100/'Flow sohold'!$D$66*'Flow sohold'!$D$5/'Flow sohold'!$D$18*'input-data'!I88/100,0)</f>
        <v>0</v>
      </c>
      <c r="G45" s="781">
        <f t="shared" si="2"/>
        <v>0</v>
      </c>
      <c r="H45" s="337">
        <f>F45*'Flow sohold'!$D$18</f>
        <v>0</v>
      </c>
      <c r="I45" s="337">
        <f t="shared" si="3"/>
        <v>0</v>
      </c>
      <c r="J45" s="337">
        <f>I45*'Flow sohold'!$D$18</f>
        <v>0</v>
      </c>
      <c r="K45" s="337">
        <f t="shared" si="4"/>
        <v>0</v>
      </c>
      <c r="L45" s="633">
        <f t="shared" si="5"/>
        <v>0</v>
      </c>
      <c r="M45" s="627">
        <f t="shared" si="6"/>
        <v>0</v>
      </c>
      <c r="N45" s="337">
        <f t="shared" si="7"/>
        <v>0</v>
      </c>
      <c r="O45" s="337">
        <f t="shared" si="8"/>
        <v>0</v>
      </c>
      <c r="P45" s="637">
        <f t="shared" si="9"/>
        <v>0</v>
      </c>
      <c r="Q45" s="694">
        <f t="shared" si="18"/>
        <v>0</v>
      </c>
      <c r="R45" s="337">
        <f t="shared" si="19"/>
        <v>0</v>
      </c>
      <c r="S45" s="337">
        <f t="shared" si="20"/>
        <v>0</v>
      </c>
      <c r="T45" s="337">
        <f t="shared" si="21"/>
        <v>0</v>
      </c>
      <c r="U45" s="337">
        <f t="shared" si="22"/>
        <v>0</v>
      </c>
      <c r="V45" s="337">
        <f t="shared" si="23"/>
        <v>0</v>
      </c>
      <c r="W45" s="695">
        <f t="shared" si="24"/>
        <v>0</v>
      </c>
      <c r="X45" s="828">
        <f t="shared" si="17"/>
        <v>0</v>
      </c>
    </row>
    <row r="46" spans="2:47" s="110" customFormat="1" x14ac:dyDescent="0.2">
      <c r="B46" s="636" t="str">
        <f>'input-data'!$B$77</f>
        <v xml:space="preserve"> Pattegrisene ved soen</v>
      </c>
      <c r="C46" s="63" t="str">
        <f>'input-data'!$B$78</f>
        <v xml:space="preserve">  Kraftfoder:</v>
      </c>
      <c r="D46" s="63"/>
      <c r="E46" s="677">
        <f>'input-data'!E89</f>
        <v>0</v>
      </c>
      <c r="F46" s="261">
        <f>IFERROR('Flow sohold'!$D$34*100/'Flow sohold'!$D$66*'Flow sohold'!$D$5/'Flow sohold'!$D$18*'input-data'!I89/100,0)</f>
        <v>0</v>
      </c>
      <c r="G46" s="781">
        <f t="shared" si="2"/>
        <v>0</v>
      </c>
      <c r="H46" s="337">
        <f>F46*'Flow sohold'!$D$18</f>
        <v>0</v>
      </c>
      <c r="I46" s="337">
        <f t="shared" si="3"/>
        <v>0</v>
      </c>
      <c r="J46" s="337">
        <f>I46*'Flow sohold'!$D$18</f>
        <v>0</v>
      </c>
      <c r="K46" s="337">
        <f t="shared" si="4"/>
        <v>0</v>
      </c>
      <c r="L46" s="633">
        <f t="shared" si="5"/>
        <v>0</v>
      </c>
      <c r="M46" s="627">
        <f t="shared" si="6"/>
        <v>0</v>
      </c>
      <c r="N46" s="337">
        <f t="shared" si="7"/>
        <v>0</v>
      </c>
      <c r="O46" s="337">
        <f t="shared" si="8"/>
        <v>0</v>
      </c>
      <c r="P46" s="637">
        <f t="shared" si="9"/>
        <v>0</v>
      </c>
      <c r="Q46" s="694">
        <f t="shared" si="18"/>
        <v>0</v>
      </c>
      <c r="R46" s="337">
        <f t="shared" si="19"/>
        <v>0</v>
      </c>
      <c r="S46" s="337">
        <f t="shared" si="20"/>
        <v>0</v>
      </c>
      <c r="T46" s="337">
        <f t="shared" si="21"/>
        <v>0</v>
      </c>
      <c r="U46" s="337">
        <f t="shared" si="22"/>
        <v>0</v>
      </c>
      <c r="V46" s="337">
        <f t="shared" si="23"/>
        <v>0</v>
      </c>
      <c r="W46" s="695">
        <f t="shared" si="24"/>
        <v>0</v>
      </c>
      <c r="X46" s="828">
        <f t="shared" si="17"/>
        <v>0</v>
      </c>
    </row>
    <row r="47" spans="2:47" s="110" customFormat="1" x14ac:dyDescent="0.2">
      <c r="B47" s="636" t="str">
        <f>'input-data'!$B$77</f>
        <v xml:space="preserve"> Pattegrisene ved soen</v>
      </c>
      <c r="C47" s="63" t="str">
        <f>'input-data'!$B$78</f>
        <v xml:space="preserve">  Kraftfoder:</v>
      </c>
      <c r="D47" s="63"/>
      <c r="E47" s="677">
        <f>'input-data'!E90</f>
        <v>0</v>
      </c>
      <c r="F47" s="261">
        <f>IFERROR('Flow sohold'!$D$34*100/'Flow sohold'!$D$66*'Flow sohold'!$D$5/'Flow sohold'!$D$18*'input-data'!I90/100,0)</f>
        <v>0</v>
      </c>
      <c r="G47" s="781">
        <f t="shared" si="2"/>
        <v>0</v>
      </c>
      <c r="H47" s="337">
        <f>F47*'Flow sohold'!$D$18</f>
        <v>0</v>
      </c>
      <c r="I47" s="337">
        <f t="shared" si="3"/>
        <v>0</v>
      </c>
      <c r="J47" s="337">
        <f>I47*'Flow sohold'!$D$18</f>
        <v>0</v>
      </c>
      <c r="K47" s="337">
        <f t="shared" si="4"/>
        <v>0</v>
      </c>
      <c r="L47" s="633">
        <f t="shared" si="5"/>
        <v>0</v>
      </c>
      <c r="M47" s="627">
        <f t="shared" si="6"/>
        <v>0</v>
      </c>
      <c r="N47" s="337">
        <f t="shared" si="7"/>
        <v>0</v>
      </c>
      <c r="O47" s="337">
        <f t="shared" si="8"/>
        <v>0</v>
      </c>
      <c r="P47" s="637">
        <f t="shared" si="9"/>
        <v>0</v>
      </c>
      <c r="Q47" s="694">
        <f t="shared" si="18"/>
        <v>0</v>
      </c>
      <c r="R47" s="337">
        <f t="shared" si="19"/>
        <v>0</v>
      </c>
      <c r="S47" s="337">
        <f t="shared" si="20"/>
        <v>0</v>
      </c>
      <c r="T47" s="337">
        <f t="shared" si="21"/>
        <v>0</v>
      </c>
      <c r="U47" s="337">
        <f t="shared" si="22"/>
        <v>0</v>
      </c>
      <c r="V47" s="337">
        <f t="shared" si="23"/>
        <v>0</v>
      </c>
      <c r="W47" s="695">
        <f t="shared" si="24"/>
        <v>0</v>
      </c>
      <c r="X47" s="828">
        <f t="shared" si="17"/>
        <v>0</v>
      </c>
    </row>
    <row r="48" spans="2:47" s="110" customFormat="1" x14ac:dyDescent="0.2">
      <c r="B48" s="636" t="str">
        <f>'input-data'!$B$77</f>
        <v xml:space="preserve"> Pattegrisene ved soen</v>
      </c>
      <c r="C48" s="63" t="str">
        <f>'input-data'!$B$78</f>
        <v xml:space="preserve">  Kraftfoder:</v>
      </c>
      <c r="D48" s="63"/>
      <c r="E48" s="677">
        <f>'input-data'!E91</f>
        <v>0</v>
      </c>
      <c r="F48" s="261">
        <f>IFERROR('Flow sohold'!$D$34*100/'Flow sohold'!$D$66*'Flow sohold'!$D$5/'Flow sohold'!$D$18*'input-data'!I91/100,0)</f>
        <v>0</v>
      </c>
      <c r="G48" s="781">
        <f t="shared" si="2"/>
        <v>0</v>
      </c>
      <c r="H48" s="337">
        <f>F48*'Flow sohold'!$D$18</f>
        <v>0</v>
      </c>
      <c r="I48" s="337">
        <f t="shared" si="3"/>
        <v>0</v>
      </c>
      <c r="J48" s="337">
        <f>I48*'Flow sohold'!$D$18</f>
        <v>0</v>
      </c>
      <c r="K48" s="337">
        <f t="shared" si="4"/>
        <v>0</v>
      </c>
      <c r="L48" s="633">
        <f t="shared" si="5"/>
        <v>0</v>
      </c>
      <c r="M48" s="627">
        <f t="shared" si="6"/>
        <v>0</v>
      </c>
      <c r="N48" s="337">
        <f t="shared" si="7"/>
        <v>0</v>
      </c>
      <c r="O48" s="337">
        <f t="shared" si="8"/>
        <v>0</v>
      </c>
      <c r="P48" s="637">
        <f t="shared" si="9"/>
        <v>0</v>
      </c>
      <c r="Q48" s="694">
        <f t="shared" si="18"/>
        <v>0</v>
      </c>
      <c r="R48" s="337">
        <f t="shared" si="19"/>
        <v>0</v>
      </c>
      <c r="S48" s="337">
        <f t="shared" si="20"/>
        <v>0</v>
      </c>
      <c r="T48" s="337">
        <f t="shared" si="21"/>
        <v>0</v>
      </c>
      <c r="U48" s="337">
        <f t="shared" si="22"/>
        <v>0</v>
      </c>
      <c r="V48" s="337">
        <f t="shared" si="23"/>
        <v>0</v>
      </c>
      <c r="W48" s="695">
        <f t="shared" si="24"/>
        <v>0</v>
      </c>
      <c r="X48" s="828">
        <f t="shared" si="17"/>
        <v>0</v>
      </c>
    </row>
    <row r="49" spans="2:47" s="110" customFormat="1" x14ac:dyDescent="0.2">
      <c r="B49" s="636" t="str">
        <f>'input-data'!$B$77</f>
        <v xml:space="preserve"> Pattegrisene ved soen</v>
      </c>
      <c r="C49" s="63" t="str">
        <f>'input-data'!$B$78</f>
        <v xml:space="preserve">  Kraftfoder:</v>
      </c>
      <c r="D49" s="63"/>
      <c r="E49" s="677">
        <f>'input-data'!E92</f>
        <v>0</v>
      </c>
      <c r="F49" s="261">
        <f>IFERROR('Flow sohold'!$D$34*100/'Flow sohold'!$D$66*'Flow sohold'!$D$5/'Flow sohold'!$D$18*'input-data'!I92/100,0)</f>
        <v>0</v>
      </c>
      <c r="G49" s="781">
        <f t="shared" ref="G49:G80" si="25">IFERROR(F49*VLOOKUP(E49, Fodertabel, 4, FALSE), 0)</f>
        <v>0</v>
      </c>
      <c r="H49" s="337">
        <f>F49*'Flow sohold'!$D$18</f>
        <v>0</v>
      </c>
      <c r="I49" s="337">
        <f t="shared" ref="I49:I80" si="26">IFERROR(F49*VLOOKUP(E49, Fodertabel, 9, FALSE)/100, 0)</f>
        <v>0</v>
      </c>
      <c r="J49" s="337">
        <f>I49*'Flow sohold'!$D$18</f>
        <v>0</v>
      </c>
      <c r="K49" s="337">
        <f t="shared" ref="K49:K80" si="27">IFERROR(J49*VLOOKUP(E49, Fodertabel, 60, FALSE)/100/6.25, 0)</f>
        <v>0</v>
      </c>
      <c r="L49" s="633">
        <f t="shared" ref="L49:L80" si="28">IFERROR(J49*VLOOKUP(E49, Fodertabel, 23, FALSE)/1000, 0)</f>
        <v>0</v>
      </c>
      <c r="M49" s="627">
        <f t="shared" ref="M49:M80" si="29">IFERROR(VLOOKUP(E49, Fodertabel, 226, FALSE), 0)</f>
        <v>0</v>
      </c>
      <c r="N49" s="337">
        <f t="shared" ref="N49:N80" si="30">IF(OR(M49="onfarm", M49="folde", M49="paddock"), J49, 0)</f>
        <v>0</v>
      </c>
      <c r="O49" s="337">
        <f t="shared" ref="O49:O80" si="31">IFERROR(J49/N49*K49, 0)</f>
        <v>0</v>
      </c>
      <c r="P49" s="637">
        <f t="shared" ref="P49:P80" si="32">IFERROR(N49/J49*L49, 0)</f>
        <v>0</v>
      </c>
      <c r="Q49" s="694">
        <f t="shared" si="18"/>
        <v>0</v>
      </c>
      <c r="R49" s="337">
        <f t="shared" si="19"/>
        <v>0</v>
      </c>
      <c r="S49" s="337">
        <f t="shared" si="20"/>
        <v>0</v>
      </c>
      <c r="T49" s="337">
        <f t="shared" si="21"/>
        <v>0</v>
      </c>
      <c r="U49" s="337">
        <f t="shared" si="22"/>
        <v>0</v>
      </c>
      <c r="V49" s="337">
        <f t="shared" si="23"/>
        <v>0</v>
      </c>
      <c r="W49" s="695">
        <f t="shared" si="24"/>
        <v>0</v>
      </c>
      <c r="X49" s="828">
        <f t="shared" ref="X49:X80" si="33">IFERROR(VLOOKUP(E49, Fodertabel, 227, FALSE), 0)</f>
        <v>0</v>
      </c>
    </row>
    <row r="50" spans="2:47" s="110" customFormat="1" x14ac:dyDescent="0.2">
      <c r="B50" s="636" t="str">
        <f>'input-data'!$B$77</f>
        <v xml:space="preserve"> Pattegrisene ved soen</v>
      </c>
      <c r="C50" s="63" t="str">
        <f>'input-data'!$B$78</f>
        <v xml:space="preserve">  Kraftfoder:</v>
      </c>
      <c r="D50" s="63"/>
      <c r="E50" s="677">
        <f>'input-data'!E93</f>
        <v>0</v>
      </c>
      <c r="F50" s="261">
        <f>IFERROR('Flow sohold'!$D$34*100/'Flow sohold'!$D$66*'Flow sohold'!$D$5/'Flow sohold'!$D$18*'input-data'!I93/100,0)</f>
        <v>0</v>
      </c>
      <c r="G50" s="781">
        <f t="shared" si="25"/>
        <v>0</v>
      </c>
      <c r="H50" s="337">
        <f>F50*'Flow sohold'!$D$18</f>
        <v>0</v>
      </c>
      <c r="I50" s="337">
        <f t="shared" si="26"/>
        <v>0</v>
      </c>
      <c r="J50" s="337">
        <f>I50*'Flow sohold'!$D$18</f>
        <v>0</v>
      </c>
      <c r="K50" s="337">
        <f t="shared" si="27"/>
        <v>0</v>
      </c>
      <c r="L50" s="633">
        <f t="shared" si="28"/>
        <v>0</v>
      </c>
      <c r="M50" s="627">
        <f t="shared" si="29"/>
        <v>0</v>
      </c>
      <c r="N50" s="337">
        <f t="shared" si="30"/>
        <v>0</v>
      </c>
      <c r="O50" s="337">
        <f t="shared" si="31"/>
        <v>0</v>
      </c>
      <c r="P50" s="637">
        <f t="shared" si="32"/>
        <v>0</v>
      </c>
      <c r="Q50" s="694">
        <f t="shared" si="18"/>
        <v>0</v>
      </c>
      <c r="R50" s="337">
        <f t="shared" si="19"/>
        <v>0</v>
      </c>
      <c r="S50" s="337">
        <f t="shared" si="20"/>
        <v>0</v>
      </c>
      <c r="T50" s="337">
        <f t="shared" si="21"/>
        <v>0</v>
      </c>
      <c r="U50" s="337">
        <f t="shared" si="22"/>
        <v>0</v>
      </c>
      <c r="V50" s="337">
        <f t="shared" si="23"/>
        <v>0</v>
      </c>
      <c r="W50" s="695">
        <f t="shared" si="24"/>
        <v>0</v>
      </c>
      <c r="X50" s="828">
        <f t="shared" si="33"/>
        <v>0</v>
      </c>
    </row>
    <row r="51" spans="2:47" s="110" customFormat="1" x14ac:dyDescent="0.2">
      <c r="B51" s="636" t="str">
        <f>'input-data'!$B$77</f>
        <v xml:space="preserve"> Pattegrisene ved soen</v>
      </c>
      <c r="C51" s="63" t="str">
        <f>'input-data'!$B$78</f>
        <v xml:space="preserve">  Kraftfoder:</v>
      </c>
      <c r="D51" s="63"/>
      <c r="E51" s="677">
        <f>'input-data'!E94</f>
        <v>0</v>
      </c>
      <c r="F51" s="261">
        <f>IFERROR('Flow sohold'!$D$34*100/'Flow sohold'!$D$66*'Flow sohold'!$D$5/'Flow sohold'!$D$18*'input-data'!I94/100,0)</f>
        <v>0</v>
      </c>
      <c r="G51" s="781">
        <f t="shared" si="25"/>
        <v>0</v>
      </c>
      <c r="H51" s="337">
        <f>F51*'Flow sohold'!$D$18</f>
        <v>0</v>
      </c>
      <c r="I51" s="337">
        <f t="shared" si="26"/>
        <v>0</v>
      </c>
      <c r="J51" s="337">
        <f>I51*'Flow sohold'!$D$18</f>
        <v>0</v>
      </c>
      <c r="K51" s="337">
        <f t="shared" si="27"/>
        <v>0</v>
      </c>
      <c r="L51" s="633">
        <f t="shared" si="28"/>
        <v>0</v>
      </c>
      <c r="M51" s="627">
        <f t="shared" si="29"/>
        <v>0</v>
      </c>
      <c r="N51" s="337">
        <f t="shared" si="30"/>
        <v>0</v>
      </c>
      <c r="O51" s="337">
        <f t="shared" si="31"/>
        <v>0</v>
      </c>
      <c r="P51" s="637">
        <f t="shared" si="32"/>
        <v>0</v>
      </c>
      <c r="Q51" s="694">
        <f t="shared" si="18"/>
        <v>0</v>
      </c>
      <c r="R51" s="337">
        <f t="shared" si="19"/>
        <v>0</v>
      </c>
      <c r="S51" s="337">
        <f t="shared" si="20"/>
        <v>0</v>
      </c>
      <c r="T51" s="337">
        <f t="shared" si="21"/>
        <v>0</v>
      </c>
      <c r="U51" s="337">
        <f t="shared" si="22"/>
        <v>0</v>
      </c>
      <c r="V51" s="337">
        <f t="shared" si="23"/>
        <v>0</v>
      </c>
      <c r="W51" s="695">
        <f t="shared" si="24"/>
        <v>0</v>
      </c>
      <c r="X51" s="828">
        <f t="shared" si="33"/>
        <v>0</v>
      </c>
    </row>
    <row r="52" spans="2:47" s="110" customFormat="1" x14ac:dyDescent="0.2">
      <c r="B52" s="636" t="str">
        <f>'input-data'!$B$77</f>
        <v xml:space="preserve"> Pattegrisene ved soen</v>
      </c>
      <c r="C52" s="63" t="str">
        <f>'input-data'!$B$78</f>
        <v xml:space="preserve">  Kraftfoder:</v>
      </c>
      <c r="D52" s="63"/>
      <c r="E52" s="677">
        <f>'input-data'!E95</f>
        <v>0</v>
      </c>
      <c r="F52" s="261">
        <f>IFERROR('Flow sohold'!$D$34*100/'Flow sohold'!$D$66*'Flow sohold'!$D$5/'Flow sohold'!$D$18*'input-data'!I95/100,0)</f>
        <v>0</v>
      </c>
      <c r="G52" s="781">
        <f t="shared" si="25"/>
        <v>0</v>
      </c>
      <c r="H52" s="337">
        <f>F52*'Flow sohold'!$D$18</f>
        <v>0</v>
      </c>
      <c r="I52" s="337">
        <f t="shared" si="26"/>
        <v>0</v>
      </c>
      <c r="J52" s="337">
        <f>I52*'Flow sohold'!$D$18</f>
        <v>0</v>
      </c>
      <c r="K52" s="337">
        <f t="shared" si="27"/>
        <v>0</v>
      </c>
      <c r="L52" s="633">
        <f t="shared" si="28"/>
        <v>0</v>
      </c>
      <c r="M52" s="627">
        <f t="shared" si="29"/>
        <v>0</v>
      </c>
      <c r="N52" s="337">
        <f t="shared" si="30"/>
        <v>0</v>
      </c>
      <c r="O52" s="337">
        <f t="shared" si="31"/>
        <v>0</v>
      </c>
      <c r="P52" s="637">
        <f t="shared" si="32"/>
        <v>0</v>
      </c>
      <c r="Q52" s="694">
        <f t="shared" si="18"/>
        <v>0</v>
      </c>
      <c r="R52" s="337">
        <f t="shared" si="19"/>
        <v>0</v>
      </c>
      <c r="S52" s="337">
        <f t="shared" si="20"/>
        <v>0</v>
      </c>
      <c r="T52" s="337">
        <f t="shared" si="21"/>
        <v>0</v>
      </c>
      <c r="U52" s="337">
        <f t="shared" si="22"/>
        <v>0</v>
      </c>
      <c r="V52" s="337">
        <f t="shared" si="23"/>
        <v>0</v>
      </c>
      <c r="W52" s="695">
        <f t="shared" si="24"/>
        <v>0</v>
      </c>
      <c r="X52" s="828">
        <f t="shared" si="33"/>
        <v>0</v>
      </c>
    </row>
    <row r="53" spans="2:47" s="110" customFormat="1" x14ac:dyDescent="0.2">
      <c r="B53" s="636" t="str">
        <f>'input-data'!$B$98</f>
        <v xml:space="preserve"> Drægtige søer</v>
      </c>
      <c r="C53" s="63" t="str">
        <f>'input-data'!$B$99</f>
        <v xml:space="preserve">  Kraftfoder:</v>
      </c>
      <c r="D53" s="63" t="str">
        <f>'input-data'!$B$100</f>
        <v xml:space="preserve">    blanding 1:</v>
      </c>
      <c r="E53" s="677">
        <f>'input-data'!E104</f>
        <v>0</v>
      </c>
      <c r="F53" s="261">
        <f>IFERROR('input-data'!$E$101*'Flow sohold'!$D$82*100/'Flow sohold'!$D$78*'input-data'!I104/100,0)</f>
        <v>0</v>
      </c>
      <c r="G53" s="337">
        <f t="shared" si="25"/>
        <v>0</v>
      </c>
      <c r="H53" s="337">
        <f>F53*'Flow sohold'!$D$5</f>
        <v>0</v>
      </c>
      <c r="I53" s="337">
        <f t="shared" si="26"/>
        <v>0</v>
      </c>
      <c r="J53" s="337">
        <f>I53*'Flow sohold'!$D$5</f>
        <v>0</v>
      </c>
      <c r="K53" s="337">
        <f t="shared" si="27"/>
        <v>0</v>
      </c>
      <c r="L53" s="633">
        <f t="shared" si="28"/>
        <v>0</v>
      </c>
      <c r="M53" s="627">
        <f t="shared" si="29"/>
        <v>0</v>
      </c>
      <c r="N53" s="337">
        <f t="shared" si="30"/>
        <v>0</v>
      </c>
      <c r="O53" s="337">
        <f t="shared" si="31"/>
        <v>0</v>
      </c>
      <c r="P53" s="637">
        <f t="shared" si="32"/>
        <v>0</v>
      </c>
      <c r="Q53" s="694">
        <f t="shared" si="18"/>
        <v>0</v>
      </c>
      <c r="R53" s="337">
        <f t="shared" si="19"/>
        <v>0</v>
      </c>
      <c r="S53" s="337">
        <f t="shared" si="20"/>
        <v>0</v>
      </c>
      <c r="T53" s="337">
        <f t="shared" si="21"/>
        <v>0</v>
      </c>
      <c r="U53" s="337">
        <f t="shared" si="22"/>
        <v>0</v>
      </c>
      <c r="V53" s="337">
        <f t="shared" si="23"/>
        <v>0</v>
      </c>
      <c r="W53" s="695">
        <f t="shared" si="24"/>
        <v>0</v>
      </c>
      <c r="X53" s="828">
        <f t="shared" si="33"/>
        <v>0</v>
      </c>
    </row>
    <row r="54" spans="2:47" s="110" customFormat="1" x14ac:dyDescent="0.2">
      <c r="B54" s="636" t="str">
        <f>'input-data'!$B$98</f>
        <v xml:space="preserve"> Drægtige søer</v>
      </c>
      <c r="C54" s="63" t="str">
        <f>'input-data'!$B$99</f>
        <v xml:space="preserve">  Kraftfoder:</v>
      </c>
      <c r="D54" s="63" t="str">
        <f>'input-data'!$B$100</f>
        <v xml:space="preserve">    blanding 1:</v>
      </c>
      <c r="E54" s="677">
        <f>'input-data'!E105</f>
        <v>0</v>
      </c>
      <c r="F54" s="261">
        <f>IFERROR('input-data'!$E$101*'Flow sohold'!$D$82*100/'Flow sohold'!$D$78*'input-data'!I105/100,0)</f>
        <v>0</v>
      </c>
      <c r="G54" s="337">
        <f t="shared" si="25"/>
        <v>0</v>
      </c>
      <c r="H54" s="337">
        <f>F54*'Flow sohold'!$D$5</f>
        <v>0</v>
      </c>
      <c r="I54" s="337">
        <f t="shared" si="26"/>
        <v>0</v>
      </c>
      <c r="J54" s="337">
        <f>I54*'Flow sohold'!$D$5</f>
        <v>0</v>
      </c>
      <c r="K54" s="337">
        <f t="shared" si="27"/>
        <v>0</v>
      </c>
      <c r="L54" s="633">
        <f t="shared" si="28"/>
        <v>0</v>
      </c>
      <c r="M54" s="627">
        <f t="shared" si="29"/>
        <v>0</v>
      </c>
      <c r="N54" s="337">
        <f t="shared" si="30"/>
        <v>0</v>
      </c>
      <c r="O54" s="337">
        <f t="shared" si="31"/>
        <v>0</v>
      </c>
      <c r="P54" s="637">
        <f t="shared" si="32"/>
        <v>0</v>
      </c>
      <c r="Q54" s="694">
        <f t="shared" si="18"/>
        <v>0</v>
      </c>
      <c r="R54" s="337">
        <f t="shared" si="19"/>
        <v>0</v>
      </c>
      <c r="S54" s="337">
        <f t="shared" si="20"/>
        <v>0</v>
      </c>
      <c r="T54" s="337">
        <f t="shared" si="21"/>
        <v>0</v>
      </c>
      <c r="U54" s="337">
        <f t="shared" si="22"/>
        <v>0</v>
      </c>
      <c r="V54" s="337">
        <f t="shared" si="23"/>
        <v>0</v>
      </c>
      <c r="W54" s="695">
        <f t="shared" si="24"/>
        <v>0</v>
      </c>
      <c r="X54" s="828">
        <f t="shared" si="33"/>
        <v>0</v>
      </c>
    </row>
    <row r="55" spans="2:47" x14ac:dyDescent="0.2">
      <c r="B55" s="636" t="str">
        <f>'input-data'!$B$98</f>
        <v xml:space="preserve"> Drægtige søer</v>
      </c>
      <c r="C55" s="63" t="str">
        <f>'input-data'!$B$99</f>
        <v xml:space="preserve">  Kraftfoder:</v>
      </c>
      <c r="D55" s="63" t="str">
        <f>'input-data'!$B$100</f>
        <v xml:space="preserve">    blanding 1:</v>
      </c>
      <c r="E55" s="677">
        <f>'input-data'!E106</f>
        <v>0</v>
      </c>
      <c r="F55" s="261">
        <f>IFERROR('input-data'!$E$101*'Flow sohold'!$D$82*100/'Flow sohold'!$D$78*'input-data'!I106/100,0)</f>
        <v>0</v>
      </c>
      <c r="G55" s="337">
        <f t="shared" si="25"/>
        <v>0</v>
      </c>
      <c r="H55" s="337">
        <f>F55*'Flow sohold'!$D$5</f>
        <v>0</v>
      </c>
      <c r="I55" s="337">
        <f t="shared" si="26"/>
        <v>0</v>
      </c>
      <c r="J55" s="337">
        <f>I55*'Flow sohold'!$D$5</f>
        <v>0</v>
      </c>
      <c r="K55" s="337">
        <f t="shared" si="27"/>
        <v>0</v>
      </c>
      <c r="L55" s="633">
        <f t="shared" si="28"/>
        <v>0</v>
      </c>
      <c r="M55" s="627">
        <f t="shared" si="29"/>
        <v>0</v>
      </c>
      <c r="N55" s="337">
        <f t="shared" si="30"/>
        <v>0</v>
      </c>
      <c r="O55" s="337">
        <f t="shared" si="31"/>
        <v>0</v>
      </c>
      <c r="P55" s="637">
        <f t="shared" si="32"/>
        <v>0</v>
      </c>
      <c r="Q55" s="694">
        <f t="shared" si="18"/>
        <v>0</v>
      </c>
      <c r="R55" s="337">
        <f t="shared" si="19"/>
        <v>0</v>
      </c>
      <c r="S55" s="337">
        <f t="shared" si="20"/>
        <v>0</v>
      </c>
      <c r="T55" s="337">
        <f t="shared" si="21"/>
        <v>0</v>
      </c>
      <c r="U55" s="337">
        <f t="shared" si="22"/>
        <v>0</v>
      </c>
      <c r="V55" s="337">
        <f t="shared" si="23"/>
        <v>0</v>
      </c>
      <c r="W55" s="695">
        <f t="shared" si="24"/>
        <v>0</v>
      </c>
      <c r="X55" s="828">
        <f t="shared" si="33"/>
        <v>0</v>
      </c>
      <c r="AU55" s="110"/>
    </row>
    <row r="56" spans="2:47" x14ac:dyDescent="0.2">
      <c r="B56" s="636" t="str">
        <f>'input-data'!$B$98</f>
        <v xml:space="preserve"> Drægtige søer</v>
      </c>
      <c r="C56" s="63" t="str">
        <f>'input-data'!$B$99</f>
        <v xml:space="preserve">  Kraftfoder:</v>
      </c>
      <c r="D56" s="63" t="str">
        <f>'input-data'!$B$100</f>
        <v xml:space="preserve">    blanding 1:</v>
      </c>
      <c r="E56" s="677">
        <f>'input-data'!E107</f>
        <v>0</v>
      </c>
      <c r="F56" s="261">
        <f>IFERROR('input-data'!$E$101*'Flow sohold'!$D$82*100/'Flow sohold'!$D$78*'input-data'!I107/100,0)</f>
        <v>0</v>
      </c>
      <c r="G56" s="337">
        <f t="shared" si="25"/>
        <v>0</v>
      </c>
      <c r="H56" s="337">
        <f>F56*'Flow sohold'!$D$5</f>
        <v>0</v>
      </c>
      <c r="I56" s="337">
        <f t="shared" si="26"/>
        <v>0</v>
      </c>
      <c r="J56" s="337">
        <f>I56*'Flow sohold'!$D$5</f>
        <v>0</v>
      </c>
      <c r="K56" s="337">
        <f t="shared" si="27"/>
        <v>0</v>
      </c>
      <c r="L56" s="633">
        <f t="shared" si="28"/>
        <v>0</v>
      </c>
      <c r="M56" s="627">
        <f t="shared" si="29"/>
        <v>0</v>
      </c>
      <c r="N56" s="337">
        <f t="shared" si="30"/>
        <v>0</v>
      </c>
      <c r="O56" s="337">
        <f t="shared" si="31"/>
        <v>0</v>
      </c>
      <c r="P56" s="637">
        <f t="shared" si="32"/>
        <v>0</v>
      </c>
      <c r="Q56" s="694">
        <f t="shared" si="18"/>
        <v>0</v>
      </c>
      <c r="R56" s="337">
        <f t="shared" si="19"/>
        <v>0</v>
      </c>
      <c r="S56" s="337">
        <f t="shared" si="20"/>
        <v>0</v>
      </c>
      <c r="T56" s="337">
        <f t="shared" si="21"/>
        <v>0</v>
      </c>
      <c r="U56" s="337">
        <f t="shared" si="22"/>
        <v>0</v>
      </c>
      <c r="V56" s="337">
        <f t="shared" si="23"/>
        <v>0</v>
      </c>
      <c r="W56" s="695">
        <f t="shared" si="24"/>
        <v>0</v>
      </c>
      <c r="X56" s="828">
        <f t="shared" si="33"/>
        <v>0</v>
      </c>
      <c r="AU56" s="110"/>
    </row>
    <row r="57" spans="2:47" x14ac:dyDescent="0.2">
      <c r="B57" s="636" t="str">
        <f>'input-data'!$B$98</f>
        <v xml:space="preserve"> Drægtige søer</v>
      </c>
      <c r="C57" s="63" t="str">
        <f>'input-data'!$B$99</f>
        <v xml:space="preserve">  Kraftfoder:</v>
      </c>
      <c r="D57" s="63" t="str">
        <f>'input-data'!$B$100</f>
        <v xml:space="preserve">    blanding 1:</v>
      </c>
      <c r="E57" s="677">
        <f>'input-data'!E108</f>
        <v>0</v>
      </c>
      <c r="F57" s="261">
        <f>IFERROR('input-data'!$E$101*'Flow sohold'!$D$82*100/'Flow sohold'!$D$78*'input-data'!I108/100,0)</f>
        <v>0</v>
      </c>
      <c r="G57" s="337">
        <f t="shared" si="25"/>
        <v>0</v>
      </c>
      <c r="H57" s="337">
        <f>F57*'Flow sohold'!$D$5</f>
        <v>0</v>
      </c>
      <c r="I57" s="337">
        <f t="shared" si="26"/>
        <v>0</v>
      </c>
      <c r="J57" s="337">
        <f>I57*'Flow sohold'!$D$5</f>
        <v>0</v>
      </c>
      <c r="K57" s="337">
        <f t="shared" si="27"/>
        <v>0</v>
      </c>
      <c r="L57" s="633">
        <f t="shared" si="28"/>
        <v>0</v>
      </c>
      <c r="M57" s="627">
        <f t="shared" si="29"/>
        <v>0</v>
      </c>
      <c r="N57" s="337">
        <f t="shared" si="30"/>
        <v>0</v>
      </c>
      <c r="O57" s="337">
        <f t="shared" si="31"/>
        <v>0</v>
      </c>
      <c r="P57" s="637">
        <f t="shared" si="32"/>
        <v>0</v>
      </c>
      <c r="Q57" s="694">
        <f t="shared" si="18"/>
        <v>0</v>
      </c>
      <c r="R57" s="337">
        <f t="shared" si="19"/>
        <v>0</v>
      </c>
      <c r="S57" s="337">
        <f t="shared" si="20"/>
        <v>0</v>
      </c>
      <c r="T57" s="337">
        <f t="shared" si="21"/>
        <v>0</v>
      </c>
      <c r="U57" s="337">
        <f t="shared" si="22"/>
        <v>0</v>
      </c>
      <c r="V57" s="337">
        <f t="shared" si="23"/>
        <v>0</v>
      </c>
      <c r="W57" s="695">
        <f t="shared" si="24"/>
        <v>0</v>
      </c>
      <c r="X57" s="828">
        <f t="shared" si="33"/>
        <v>0</v>
      </c>
      <c r="AU57" s="110"/>
    </row>
    <row r="58" spans="2:47" x14ac:dyDescent="0.2">
      <c r="B58" s="636" t="str">
        <f>'input-data'!$B$98</f>
        <v xml:space="preserve"> Drægtige søer</v>
      </c>
      <c r="C58" s="63" t="str">
        <f>'input-data'!$B$99</f>
        <v xml:space="preserve">  Kraftfoder:</v>
      </c>
      <c r="D58" s="63" t="str">
        <f>'input-data'!$B$100</f>
        <v xml:space="preserve">    blanding 1:</v>
      </c>
      <c r="E58" s="677">
        <f>'input-data'!E109</f>
        <v>0</v>
      </c>
      <c r="F58" s="261">
        <f>IFERROR('input-data'!$E$101*'Flow sohold'!$D$82*100/'Flow sohold'!$D$78*'input-data'!I109/100,0)</f>
        <v>0</v>
      </c>
      <c r="G58" s="337">
        <f t="shared" si="25"/>
        <v>0</v>
      </c>
      <c r="H58" s="337">
        <f>F58*'Flow sohold'!$D$5</f>
        <v>0</v>
      </c>
      <c r="I58" s="337">
        <f t="shared" si="26"/>
        <v>0</v>
      </c>
      <c r="J58" s="337">
        <f>I58*'Flow sohold'!$D$5</f>
        <v>0</v>
      </c>
      <c r="K58" s="337">
        <f t="shared" si="27"/>
        <v>0</v>
      </c>
      <c r="L58" s="633">
        <f t="shared" si="28"/>
        <v>0</v>
      </c>
      <c r="M58" s="627">
        <f t="shared" si="29"/>
        <v>0</v>
      </c>
      <c r="N58" s="337">
        <f t="shared" si="30"/>
        <v>0</v>
      </c>
      <c r="O58" s="337">
        <f t="shared" si="31"/>
        <v>0</v>
      </c>
      <c r="P58" s="637">
        <f t="shared" si="32"/>
        <v>0</v>
      </c>
      <c r="Q58" s="694">
        <f t="shared" si="18"/>
        <v>0</v>
      </c>
      <c r="R58" s="337">
        <f t="shared" si="19"/>
        <v>0</v>
      </c>
      <c r="S58" s="337">
        <f t="shared" si="20"/>
        <v>0</v>
      </c>
      <c r="T58" s="337">
        <f t="shared" si="21"/>
        <v>0</v>
      </c>
      <c r="U58" s="337">
        <f t="shared" si="22"/>
        <v>0</v>
      </c>
      <c r="V58" s="337">
        <f t="shared" si="23"/>
        <v>0</v>
      </c>
      <c r="W58" s="695">
        <f t="shared" si="24"/>
        <v>0</v>
      </c>
      <c r="X58" s="828">
        <f t="shared" si="33"/>
        <v>0</v>
      </c>
      <c r="AU58" s="110"/>
    </row>
    <row r="59" spans="2:47" x14ac:dyDescent="0.2">
      <c r="B59" s="636" t="str">
        <f>'input-data'!$B$98</f>
        <v xml:space="preserve"> Drægtige søer</v>
      </c>
      <c r="C59" s="63" t="str">
        <f>'input-data'!$B$99</f>
        <v xml:space="preserve">  Kraftfoder:</v>
      </c>
      <c r="D59" s="63" t="str">
        <f>'input-data'!$B$100</f>
        <v xml:space="preserve">    blanding 1:</v>
      </c>
      <c r="E59" s="677">
        <f>'input-data'!E110</f>
        <v>0</v>
      </c>
      <c r="F59" s="261">
        <f>IFERROR('input-data'!$E$101*'Flow sohold'!$D$82*100/'Flow sohold'!$D$78*'input-data'!I110/100,0)</f>
        <v>0</v>
      </c>
      <c r="G59" s="337">
        <f t="shared" si="25"/>
        <v>0</v>
      </c>
      <c r="H59" s="337">
        <f>F59*'Flow sohold'!$D$5</f>
        <v>0</v>
      </c>
      <c r="I59" s="337">
        <f t="shared" si="26"/>
        <v>0</v>
      </c>
      <c r="J59" s="337">
        <f>I59*'Flow sohold'!$D$5</f>
        <v>0</v>
      </c>
      <c r="K59" s="337">
        <f t="shared" si="27"/>
        <v>0</v>
      </c>
      <c r="L59" s="633">
        <f t="shared" si="28"/>
        <v>0</v>
      </c>
      <c r="M59" s="627">
        <f t="shared" si="29"/>
        <v>0</v>
      </c>
      <c r="N59" s="337">
        <f t="shared" si="30"/>
        <v>0</v>
      </c>
      <c r="O59" s="337">
        <f t="shared" si="31"/>
        <v>0</v>
      </c>
      <c r="P59" s="637">
        <f t="shared" si="32"/>
        <v>0</v>
      </c>
      <c r="Q59" s="694">
        <f t="shared" si="18"/>
        <v>0</v>
      </c>
      <c r="R59" s="337">
        <f t="shared" si="19"/>
        <v>0</v>
      </c>
      <c r="S59" s="337">
        <f t="shared" si="20"/>
        <v>0</v>
      </c>
      <c r="T59" s="337">
        <f t="shared" si="21"/>
        <v>0</v>
      </c>
      <c r="U59" s="337">
        <f t="shared" si="22"/>
        <v>0</v>
      </c>
      <c r="V59" s="337">
        <f t="shared" si="23"/>
        <v>0</v>
      </c>
      <c r="W59" s="695">
        <f t="shared" si="24"/>
        <v>0</v>
      </c>
      <c r="X59" s="828">
        <f t="shared" si="33"/>
        <v>0</v>
      </c>
      <c r="AU59" s="110"/>
    </row>
    <row r="60" spans="2:47" x14ac:dyDescent="0.2">
      <c r="B60" s="636" t="str">
        <f>'input-data'!$B$98</f>
        <v xml:space="preserve"> Drægtige søer</v>
      </c>
      <c r="C60" s="63" t="str">
        <f>'input-data'!$B$99</f>
        <v xml:space="preserve">  Kraftfoder:</v>
      </c>
      <c r="D60" s="63" t="str">
        <f>'input-data'!$B$100</f>
        <v xml:space="preserve">    blanding 1:</v>
      </c>
      <c r="E60" s="677">
        <f>'input-data'!E111</f>
        <v>0</v>
      </c>
      <c r="F60" s="261">
        <f>IFERROR('input-data'!$E$101*'Flow sohold'!$D$82*100/'Flow sohold'!$D$78*'input-data'!I111/100,0)</f>
        <v>0</v>
      </c>
      <c r="G60" s="337">
        <f t="shared" si="25"/>
        <v>0</v>
      </c>
      <c r="H60" s="337">
        <f>F60*'Flow sohold'!$D$5</f>
        <v>0</v>
      </c>
      <c r="I60" s="337">
        <f t="shared" si="26"/>
        <v>0</v>
      </c>
      <c r="J60" s="337">
        <f>I60*'Flow sohold'!$D$5</f>
        <v>0</v>
      </c>
      <c r="K60" s="337">
        <f t="shared" si="27"/>
        <v>0</v>
      </c>
      <c r="L60" s="633">
        <f t="shared" si="28"/>
        <v>0</v>
      </c>
      <c r="M60" s="627">
        <f t="shared" si="29"/>
        <v>0</v>
      </c>
      <c r="N60" s="337">
        <f t="shared" si="30"/>
        <v>0</v>
      </c>
      <c r="O60" s="337">
        <f t="shared" si="31"/>
        <v>0</v>
      </c>
      <c r="P60" s="637">
        <f t="shared" si="32"/>
        <v>0</v>
      </c>
      <c r="Q60" s="694">
        <f t="shared" si="18"/>
        <v>0</v>
      </c>
      <c r="R60" s="337">
        <f t="shared" si="19"/>
        <v>0</v>
      </c>
      <c r="S60" s="337">
        <f t="shared" si="20"/>
        <v>0</v>
      </c>
      <c r="T60" s="337">
        <f t="shared" si="21"/>
        <v>0</v>
      </c>
      <c r="U60" s="337">
        <f t="shared" si="22"/>
        <v>0</v>
      </c>
      <c r="V60" s="337">
        <f t="shared" si="23"/>
        <v>0</v>
      </c>
      <c r="W60" s="695">
        <f t="shared" si="24"/>
        <v>0</v>
      </c>
      <c r="X60" s="828">
        <f t="shared" si="33"/>
        <v>0</v>
      </c>
      <c r="AU60" s="110"/>
    </row>
    <row r="61" spans="2:47" x14ac:dyDescent="0.2">
      <c r="B61" s="636" t="str">
        <f>'input-data'!$B$98</f>
        <v xml:space="preserve"> Drægtige søer</v>
      </c>
      <c r="C61" s="63" t="str">
        <f>'input-data'!$B$99</f>
        <v xml:space="preserve">  Kraftfoder:</v>
      </c>
      <c r="D61" s="63" t="str">
        <f>'input-data'!$B$100</f>
        <v xml:space="preserve">    blanding 1:</v>
      </c>
      <c r="E61" s="677">
        <f>'input-data'!E112</f>
        <v>0</v>
      </c>
      <c r="F61" s="261">
        <f>IFERROR('input-data'!$E$101*'Flow sohold'!$D$82*100/'Flow sohold'!$D$78*'input-data'!I112/100,0)</f>
        <v>0</v>
      </c>
      <c r="G61" s="337">
        <f t="shared" si="25"/>
        <v>0</v>
      </c>
      <c r="H61" s="337">
        <f>F61*'Flow sohold'!$D$5</f>
        <v>0</v>
      </c>
      <c r="I61" s="337">
        <f t="shared" si="26"/>
        <v>0</v>
      </c>
      <c r="J61" s="337">
        <f>I61*'Flow sohold'!$D$5</f>
        <v>0</v>
      </c>
      <c r="K61" s="337">
        <f t="shared" si="27"/>
        <v>0</v>
      </c>
      <c r="L61" s="633">
        <f t="shared" si="28"/>
        <v>0</v>
      </c>
      <c r="M61" s="627">
        <f t="shared" si="29"/>
        <v>0</v>
      </c>
      <c r="N61" s="337">
        <f t="shared" si="30"/>
        <v>0</v>
      </c>
      <c r="O61" s="337">
        <f t="shared" si="31"/>
        <v>0</v>
      </c>
      <c r="P61" s="637">
        <f t="shared" si="32"/>
        <v>0</v>
      </c>
      <c r="Q61" s="694">
        <f t="shared" si="18"/>
        <v>0</v>
      </c>
      <c r="R61" s="337">
        <f t="shared" si="19"/>
        <v>0</v>
      </c>
      <c r="S61" s="337">
        <f t="shared" si="20"/>
        <v>0</v>
      </c>
      <c r="T61" s="337">
        <f t="shared" si="21"/>
        <v>0</v>
      </c>
      <c r="U61" s="337">
        <f t="shared" si="22"/>
        <v>0</v>
      </c>
      <c r="V61" s="337">
        <f t="shared" si="23"/>
        <v>0</v>
      </c>
      <c r="W61" s="695">
        <f t="shared" si="24"/>
        <v>0</v>
      </c>
      <c r="X61" s="828">
        <f t="shared" si="33"/>
        <v>0</v>
      </c>
      <c r="AU61" s="110"/>
    </row>
    <row r="62" spans="2:47" x14ac:dyDescent="0.2">
      <c r="B62" s="636" t="str">
        <f>'input-data'!$B$98</f>
        <v xml:space="preserve"> Drægtige søer</v>
      </c>
      <c r="C62" s="63" t="str">
        <f>'input-data'!$B$99</f>
        <v xml:space="preserve">  Kraftfoder:</v>
      </c>
      <c r="D62" s="63" t="str">
        <f>'input-data'!$B$100</f>
        <v xml:space="preserve">    blanding 1:</v>
      </c>
      <c r="E62" s="677">
        <f>'input-data'!E113</f>
        <v>0</v>
      </c>
      <c r="F62" s="261">
        <f>IFERROR('input-data'!$E$101*'Flow sohold'!$D$82*100/'Flow sohold'!$D$78*'input-data'!I113/100,0)</f>
        <v>0</v>
      </c>
      <c r="G62" s="337">
        <f t="shared" si="25"/>
        <v>0</v>
      </c>
      <c r="H62" s="337">
        <f>F62*'Flow sohold'!$D$5</f>
        <v>0</v>
      </c>
      <c r="I62" s="337">
        <f t="shared" si="26"/>
        <v>0</v>
      </c>
      <c r="J62" s="337">
        <f>I62*'Flow sohold'!$D$5</f>
        <v>0</v>
      </c>
      <c r="K62" s="337">
        <f t="shared" si="27"/>
        <v>0</v>
      </c>
      <c r="L62" s="633">
        <f t="shared" si="28"/>
        <v>0</v>
      </c>
      <c r="M62" s="627">
        <f t="shared" si="29"/>
        <v>0</v>
      </c>
      <c r="N62" s="337">
        <f t="shared" si="30"/>
        <v>0</v>
      </c>
      <c r="O62" s="337">
        <f t="shared" si="31"/>
        <v>0</v>
      </c>
      <c r="P62" s="637">
        <f t="shared" si="32"/>
        <v>0</v>
      </c>
      <c r="Q62" s="694">
        <f t="shared" si="18"/>
        <v>0</v>
      </c>
      <c r="R62" s="337">
        <f t="shared" si="19"/>
        <v>0</v>
      </c>
      <c r="S62" s="337">
        <f t="shared" si="20"/>
        <v>0</v>
      </c>
      <c r="T62" s="337">
        <f t="shared" si="21"/>
        <v>0</v>
      </c>
      <c r="U62" s="337">
        <f t="shared" si="22"/>
        <v>0</v>
      </c>
      <c r="V62" s="337">
        <f t="shared" si="23"/>
        <v>0</v>
      </c>
      <c r="W62" s="695">
        <f t="shared" si="24"/>
        <v>0</v>
      </c>
      <c r="X62" s="828">
        <f t="shared" si="33"/>
        <v>0</v>
      </c>
      <c r="AU62" s="110"/>
    </row>
    <row r="63" spans="2:47" x14ac:dyDescent="0.2">
      <c r="B63" s="636" t="str">
        <f>'input-data'!$B$98</f>
        <v xml:space="preserve"> Drægtige søer</v>
      </c>
      <c r="C63" s="63" t="str">
        <f>'input-data'!$B$99</f>
        <v xml:space="preserve">  Kraftfoder:</v>
      </c>
      <c r="D63" s="63" t="str">
        <f>'input-data'!$B$100</f>
        <v xml:space="preserve">    blanding 1:</v>
      </c>
      <c r="E63" s="677">
        <f>'input-data'!E114</f>
        <v>0</v>
      </c>
      <c r="F63" s="261">
        <f>IFERROR('input-data'!$E$101*'Flow sohold'!$D$82*100/'Flow sohold'!$D$78*'input-data'!I114/100,0)</f>
        <v>0</v>
      </c>
      <c r="G63" s="337">
        <f t="shared" si="25"/>
        <v>0</v>
      </c>
      <c r="H63" s="337">
        <f>F63*'Flow sohold'!$D$5</f>
        <v>0</v>
      </c>
      <c r="I63" s="337">
        <f t="shared" si="26"/>
        <v>0</v>
      </c>
      <c r="J63" s="337">
        <f>I63*'Flow sohold'!$D$5</f>
        <v>0</v>
      </c>
      <c r="K63" s="337">
        <f t="shared" si="27"/>
        <v>0</v>
      </c>
      <c r="L63" s="633">
        <f t="shared" si="28"/>
        <v>0</v>
      </c>
      <c r="M63" s="627">
        <f t="shared" si="29"/>
        <v>0</v>
      </c>
      <c r="N63" s="337">
        <f t="shared" si="30"/>
        <v>0</v>
      </c>
      <c r="O63" s="337">
        <f t="shared" si="31"/>
        <v>0</v>
      </c>
      <c r="P63" s="637">
        <f t="shared" si="32"/>
        <v>0</v>
      </c>
      <c r="Q63" s="694">
        <f t="shared" si="18"/>
        <v>0</v>
      </c>
      <c r="R63" s="337">
        <f t="shared" si="19"/>
        <v>0</v>
      </c>
      <c r="S63" s="337">
        <f t="shared" si="20"/>
        <v>0</v>
      </c>
      <c r="T63" s="337">
        <f t="shared" si="21"/>
        <v>0</v>
      </c>
      <c r="U63" s="337">
        <f t="shared" si="22"/>
        <v>0</v>
      </c>
      <c r="V63" s="337">
        <f t="shared" si="23"/>
        <v>0</v>
      </c>
      <c r="W63" s="695">
        <f t="shared" si="24"/>
        <v>0</v>
      </c>
      <c r="X63" s="828">
        <f t="shared" si="33"/>
        <v>0</v>
      </c>
      <c r="AU63" s="110"/>
    </row>
    <row r="64" spans="2:47" x14ac:dyDescent="0.2">
      <c r="B64" s="636" t="str">
        <f>'input-data'!$B$98</f>
        <v xml:space="preserve"> Drægtige søer</v>
      </c>
      <c r="C64" s="63" t="str">
        <f>'input-data'!$B$99</f>
        <v xml:space="preserve">  Kraftfoder:</v>
      </c>
      <c r="D64" s="63" t="str">
        <f>'input-data'!$B$100</f>
        <v xml:space="preserve">    blanding 1:</v>
      </c>
      <c r="E64" s="677">
        <f>'input-data'!E115</f>
        <v>0</v>
      </c>
      <c r="F64" s="261">
        <f>IFERROR('input-data'!$E$101*'Flow sohold'!$D$82*100/'Flow sohold'!$D$78*'input-data'!I115/100,0)</f>
        <v>0</v>
      </c>
      <c r="G64" s="337">
        <f t="shared" si="25"/>
        <v>0</v>
      </c>
      <c r="H64" s="337">
        <f>F64*'Flow sohold'!$D$5</f>
        <v>0</v>
      </c>
      <c r="I64" s="337">
        <f t="shared" si="26"/>
        <v>0</v>
      </c>
      <c r="J64" s="337">
        <f>I64*'Flow sohold'!$D$5</f>
        <v>0</v>
      </c>
      <c r="K64" s="337">
        <f t="shared" si="27"/>
        <v>0</v>
      </c>
      <c r="L64" s="633">
        <f t="shared" si="28"/>
        <v>0</v>
      </c>
      <c r="M64" s="627">
        <f t="shared" si="29"/>
        <v>0</v>
      </c>
      <c r="N64" s="337">
        <f t="shared" si="30"/>
        <v>0</v>
      </c>
      <c r="O64" s="337">
        <f t="shared" si="31"/>
        <v>0</v>
      </c>
      <c r="P64" s="637">
        <f t="shared" si="32"/>
        <v>0</v>
      </c>
      <c r="Q64" s="694">
        <f t="shared" si="18"/>
        <v>0</v>
      </c>
      <c r="R64" s="337">
        <f t="shared" si="19"/>
        <v>0</v>
      </c>
      <c r="S64" s="337">
        <f t="shared" si="20"/>
        <v>0</v>
      </c>
      <c r="T64" s="337">
        <f t="shared" si="21"/>
        <v>0</v>
      </c>
      <c r="U64" s="337">
        <f t="shared" si="22"/>
        <v>0</v>
      </c>
      <c r="V64" s="337">
        <f t="shared" si="23"/>
        <v>0</v>
      </c>
      <c r="W64" s="695">
        <f t="shared" si="24"/>
        <v>0</v>
      </c>
      <c r="X64" s="828">
        <f t="shared" si="33"/>
        <v>0</v>
      </c>
      <c r="AU64" s="110"/>
    </row>
    <row r="65" spans="2:47" x14ac:dyDescent="0.2">
      <c r="B65" s="636" t="str">
        <f>'input-data'!$B$98</f>
        <v xml:space="preserve"> Drægtige søer</v>
      </c>
      <c r="C65" s="63" t="str">
        <f>'input-data'!$B$99</f>
        <v xml:space="preserve">  Kraftfoder:</v>
      </c>
      <c r="D65" s="63" t="str">
        <f>'input-data'!$B$100</f>
        <v xml:space="preserve">    blanding 1:</v>
      </c>
      <c r="E65" s="677">
        <f>'input-data'!E116</f>
        <v>0</v>
      </c>
      <c r="F65" s="261">
        <f>IFERROR('input-data'!$E$101*'Flow sohold'!$D$82*100/'Flow sohold'!$D$78*'input-data'!I116/100,0)</f>
        <v>0</v>
      </c>
      <c r="G65" s="337">
        <f t="shared" si="25"/>
        <v>0</v>
      </c>
      <c r="H65" s="337">
        <f>F65*'Flow sohold'!$D$5</f>
        <v>0</v>
      </c>
      <c r="I65" s="337">
        <f t="shared" si="26"/>
        <v>0</v>
      </c>
      <c r="J65" s="337">
        <f>I65*'Flow sohold'!$D$5</f>
        <v>0</v>
      </c>
      <c r="K65" s="337">
        <f t="shared" si="27"/>
        <v>0</v>
      </c>
      <c r="L65" s="633">
        <f t="shared" si="28"/>
        <v>0</v>
      </c>
      <c r="M65" s="627">
        <f t="shared" si="29"/>
        <v>0</v>
      </c>
      <c r="N65" s="337">
        <f t="shared" si="30"/>
        <v>0</v>
      </c>
      <c r="O65" s="337">
        <f t="shared" si="31"/>
        <v>0</v>
      </c>
      <c r="P65" s="637">
        <f t="shared" si="32"/>
        <v>0</v>
      </c>
      <c r="Q65" s="694">
        <f t="shared" si="18"/>
        <v>0</v>
      </c>
      <c r="R65" s="337">
        <f t="shared" si="19"/>
        <v>0</v>
      </c>
      <c r="S65" s="337">
        <f t="shared" si="20"/>
        <v>0</v>
      </c>
      <c r="T65" s="337">
        <f t="shared" si="21"/>
        <v>0</v>
      </c>
      <c r="U65" s="337">
        <f t="shared" si="22"/>
        <v>0</v>
      </c>
      <c r="V65" s="337">
        <f t="shared" si="23"/>
        <v>0</v>
      </c>
      <c r="W65" s="695">
        <f t="shared" si="24"/>
        <v>0</v>
      </c>
      <c r="X65" s="828">
        <f t="shared" si="33"/>
        <v>0</v>
      </c>
      <c r="AU65" s="110"/>
    </row>
    <row r="66" spans="2:47" x14ac:dyDescent="0.2">
      <c r="B66" s="636" t="str">
        <f>'input-data'!$B$98</f>
        <v xml:space="preserve"> Drægtige søer</v>
      </c>
      <c r="C66" s="63" t="str">
        <f>'input-data'!$B$99</f>
        <v xml:space="preserve">  Kraftfoder:</v>
      </c>
      <c r="D66" s="63" t="str">
        <f>'input-data'!$B$100</f>
        <v xml:space="preserve">    blanding 1:</v>
      </c>
      <c r="E66" s="677">
        <f>'input-data'!E117</f>
        <v>0</v>
      </c>
      <c r="F66" s="261">
        <f>IFERROR('input-data'!$E$101*'Flow sohold'!$D$82*100/'Flow sohold'!$D$78*'input-data'!I117/100,0)</f>
        <v>0</v>
      </c>
      <c r="G66" s="337">
        <f t="shared" si="25"/>
        <v>0</v>
      </c>
      <c r="H66" s="337">
        <f>F66*'Flow sohold'!$D$5</f>
        <v>0</v>
      </c>
      <c r="I66" s="337">
        <f t="shared" si="26"/>
        <v>0</v>
      </c>
      <c r="J66" s="337">
        <f>I66*'Flow sohold'!$D$5</f>
        <v>0</v>
      </c>
      <c r="K66" s="337">
        <f t="shared" si="27"/>
        <v>0</v>
      </c>
      <c r="L66" s="633">
        <f t="shared" si="28"/>
        <v>0</v>
      </c>
      <c r="M66" s="627">
        <f t="shared" si="29"/>
        <v>0</v>
      </c>
      <c r="N66" s="337">
        <f t="shared" si="30"/>
        <v>0</v>
      </c>
      <c r="O66" s="337">
        <f t="shared" si="31"/>
        <v>0</v>
      </c>
      <c r="P66" s="637">
        <f t="shared" si="32"/>
        <v>0</v>
      </c>
      <c r="Q66" s="694">
        <f t="shared" si="18"/>
        <v>0</v>
      </c>
      <c r="R66" s="337">
        <f t="shared" si="19"/>
        <v>0</v>
      </c>
      <c r="S66" s="337">
        <f t="shared" si="20"/>
        <v>0</v>
      </c>
      <c r="T66" s="337">
        <f t="shared" si="21"/>
        <v>0</v>
      </c>
      <c r="U66" s="337">
        <f t="shared" si="22"/>
        <v>0</v>
      </c>
      <c r="V66" s="337">
        <f t="shared" si="23"/>
        <v>0</v>
      </c>
      <c r="W66" s="695">
        <f t="shared" si="24"/>
        <v>0</v>
      </c>
      <c r="X66" s="828">
        <f t="shared" si="33"/>
        <v>0</v>
      </c>
      <c r="AU66" s="110"/>
    </row>
    <row r="67" spans="2:47" x14ac:dyDescent="0.2">
      <c r="B67" s="636" t="str">
        <f>'input-data'!$B$98</f>
        <v xml:space="preserve"> Drægtige søer</v>
      </c>
      <c r="C67" s="63" t="str">
        <f>'input-data'!$B$99</f>
        <v xml:space="preserve">  Kraftfoder:</v>
      </c>
      <c r="D67" s="63" t="str">
        <f>'input-data'!$B$100</f>
        <v xml:space="preserve">    blanding 1:</v>
      </c>
      <c r="E67" s="677">
        <f>'input-data'!E118</f>
        <v>0</v>
      </c>
      <c r="F67" s="261">
        <f>IFERROR('input-data'!$E$101*'Flow sohold'!$D$82*100/'Flow sohold'!$D$78*'input-data'!I118/100,0)</f>
        <v>0</v>
      </c>
      <c r="G67" s="337">
        <f t="shared" si="25"/>
        <v>0</v>
      </c>
      <c r="H67" s="337">
        <f>F67*'Flow sohold'!$D$5</f>
        <v>0</v>
      </c>
      <c r="I67" s="337">
        <f t="shared" si="26"/>
        <v>0</v>
      </c>
      <c r="J67" s="337">
        <f>I67*'Flow sohold'!$D$5</f>
        <v>0</v>
      </c>
      <c r="K67" s="337">
        <f t="shared" si="27"/>
        <v>0</v>
      </c>
      <c r="L67" s="633">
        <f t="shared" si="28"/>
        <v>0</v>
      </c>
      <c r="M67" s="627">
        <f t="shared" si="29"/>
        <v>0</v>
      </c>
      <c r="N67" s="337">
        <f t="shared" si="30"/>
        <v>0</v>
      </c>
      <c r="O67" s="337">
        <f t="shared" si="31"/>
        <v>0</v>
      </c>
      <c r="P67" s="637">
        <f t="shared" si="32"/>
        <v>0</v>
      </c>
      <c r="Q67" s="694">
        <f t="shared" si="18"/>
        <v>0</v>
      </c>
      <c r="R67" s="337">
        <f t="shared" si="19"/>
        <v>0</v>
      </c>
      <c r="S67" s="337">
        <f t="shared" si="20"/>
        <v>0</v>
      </c>
      <c r="T67" s="337">
        <f t="shared" si="21"/>
        <v>0</v>
      </c>
      <c r="U67" s="337">
        <f t="shared" si="22"/>
        <v>0</v>
      </c>
      <c r="V67" s="337">
        <f t="shared" si="23"/>
        <v>0</v>
      </c>
      <c r="W67" s="695">
        <f t="shared" si="24"/>
        <v>0</v>
      </c>
      <c r="X67" s="828">
        <f t="shared" si="33"/>
        <v>0</v>
      </c>
      <c r="AU67" s="110"/>
    </row>
    <row r="68" spans="2:47" x14ac:dyDescent="0.2">
      <c r="B68" s="636" t="str">
        <f>'input-data'!$B$98</f>
        <v xml:space="preserve"> Drægtige søer</v>
      </c>
      <c r="C68" s="63" t="str">
        <f>'input-data'!$B$99</f>
        <v xml:space="preserve">  Kraftfoder:</v>
      </c>
      <c r="D68" s="63" t="str">
        <f>'input-data'!$B$121</f>
        <v xml:space="preserve">    blanding 2:</v>
      </c>
      <c r="E68" s="677">
        <f>'input-data'!E125</f>
        <v>0</v>
      </c>
      <c r="F68" s="261">
        <f>IFERROR('input-data'!$E$122*'Flow sohold'!$D$89*100/'Flow sohold'!$D$85*'input-data'!I125/100, 0)</f>
        <v>0</v>
      </c>
      <c r="G68" s="337">
        <f t="shared" si="25"/>
        <v>0</v>
      </c>
      <c r="H68" s="337">
        <f>F68*'Flow sohold'!$D$5</f>
        <v>0</v>
      </c>
      <c r="I68" s="337">
        <f t="shared" si="26"/>
        <v>0</v>
      </c>
      <c r="J68" s="337">
        <f>I68*'Flow sohold'!$D$5</f>
        <v>0</v>
      </c>
      <c r="K68" s="337">
        <f t="shared" si="27"/>
        <v>0</v>
      </c>
      <c r="L68" s="633">
        <f t="shared" si="28"/>
        <v>0</v>
      </c>
      <c r="M68" s="627">
        <f t="shared" si="29"/>
        <v>0</v>
      </c>
      <c r="N68" s="337">
        <f t="shared" si="30"/>
        <v>0</v>
      </c>
      <c r="O68" s="337">
        <f t="shared" si="31"/>
        <v>0</v>
      </c>
      <c r="P68" s="637">
        <f t="shared" si="32"/>
        <v>0</v>
      </c>
      <c r="Q68" s="694">
        <f t="shared" si="18"/>
        <v>0</v>
      </c>
      <c r="R68" s="337">
        <f t="shared" si="19"/>
        <v>0</v>
      </c>
      <c r="S68" s="337">
        <f t="shared" si="20"/>
        <v>0</v>
      </c>
      <c r="T68" s="337">
        <f t="shared" si="21"/>
        <v>0</v>
      </c>
      <c r="U68" s="337">
        <f t="shared" si="22"/>
        <v>0</v>
      </c>
      <c r="V68" s="337">
        <f t="shared" si="23"/>
        <v>0</v>
      </c>
      <c r="W68" s="695">
        <f t="shared" si="24"/>
        <v>0</v>
      </c>
      <c r="X68" s="828">
        <f t="shared" si="33"/>
        <v>0</v>
      </c>
      <c r="AU68" s="110"/>
    </row>
    <row r="69" spans="2:47" x14ac:dyDescent="0.2">
      <c r="B69" s="636" t="str">
        <f>'input-data'!$B$98</f>
        <v xml:space="preserve"> Drægtige søer</v>
      </c>
      <c r="C69" s="63" t="str">
        <f>'input-data'!$B$99</f>
        <v xml:space="preserve">  Kraftfoder:</v>
      </c>
      <c r="D69" s="63" t="str">
        <f>'input-data'!$B$121</f>
        <v xml:space="preserve">    blanding 2:</v>
      </c>
      <c r="E69" s="677">
        <f>'input-data'!E126</f>
        <v>0</v>
      </c>
      <c r="F69" s="261">
        <f>IFERROR('input-data'!$E$122*'Flow sohold'!$D$89*100/'Flow sohold'!$D$85*'input-data'!I126/100, 0)</f>
        <v>0</v>
      </c>
      <c r="G69" s="337">
        <f t="shared" si="25"/>
        <v>0</v>
      </c>
      <c r="H69" s="337">
        <f>F69*'Flow sohold'!$D$5</f>
        <v>0</v>
      </c>
      <c r="I69" s="337">
        <f t="shared" si="26"/>
        <v>0</v>
      </c>
      <c r="J69" s="337">
        <f>I69*'Flow sohold'!$D$5</f>
        <v>0</v>
      </c>
      <c r="K69" s="337">
        <f t="shared" si="27"/>
        <v>0</v>
      </c>
      <c r="L69" s="633">
        <f t="shared" si="28"/>
        <v>0</v>
      </c>
      <c r="M69" s="627">
        <f t="shared" si="29"/>
        <v>0</v>
      </c>
      <c r="N69" s="337">
        <f t="shared" si="30"/>
        <v>0</v>
      </c>
      <c r="O69" s="337">
        <f t="shared" si="31"/>
        <v>0</v>
      </c>
      <c r="P69" s="637">
        <f t="shared" si="32"/>
        <v>0</v>
      </c>
      <c r="Q69" s="694">
        <f t="shared" si="18"/>
        <v>0</v>
      </c>
      <c r="R69" s="337">
        <f t="shared" si="19"/>
        <v>0</v>
      </c>
      <c r="S69" s="337">
        <f t="shared" si="20"/>
        <v>0</v>
      </c>
      <c r="T69" s="337">
        <f t="shared" si="21"/>
        <v>0</v>
      </c>
      <c r="U69" s="337">
        <f t="shared" si="22"/>
        <v>0</v>
      </c>
      <c r="V69" s="337">
        <f t="shared" si="23"/>
        <v>0</v>
      </c>
      <c r="W69" s="695">
        <f t="shared" si="24"/>
        <v>0</v>
      </c>
      <c r="X69" s="828">
        <f t="shared" si="33"/>
        <v>0</v>
      </c>
      <c r="AU69" s="110"/>
    </row>
    <row r="70" spans="2:47" x14ac:dyDescent="0.2">
      <c r="B70" s="636" t="str">
        <f>'input-data'!$B$98</f>
        <v xml:space="preserve"> Drægtige søer</v>
      </c>
      <c r="C70" s="63" t="str">
        <f>'input-data'!$B$99</f>
        <v xml:space="preserve">  Kraftfoder:</v>
      </c>
      <c r="D70" s="63" t="str">
        <f>'input-data'!$B$121</f>
        <v xml:space="preserve">    blanding 2:</v>
      </c>
      <c r="E70" s="677">
        <f>'input-data'!E127</f>
        <v>0</v>
      </c>
      <c r="F70" s="261">
        <f>IFERROR('input-data'!$E$122*'Flow sohold'!$D$89*100/'Flow sohold'!$D$85*'input-data'!I127/100, 0)</f>
        <v>0</v>
      </c>
      <c r="G70" s="337">
        <f t="shared" si="25"/>
        <v>0</v>
      </c>
      <c r="H70" s="337">
        <f>F70*'Flow sohold'!$D$5</f>
        <v>0</v>
      </c>
      <c r="I70" s="337">
        <f t="shared" si="26"/>
        <v>0</v>
      </c>
      <c r="J70" s="337">
        <f>I70*'Flow sohold'!$D$5</f>
        <v>0</v>
      </c>
      <c r="K70" s="337">
        <f t="shared" si="27"/>
        <v>0</v>
      </c>
      <c r="L70" s="633">
        <f t="shared" si="28"/>
        <v>0</v>
      </c>
      <c r="M70" s="627">
        <f t="shared" si="29"/>
        <v>0</v>
      </c>
      <c r="N70" s="337">
        <f t="shared" si="30"/>
        <v>0</v>
      </c>
      <c r="O70" s="337">
        <f t="shared" si="31"/>
        <v>0</v>
      </c>
      <c r="P70" s="637">
        <f t="shared" si="32"/>
        <v>0</v>
      </c>
      <c r="Q70" s="694">
        <f t="shared" ref="Q70:Q87" si="34">IFERROR(VLOOKUP($E70, Fodertabel, 218, FALSE)*$J70, 0)</f>
        <v>0</v>
      </c>
      <c r="R70" s="337">
        <f t="shared" ref="R70:R87" si="35">IFERROR(VLOOKUP($E70, Fodertabel, 219, FALSE)*$J70, 0)</f>
        <v>0</v>
      </c>
      <c r="S70" s="337">
        <f t="shared" ref="S70:S87" si="36">IFERROR(VLOOKUP($E70, Fodertabel, 220, FALSE)*$J70, 0)</f>
        <v>0</v>
      </c>
      <c r="T70" s="337">
        <f t="shared" ref="T70:T87" si="37">IFERROR(VLOOKUP($E70, Fodertabel, 221, FALSE)*$J70, 0)</f>
        <v>0</v>
      </c>
      <c r="U70" s="337">
        <f t="shared" ref="U70:U87" si="38">IFERROR(VLOOKUP($E70, Fodertabel, 222, FALSE)*$J70, 0)</f>
        <v>0</v>
      </c>
      <c r="V70" s="337">
        <f t="shared" ref="V70:V87" si="39">IFERROR(VLOOKUP($E70, Fodertabel, 223, FALSE)*$J70, 0)</f>
        <v>0</v>
      </c>
      <c r="W70" s="695">
        <f t="shared" ref="W70:W87" si="40">IFERROR(VLOOKUP($E70, Fodertabel, 224, FALSE)*$J70, 0)</f>
        <v>0</v>
      </c>
      <c r="X70" s="828">
        <f t="shared" si="33"/>
        <v>0</v>
      </c>
      <c r="AU70" s="110"/>
    </row>
    <row r="71" spans="2:47" x14ac:dyDescent="0.2">
      <c r="B71" s="636" t="str">
        <f>'input-data'!$B$98</f>
        <v xml:space="preserve"> Drægtige søer</v>
      </c>
      <c r="C71" s="63" t="str">
        <f>'input-data'!$B$99</f>
        <v xml:space="preserve">  Kraftfoder:</v>
      </c>
      <c r="D71" s="63" t="str">
        <f>'input-data'!$B$121</f>
        <v xml:space="preserve">    blanding 2:</v>
      </c>
      <c r="E71" s="677">
        <f>'input-data'!E128</f>
        <v>0</v>
      </c>
      <c r="F71" s="261">
        <f>IFERROR('input-data'!$E$122*'Flow sohold'!$D$89*100/'Flow sohold'!$D$85*'input-data'!I128/100, 0)</f>
        <v>0</v>
      </c>
      <c r="G71" s="337">
        <f t="shared" si="25"/>
        <v>0</v>
      </c>
      <c r="H71" s="337">
        <f>F71*'Flow sohold'!$D$5</f>
        <v>0</v>
      </c>
      <c r="I71" s="337">
        <f t="shared" si="26"/>
        <v>0</v>
      </c>
      <c r="J71" s="337">
        <f>I71*'Flow sohold'!$D$5</f>
        <v>0</v>
      </c>
      <c r="K71" s="337">
        <f t="shared" si="27"/>
        <v>0</v>
      </c>
      <c r="L71" s="633">
        <f t="shared" si="28"/>
        <v>0</v>
      </c>
      <c r="M71" s="627">
        <f t="shared" si="29"/>
        <v>0</v>
      </c>
      <c r="N71" s="337">
        <f t="shared" si="30"/>
        <v>0</v>
      </c>
      <c r="O71" s="337">
        <f t="shared" si="31"/>
        <v>0</v>
      </c>
      <c r="P71" s="637">
        <f t="shared" si="32"/>
        <v>0</v>
      </c>
      <c r="Q71" s="694">
        <f t="shared" si="34"/>
        <v>0</v>
      </c>
      <c r="R71" s="337">
        <f t="shared" si="35"/>
        <v>0</v>
      </c>
      <c r="S71" s="337">
        <f t="shared" si="36"/>
        <v>0</v>
      </c>
      <c r="T71" s="337">
        <f t="shared" si="37"/>
        <v>0</v>
      </c>
      <c r="U71" s="337">
        <f t="shared" si="38"/>
        <v>0</v>
      </c>
      <c r="V71" s="337">
        <f t="shared" si="39"/>
        <v>0</v>
      </c>
      <c r="W71" s="695">
        <f t="shared" si="40"/>
        <v>0</v>
      </c>
      <c r="X71" s="828">
        <f t="shared" si="33"/>
        <v>0</v>
      </c>
      <c r="AU71" s="110"/>
    </row>
    <row r="72" spans="2:47" x14ac:dyDescent="0.2">
      <c r="B72" s="636" t="str">
        <f>'input-data'!$B$98</f>
        <v xml:space="preserve"> Drægtige søer</v>
      </c>
      <c r="C72" s="63" t="str">
        <f>'input-data'!$B$99</f>
        <v xml:space="preserve">  Kraftfoder:</v>
      </c>
      <c r="D72" s="63" t="str">
        <f>'input-data'!$B$121</f>
        <v xml:space="preserve">    blanding 2:</v>
      </c>
      <c r="E72" s="677">
        <f>'input-data'!E129</f>
        <v>0</v>
      </c>
      <c r="F72" s="261">
        <f>IFERROR('input-data'!$E$122*'Flow sohold'!$D$89*100/'Flow sohold'!$D$85*'input-data'!I129/100, 0)</f>
        <v>0</v>
      </c>
      <c r="G72" s="337">
        <f t="shared" si="25"/>
        <v>0</v>
      </c>
      <c r="H72" s="337">
        <f>F72*'Flow sohold'!$D$5</f>
        <v>0</v>
      </c>
      <c r="I72" s="337">
        <f t="shared" si="26"/>
        <v>0</v>
      </c>
      <c r="J72" s="337">
        <f>I72*'Flow sohold'!$D$5</f>
        <v>0</v>
      </c>
      <c r="K72" s="337">
        <f t="shared" si="27"/>
        <v>0</v>
      </c>
      <c r="L72" s="633">
        <f t="shared" si="28"/>
        <v>0</v>
      </c>
      <c r="M72" s="627">
        <f t="shared" si="29"/>
        <v>0</v>
      </c>
      <c r="N72" s="337">
        <f t="shared" si="30"/>
        <v>0</v>
      </c>
      <c r="O72" s="337">
        <f t="shared" si="31"/>
        <v>0</v>
      </c>
      <c r="P72" s="637">
        <f t="shared" si="32"/>
        <v>0</v>
      </c>
      <c r="Q72" s="694">
        <f t="shared" si="34"/>
        <v>0</v>
      </c>
      <c r="R72" s="337">
        <f t="shared" si="35"/>
        <v>0</v>
      </c>
      <c r="S72" s="337">
        <f t="shared" si="36"/>
        <v>0</v>
      </c>
      <c r="T72" s="337">
        <f t="shared" si="37"/>
        <v>0</v>
      </c>
      <c r="U72" s="337">
        <f t="shared" si="38"/>
        <v>0</v>
      </c>
      <c r="V72" s="337">
        <f t="shared" si="39"/>
        <v>0</v>
      </c>
      <c r="W72" s="695">
        <f t="shared" si="40"/>
        <v>0</v>
      </c>
      <c r="X72" s="828">
        <f t="shared" si="33"/>
        <v>0</v>
      </c>
      <c r="AU72" s="110"/>
    </row>
    <row r="73" spans="2:47" x14ac:dyDescent="0.2">
      <c r="B73" s="636" t="str">
        <f>'input-data'!$B$98</f>
        <v xml:space="preserve"> Drægtige søer</v>
      </c>
      <c r="C73" s="63" t="str">
        <f>'input-data'!$B$99</f>
        <v xml:space="preserve">  Kraftfoder:</v>
      </c>
      <c r="D73" s="63" t="str">
        <f>'input-data'!$B$121</f>
        <v xml:space="preserve">    blanding 2:</v>
      </c>
      <c r="E73" s="677">
        <f>'input-data'!E130</f>
        <v>0</v>
      </c>
      <c r="F73" s="261">
        <f>IFERROR('input-data'!$E$122*'Flow sohold'!$D$89*100/'Flow sohold'!$D$85*'input-data'!I130/100, 0)</f>
        <v>0</v>
      </c>
      <c r="G73" s="337">
        <f t="shared" si="25"/>
        <v>0</v>
      </c>
      <c r="H73" s="337">
        <f>F73*'Flow sohold'!$D$5</f>
        <v>0</v>
      </c>
      <c r="I73" s="337">
        <f t="shared" si="26"/>
        <v>0</v>
      </c>
      <c r="J73" s="337">
        <f>I73*'Flow sohold'!$D$5</f>
        <v>0</v>
      </c>
      <c r="K73" s="337">
        <f t="shared" si="27"/>
        <v>0</v>
      </c>
      <c r="L73" s="633">
        <f t="shared" si="28"/>
        <v>0</v>
      </c>
      <c r="M73" s="627">
        <f t="shared" si="29"/>
        <v>0</v>
      </c>
      <c r="N73" s="337">
        <f t="shared" si="30"/>
        <v>0</v>
      </c>
      <c r="O73" s="337">
        <f t="shared" si="31"/>
        <v>0</v>
      </c>
      <c r="P73" s="637">
        <f t="shared" si="32"/>
        <v>0</v>
      </c>
      <c r="Q73" s="694">
        <f t="shared" si="34"/>
        <v>0</v>
      </c>
      <c r="R73" s="337">
        <f t="shared" si="35"/>
        <v>0</v>
      </c>
      <c r="S73" s="337">
        <f t="shared" si="36"/>
        <v>0</v>
      </c>
      <c r="T73" s="337">
        <f t="shared" si="37"/>
        <v>0</v>
      </c>
      <c r="U73" s="337">
        <f t="shared" si="38"/>
        <v>0</v>
      </c>
      <c r="V73" s="337">
        <f t="shared" si="39"/>
        <v>0</v>
      </c>
      <c r="W73" s="695">
        <f t="shared" si="40"/>
        <v>0</v>
      </c>
      <c r="X73" s="828">
        <f t="shared" si="33"/>
        <v>0</v>
      </c>
      <c r="AU73" s="110"/>
    </row>
    <row r="74" spans="2:47" x14ac:dyDescent="0.2">
      <c r="B74" s="636" t="str">
        <f>'input-data'!$B$98</f>
        <v xml:space="preserve"> Drægtige søer</v>
      </c>
      <c r="C74" s="63" t="str">
        <f>'input-data'!$B$99</f>
        <v xml:space="preserve">  Kraftfoder:</v>
      </c>
      <c r="D74" s="63" t="str">
        <f>'input-data'!$B$121</f>
        <v xml:space="preserve">    blanding 2:</v>
      </c>
      <c r="E74" s="677">
        <f>'input-data'!E131</f>
        <v>0</v>
      </c>
      <c r="F74" s="261">
        <f>IFERROR('input-data'!$E$122*'Flow sohold'!$D$89*100/'Flow sohold'!$D$85*'input-data'!I131/100, 0)</f>
        <v>0</v>
      </c>
      <c r="G74" s="337">
        <f t="shared" si="25"/>
        <v>0</v>
      </c>
      <c r="H74" s="337">
        <f>F74*'Flow sohold'!$D$5</f>
        <v>0</v>
      </c>
      <c r="I74" s="337">
        <f t="shared" si="26"/>
        <v>0</v>
      </c>
      <c r="J74" s="337">
        <f>I74*'Flow sohold'!$D$5</f>
        <v>0</v>
      </c>
      <c r="K74" s="337">
        <f t="shared" si="27"/>
        <v>0</v>
      </c>
      <c r="L74" s="633">
        <f t="shared" si="28"/>
        <v>0</v>
      </c>
      <c r="M74" s="627">
        <f t="shared" si="29"/>
        <v>0</v>
      </c>
      <c r="N74" s="337">
        <f t="shared" si="30"/>
        <v>0</v>
      </c>
      <c r="O74" s="337">
        <f t="shared" si="31"/>
        <v>0</v>
      </c>
      <c r="P74" s="637">
        <f t="shared" si="32"/>
        <v>0</v>
      </c>
      <c r="Q74" s="694">
        <f t="shared" si="34"/>
        <v>0</v>
      </c>
      <c r="R74" s="337">
        <f t="shared" si="35"/>
        <v>0</v>
      </c>
      <c r="S74" s="337">
        <f t="shared" si="36"/>
        <v>0</v>
      </c>
      <c r="T74" s="337">
        <f t="shared" si="37"/>
        <v>0</v>
      </c>
      <c r="U74" s="337">
        <f t="shared" si="38"/>
        <v>0</v>
      </c>
      <c r="V74" s="337">
        <f t="shared" si="39"/>
        <v>0</v>
      </c>
      <c r="W74" s="695">
        <f t="shared" si="40"/>
        <v>0</v>
      </c>
      <c r="X74" s="828">
        <f t="shared" si="33"/>
        <v>0</v>
      </c>
      <c r="AU74" s="110"/>
    </row>
    <row r="75" spans="2:47" x14ac:dyDescent="0.2">
      <c r="B75" s="636" t="str">
        <f>'input-data'!$B$98</f>
        <v xml:space="preserve"> Drægtige søer</v>
      </c>
      <c r="C75" s="63" t="str">
        <f>'input-data'!$B$99</f>
        <v xml:space="preserve">  Kraftfoder:</v>
      </c>
      <c r="D75" s="63" t="str">
        <f>'input-data'!$B$121</f>
        <v xml:space="preserve">    blanding 2:</v>
      </c>
      <c r="E75" s="677">
        <f>'input-data'!E132</f>
        <v>0</v>
      </c>
      <c r="F75" s="261">
        <f>IFERROR('input-data'!$E$122*'Flow sohold'!$D$89*100/'Flow sohold'!$D$85*'input-data'!I132/100, 0)</f>
        <v>0</v>
      </c>
      <c r="G75" s="337">
        <f t="shared" si="25"/>
        <v>0</v>
      </c>
      <c r="H75" s="337">
        <f>F75*'Flow sohold'!$D$5</f>
        <v>0</v>
      </c>
      <c r="I75" s="337">
        <f t="shared" si="26"/>
        <v>0</v>
      </c>
      <c r="J75" s="337">
        <f>I75*'Flow sohold'!$D$5</f>
        <v>0</v>
      </c>
      <c r="K75" s="337">
        <f t="shared" si="27"/>
        <v>0</v>
      </c>
      <c r="L75" s="633">
        <f t="shared" si="28"/>
        <v>0</v>
      </c>
      <c r="M75" s="627">
        <f t="shared" si="29"/>
        <v>0</v>
      </c>
      <c r="N75" s="337">
        <f t="shared" si="30"/>
        <v>0</v>
      </c>
      <c r="O75" s="337">
        <f t="shared" si="31"/>
        <v>0</v>
      </c>
      <c r="P75" s="637">
        <f t="shared" si="32"/>
        <v>0</v>
      </c>
      <c r="Q75" s="694">
        <f t="shared" si="34"/>
        <v>0</v>
      </c>
      <c r="R75" s="337">
        <f t="shared" si="35"/>
        <v>0</v>
      </c>
      <c r="S75" s="337">
        <f t="shared" si="36"/>
        <v>0</v>
      </c>
      <c r="T75" s="337">
        <f t="shared" si="37"/>
        <v>0</v>
      </c>
      <c r="U75" s="337">
        <f t="shared" si="38"/>
        <v>0</v>
      </c>
      <c r="V75" s="337">
        <f t="shared" si="39"/>
        <v>0</v>
      </c>
      <c r="W75" s="695">
        <f t="shared" si="40"/>
        <v>0</v>
      </c>
      <c r="X75" s="828">
        <f t="shared" si="33"/>
        <v>0</v>
      </c>
      <c r="AU75" s="110"/>
    </row>
    <row r="76" spans="2:47" x14ac:dyDescent="0.2">
      <c r="B76" s="636" t="str">
        <f>'input-data'!$B$98</f>
        <v xml:space="preserve"> Drægtige søer</v>
      </c>
      <c r="C76" s="63" t="str">
        <f>'input-data'!$B$99</f>
        <v xml:space="preserve">  Kraftfoder:</v>
      </c>
      <c r="D76" s="63" t="str">
        <f>'input-data'!$B$121</f>
        <v xml:space="preserve">    blanding 2:</v>
      </c>
      <c r="E76" s="677">
        <f>'input-data'!E133</f>
        <v>0</v>
      </c>
      <c r="F76" s="261">
        <f>IFERROR('input-data'!$E$122*'Flow sohold'!$D$89*100/'Flow sohold'!$D$85*'input-data'!I133/100, 0)</f>
        <v>0</v>
      </c>
      <c r="G76" s="337">
        <f t="shared" si="25"/>
        <v>0</v>
      </c>
      <c r="H76" s="337">
        <f>F76*'Flow sohold'!$D$5</f>
        <v>0</v>
      </c>
      <c r="I76" s="337">
        <f t="shared" si="26"/>
        <v>0</v>
      </c>
      <c r="J76" s="337">
        <f>I76*'Flow sohold'!$D$5</f>
        <v>0</v>
      </c>
      <c r="K76" s="337">
        <f t="shared" si="27"/>
        <v>0</v>
      </c>
      <c r="L76" s="633">
        <f t="shared" si="28"/>
        <v>0</v>
      </c>
      <c r="M76" s="627">
        <f t="shared" si="29"/>
        <v>0</v>
      </c>
      <c r="N76" s="337">
        <f t="shared" si="30"/>
        <v>0</v>
      </c>
      <c r="O76" s="337">
        <f t="shared" si="31"/>
        <v>0</v>
      </c>
      <c r="P76" s="637">
        <f t="shared" si="32"/>
        <v>0</v>
      </c>
      <c r="Q76" s="694">
        <f t="shared" si="34"/>
        <v>0</v>
      </c>
      <c r="R76" s="337">
        <f t="shared" si="35"/>
        <v>0</v>
      </c>
      <c r="S76" s="337">
        <f t="shared" si="36"/>
        <v>0</v>
      </c>
      <c r="T76" s="337">
        <f t="shared" si="37"/>
        <v>0</v>
      </c>
      <c r="U76" s="337">
        <f t="shared" si="38"/>
        <v>0</v>
      </c>
      <c r="V76" s="337">
        <f t="shared" si="39"/>
        <v>0</v>
      </c>
      <c r="W76" s="695">
        <f t="shared" si="40"/>
        <v>0</v>
      </c>
      <c r="X76" s="828">
        <f t="shared" si="33"/>
        <v>0</v>
      </c>
      <c r="AU76" s="110"/>
    </row>
    <row r="77" spans="2:47" x14ac:dyDescent="0.2">
      <c r="B77" s="636" t="str">
        <f>'input-data'!$B$98</f>
        <v xml:space="preserve"> Drægtige søer</v>
      </c>
      <c r="C77" s="63" t="str">
        <f>'input-data'!$B$99</f>
        <v xml:space="preserve">  Kraftfoder:</v>
      </c>
      <c r="D77" s="63" t="str">
        <f>'input-data'!$B$121</f>
        <v xml:space="preserve">    blanding 2:</v>
      </c>
      <c r="E77" s="677">
        <f>'input-data'!E134</f>
        <v>0</v>
      </c>
      <c r="F77" s="261">
        <f>IFERROR('input-data'!$E$122*'Flow sohold'!$D$89*100/'Flow sohold'!$D$85*'input-data'!I134/100, 0)</f>
        <v>0</v>
      </c>
      <c r="G77" s="337">
        <f t="shared" si="25"/>
        <v>0</v>
      </c>
      <c r="H77" s="337">
        <f>F77*'Flow sohold'!$D$5</f>
        <v>0</v>
      </c>
      <c r="I77" s="337">
        <f t="shared" si="26"/>
        <v>0</v>
      </c>
      <c r="J77" s="337">
        <f>I77*'Flow sohold'!$D$5</f>
        <v>0</v>
      </c>
      <c r="K77" s="337">
        <f t="shared" si="27"/>
        <v>0</v>
      </c>
      <c r="L77" s="633">
        <f t="shared" si="28"/>
        <v>0</v>
      </c>
      <c r="M77" s="627">
        <f t="shared" si="29"/>
        <v>0</v>
      </c>
      <c r="N77" s="337">
        <f t="shared" si="30"/>
        <v>0</v>
      </c>
      <c r="O77" s="337">
        <f t="shared" si="31"/>
        <v>0</v>
      </c>
      <c r="P77" s="637">
        <f t="shared" si="32"/>
        <v>0</v>
      </c>
      <c r="Q77" s="694">
        <f t="shared" si="34"/>
        <v>0</v>
      </c>
      <c r="R77" s="337">
        <f t="shared" si="35"/>
        <v>0</v>
      </c>
      <c r="S77" s="337">
        <f t="shared" si="36"/>
        <v>0</v>
      </c>
      <c r="T77" s="337">
        <f t="shared" si="37"/>
        <v>0</v>
      </c>
      <c r="U77" s="337">
        <f t="shared" si="38"/>
        <v>0</v>
      </c>
      <c r="V77" s="337">
        <f t="shared" si="39"/>
        <v>0</v>
      </c>
      <c r="W77" s="695">
        <f t="shared" si="40"/>
        <v>0</v>
      </c>
      <c r="X77" s="828">
        <f t="shared" si="33"/>
        <v>0</v>
      </c>
      <c r="AU77" s="110"/>
    </row>
    <row r="78" spans="2:47" x14ac:dyDescent="0.2">
      <c r="B78" s="636" t="str">
        <f>'input-data'!$B$98</f>
        <v xml:space="preserve"> Drægtige søer</v>
      </c>
      <c r="C78" s="63" t="str">
        <f>'input-data'!$B$99</f>
        <v xml:space="preserve">  Kraftfoder:</v>
      </c>
      <c r="D78" s="63" t="str">
        <f>'input-data'!$B$121</f>
        <v xml:space="preserve">    blanding 2:</v>
      </c>
      <c r="E78" s="677">
        <f>'input-data'!E135</f>
        <v>0</v>
      </c>
      <c r="F78" s="261">
        <f>IFERROR('input-data'!$E$122*'Flow sohold'!$D$89*100/'Flow sohold'!$D$85*'input-data'!I135/100, 0)</f>
        <v>0</v>
      </c>
      <c r="G78" s="337">
        <f t="shared" si="25"/>
        <v>0</v>
      </c>
      <c r="H78" s="337">
        <f>F78*'Flow sohold'!$D$5</f>
        <v>0</v>
      </c>
      <c r="I78" s="337">
        <f t="shared" si="26"/>
        <v>0</v>
      </c>
      <c r="J78" s="337">
        <f>I78*'Flow sohold'!$D$5</f>
        <v>0</v>
      </c>
      <c r="K78" s="337">
        <f t="shared" si="27"/>
        <v>0</v>
      </c>
      <c r="L78" s="633">
        <f t="shared" si="28"/>
        <v>0</v>
      </c>
      <c r="M78" s="627">
        <f t="shared" si="29"/>
        <v>0</v>
      </c>
      <c r="N78" s="337">
        <f t="shared" si="30"/>
        <v>0</v>
      </c>
      <c r="O78" s="337">
        <f t="shared" si="31"/>
        <v>0</v>
      </c>
      <c r="P78" s="637">
        <f t="shared" si="32"/>
        <v>0</v>
      </c>
      <c r="Q78" s="694">
        <f t="shared" si="34"/>
        <v>0</v>
      </c>
      <c r="R78" s="337">
        <f t="shared" si="35"/>
        <v>0</v>
      </c>
      <c r="S78" s="337">
        <f t="shared" si="36"/>
        <v>0</v>
      </c>
      <c r="T78" s="337">
        <f t="shared" si="37"/>
        <v>0</v>
      </c>
      <c r="U78" s="337">
        <f t="shared" si="38"/>
        <v>0</v>
      </c>
      <c r="V78" s="337">
        <f t="shared" si="39"/>
        <v>0</v>
      </c>
      <c r="W78" s="695">
        <f t="shared" si="40"/>
        <v>0</v>
      </c>
      <c r="X78" s="828">
        <f t="shared" si="33"/>
        <v>0</v>
      </c>
      <c r="AU78" s="110"/>
    </row>
    <row r="79" spans="2:47" x14ac:dyDescent="0.2">
      <c r="B79" s="636" t="str">
        <f>'input-data'!$B$98</f>
        <v xml:space="preserve"> Drægtige søer</v>
      </c>
      <c r="C79" s="63" t="str">
        <f>'input-data'!$B$99</f>
        <v xml:space="preserve">  Kraftfoder:</v>
      </c>
      <c r="D79" s="63" t="str">
        <f>'input-data'!$B$121</f>
        <v xml:space="preserve">    blanding 2:</v>
      </c>
      <c r="E79" s="677">
        <f>'input-data'!E136</f>
        <v>0</v>
      </c>
      <c r="F79" s="261">
        <f>IFERROR('input-data'!$E$122*'Flow sohold'!$D$89*100/'Flow sohold'!$D$85*'input-data'!I136/100, 0)</f>
        <v>0</v>
      </c>
      <c r="G79" s="337">
        <f t="shared" si="25"/>
        <v>0</v>
      </c>
      <c r="H79" s="337">
        <f>F79*'Flow sohold'!$D$5</f>
        <v>0</v>
      </c>
      <c r="I79" s="337">
        <f t="shared" si="26"/>
        <v>0</v>
      </c>
      <c r="J79" s="337">
        <f>I79*'Flow sohold'!$D$5</f>
        <v>0</v>
      </c>
      <c r="K79" s="337">
        <f t="shared" si="27"/>
        <v>0</v>
      </c>
      <c r="L79" s="633">
        <f t="shared" si="28"/>
        <v>0</v>
      </c>
      <c r="M79" s="627">
        <f t="shared" si="29"/>
        <v>0</v>
      </c>
      <c r="N79" s="337">
        <f t="shared" si="30"/>
        <v>0</v>
      </c>
      <c r="O79" s="337">
        <f t="shared" si="31"/>
        <v>0</v>
      </c>
      <c r="P79" s="637">
        <f t="shared" si="32"/>
        <v>0</v>
      </c>
      <c r="Q79" s="694">
        <f t="shared" si="34"/>
        <v>0</v>
      </c>
      <c r="R79" s="337">
        <f t="shared" si="35"/>
        <v>0</v>
      </c>
      <c r="S79" s="337">
        <f t="shared" si="36"/>
        <v>0</v>
      </c>
      <c r="T79" s="337">
        <f t="shared" si="37"/>
        <v>0</v>
      </c>
      <c r="U79" s="337">
        <f t="shared" si="38"/>
        <v>0</v>
      </c>
      <c r="V79" s="337">
        <f t="shared" si="39"/>
        <v>0</v>
      </c>
      <c r="W79" s="695">
        <f t="shared" si="40"/>
        <v>0</v>
      </c>
      <c r="X79" s="828">
        <f t="shared" si="33"/>
        <v>0</v>
      </c>
      <c r="AU79" s="110"/>
    </row>
    <row r="80" spans="2:47" x14ac:dyDescent="0.2">
      <c r="B80" s="636" t="str">
        <f>'input-data'!$B$98</f>
        <v xml:space="preserve"> Drægtige søer</v>
      </c>
      <c r="C80" s="63" t="str">
        <f>'input-data'!$B$99</f>
        <v xml:space="preserve">  Kraftfoder:</v>
      </c>
      <c r="D80" s="63" t="str">
        <f>'input-data'!$B$121</f>
        <v xml:space="preserve">    blanding 2:</v>
      </c>
      <c r="E80" s="677">
        <f>'input-data'!E137</f>
        <v>0</v>
      </c>
      <c r="F80" s="261">
        <f>IFERROR('input-data'!$E$122*'Flow sohold'!$D$89*100/'Flow sohold'!$D$85*'input-data'!I137/100, 0)</f>
        <v>0</v>
      </c>
      <c r="G80" s="337">
        <f t="shared" si="25"/>
        <v>0</v>
      </c>
      <c r="H80" s="337">
        <f>F80*'Flow sohold'!$D$5</f>
        <v>0</v>
      </c>
      <c r="I80" s="337">
        <f t="shared" si="26"/>
        <v>0</v>
      </c>
      <c r="J80" s="337">
        <f>I80*'Flow sohold'!$D$5</f>
        <v>0</v>
      </c>
      <c r="K80" s="337">
        <f t="shared" si="27"/>
        <v>0</v>
      </c>
      <c r="L80" s="633">
        <f t="shared" si="28"/>
        <v>0</v>
      </c>
      <c r="M80" s="627">
        <f t="shared" si="29"/>
        <v>0</v>
      </c>
      <c r="N80" s="337">
        <f t="shared" si="30"/>
        <v>0</v>
      </c>
      <c r="O80" s="337">
        <f t="shared" si="31"/>
        <v>0</v>
      </c>
      <c r="P80" s="637">
        <f t="shared" si="32"/>
        <v>0</v>
      </c>
      <c r="Q80" s="694">
        <f t="shared" si="34"/>
        <v>0</v>
      </c>
      <c r="R80" s="337">
        <f t="shared" si="35"/>
        <v>0</v>
      </c>
      <c r="S80" s="337">
        <f t="shared" si="36"/>
        <v>0</v>
      </c>
      <c r="T80" s="337">
        <f t="shared" si="37"/>
        <v>0</v>
      </c>
      <c r="U80" s="337">
        <f t="shared" si="38"/>
        <v>0</v>
      </c>
      <c r="V80" s="337">
        <f t="shared" si="39"/>
        <v>0</v>
      </c>
      <c r="W80" s="695">
        <f t="shared" si="40"/>
        <v>0</v>
      </c>
      <c r="X80" s="828">
        <f t="shared" si="33"/>
        <v>0</v>
      </c>
      <c r="AU80" s="110"/>
    </row>
    <row r="81" spans="2:47" x14ac:dyDescent="0.2">
      <c r="B81" s="636" t="str">
        <f>'input-data'!$B$98</f>
        <v xml:space="preserve"> Drægtige søer</v>
      </c>
      <c r="C81" s="63" t="str">
        <f>'input-data'!$B$99</f>
        <v xml:space="preserve">  Kraftfoder:</v>
      </c>
      <c r="D81" s="63" t="str">
        <f>'input-data'!$B$121</f>
        <v xml:space="preserve">    blanding 2:</v>
      </c>
      <c r="E81" s="677">
        <f>'input-data'!E138</f>
        <v>0</v>
      </c>
      <c r="F81" s="261">
        <f>IFERROR('input-data'!$E$122*'Flow sohold'!$D$89*100/'Flow sohold'!$D$85*'input-data'!I138/100, 0)</f>
        <v>0</v>
      </c>
      <c r="G81" s="337">
        <f t="shared" ref="G81:G88" si="41">IFERROR(F81*VLOOKUP(E81, Fodertabel, 4, FALSE), 0)</f>
        <v>0</v>
      </c>
      <c r="H81" s="337">
        <f>F81*'Flow sohold'!$D$5</f>
        <v>0</v>
      </c>
      <c r="I81" s="337">
        <f t="shared" ref="I81:I87" si="42">IFERROR(F81*VLOOKUP(E81, Fodertabel, 9, FALSE)/100, 0)</f>
        <v>0</v>
      </c>
      <c r="J81" s="337">
        <f>I81*'Flow sohold'!$D$5</f>
        <v>0</v>
      </c>
      <c r="K81" s="337">
        <f t="shared" ref="K81:K112" si="43">IFERROR(J81*VLOOKUP(E81, Fodertabel, 60, FALSE)/100/6.25, 0)</f>
        <v>0</v>
      </c>
      <c r="L81" s="633">
        <f t="shared" ref="L81:L112" si="44">IFERROR(J81*VLOOKUP(E81, Fodertabel, 23, FALSE)/1000, 0)</f>
        <v>0</v>
      </c>
      <c r="M81" s="627">
        <f t="shared" ref="M81:M112" si="45">IFERROR(VLOOKUP(E81, Fodertabel, 226, FALSE), 0)</f>
        <v>0</v>
      </c>
      <c r="N81" s="337">
        <f t="shared" ref="N81:N112" si="46">IF(OR(M81="onfarm", M81="folde", M81="paddock"), J81, 0)</f>
        <v>0</v>
      </c>
      <c r="O81" s="337">
        <f t="shared" ref="O81:O112" si="47">IFERROR(J81/N81*K81, 0)</f>
        <v>0</v>
      </c>
      <c r="P81" s="637">
        <f t="shared" ref="P81:P112" si="48">IFERROR(N81/J81*L81, 0)</f>
        <v>0</v>
      </c>
      <c r="Q81" s="694">
        <f t="shared" si="34"/>
        <v>0</v>
      </c>
      <c r="R81" s="337">
        <f t="shared" si="35"/>
        <v>0</v>
      </c>
      <c r="S81" s="337">
        <f t="shared" si="36"/>
        <v>0</v>
      </c>
      <c r="T81" s="337">
        <f t="shared" si="37"/>
        <v>0</v>
      </c>
      <c r="U81" s="337">
        <f t="shared" si="38"/>
        <v>0</v>
      </c>
      <c r="V81" s="337">
        <f t="shared" si="39"/>
        <v>0</v>
      </c>
      <c r="W81" s="695">
        <f t="shared" si="40"/>
        <v>0</v>
      </c>
      <c r="X81" s="828">
        <f t="shared" ref="X81:X112" si="49">IFERROR(VLOOKUP(E81, Fodertabel, 227, FALSE), 0)</f>
        <v>0</v>
      </c>
      <c r="AU81" s="110"/>
    </row>
    <row r="82" spans="2:47" x14ac:dyDescent="0.2">
      <c r="B82" s="636" t="str">
        <f>'input-data'!$B$98</f>
        <v xml:space="preserve"> Drægtige søer</v>
      </c>
      <c r="C82" s="63" t="str">
        <f>'input-data'!$B$99</f>
        <v xml:space="preserve">  Kraftfoder:</v>
      </c>
      <c r="D82" s="63" t="str">
        <f>'input-data'!$B$121</f>
        <v xml:space="preserve">    blanding 2:</v>
      </c>
      <c r="E82" s="677">
        <f>'input-data'!E139</f>
        <v>0</v>
      </c>
      <c r="F82" s="261">
        <f>IFERROR('input-data'!$E$122*'Flow sohold'!$D$89*100/'Flow sohold'!$D$85*'input-data'!I139/100, 0)</f>
        <v>0</v>
      </c>
      <c r="G82" s="337">
        <f t="shared" si="41"/>
        <v>0</v>
      </c>
      <c r="H82" s="337">
        <f>F82*'Flow sohold'!$D$5</f>
        <v>0</v>
      </c>
      <c r="I82" s="337">
        <f t="shared" si="42"/>
        <v>0</v>
      </c>
      <c r="J82" s="337">
        <f>I82*'Flow sohold'!$D$5</f>
        <v>0</v>
      </c>
      <c r="K82" s="337">
        <f t="shared" si="43"/>
        <v>0</v>
      </c>
      <c r="L82" s="633">
        <f t="shared" si="44"/>
        <v>0</v>
      </c>
      <c r="M82" s="627">
        <f t="shared" si="45"/>
        <v>0</v>
      </c>
      <c r="N82" s="337">
        <f t="shared" si="46"/>
        <v>0</v>
      </c>
      <c r="O82" s="337">
        <f t="shared" si="47"/>
        <v>0</v>
      </c>
      <c r="P82" s="637">
        <f t="shared" si="48"/>
        <v>0</v>
      </c>
      <c r="Q82" s="694">
        <f t="shared" si="34"/>
        <v>0</v>
      </c>
      <c r="R82" s="337">
        <f t="shared" si="35"/>
        <v>0</v>
      </c>
      <c r="S82" s="337">
        <f t="shared" si="36"/>
        <v>0</v>
      </c>
      <c r="T82" s="337">
        <f t="shared" si="37"/>
        <v>0</v>
      </c>
      <c r="U82" s="337">
        <f t="shared" si="38"/>
        <v>0</v>
      </c>
      <c r="V82" s="337">
        <f t="shared" si="39"/>
        <v>0</v>
      </c>
      <c r="W82" s="695">
        <f t="shared" si="40"/>
        <v>0</v>
      </c>
      <c r="X82" s="828">
        <f t="shared" si="49"/>
        <v>0</v>
      </c>
      <c r="AU82" s="110"/>
    </row>
    <row r="83" spans="2:47" x14ac:dyDescent="0.2">
      <c r="B83" s="636" t="str">
        <f>'input-data'!$B$98</f>
        <v xml:space="preserve"> Drægtige søer</v>
      </c>
      <c r="C83" s="63" t="str">
        <f>'input-data'!$B$143</f>
        <v xml:space="preserve">  Grovfoder:</v>
      </c>
      <c r="D83" s="63" t="str">
        <f>'Flow sohold'!$C$45</f>
        <v>Tildelt grovfoder</v>
      </c>
      <c r="E83" s="677">
        <f>'input-data'!E147:H147</f>
        <v>0</v>
      </c>
      <c r="F83" s="261">
        <f>'Flow sohold'!$D$45*'input-data'!I147/100</f>
        <v>0</v>
      </c>
      <c r="G83" s="337">
        <f t="shared" si="41"/>
        <v>0</v>
      </c>
      <c r="H83" s="337">
        <f>F83*'Flow sohold'!$D$5</f>
        <v>0</v>
      </c>
      <c r="I83" s="337">
        <f t="shared" si="42"/>
        <v>0</v>
      </c>
      <c r="J83" s="337">
        <f>I83*'Flow sohold'!$D$5</f>
        <v>0</v>
      </c>
      <c r="K83" s="337">
        <f t="shared" si="43"/>
        <v>0</v>
      </c>
      <c r="L83" s="633">
        <f t="shared" si="44"/>
        <v>0</v>
      </c>
      <c r="M83" s="627">
        <f t="shared" si="45"/>
        <v>0</v>
      </c>
      <c r="N83" s="337">
        <f t="shared" si="46"/>
        <v>0</v>
      </c>
      <c r="O83" s="337">
        <f t="shared" si="47"/>
        <v>0</v>
      </c>
      <c r="P83" s="637">
        <f t="shared" si="48"/>
        <v>0</v>
      </c>
      <c r="Q83" s="694">
        <f t="shared" si="34"/>
        <v>0</v>
      </c>
      <c r="R83" s="337">
        <f t="shared" si="35"/>
        <v>0</v>
      </c>
      <c r="S83" s="337">
        <f t="shared" si="36"/>
        <v>0</v>
      </c>
      <c r="T83" s="337">
        <f t="shared" si="37"/>
        <v>0</v>
      </c>
      <c r="U83" s="337">
        <f t="shared" si="38"/>
        <v>0</v>
      </c>
      <c r="V83" s="337">
        <f t="shared" si="39"/>
        <v>0</v>
      </c>
      <c r="W83" s="695">
        <f t="shared" si="40"/>
        <v>0</v>
      </c>
      <c r="X83" s="828">
        <f t="shared" si="49"/>
        <v>0</v>
      </c>
      <c r="AU83" s="110"/>
    </row>
    <row r="84" spans="2:47" x14ac:dyDescent="0.2">
      <c r="B84" s="636" t="str">
        <f>'input-data'!$B$98</f>
        <v xml:space="preserve"> Drægtige søer</v>
      </c>
      <c r="C84" s="63" t="str">
        <f>'input-data'!$B$143</f>
        <v xml:space="preserve">  Grovfoder:</v>
      </c>
      <c r="D84" s="63" t="str">
        <f>'Flow sohold'!$C$45</f>
        <v>Tildelt grovfoder</v>
      </c>
      <c r="E84" s="677">
        <f>'input-data'!E148:H148</f>
        <v>0</v>
      </c>
      <c r="F84" s="261">
        <f>'Flow sohold'!$D$45*'input-data'!I148/100</f>
        <v>0</v>
      </c>
      <c r="G84" s="337">
        <f t="shared" si="41"/>
        <v>0</v>
      </c>
      <c r="H84" s="337">
        <f>F84*'Flow sohold'!$D$5</f>
        <v>0</v>
      </c>
      <c r="I84" s="337">
        <f t="shared" si="42"/>
        <v>0</v>
      </c>
      <c r="J84" s="337">
        <f>I84*'Flow sohold'!$D$5</f>
        <v>0</v>
      </c>
      <c r="K84" s="337">
        <f t="shared" si="43"/>
        <v>0</v>
      </c>
      <c r="L84" s="633">
        <f t="shared" si="44"/>
        <v>0</v>
      </c>
      <c r="M84" s="627">
        <f t="shared" si="45"/>
        <v>0</v>
      </c>
      <c r="N84" s="337">
        <f t="shared" si="46"/>
        <v>0</v>
      </c>
      <c r="O84" s="337">
        <f t="shared" si="47"/>
        <v>0</v>
      </c>
      <c r="P84" s="637">
        <f t="shared" si="48"/>
        <v>0</v>
      </c>
      <c r="Q84" s="694">
        <f t="shared" si="34"/>
        <v>0</v>
      </c>
      <c r="R84" s="337">
        <f t="shared" si="35"/>
        <v>0</v>
      </c>
      <c r="S84" s="337">
        <f t="shared" si="36"/>
        <v>0</v>
      </c>
      <c r="T84" s="337">
        <f t="shared" si="37"/>
        <v>0</v>
      </c>
      <c r="U84" s="337">
        <f t="shared" si="38"/>
        <v>0</v>
      </c>
      <c r="V84" s="337">
        <f t="shared" si="39"/>
        <v>0</v>
      </c>
      <c r="W84" s="695">
        <f t="shared" si="40"/>
        <v>0</v>
      </c>
      <c r="X84" s="828">
        <f t="shared" si="49"/>
        <v>0</v>
      </c>
      <c r="AU84" s="110"/>
    </row>
    <row r="85" spans="2:47" x14ac:dyDescent="0.2">
      <c r="B85" s="636" t="str">
        <f>'input-data'!$B$98</f>
        <v xml:space="preserve"> Drægtige søer</v>
      </c>
      <c r="C85" s="63" t="str">
        <f>'input-data'!$B$143</f>
        <v xml:space="preserve">  Grovfoder:</v>
      </c>
      <c r="D85" s="63" t="str">
        <f>'Flow sohold'!$C$45</f>
        <v>Tildelt grovfoder</v>
      </c>
      <c r="E85" s="677">
        <f>'input-data'!E149:H149</f>
        <v>0</v>
      </c>
      <c r="F85" s="261">
        <f>'Flow sohold'!$D$45*'input-data'!I149/100</f>
        <v>0</v>
      </c>
      <c r="G85" s="337">
        <f t="shared" si="41"/>
        <v>0</v>
      </c>
      <c r="H85" s="337">
        <f>F85*'Flow sohold'!$D$5</f>
        <v>0</v>
      </c>
      <c r="I85" s="337">
        <f t="shared" si="42"/>
        <v>0</v>
      </c>
      <c r="J85" s="337">
        <f>I85*'Flow sohold'!$D$5</f>
        <v>0</v>
      </c>
      <c r="K85" s="337">
        <f t="shared" si="43"/>
        <v>0</v>
      </c>
      <c r="L85" s="633">
        <f t="shared" si="44"/>
        <v>0</v>
      </c>
      <c r="M85" s="627">
        <f t="shared" si="45"/>
        <v>0</v>
      </c>
      <c r="N85" s="337">
        <f t="shared" si="46"/>
        <v>0</v>
      </c>
      <c r="O85" s="337">
        <f t="shared" si="47"/>
        <v>0</v>
      </c>
      <c r="P85" s="637">
        <f t="shared" si="48"/>
        <v>0</v>
      </c>
      <c r="Q85" s="694">
        <f t="shared" si="34"/>
        <v>0</v>
      </c>
      <c r="R85" s="337">
        <f t="shared" si="35"/>
        <v>0</v>
      </c>
      <c r="S85" s="337">
        <f t="shared" si="36"/>
        <v>0</v>
      </c>
      <c r="T85" s="337">
        <f t="shared" si="37"/>
        <v>0</v>
      </c>
      <c r="U85" s="337">
        <f t="shared" si="38"/>
        <v>0</v>
      </c>
      <c r="V85" s="337">
        <f t="shared" si="39"/>
        <v>0</v>
      </c>
      <c r="W85" s="695">
        <f t="shared" si="40"/>
        <v>0</v>
      </c>
      <c r="X85" s="828">
        <f t="shared" si="49"/>
        <v>0</v>
      </c>
      <c r="AU85" s="110"/>
    </row>
    <row r="86" spans="2:47" x14ac:dyDescent="0.2">
      <c r="B86" s="636" t="str">
        <f>'input-data'!$B$98</f>
        <v xml:space="preserve"> Drægtige søer</v>
      </c>
      <c r="C86" s="63" t="str">
        <f>'input-data'!$B$143</f>
        <v xml:space="preserve">  Grovfoder:</v>
      </c>
      <c r="D86" s="63" t="str">
        <f>'Flow sohold'!$C$45</f>
        <v>Tildelt grovfoder</v>
      </c>
      <c r="E86" s="677">
        <f>'input-data'!E150:H150</f>
        <v>0</v>
      </c>
      <c r="F86" s="261">
        <f>'Flow sohold'!$D$45*'input-data'!I150/100</f>
        <v>0</v>
      </c>
      <c r="G86" s="337">
        <f t="shared" si="41"/>
        <v>0</v>
      </c>
      <c r="H86" s="337">
        <f>F86*'Flow sohold'!$D$5</f>
        <v>0</v>
      </c>
      <c r="I86" s="337">
        <f t="shared" si="42"/>
        <v>0</v>
      </c>
      <c r="J86" s="337">
        <f>I86*'Flow sohold'!$D$5</f>
        <v>0</v>
      </c>
      <c r="K86" s="337">
        <f t="shared" si="43"/>
        <v>0</v>
      </c>
      <c r="L86" s="633">
        <f t="shared" si="44"/>
        <v>0</v>
      </c>
      <c r="M86" s="627">
        <f t="shared" si="45"/>
        <v>0</v>
      </c>
      <c r="N86" s="337">
        <f t="shared" si="46"/>
        <v>0</v>
      </c>
      <c r="O86" s="337">
        <f t="shared" si="47"/>
        <v>0</v>
      </c>
      <c r="P86" s="637">
        <f t="shared" si="48"/>
        <v>0</v>
      </c>
      <c r="Q86" s="694">
        <f t="shared" si="34"/>
        <v>0</v>
      </c>
      <c r="R86" s="337">
        <f t="shared" si="35"/>
        <v>0</v>
      </c>
      <c r="S86" s="337">
        <f t="shared" si="36"/>
        <v>0</v>
      </c>
      <c r="T86" s="337">
        <f t="shared" si="37"/>
        <v>0</v>
      </c>
      <c r="U86" s="337">
        <f t="shared" si="38"/>
        <v>0</v>
      </c>
      <c r="V86" s="337">
        <f t="shared" si="39"/>
        <v>0</v>
      </c>
      <c r="W86" s="695">
        <f t="shared" si="40"/>
        <v>0</v>
      </c>
      <c r="X86" s="828">
        <f t="shared" si="49"/>
        <v>0</v>
      </c>
      <c r="AU86" s="110"/>
    </row>
    <row r="87" spans="2:47" x14ac:dyDescent="0.2">
      <c r="B87" s="636" t="str">
        <f>'input-data'!$B$98</f>
        <v xml:space="preserve"> Drægtige søer</v>
      </c>
      <c r="C87" s="63" t="str">
        <f>'input-data'!$B$143</f>
        <v xml:space="preserve">  Grovfoder:</v>
      </c>
      <c r="D87" s="63" t="str">
        <f>'Flow sohold'!$C$45</f>
        <v>Tildelt grovfoder</v>
      </c>
      <c r="E87" s="677">
        <f>'input-data'!E151:H151</f>
        <v>0</v>
      </c>
      <c r="F87" s="261">
        <f>'Flow sohold'!$D$45*'input-data'!I151/100</f>
        <v>0</v>
      </c>
      <c r="G87" s="337">
        <f t="shared" si="41"/>
        <v>0</v>
      </c>
      <c r="H87" s="337">
        <f>F87*'Flow sohold'!$D$5</f>
        <v>0</v>
      </c>
      <c r="I87" s="337">
        <f t="shared" si="42"/>
        <v>0</v>
      </c>
      <c r="J87" s="337">
        <f>I87*'Flow sohold'!$D$5</f>
        <v>0</v>
      </c>
      <c r="K87" s="337">
        <f t="shared" si="43"/>
        <v>0</v>
      </c>
      <c r="L87" s="633">
        <f t="shared" si="44"/>
        <v>0</v>
      </c>
      <c r="M87" s="627">
        <f t="shared" si="45"/>
        <v>0</v>
      </c>
      <c r="N87" s="337">
        <f t="shared" si="46"/>
        <v>0</v>
      </c>
      <c r="O87" s="337">
        <f t="shared" si="47"/>
        <v>0</v>
      </c>
      <c r="P87" s="637">
        <f t="shared" si="48"/>
        <v>0</v>
      </c>
      <c r="Q87" s="694">
        <f t="shared" si="34"/>
        <v>0</v>
      </c>
      <c r="R87" s="337">
        <f t="shared" si="35"/>
        <v>0</v>
      </c>
      <c r="S87" s="337">
        <f t="shared" si="36"/>
        <v>0</v>
      </c>
      <c r="T87" s="337">
        <f t="shared" si="37"/>
        <v>0</v>
      </c>
      <c r="U87" s="337">
        <f t="shared" si="38"/>
        <v>0</v>
      </c>
      <c r="V87" s="337">
        <f t="shared" si="39"/>
        <v>0</v>
      </c>
      <c r="W87" s="695">
        <f t="shared" si="40"/>
        <v>0</v>
      </c>
      <c r="X87" s="828">
        <f t="shared" si="49"/>
        <v>0</v>
      </c>
      <c r="AU87" s="110"/>
    </row>
    <row r="88" spans="2:47" ht="15" thickBot="1" x14ac:dyDescent="0.25">
      <c r="B88" s="636" t="str">
        <f>'input-data'!$B$98</f>
        <v xml:space="preserve"> Drægtige søer</v>
      </c>
      <c r="C88" s="63" t="str">
        <f>'input-data'!$B$143</f>
        <v xml:space="preserve">  Grovfoder:</v>
      </c>
      <c r="D88" s="63" t="str">
        <f>'Flow sohold'!$C$44</f>
        <v>Afgræsning (april-september)</v>
      </c>
      <c r="E88" s="687" t="str">
        <f>Fodertabel!D690</f>
        <v xml:space="preserve">kløvergræs </v>
      </c>
      <c r="F88" s="261">
        <f>'Flow sohold'!D44</f>
        <v>0</v>
      </c>
      <c r="G88" s="337">
        <f t="shared" si="41"/>
        <v>0</v>
      </c>
      <c r="H88" s="337">
        <f>F88*'Flow sohold'!$D$5</f>
        <v>0</v>
      </c>
      <c r="I88" s="337">
        <f>IFERROR(F88*VLOOKUP(E88, Fodertabel, 9, FALSE)/100,0)</f>
        <v>0</v>
      </c>
      <c r="J88" s="337">
        <f>I88*'Flow sohold'!$D$5</f>
        <v>0</v>
      </c>
      <c r="K88" s="337">
        <f t="shared" si="43"/>
        <v>0</v>
      </c>
      <c r="L88" s="633">
        <f t="shared" si="44"/>
        <v>0</v>
      </c>
      <c r="M88" s="627" t="str">
        <f t="shared" si="45"/>
        <v>folde</v>
      </c>
      <c r="N88" s="337">
        <f t="shared" si="46"/>
        <v>0</v>
      </c>
      <c r="O88" s="337">
        <f t="shared" si="47"/>
        <v>0</v>
      </c>
      <c r="P88" s="637">
        <f t="shared" si="48"/>
        <v>0</v>
      </c>
      <c r="Q88" s="694">
        <f>$J88*'Mark-Fields'!$D$140</f>
        <v>0</v>
      </c>
      <c r="R88" s="337">
        <f>$J88*'Mark-Fields'!$D$143</f>
        <v>0</v>
      </c>
      <c r="S88" s="337">
        <f>$J88*'Mark-Fields'!$D$146</f>
        <v>0</v>
      </c>
      <c r="T88" s="337">
        <f>$J88*'Mark-Fields'!$D$166</f>
        <v>0</v>
      </c>
      <c r="U88" s="337">
        <f>$J88*'Mark-Fields'!$D$200</f>
        <v>0</v>
      </c>
      <c r="V88" s="337">
        <f>$J88*'Mark-Fields'!$D$184</f>
        <v>0</v>
      </c>
      <c r="W88" s="695">
        <f>$J88*'Mark-Fields'!$D$208</f>
        <v>0</v>
      </c>
      <c r="X88" s="828" t="str">
        <f t="shared" si="49"/>
        <v>kløvergræs</v>
      </c>
      <c r="AU88" s="110"/>
    </row>
    <row r="89" spans="2:47" s="110" customFormat="1" x14ac:dyDescent="0.2">
      <c r="B89" s="692" t="str">
        <f>'input-data'!$B$154</f>
        <v xml:space="preserve"> Smågrise</v>
      </c>
      <c r="C89" s="693" t="str">
        <f>'input-data'!$B$155</f>
        <v xml:space="preserve">  Kraftfoder:</v>
      </c>
      <c r="D89" s="693" t="str">
        <f>'input-data'!$B$157</f>
        <v xml:space="preserve">    blanding 1, for vægtinterval, kg:</v>
      </c>
      <c r="E89" s="704">
        <f>'input-data'!E159</f>
        <v>0</v>
      </c>
      <c r="F89" s="705">
        <f>IFERROR('Flow smågrise'!$D$31*100/'Flow smågrise'!D$49*'input-data'!I159/100,0)</f>
        <v>0</v>
      </c>
      <c r="G89" s="702">
        <f t="shared" ref="G89:G120" si="50">IFERROR(F89*VLOOKUP(E89, Fodertabel, 3, FALSE), 0)</f>
        <v>0</v>
      </c>
      <c r="H89" s="702">
        <f>F89*'Flow smågrise'!$D$9</f>
        <v>0</v>
      </c>
      <c r="I89" s="702">
        <f t="shared" ref="I89:I120" si="51">IFERROR(F89*VLOOKUP(E89, Fodertabel, 9, FALSE)/100, 0)</f>
        <v>0</v>
      </c>
      <c r="J89" s="702">
        <f>I89*'Flow smågrise'!$D$9</f>
        <v>0</v>
      </c>
      <c r="K89" s="702">
        <f t="shared" si="43"/>
        <v>0</v>
      </c>
      <c r="L89" s="706">
        <f t="shared" si="44"/>
        <v>0</v>
      </c>
      <c r="M89" s="704">
        <f t="shared" si="45"/>
        <v>0</v>
      </c>
      <c r="N89" s="702">
        <f t="shared" si="46"/>
        <v>0</v>
      </c>
      <c r="O89" s="702">
        <f t="shared" si="47"/>
        <v>0</v>
      </c>
      <c r="P89" s="707">
        <f t="shared" si="48"/>
        <v>0</v>
      </c>
      <c r="Q89" s="701">
        <f t="shared" ref="Q89:Q120" si="52">IFERROR(VLOOKUP($E89, Fodertabel, 218, FALSE)*$J89, 0)</f>
        <v>0</v>
      </c>
      <c r="R89" s="702">
        <f t="shared" ref="R89:R120" si="53">IFERROR(VLOOKUP($E89, Fodertabel, 219, FALSE)*$J89, 0)</f>
        <v>0</v>
      </c>
      <c r="S89" s="702">
        <f t="shared" ref="S89:S120" si="54">IFERROR(VLOOKUP($E89, Fodertabel, 220, FALSE)*$J89, 0)</f>
        <v>0</v>
      </c>
      <c r="T89" s="702">
        <f t="shared" ref="T89:T120" si="55">IFERROR(VLOOKUP($E89, Fodertabel, 221, FALSE)*$J89, 0)</f>
        <v>0</v>
      </c>
      <c r="U89" s="702">
        <f t="shared" ref="U89:U120" si="56">IFERROR(VLOOKUP($E89, Fodertabel, 222, FALSE)*$J89, 0)</f>
        <v>0</v>
      </c>
      <c r="V89" s="702">
        <f t="shared" ref="V89:V120" si="57">IFERROR(VLOOKUP($E89, Fodertabel, 223, FALSE)*$J89, 0)</f>
        <v>0</v>
      </c>
      <c r="W89" s="703">
        <f t="shared" ref="W89:W120" si="58">IFERROR(VLOOKUP($E89, Fodertabel, 224, FALSE)*$J89, 0)</f>
        <v>0</v>
      </c>
      <c r="X89" s="830">
        <f t="shared" si="49"/>
        <v>0</v>
      </c>
    </row>
    <row r="90" spans="2:47" s="110" customFormat="1" x14ac:dyDescent="0.2">
      <c r="B90" s="636" t="str">
        <f>'input-data'!$B$154</f>
        <v xml:space="preserve"> Smågrise</v>
      </c>
      <c r="C90" s="63" t="str">
        <f>'input-data'!$B$155</f>
        <v xml:space="preserve">  Kraftfoder:</v>
      </c>
      <c r="D90" s="63" t="str">
        <f>'input-data'!$B$157</f>
        <v xml:space="preserve">    blanding 1, for vægtinterval, kg:</v>
      </c>
      <c r="E90" s="677">
        <f>'input-data'!E160</f>
        <v>0</v>
      </c>
      <c r="F90" s="261">
        <f>IFERROR('Flow smågrise'!$D$31*100/'Flow smågrise'!D$49*'input-data'!I160/100,0)</f>
        <v>0</v>
      </c>
      <c r="G90" s="337">
        <f t="shared" si="50"/>
        <v>0</v>
      </c>
      <c r="H90" s="337">
        <f>F90*'Flow smågrise'!$D$9</f>
        <v>0</v>
      </c>
      <c r="I90" s="337">
        <f t="shared" si="51"/>
        <v>0</v>
      </c>
      <c r="J90" s="337">
        <f>I90*'Flow smågrise'!$D$9</f>
        <v>0</v>
      </c>
      <c r="K90" s="337">
        <f t="shared" si="43"/>
        <v>0</v>
      </c>
      <c r="L90" s="633">
        <f t="shared" si="44"/>
        <v>0</v>
      </c>
      <c r="M90" s="677">
        <f t="shared" si="45"/>
        <v>0</v>
      </c>
      <c r="N90" s="337">
        <f t="shared" si="46"/>
        <v>0</v>
      </c>
      <c r="O90" s="337">
        <f t="shared" si="47"/>
        <v>0</v>
      </c>
      <c r="P90" s="637">
        <f t="shared" si="48"/>
        <v>0</v>
      </c>
      <c r="Q90" s="694">
        <f t="shared" si="52"/>
        <v>0</v>
      </c>
      <c r="R90" s="337">
        <f t="shared" si="53"/>
        <v>0</v>
      </c>
      <c r="S90" s="337">
        <f t="shared" si="54"/>
        <v>0</v>
      </c>
      <c r="T90" s="337">
        <f t="shared" si="55"/>
        <v>0</v>
      </c>
      <c r="U90" s="337">
        <f t="shared" si="56"/>
        <v>0</v>
      </c>
      <c r="V90" s="337">
        <f t="shared" si="57"/>
        <v>0</v>
      </c>
      <c r="W90" s="695">
        <f t="shared" si="58"/>
        <v>0</v>
      </c>
      <c r="X90" s="828">
        <f t="shared" si="49"/>
        <v>0</v>
      </c>
    </row>
    <row r="91" spans="2:47" s="110" customFormat="1" x14ac:dyDescent="0.2">
      <c r="B91" s="636" t="str">
        <f>'input-data'!$B$154</f>
        <v xml:space="preserve"> Smågrise</v>
      </c>
      <c r="C91" s="63" t="str">
        <f>'input-data'!$B$155</f>
        <v xml:space="preserve">  Kraftfoder:</v>
      </c>
      <c r="D91" s="63" t="str">
        <f>'input-data'!$B$157</f>
        <v xml:space="preserve">    blanding 1, for vægtinterval, kg:</v>
      </c>
      <c r="E91" s="677">
        <f>'input-data'!E161</f>
        <v>0</v>
      </c>
      <c r="F91" s="261">
        <f>IFERROR('Flow smågrise'!$D$31*100/'Flow smågrise'!D$49*'input-data'!I161/100,0)</f>
        <v>0</v>
      </c>
      <c r="G91" s="337">
        <f t="shared" si="50"/>
        <v>0</v>
      </c>
      <c r="H91" s="337">
        <f>F91*'Flow smågrise'!$D$9</f>
        <v>0</v>
      </c>
      <c r="I91" s="337">
        <f t="shared" si="51"/>
        <v>0</v>
      </c>
      <c r="J91" s="337">
        <f>I91*'Flow smågrise'!$D$9</f>
        <v>0</v>
      </c>
      <c r="K91" s="337">
        <f t="shared" si="43"/>
        <v>0</v>
      </c>
      <c r="L91" s="633">
        <f t="shared" si="44"/>
        <v>0</v>
      </c>
      <c r="M91" s="677">
        <f t="shared" si="45"/>
        <v>0</v>
      </c>
      <c r="N91" s="337">
        <f t="shared" si="46"/>
        <v>0</v>
      </c>
      <c r="O91" s="337">
        <f t="shared" si="47"/>
        <v>0</v>
      </c>
      <c r="P91" s="637">
        <f t="shared" si="48"/>
        <v>0</v>
      </c>
      <c r="Q91" s="694">
        <f t="shared" si="52"/>
        <v>0</v>
      </c>
      <c r="R91" s="337">
        <f t="shared" si="53"/>
        <v>0</v>
      </c>
      <c r="S91" s="337">
        <f t="shared" si="54"/>
        <v>0</v>
      </c>
      <c r="T91" s="337">
        <f t="shared" si="55"/>
        <v>0</v>
      </c>
      <c r="U91" s="337">
        <f t="shared" si="56"/>
        <v>0</v>
      </c>
      <c r="V91" s="337">
        <f t="shared" si="57"/>
        <v>0</v>
      </c>
      <c r="W91" s="695">
        <f t="shared" si="58"/>
        <v>0</v>
      </c>
      <c r="X91" s="828">
        <f t="shared" si="49"/>
        <v>0</v>
      </c>
    </row>
    <row r="92" spans="2:47" s="110" customFormat="1" x14ac:dyDescent="0.2">
      <c r="B92" s="636" t="str">
        <f>'input-data'!$B$154</f>
        <v xml:space="preserve"> Smågrise</v>
      </c>
      <c r="C92" s="63" t="str">
        <f>'input-data'!$B$155</f>
        <v xml:space="preserve">  Kraftfoder:</v>
      </c>
      <c r="D92" s="63" t="str">
        <f>'input-data'!$B$157</f>
        <v xml:space="preserve">    blanding 1, for vægtinterval, kg:</v>
      </c>
      <c r="E92" s="677">
        <f>'input-data'!E162</f>
        <v>0</v>
      </c>
      <c r="F92" s="261">
        <f>IFERROR('Flow smågrise'!$D$31*100/'Flow smågrise'!D$49*'input-data'!I162/100,0)</f>
        <v>0</v>
      </c>
      <c r="G92" s="337">
        <f t="shared" si="50"/>
        <v>0</v>
      </c>
      <c r="H92" s="337">
        <f>F92*'Flow smågrise'!$D$9</f>
        <v>0</v>
      </c>
      <c r="I92" s="337">
        <f t="shared" si="51"/>
        <v>0</v>
      </c>
      <c r="J92" s="337">
        <f>I92*'Flow smågrise'!$D$9</f>
        <v>0</v>
      </c>
      <c r="K92" s="337">
        <f t="shared" si="43"/>
        <v>0</v>
      </c>
      <c r="L92" s="633">
        <f t="shared" si="44"/>
        <v>0</v>
      </c>
      <c r="M92" s="677">
        <f t="shared" si="45"/>
        <v>0</v>
      </c>
      <c r="N92" s="337">
        <f t="shared" si="46"/>
        <v>0</v>
      </c>
      <c r="O92" s="337">
        <f t="shared" si="47"/>
        <v>0</v>
      </c>
      <c r="P92" s="637">
        <f t="shared" si="48"/>
        <v>0</v>
      </c>
      <c r="Q92" s="694">
        <f t="shared" si="52"/>
        <v>0</v>
      </c>
      <c r="R92" s="337">
        <f t="shared" si="53"/>
        <v>0</v>
      </c>
      <c r="S92" s="337">
        <f t="shared" si="54"/>
        <v>0</v>
      </c>
      <c r="T92" s="337">
        <f t="shared" si="55"/>
        <v>0</v>
      </c>
      <c r="U92" s="337">
        <f t="shared" si="56"/>
        <v>0</v>
      </c>
      <c r="V92" s="337">
        <f t="shared" si="57"/>
        <v>0</v>
      </c>
      <c r="W92" s="695">
        <f t="shared" si="58"/>
        <v>0</v>
      </c>
      <c r="X92" s="828">
        <f t="shared" si="49"/>
        <v>0</v>
      </c>
    </row>
    <row r="93" spans="2:47" s="110" customFormat="1" x14ac:dyDescent="0.2">
      <c r="B93" s="636" t="str">
        <f>'input-data'!$B$154</f>
        <v xml:space="preserve"> Smågrise</v>
      </c>
      <c r="C93" s="63" t="str">
        <f>'input-data'!$B$155</f>
        <v xml:space="preserve">  Kraftfoder:</v>
      </c>
      <c r="D93" s="63" t="str">
        <f>'input-data'!$B$157</f>
        <v xml:space="preserve">    blanding 1, for vægtinterval, kg:</v>
      </c>
      <c r="E93" s="677">
        <f>'input-data'!E163</f>
        <v>0</v>
      </c>
      <c r="F93" s="261">
        <f>IFERROR('Flow smågrise'!$D$31*100/'Flow smågrise'!D$49*'input-data'!I163/100,0)</f>
        <v>0</v>
      </c>
      <c r="G93" s="337">
        <f t="shared" si="50"/>
        <v>0</v>
      </c>
      <c r="H93" s="337">
        <f>F93*'Flow smågrise'!$D$9</f>
        <v>0</v>
      </c>
      <c r="I93" s="337">
        <f t="shared" si="51"/>
        <v>0</v>
      </c>
      <c r="J93" s="337">
        <f>I93*'Flow smågrise'!$D$9</f>
        <v>0</v>
      </c>
      <c r="K93" s="337">
        <f t="shared" si="43"/>
        <v>0</v>
      </c>
      <c r="L93" s="633">
        <f t="shared" si="44"/>
        <v>0</v>
      </c>
      <c r="M93" s="677">
        <f t="shared" si="45"/>
        <v>0</v>
      </c>
      <c r="N93" s="337">
        <f t="shared" si="46"/>
        <v>0</v>
      </c>
      <c r="O93" s="337">
        <f t="shared" si="47"/>
        <v>0</v>
      </c>
      <c r="P93" s="637">
        <f t="shared" si="48"/>
        <v>0</v>
      </c>
      <c r="Q93" s="694">
        <f t="shared" si="52"/>
        <v>0</v>
      </c>
      <c r="R93" s="337">
        <f t="shared" si="53"/>
        <v>0</v>
      </c>
      <c r="S93" s="337">
        <f t="shared" si="54"/>
        <v>0</v>
      </c>
      <c r="T93" s="337">
        <f t="shared" si="55"/>
        <v>0</v>
      </c>
      <c r="U93" s="337">
        <f t="shared" si="56"/>
        <v>0</v>
      </c>
      <c r="V93" s="337">
        <f t="shared" si="57"/>
        <v>0</v>
      </c>
      <c r="W93" s="695">
        <f t="shared" si="58"/>
        <v>0</v>
      </c>
      <c r="X93" s="828">
        <f t="shared" si="49"/>
        <v>0</v>
      </c>
    </row>
    <row r="94" spans="2:47" s="110" customFormat="1" x14ac:dyDescent="0.2">
      <c r="B94" s="636" t="str">
        <f>'input-data'!$B$154</f>
        <v xml:space="preserve"> Smågrise</v>
      </c>
      <c r="C94" s="63" t="str">
        <f>'input-data'!$B$155</f>
        <v xml:space="preserve">  Kraftfoder:</v>
      </c>
      <c r="D94" s="63" t="str">
        <f>'input-data'!$B$157</f>
        <v xml:space="preserve">    blanding 1, for vægtinterval, kg:</v>
      </c>
      <c r="E94" s="677">
        <f>'input-data'!E164</f>
        <v>0</v>
      </c>
      <c r="F94" s="261">
        <f>IFERROR('Flow smågrise'!$D$31*100/'Flow smågrise'!D$49*'input-data'!I164/100,0)</f>
        <v>0</v>
      </c>
      <c r="G94" s="337">
        <f t="shared" si="50"/>
        <v>0</v>
      </c>
      <c r="H94" s="337">
        <f>F94*'Flow smågrise'!$D$9</f>
        <v>0</v>
      </c>
      <c r="I94" s="337">
        <f t="shared" si="51"/>
        <v>0</v>
      </c>
      <c r="J94" s="337">
        <f>I94*'Flow smågrise'!$D$9</f>
        <v>0</v>
      </c>
      <c r="K94" s="337">
        <f t="shared" si="43"/>
        <v>0</v>
      </c>
      <c r="L94" s="633">
        <f t="shared" si="44"/>
        <v>0</v>
      </c>
      <c r="M94" s="677">
        <f t="shared" si="45"/>
        <v>0</v>
      </c>
      <c r="N94" s="337">
        <f t="shared" si="46"/>
        <v>0</v>
      </c>
      <c r="O94" s="337">
        <f t="shared" si="47"/>
        <v>0</v>
      </c>
      <c r="P94" s="637">
        <f t="shared" si="48"/>
        <v>0</v>
      </c>
      <c r="Q94" s="694">
        <f t="shared" si="52"/>
        <v>0</v>
      </c>
      <c r="R94" s="337">
        <f t="shared" si="53"/>
        <v>0</v>
      </c>
      <c r="S94" s="337">
        <f t="shared" si="54"/>
        <v>0</v>
      </c>
      <c r="T94" s="337">
        <f t="shared" si="55"/>
        <v>0</v>
      </c>
      <c r="U94" s="337">
        <f t="shared" si="56"/>
        <v>0</v>
      </c>
      <c r="V94" s="337">
        <f t="shared" si="57"/>
        <v>0</v>
      </c>
      <c r="W94" s="695">
        <f t="shared" si="58"/>
        <v>0</v>
      </c>
      <c r="X94" s="828">
        <f t="shared" si="49"/>
        <v>0</v>
      </c>
    </row>
    <row r="95" spans="2:47" s="110" customFormat="1" x14ac:dyDescent="0.2">
      <c r="B95" s="636" t="str">
        <f>'input-data'!$B$154</f>
        <v xml:space="preserve"> Smågrise</v>
      </c>
      <c r="C95" s="63" t="str">
        <f>'input-data'!$B$155</f>
        <v xml:space="preserve">  Kraftfoder:</v>
      </c>
      <c r="D95" s="63" t="str">
        <f>'input-data'!$B$157</f>
        <v xml:space="preserve">    blanding 1, for vægtinterval, kg:</v>
      </c>
      <c r="E95" s="677">
        <f>'input-data'!E165</f>
        <v>0</v>
      </c>
      <c r="F95" s="261">
        <f>IFERROR('Flow smågrise'!$D$31*100/'Flow smågrise'!D$49*'input-data'!I165/100,0)</f>
        <v>0</v>
      </c>
      <c r="G95" s="337">
        <f t="shared" si="50"/>
        <v>0</v>
      </c>
      <c r="H95" s="337">
        <f>F95*'Flow smågrise'!$D$9</f>
        <v>0</v>
      </c>
      <c r="I95" s="337">
        <f t="shared" si="51"/>
        <v>0</v>
      </c>
      <c r="J95" s="337">
        <f>I95*'Flow smågrise'!$D$9</f>
        <v>0</v>
      </c>
      <c r="K95" s="337">
        <f t="shared" si="43"/>
        <v>0</v>
      </c>
      <c r="L95" s="633">
        <f t="shared" si="44"/>
        <v>0</v>
      </c>
      <c r="M95" s="677">
        <f t="shared" si="45"/>
        <v>0</v>
      </c>
      <c r="N95" s="337">
        <f t="shared" si="46"/>
        <v>0</v>
      </c>
      <c r="O95" s="337">
        <f t="shared" si="47"/>
        <v>0</v>
      </c>
      <c r="P95" s="637">
        <f t="shared" si="48"/>
        <v>0</v>
      </c>
      <c r="Q95" s="694">
        <f t="shared" si="52"/>
        <v>0</v>
      </c>
      <c r="R95" s="337">
        <f t="shared" si="53"/>
        <v>0</v>
      </c>
      <c r="S95" s="337">
        <f t="shared" si="54"/>
        <v>0</v>
      </c>
      <c r="T95" s="337">
        <f t="shared" si="55"/>
        <v>0</v>
      </c>
      <c r="U95" s="337">
        <f t="shared" si="56"/>
        <v>0</v>
      </c>
      <c r="V95" s="337">
        <f t="shared" si="57"/>
        <v>0</v>
      </c>
      <c r="W95" s="695">
        <f t="shared" si="58"/>
        <v>0</v>
      </c>
      <c r="X95" s="828">
        <f t="shared" si="49"/>
        <v>0</v>
      </c>
    </row>
    <row r="96" spans="2:47" s="110" customFormat="1" x14ac:dyDescent="0.2">
      <c r="B96" s="636" t="str">
        <f>'input-data'!$B$154</f>
        <v xml:space="preserve"> Smågrise</v>
      </c>
      <c r="C96" s="63" t="str">
        <f>'input-data'!$B$155</f>
        <v xml:space="preserve">  Kraftfoder:</v>
      </c>
      <c r="D96" s="63" t="str">
        <f>'input-data'!$B$157</f>
        <v xml:space="preserve">    blanding 1, for vægtinterval, kg:</v>
      </c>
      <c r="E96" s="677">
        <f>'input-data'!E166</f>
        <v>0</v>
      </c>
      <c r="F96" s="261">
        <f>IFERROR('Flow smågrise'!$D$31*100/'Flow smågrise'!D$49*'input-data'!I166/100,0)</f>
        <v>0</v>
      </c>
      <c r="G96" s="337">
        <f t="shared" si="50"/>
        <v>0</v>
      </c>
      <c r="H96" s="337">
        <f>F96*'Flow smågrise'!$D$9</f>
        <v>0</v>
      </c>
      <c r="I96" s="337">
        <f t="shared" si="51"/>
        <v>0</v>
      </c>
      <c r="J96" s="337">
        <f>I96*'Flow smågrise'!$D$9</f>
        <v>0</v>
      </c>
      <c r="K96" s="337">
        <f t="shared" si="43"/>
        <v>0</v>
      </c>
      <c r="L96" s="633">
        <f t="shared" si="44"/>
        <v>0</v>
      </c>
      <c r="M96" s="677">
        <f t="shared" si="45"/>
        <v>0</v>
      </c>
      <c r="N96" s="337">
        <f t="shared" si="46"/>
        <v>0</v>
      </c>
      <c r="O96" s="337">
        <f t="shared" si="47"/>
        <v>0</v>
      </c>
      <c r="P96" s="637">
        <f t="shared" si="48"/>
        <v>0</v>
      </c>
      <c r="Q96" s="694">
        <f t="shared" si="52"/>
        <v>0</v>
      </c>
      <c r="R96" s="337">
        <f t="shared" si="53"/>
        <v>0</v>
      </c>
      <c r="S96" s="337">
        <f t="shared" si="54"/>
        <v>0</v>
      </c>
      <c r="T96" s="337">
        <f t="shared" si="55"/>
        <v>0</v>
      </c>
      <c r="U96" s="337">
        <f t="shared" si="56"/>
        <v>0</v>
      </c>
      <c r="V96" s="337">
        <f t="shared" si="57"/>
        <v>0</v>
      </c>
      <c r="W96" s="695">
        <f t="shared" si="58"/>
        <v>0</v>
      </c>
      <c r="X96" s="828">
        <f t="shared" si="49"/>
        <v>0</v>
      </c>
    </row>
    <row r="97" spans="2:24" s="110" customFormat="1" x14ac:dyDescent="0.2">
      <c r="B97" s="636" t="str">
        <f>'input-data'!$B$154</f>
        <v xml:space="preserve"> Smågrise</v>
      </c>
      <c r="C97" s="63" t="str">
        <f>'input-data'!$B$155</f>
        <v xml:space="preserve">  Kraftfoder:</v>
      </c>
      <c r="D97" s="63" t="str">
        <f>'input-data'!$B$157</f>
        <v xml:space="preserve">    blanding 1, for vægtinterval, kg:</v>
      </c>
      <c r="E97" s="677">
        <f>'input-data'!E167</f>
        <v>0</v>
      </c>
      <c r="F97" s="261">
        <f>IFERROR('Flow smågrise'!$D$31*100/'Flow smågrise'!D$49*'input-data'!I167/100,0)</f>
        <v>0</v>
      </c>
      <c r="G97" s="337">
        <f t="shared" si="50"/>
        <v>0</v>
      </c>
      <c r="H97" s="337">
        <f>F97*'Flow smågrise'!$D$9</f>
        <v>0</v>
      </c>
      <c r="I97" s="337">
        <f t="shared" si="51"/>
        <v>0</v>
      </c>
      <c r="J97" s="337">
        <f>I97*'Flow smågrise'!$D$9</f>
        <v>0</v>
      </c>
      <c r="K97" s="337">
        <f t="shared" si="43"/>
        <v>0</v>
      </c>
      <c r="L97" s="633">
        <f t="shared" si="44"/>
        <v>0</v>
      </c>
      <c r="M97" s="677">
        <f t="shared" si="45"/>
        <v>0</v>
      </c>
      <c r="N97" s="337">
        <f t="shared" si="46"/>
        <v>0</v>
      </c>
      <c r="O97" s="337">
        <f t="shared" si="47"/>
        <v>0</v>
      </c>
      <c r="P97" s="637">
        <f t="shared" si="48"/>
        <v>0</v>
      </c>
      <c r="Q97" s="694">
        <f t="shared" si="52"/>
        <v>0</v>
      </c>
      <c r="R97" s="337">
        <f t="shared" si="53"/>
        <v>0</v>
      </c>
      <c r="S97" s="337">
        <f t="shared" si="54"/>
        <v>0</v>
      </c>
      <c r="T97" s="337">
        <f t="shared" si="55"/>
        <v>0</v>
      </c>
      <c r="U97" s="337">
        <f t="shared" si="56"/>
        <v>0</v>
      </c>
      <c r="V97" s="337">
        <f t="shared" si="57"/>
        <v>0</v>
      </c>
      <c r="W97" s="695">
        <f t="shared" si="58"/>
        <v>0</v>
      </c>
      <c r="X97" s="828">
        <f t="shared" si="49"/>
        <v>0</v>
      </c>
    </row>
    <row r="98" spans="2:24" s="110" customFormat="1" x14ac:dyDescent="0.2">
      <c r="B98" s="636" t="str">
        <f>'input-data'!$B$154</f>
        <v xml:space="preserve"> Smågrise</v>
      </c>
      <c r="C98" s="63" t="str">
        <f>'input-data'!$B$155</f>
        <v xml:space="preserve">  Kraftfoder:</v>
      </c>
      <c r="D98" s="63" t="str">
        <f>'input-data'!$B$157</f>
        <v xml:space="preserve">    blanding 1, for vægtinterval, kg:</v>
      </c>
      <c r="E98" s="813">
        <f>'input-data'!E168</f>
        <v>0</v>
      </c>
      <c r="F98" s="261">
        <f>IFERROR('Flow smågrise'!$D$31*100/'Flow smågrise'!D$49*'input-data'!I168/100,0)</f>
        <v>0</v>
      </c>
      <c r="G98" s="337">
        <f t="shared" si="50"/>
        <v>0</v>
      </c>
      <c r="H98" s="337">
        <f>F98*'Flow smågrise'!$D$9</f>
        <v>0</v>
      </c>
      <c r="I98" s="337">
        <f t="shared" si="51"/>
        <v>0</v>
      </c>
      <c r="J98" s="337">
        <f>I98*'Flow smågrise'!$D$9</f>
        <v>0</v>
      </c>
      <c r="K98" s="337">
        <f t="shared" si="43"/>
        <v>0</v>
      </c>
      <c r="L98" s="633">
        <f t="shared" si="44"/>
        <v>0</v>
      </c>
      <c r="M98" s="677">
        <f t="shared" si="45"/>
        <v>0</v>
      </c>
      <c r="N98" s="337">
        <f t="shared" si="46"/>
        <v>0</v>
      </c>
      <c r="O98" s="337">
        <f t="shared" si="47"/>
        <v>0</v>
      </c>
      <c r="P98" s="637">
        <f t="shared" si="48"/>
        <v>0</v>
      </c>
      <c r="Q98" s="694">
        <f t="shared" si="52"/>
        <v>0</v>
      </c>
      <c r="R98" s="337">
        <f t="shared" si="53"/>
        <v>0</v>
      </c>
      <c r="S98" s="337">
        <f t="shared" si="54"/>
        <v>0</v>
      </c>
      <c r="T98" s="337">
        <f t="shared" si="55"/>
        <v>0</v>
      </c>
      <c r="U98" s="337">
        <f t="shared" si="56"/>
        <v>0</v>
      </c>
      <c r="V98" s="337">
        <f t="shared" si="57"/>
        <v>0</v>
      </c>
      <c r="W98" s="695">
        <f t="shared" si="58"/>
        <v>0</v>
      </c>
      <c r="X98" s="828">
        <f t="shared" si="49"/>
        <v>0</v>
      </c>
    </row>
    <row r="99" spans="2:24" s="110" customFormat="1" x14ac:dyDescent="0.2">
      <c r="B99" s="636" t="str">
        <f>'input-data'!$B$154</f>
        <v xml:space="preserve"> Smågrise</v>
      </c>
      <c r="C99" s="63" t="str">
        <f>'input-data'!$B$155</f>
        <v xml:space="preserve">  Kraftfoder:</v>
      </c>
      <c r="D99" s="63" t="str">
        <f>'input-data'!$B$157</f>
        <v xml:space="preserve">    blanding 1, for vægtinterval, kg:</v>
      </c>
      <c r="E99" s="677">
        <f>'input-data'!E169</f>
        <v>0</v>
      </c>
      <c r="F99" s="261">
        <f>IFERROR('Flow smågrise'!$D$31*100/'Flow smågrise'!D$49*'input-data'!I169/100,0)</f>
        <v>0</v>
      </c>
      <c r="G99" s="337">
        <f t="shared" si="50"/>
        <v>0</v>
      </c>
      <c r="H99" s="337">
        <f>F99*'Flow smågrise'!$D$9</f>
        <v>0</v>
      </c>
      <c r="I99" s="337">
        <f t="shared" si="51"/>
        <v>0</v>
      </c>
      <c r="J99" s="337">
        <f>I99*'Flow smågrise'!$D$9</f>
        <v>0</v>
      </c>
      <c r="K99" s="337">
        <f t="shared" si="43"/>
        <v>0</v>
      </c>
      <c r="L99" s="633">
        <f t="shared" si="44"/>
        <v>0</v>
      </c>
      <c r="M99" s="677">
        <f t="shared" si="45"/>
        <v>0</v>
      </c>
      <c r="N99" s="337">
        <f t="shared" si="46"/>
        <v>0</v>
      </c>
      <c r="O99" s="337">
        <f t="shared" si="47"/>
        <v>0</v>
      </c>
      <c r="P99" s="637">
        <f t="shared" si="48"/>
        <v>0</v>
      </c>
      <c r="Q99" s="694">
        <f t="shared" si="52"/>
        <v>0</v>
      </c>
      <c r="R99" s="337">
        <f t="shared" si="53"/>
        <v>0</v>
      </c>
      <c r="S99" s="337">
        <f t="shared" si="54"/>
        <v>0</v>
      </c>
      <c r="T99" s="337">
        <f t="shared" si="55"/>
        <v>0</v>
      </c>
      <c r="U99" s="337">
        <f t="shared" si="56"/>
        <v>0</v>
      </c>
      <c r="V99" s="337">
        <f t="shared" si="57"/>
        <v>0</v>
      </c>
      <c r="W99" s="695">
        <f t="shared" si="58"/>
        <v>0</v>
      </c>
      <c r="X99" s="828">
        <f t="shared" si="49"/>
        <v>0</v>
      </c>
    </row>
    <row r="100" spans="2:24" s="110" customFormat="1" x14ac:dyDescent="0.2">
      <c r="B100" s="636" t="str">
        <f>'input-data'!$B$154</f>
        <v xml:space="preserve"> Smågrise</v>
      </c>
      <c r="C100" s="63" t="str">
        <f>'input-data'!$B$155</f>
        <v xml:space="preserve">  Kraftfoder:</v>
      </c>
      <c r="D100" s="63" t="str">
        <f>'input-data'!$B$157</f>
        <v xml:space="preserve">    blanding 1, for vægtinterval, kg:</v>
      </c>
      <c r="E100" s="677">
        <f>'input-data'!E170</f>
        <v>0</v>
      </c>
      <c r="F100" s="261">
        <f>IFERROR('Flow smågrise'!$D$31*100/'Flow smågrise'!D$49*'input-data'!I170/100,0)</f>
        <v>0</v>
      </c>
      <c r="G100" s="337">
        <f t="shared" si="50"/>
        <v>0</v>
      </c>
      <c r="H100" s="337">
        <f>F100*'Flow smågrise'!$D$9</f>
        <v>0</v>
      </c>
      <c r="I100" s="337">
        <f t="shared" si="51"/>
        <v>0</v>
      </c>
      <c r="J100" s="337">
        <f>I100*'Flow smågrise'!$D$9</f>
        <v>0</v>
      </c>
      <c r="K100" s="337">
        <f t="shared" si="43"/>
        <v>0</v>
      </c>
      <c r="L100" s="633">
        <f t="shared" si="44"/>
        <v>0</v>
      </c>
      <c r="M100" s="677">
        <f t="shared" si="45"/>
        <v>0</v>
      </c>
      <c r="N100" s="337">
        <f t="shared" si="46"/>
        <v>0</v>
      </c>
      <c r="O100" s="337">
        <f t="shared" si="47"/>
        <v>0</v>
      </c>
      <c r="P100" s="637">
        <f t="shared" si="48"/>
        <v>0</v>
      </c>
      <c r="Q100" s="694">
        <f t="shared" si="52"/>
        <v>0</v>
      </c>
      <c r="R100" s="337">
        <f t="shared" si="53"/>
        <v>0</v>
      </c>
      <c r="S100" s="337">
        <f t="shared" si="54"/>
        <v>0</v>
      </c>
      <c r="T100" s="337">
        <f t="shared" si="55"/>
        <v>0</v>
      </c>
      <c r="U100" s="337">
        <f t="shared" si="56"/>
        <v>0</v>
      </c>
      <c r="V100" s="337">
        <f t="shared" si="57"/>
        <v>0</v>
      </c>
      <c r="W100" s="695">
        <f t="shared" si="58"/>
        <v>0</v>
      </c>
      <c r="X100" s="828">
        <f t="shared" si="49"/>
        <v>0</v>
      </c>
    </row>
    <row r="101" spans="2:24" s="110" customFormat="1" x14ac:dyDescent="0.2">
      <c r="B101" s="636" t="str">
        <f>'input-data'!$B$154</f>
        <v xml:space="preserve"> Smågrise</v>
      </c>
      <c r="C101" s="63" t="str">
        <f>'input-data'!$B$155</f>
        <v xml:space="preserve">  Kraftfoder:</v>
      </c>
      <c r="D101" s="63" t="str">
        <f>'input-data'!$B$157</f>
        <v xml:space="preserve">    blanding 1, for vægtinterval, kg:</v>
      </c>
      <c r="E101" s="677">
        <f>'input-data'!E171</f>
        <v>0</v>
      </c>
      <c r="F101" s="261">
        <f>IFERROR('Flow smågrise'!$D$31*100/'Flow smågrise'!D$49*'input-data'!I171/100,0)</f>
        <v>0</v>
      </c>
      <c r="G101" s="337">
        <f t="shared" si="50"/>
        <v>0</v>
      </c>
      <c r="H101" s="337">
        <f>F101*'Flow smågrise'!$D$9</f>
        <v>0</v>
      </c>
      <c r="I101" s="337">
        <f t="shared" si="51"/>
        <v>0</v>
      </c>
      <c r="J101" s="337">
        <f>I101*'Flow smågrise'!$D$9</f>
        <v>0</v>
      </c>
      <c r="K101" s="337">
        <f t="shared" si="43"/>
        <v>0</v>
      </c>
      <c r="L101" s="633">
        <f t="shared" si="44"/>
        <v>0</v>
      </c>
      <c r="M101" s="677">
        <f t="shared" si="45"/>
        <v>0</v>
      </c>
      <c r="N101" s="337">
        <f t="shared" si="46"/>
        <v>0</v>
      </c>
      <c r="O101" s="337">
        <f t="shared" si="47"/>
        <v>0</v>
      </c>
      <c r="P101" s="637">
        <f t="shared" si="48"/>
        <v>0</v>
      </c>
      <c r="Q101" s="694">
        <f t="shared" si="52"/>
        <v>0</v>
      </c>
      <c r="R101" s="337">
        <f t="shared" si="53"/>
        <v>0</v>
      </c>
      <c r="S101" s="337">
        <f t="shared" si="54"/>
        <v>0</v>
      </c>
      <c r="T101" s="337">
        <f t="shared" si="55"/>
        <v>0</v>
      </c>
      <c r="U101" s="337">
        <f t="shared" si="56"/>
        <v>0</v>
      </c>
      <c r="V101" s="337">
        <f t="shared" si="57"/>
        <v>0</v>
      </c>
      <c r="W101" s="695">
        <f t="shared" si="58"/>
        <v>0</v>
      </c>
      <c r="X101" s="828">
        <f t="shared" si="49"/>
        <v>0</v>
      </c>
    </row>
    <row r="102" spans="2:24" s="110" customFormat="1" x14ac:dyDescent="0.2">
      <c r="B102" s="636" t="str">
        <f>'input-data'!$B$154</f>
        <v xml:space="preserve"> Smågrise</v>
      </c>
      <c r="C102" s="63" t="str">
        <f>'input-data'!$B$155</f>
        <v xml:space="preserve">  Kraftfoder:</v>
      </c>
      <c r="D102" s="63" t="str">
        <f>'input-data'!$B$157</f>
        <v xml:space="preserve">    blanding 1, for vægtinterval, kg:</v>
      </c>
      <c r="E102" s="677">
        <f>'input-data'!E172</f>
        <v>0</v>
      </c>
      <c r="F102" s="261">
        <f>IFERROR('Flow smågrise'!$D$31*100/'Flow smågrise'!D$49*'input-data'!I172/100,0)</f>
        <v>0</v>
      </c>
      <c r="G102" s="337">
        <f t="shared" si="50"/>
        <v>0</v>
      </c>
      <c r="H102" s="337">
        <f>F102*'Flow smågrise'!$D$9</f>
        <v>0</v>
      </c>
      <c r="I102" s="337">
        <f t="shared" si="51"/>
        <v>0</v>
      </c>
      <c r="J102" s="337">
        <f>I102*'Flow smågrise'!$D$9</f>
        <v>0</v>
      </c>
      <c r="K102" s="337">
        <f t="shared" si="43"/>
        <v>0</v>
      </c>
      <c r="L102" s="633">
        <f t="shared" si="44"/>
        <v>0</v>
      </c>
      <c r="M102" s="677">
        <f t="shared" si="45"/>
        <v>0</v>
      </c>
      <c r="N102" s="337">
        <f t="shared" si="46"/>
        <v>0</v>
      </c>
      <c r="O102" s="337">
        <f t="shared" si="47"/>
        <v>0</v>
      </c>
      <c r="P102" s="637">
        <f t="shared" si="48"/>
        <v>0</v>
      </c>
      <c r="Q102" s="694">
        <f t="shared" si="52"/>
        <v>0</v>
      </c>
      <c r="R102" s="337">
        <f t="shared" si="53"/>
        <v>0</v>
      </c>
      <c r="S102" s="337">
        <f t="shared" si="54"/>
        <v>0</v>
      </c>
      <c r="T102" s="337">
        <f t="shared" si="55"/>
        <v>0</v>
      </c>
      <c r="U102" s="337">
        <f t="shared" si="56"/>
        <v>0</v>
      </c>
      <c r="V102" s="337">
        <f t="shared" si="57"/>
        <v>0</v>
      </c>
      <c r="W102" s="695">
        <f t="shared" si="58"/>
        <v>0</v>
      </c>
      <c r="X102" s="828">
        <f t="shared" si="49"/>
        <v>0</v>
      </c>
    </row>
    <row r="103" spans="2:24" s="110" customFormat="1" x14ac:dyDescent="0.2">
      <c r="B103" s="636" t="str">
        <f>'input-data'!$B$154</f>
        <v xml:space="preserve"> Smågrise</v>
      </c>
      <c r="C103" s="63" t="str">
        <f>'input-data'!$B$155</f>
        <v xml:space="preserve">  Kraftfoder:</v>
      </c>
      <c r="D103" s="63" t="str">
        <f>'input-data'!$B$157</f>
        <v xml:space="preserve">    blanding 1, for vægtinterval, kg:</v>
      </c>
      <c r="E103" s="677">
        <f>'input-data'!E173</f>
        <v>0</v>
      </c>
      <c r="F103" s="261">
        <f>IFERROR('Flow smågrise'!$D$31*100/'Flow smågrise'!D$49*'input-data'!I173/100,0)</f>
        <v>0</v>
      </c>
      <c r="G103" s="337">
        <f t="shared" si="50"/>
        <v>0</v>
      </c>
      <c r="H103" s="337">
        <f>F103*'Flow smågrise'!$D$9</f>
        <v>0</v>
      </c>
      <c r="I103" s="337">
        <f t="shared" si="51"/>
        <v>0</v>
      </c>
      <c r="J103" s="337">
        <f>I103*'Flow smågrise'!$D$9</f>
        <v>0</v>
      </c>
      <c r="K103" s="337">
        <f t="shared" si="43"/>
        <v>0</v>
      </c>
      <c r="L103" s="633">
        <f t="shared" si="44"/>
        <v>0</v>
      </c>
      <c r="M103" s="677">
        <f t="shared" si="45"/>
        <v>0</v>
      </c>
      <c r="N103" s="337">
        <f t="shared" si="46"/>
        <v>0</v>
      </c>
      <c r="O103" s="337">
        <f t="shared" si="47"/>
        <v>0</v>
      </c>
      <c r="P103" s="637">
        <f t="shared" si="48"/>
        <v>0</v>
      </c>
      <c r="Q103" s="694">
        <f t="shared" si="52"/>
        <v>0</v>
      </c>
      <c r="R103" s="337">
        <f t="shared" si="53"/>
        <v>0</v>
      </c>
      <c r="S103" s="337">
        <f t="shared" si="54"/>
        <v>0</v>
      </c>
      <c r="T103" s="337">
        <f t="shared" si="55"/>
        <v>0</v>
      </c>
      <c r="U103" s="337">
        <f t="shared" si="56"/>
        <v>0</v>
      </c>
      <c r="V103" s="337">
        <f t="shared" si="57"/>
        <v>0</v>
      </c>
      <c r="W103" s="695">
        <f t="shared" si="58"/>
        <v>0</v>
      </c>
      <c r="X103" s="828">
        <f t="shared" si="49"/>
        <v>0</v>
      </c>
    </row>
    <row r="104" spans="2:24" s="110" customFormat="1" x14ac:dyDescent="0.2">
      <c r="B104" s="636" t="str">
        <f>'input-data'!$B$154</f>
        <v xml:space="preserve"> Smågrise</v>
      </c>
      <c r="C104" s="63" t="str">
        <f>'input-data'!$B$155</f>
        <v xml:space="preserve">  Kraftfoder:</v>
      </c>
      <c r="D104" s="63" t="str">
        <f>'input-data'!$B$176</f>
        <v xml:space="preserve">    blanding 2, for vægtinterval, kg:</v>
      </c>
      <c r="E104" s="677">
        <f>'input-data'!E178</f>
        <v>0</v>
      </c>
      <c r="F104" s="261">
        <f>IFERROR('Flow smågrise'!$D$32*100/'Flow smågrise'!D$54*'input-data'!I178/100, 0)</f>
        <v>0</v>
      </c>
      <c r="G104" s="337">
        <f t="shared" si="50"/>
        <v>0</v>
      </c>
      <c r="H104" s="337">
        <f>F104*'Flow smågrise'!$D$9</f>
        <v>0</v>
      </c>
      <c r="I104" s="337">
        <f t="shared" si="51"/>
        <v>0</v>
      </c>
      <c r="J104" s="337">
        <f>I104*'Flow smågrise'!$D$9</f>
        <v>0</v>
      </c>
      <c r="K104" s="337">
        <f t="shared" si="43"/>
        <v>0</v>
      </c>
      <c r="L104" s="633">
        <f t="shared" si="44"/>
        <v>0</v>
      </c>
      <c r="M104" s="677">
        <f t="shared" si="45"/>
        <v>0</v>
      </c>
      <c r="N104" s="337">
        <f t="shared" si="46"/>
        <v>0</v>
      </c>
      <c r="O104" s="337">
        <f t="shared" si="47"/>
        <v>0</v>
      </c>
      <c r="P104" s="637">
        <f t="shared" si="48"/>
        <v>0</v>
      </c>
      <c r="Q104" s="694">
        <f t="shared" si="52"/>
        <v>0</v>
      </c>
      <c r="R104" s="337">
        <f t="shared" si="53"/>
        <v>0</v>
      </c>
      <c r="S104" s="337">
        <f t="shared" si="54"/>
        <v>0</v>
      </c>
      <c r="T104" s="337">
        <f t="shared" si="55"/>
        <v>0</v>
      </c>
      <c r="U104" s="337">
        <f t="shared" si="56"/>
        <v>0</v>
      </c>
      <c r="V104" s="337">
        <f t="shared" si="57"/>
        <v>0</v>
      </c>
      <c r="W104" s="695">
        <f t="shared" si="58"/>
        <v>0</v>
      </c>
      <c r="X104" s="828">
        <f t="shared" si="49"/>
        <v>0</v>
      </c>
    </row>
    <row r="105" spans="2:24" s="110" customFormat="1" x14ac:dyDescent="0.2">
      <c r="B105" s="636" t="str">
        <f>'input-data'!$B$154</f>
        <v xml:space="preserve"> Smågrise</v>
      </c>
      <c r="C105" s="63" t="str">
        <f>'input-data'!$B$155</f>
        <v xml:space="preserve">  Kraftfoder:</v>
      </c>
      <c r="D105" s="63" t="str">
        <f>'input-data'!$B$176</f>
        <v xml:space="preserve">    blanding 2, for vægtinterval, kg:</v>
      </c>
      <c r="E105" s="677">
        <f>'input-data'!E179</f>
        <v>0</v>
      </c>
      <c r="F105" s="261">
        <f>IFERROR('Flow smågrise'!$D$32*100/'Flow smågrise'!D$54*'input-data'!I179/100, 0)</f>
        <v>0</v>
      </c>
      <c r="G105" s="337">
        <f t="shared" si="50"/>
        <v>0</v>
      </c>
      <c r="H105" s="337">
        <f>F105*'Flow smågrise'!$D$9</f>
        <v>0</v>
      </c>
      <c r="I105" s="337">
        <f t="shared" si="51"/>
        <v>0</v>
      </c>
      <c r="J105" s="337">
        <f>I105*'Flow smågrise'!$D$9</f>
        <v>0</v>
      </c>
      <c r="K105" s="337">
        <f t="shared" si="43"/>
        <v>0</v>
      </c>
      <c r="L105" s="633">
        <f t="shared" si="44"/>
        <v>0</v>
      </c>
      <c r="M105" s="677">
        <f t="shared" si="45"/>
        <v>0</v>
      </c>
      <c r="N105" s="337">
        <f t="shared" si="46"/>
        <v>0</v>
      </c>
      <c r="O105" s="337">
        <f t="shared" si="47"/>
        <v>0</v>
      </c>
      <c r="P105" s="637">
        <f t="shared" si="48"/>
        <v>0</v>
      </c>
      <c r="Q105" s="694">
        <f t="shared" si="52"/>
        <v>0</v>
      </c>
      <c r="R105" s="337">
        <f t="shared" si="53"/>
        <v>0</v>
      </c>
      <c r="S105" s="337">
        <f t="shared" si="54"/>
        <v>0</v>
      </c>
      <c r="T105" s="337">
        <f t="shared" si="55"/>
        <v>0</v>
      </c>
      <c r="U105" s="337">
        <f t="shared" si="56"/>
        <v>0</v>
      </c>
      <c r="V105" s="337">
        <f t="shared" si="57"/>
        <v>0</v>
      </c>
      <c r="W105" s="695">
        <f t="shared" si="58"/>
        <v>0</v>
      </c>
      <c r="X105" s="828">
        <f t="shared" si="49"/>
        <v>0</v>
      </c>
    </row>
    <row r="106" spans="2:24" s="110" customFormat="1" x14ac:dyDescent="0.2">
      <c r="B106" s="636" t="str">
        <f>'input-data'!$B$154</f>
        <v xml:space="preserve"> Smågrise</v>
      </c>
      <c r="C106" s="63" t="str">
        <f>'input-data'!$B$155</f>
        <v xml:space="preserve">  Kraftfoder:</v>
      </c>
      <c r="D106" s="63" t="str">
        <f>'input-data'!$B$176</f>
        <v xml:space="preserve">    blanding 2, for vægtinterval, kg:</v>
      </c>
      <c r="E106" s="677">
        <f>'input-data'!E180</f>
        <v>0</v>
      </c>
      <c r="F106" s="261">
        <f>IFERROR('Flow smågrise'!$D$32*100/'Flow smågrise'!D$54*'input-data'!I180/100, 0)</f>
        <v>0</v>
      </c>
      <c r="G106" s="337">
        <f t="shared" si="50"/>
        <v>0</v>
      </c>
      <c r="H106" s="337">
        <f>F106*'Flow smågrise'!$D$9</f>
        <v>0</v>
      </c>
      <c r="I106" s="337">
        <f t="shared" si="51"/>
        <v>0</v>
      </c>
      <c r="J106" s="337">
        <f>I106*'Flow smågrise'!$D$9</f>
        <v>0</v>
      </c>
      <c r="K106" s="337">
        <f t="shared" si="43"/>
        <v>0</v>
      </c>
      <c r="L106" s="633">
        <f t="shared" si="44"/>
        <v>0</v>
      </c>
      <c r="M106" s="677">
        <f t="shared" si="45"/>
        <v>0</v>
      </c>
      <c r="N106" s="337">
        <f t="shared" si="46"/>
        <v>0</v>
      </c>
      <c r="O106" s="337">
        <f t="shared" si="47"/>
        <v>0</v>
      </c>
      <c r="P106" s="637">
        <f t="shared" si="48"/>
        <v>0</v>
      </c>
      <c r="Q106" s="694">
        <f t="shared" si="52"/>
        <v>0</v>
      </c>
      <c r="R106" s="337">
        <f t="shared" si="53"/>
        <v>0</v>
      </c>
      <c r="S106" s="337">
        <f t="shared" si="54"/>
        <v>0</v>
      </c>
      <c r="T106" s="337">
        <f t="shared" si="55"/>
        <v>0</v>
      </c>
      <c r="U106" s="337">
        <f t="shared" si="56"/>
        <v>0</v>
      </c>
      <c r="V106" s="337">
        <f t="shared" si="57"/>
        <v>0</v>
      </c>
      <c r="W106" s="695">
        <f t="shared" si="58"/>
        <v>0</v>
      </c>
      <c r="X106" s="828">
        <f t="shared" si="49"/>
        <v>0</v>
      </c>
    </row>
    <row r="107" spans="2:24" s="110" customFormat="1" x14ac:dyDescent="0.2">
      <c r="B107" s="636" t="str">
        <f>'input-data'!$B$154</f>
        <v xml:space="preserve"> Smågrise</v>
      </c>
      <c r="C107" s="63" t="str">
        <f>'input-data'!$B$155</f>
        <v xml:space="preserve">  Kraftfoder:</v>
      </c>
      <c r="D107" s="63" t="str">
        <f>'input-data'!$B$176</f>
        <v xml:space="preserve">    blanding 2, for vægtinterval, kg:</v>
      </c>
      <c r="E107" s="677">
        <f>'input-data'!E181</f>
        <v>0</v>
      </c>
      <c r="F107" s="261">
        <f>IFERROR('Flow smågrise'!$D$32*100/'Flow smågrise'!D$54*'input-data'!I181/100, 0)</f>
        <v>0</v>
      </c>
      <c r="G107" s="337">
        <f t="shared" si="50"/>
        <v>0</v>
      </c>
      <c r="H107" s="337">
        <f>F107*'Flow smågrise'!$D$9</f>
        <v>0</v>
      </c>
      <c r="I107" s="337">
        <f t="shared" si="51"/>
        <v>0</v>
      </c>
      <c r="J107" s="337">
        <f>I107*'Flow smågrise'!$D$9</f>
        <v>0</v>
      </c>
      <c r="K107" s="337">
        <f t="shared" si="43"/>
        <v>0</v>
      </c>
      <c r="L107" s="633">
        <f t="shared" si="44"/>
        <v>0</v>
      </c>
      <c r="M107" s="677">
        <f t="shared" si="45"/>
        <v>0</v>
      </c>
      <c r="N107" s="337">
        <f t="shared" si="46"/>
        <v>0</v>
      </c>
      <c r="O107" s="337">
        <f t="shared" si="47"/>
        <v>0</v>
      </c>
      <c r="P107" s="637">
        <f t="shared" si="48"/>
        <v>0</v>
      </c>
      <c r="Q107" s="694">
        <f t="shared" si="52"/>
        <v>0</v>
      </c>
      <c r="R107" s="337">
        <f t="shared" si="53"/>
        <v>0</v>
      </c>
      <c r="S107" s="337">
        <f t="shared" si="54"/>
        <v>0</v>
      </c>
      <c r="T107" s="337">
        <f t="shared" si="55"/>
        <v>0</v>
      </c>
      <c r="U107" s="337">
        <f t="shared" si="56"/>
        <v>0</v>
      </c>
      <c r="V107" s="337">
        <f t="shared" si="57"/>
        <v>0</v>
      </c>
      <c r="W107" s="695">
        <f t="shared" si="58"/>
        <v>0</v>
      </c>
      <c r="X107" s="828">
        <f t="shared" si="49"/>
        <v>0</v>
      </c>
    </row>
    <row r="108" spans="2:24" s="110" customFormat="1" x14ac:dyDescent="0.2">
      <c r="B108" s="636" t="str">
        <f>'input-data'!$B$154</f>
        <v xml:space="preserve"> Smågrise</v>
      </c>
      <c r="C108" s="63" t="str">
        <f>'input-data'!$B$155</f>
        <v xml:space="preserve">  Kraftfoder:</v>
      </c>
      <c r="D108" s="63" t="str">
        <f>'input-data'!$B$176</f>
        <v xml:space="preserve">    blanding 2, for vægtinterval, kg:</v>
      </c>
      <c r="E108" s="677">
        <f>'input-data'!E182</f>
        <v>0</v>
      </c>
      <c r="F108" s="261">
        <f>IFERROR('Flow smågrise'!$D$32*100/'Flow smågrise'!D$54*'input-data'!I182/100, 0)</f>
        <v>0</v>
      </c>
      <c r="G108" s="337">
        <f t="shared" si="50"/>
        <v>0</v>
      </c>
      <c r="H108" s="337">
        <f>F108*'Flow smågrise'!$D$9</f>
        <v>0</v>
      </c>
      <c r="I108" s="337">
        <f t="shared" si="51"/>
        <v>0</v>
      </c>
      <c r="J108" s="337">
        <f>I108*'Flow smågrise'!$D$9</f>
        <v>0</v>
      </c>
      <c r="K108" s="337">
        <f t="shared" si="43"/>
        <v>0</v>
      </c>
      <c r="L108" s="633">
        <f t="shared" si="44"/>
        <v>0</v>
      </c>
      <c r="M108" s="677">
        <f t="shared" si="45"/>
        <v>0</v>
      </c>
      <c r="N108" s="337">
        <f t="shared" si="46"/>
        <v>0</v>
      </c>
      <c r="O108" s="337">
        <f t="shared" si="47"/>
        <v>0</v>
      </c>
      <c r="P108" s="637">
        <f t="shared" si="48"/>
        <v>0</v>
      </c>
      <c r="Q108" s="694">
        <f t="shared" si="52"/>
        <v>0</v>
      </c>
      <c r="R108" s="337">
        <f t="shared" si="53"/>
        <v>0</v>
      </c>
      <c r="S108" s="337">
        <f t="shared" si="54"/>
        <v>0</v>
      </c>
      <c r="T108" s="337">
        <f t="shared" si="55"/>
        <v>0</v>
      </c>
      <c r="U108" s="337">
        <f t="shared" si="56"/>
        <v>0</v>
      </c>
      <c r="V108" s="337">
        <f t="shared" si="57"/>
        <v>0</v>
      </c>
      <c r="W108" s="695">
        <f t="shared" si="58"/>
        <v>0</v>
      </c>
      <c r="X108" s="828">
        <f t="shared" si="49"/>
        <v>0</v>
      </c>
    </row>
    <row r="109" spans="2:24" s="110" customFormat="1" x14ac:dyDescent="0.2">
      <c r="B109" s="636" t="str">
        <f>'input-data'!$B$154</f>
        <v xml:space="preserve"> Smågrise</v>
      </c>
      <c r="C109" s="63" t="str">
        <f>'input-data'!$B$155</f>
        <v xml:space="preserve">  Kraftfoder:</v>
      </c>
      <c r="D109" s="63" t="str">
        <f>'input-data'!$B$176</f>
        <v xml:space="preserve">    blanding 2, for vægtinterval, kg:</v>
      </c>
      <c r="E109" s="677">
        <f>'input-data'!E183</f>
        <v>0</v>
      </c>
      <c r="F109" s="261">
        <f>IFERROR('Flow smågrise'!$D$32*100/'Flow smågrise'!D$54*'input-data'!I183/100, 0)</f>
        <v>0</v>
      </c>
      <c r="G109" s="337">
        <f t="shared" si="50"/>
        <v>0</v>
      </c>
      <c r="H109" s="337">
        <f>F109*'Flow smågrise'!$D$9</f>
        <v>0</v>
      </c>
      <c r="I109" s="337">
        <f t="shared" si="51"/>
        <v>0</v>
      </c>
      <c r="J109" s="337">
        <f>I109*'Flow smågrise'!$D$9</f>
        <v>0</v>
      </c>
      <c r="K109" s="337">
        <f t="shared" si="43"/>
        <v>0</v>
      </c>
      <c r="L109" s="633">
        <f t="shared" si="44"/>
        <v>0</v>
      </c>
      <c r="M109" s="677">
        <f t="shared" si="45"/>
        <v>0</v>
      </c>
      <c r="N109" s="337">
        <f t="shared" si="46"/>
        <v>0</v>
      </c>
      <c r="O109" s="337">
        <f t="shared" si="47"/>
        <v>0</v>
      </c>
      <c r="P109" s="637">
        <f t="shared" si="48"/>
        <v>0</v>
      </c>
      <c r="Q109" s="694">
        <f t="shared" si="52"/>
        <v>0</v>
      </c>
      <c r="R109" s="337">
        <f t="shared" si="53"/>
        <v>0</v>
      </c>
      <c r="S109" s="337">
        <f t="shared" si="54"/>
        <v>0</v>
      </c>
      <c r="T109" s="337">
        <f t="shared" si="55"/>
        <v>0</v>
      </c>
      <c r="U109" s="337">
        <f t="shared" si="56"/>
        <v>0</v>
      </c>
      <c r="V109" s="337">
        <f t="shared" si="57"/>
        <v>0</v>
      </c>
      <c r="W109" s="695">
        <f t="shared" si="58"/>
        <v>0</v>
      </c>
      <c r="X109" s="828">
        <f t="shared" si="49"/>
        <v>0</v>
      </c>
    </row>
    <row r="110" spans="2:24" s="110" customFormat="1" x14ac:dyDescent="0.2">
      <c r="B110" s="636" t="str">
        <f>'input-data'!$B$154</f>
        <v xml:space="preserve"> Smågrise</v>
      </c>
      <c r="C110" s="63" t="str">
        <f>'input-data'!$B$155</f>
        <v xml:space="preserve">  Kraftfoder:</v>
      </c>
      <c r="D110" s="63" t="str">
        <f>'input-data'!$B$176</f>
        <v xml:space="preserve">    blanding 2, for vægtinterval, kg:</v>
      </c>
      <c r="E110" s="813">
        <f>'input-data'!E184</f>
        <v>0</v>
      </c>
      <c r="F110" s="261">
        <f>IFERROR('Flow smågrise'!$D$32*100/'Flow smågrise'!D$54*'input-data'!I184/100, 0)</f>
        <v>0</v>
      </c>
      <c r="G110" s="337">
        <f t="shared" si="50"/>
        <v>0</v>
      </c>
      <c r="H110" s="337">
        <f>F110*'Flow smågrise'!$D$9</f>
        <v>0</v>
      </c>
      <c r="I110" s="337">
        <f t="shared" si="51"/>
        <v>0</v>
      </c>
      <c r="J110" s="337">
        <f>I110*'Flow smågrise'!$D$9</f>
        <v>0</v>
      </c>
      <c r="K110" s="337">
        <f t="shared" si="43"/>
        <v>0</v>
      </c>
      <c r="L110" s="633">
        <f t="shared" si="44"/>
        <v>0</v>
      </c>
      <c r="M110" s="813">
        <f t="shared" si="45"/>
        <v>0</v>
      </c>
      <c r="N110" s="337">
        <f t="shared" si="46"/>
        <v>0</v>
      </c>
      <c r="O110" s="337">
        <f t="shared" si="47"/>
        <v>0</v>
      </c>
      <c r="P110" s="637">
        <f t="shared" si="48"/>
        <v>0</v>
      </c>
      <c r="Q110" s="694">
        <f t="shared" si="52"/>
        <v>0</v>
      </c>
      <c r="R110" s="337">
        <f t="shared" si="53"/>
        <v>0</v>
      </c>
      <c r="S110" s="337">
        <f t="shared" si="54"/>
        <v>0</v>
      </c>
      <c r="T110" s="337">
        <f t="shared" si="55"/>
        <v>0</v>
      </c>
      <c r="U110" s="337">
        <f t="shared" si="56"/>
        <v>0</v>
      </c>
      <c r="V110" s="337">
        <f t="shared" si="57"/>
        <v>0</v>
      </c>
      <c r="W110" s="695">
        <f t="shared" si="58"/>
        <v>0</v>
      </c>
      <c r="X110" s="828">
        <f t="shared" si="49"/>
        <v>0</v>
      </c>
    </row>
    <row r="111" spans="2:24" s="110" customFormat="1" x14ac:dyDescent="0.2">
      <c r="B111" s="636" t="str">
        <f>'input-data'!$B$154</f>
        <v xml:space="preserve"> Smågrise</v>
      </c>
      <c r="C111" s="63" t="str">
        <f>'input-data'!$B$155</f>
        <v xml:space="preserve">  Kraftfoder:</v>
      </c>
      <c r="D111" s="63" t="str">
        <f>'input-data'!$B$176</f>
        <v xml:space="preserve">    blanding 2, for vægtinterval, kg:</v>
      </c>
      <c r="E111" s="677">
        <f>'input-data'!E185</f>
        <v>0</v>
      </c>
      <c r="F111" s="261">
        <f>IFERROR('Flow smågrise'!$D$32*100/'Flow smågrise'!D$54*'input-data'!I185/100, 0)</f>
        <v>0</v>
      </c>
      <c r="G111" s="337">
        <f t="shared" si="50"/>
        <v>0</v>
      </c>
      <c r="H111" s="337">
        <f>F111*'Flow smågrise'!$D$9</f>
        <v>0</v>
      </c>
      <c r="I111" s="337">
        <f t="shared" si="51"/>
        <v>0</v>
      </c>
      <c r="J111" s="337">
        <f>I111*'Flow smågrise'!$D$9</f>
        <v>0</v>
      </c>
      <c r="K111" s="337">
        <f t="shared" si="43"/>
        <v>0</v>
      </c>
      <c r="L111" s="633">
        <f t="shared" si="44"/>
        <v>0</v>
      </c>
      <c r="M111" s="677">
        <f t="shared" si="45"/>
        <v>0</v>
      </c>
      <c r="N111" s="337">
        <f t="shared" si="46"/>
        <v>0</v>
      </c>
      <c r="O111" s="337">
        <f t="shared" si="47"/>
        <v>0</v>
      </c>
      <c r="P111" s="637">
        <f t="shared" si="48"/>
        <v>0</v>
      </c>
      <c r="Q111" s="694">
        <f t="shared" si="52"/>
        <v>0</v>
      </c>
      <c r="R111" s="337">
        <f t="shared" si="53"/>
        <v>0</v>
      </c>
      <c r="S111" s="337">
        <f t="shared" si="54"/>
        <v>0</v>
      </c>
      <c r="T111" s="337">
        <f t="shared" si="55"/>
        <v>0</v>
      </c>
      <c r="U111" s="337">
        <f t="shared" si="56"/>
        <v>0</v>
      </c>
      <c r="V111" s="337">
        <f t="shared" si="57"/>
        <v>0</v>
      </c>
      <c r="W111" s="695">
        <f t="shared" si="58"/>
        <v>0</v>
      </c>
      <c r="X111" s="828">
        <f t="shared" si="49"/>
        <v>0</v>
      </c>
    </row>
    <row r="112" spans="2:24" s="110" customFormat="1" x14ac:dyDescent="0.2">
      <c r="B112" s="636" t="str">
        <f>'input-data'!$B$154</f>
        <v xml:space="preserve"> Smågrise</v>
      </c>
      <c r="C112" s="63" t="str">
        <f>'input-data'!$B$155</f>
        <v xml:space="preserve">  Kraftfoder:</v>
      </c>
      <c r="D112" s="63" t="str">
        <f>'input-data'!$B$176</f>
        <v xml:space="preserve">    blanding 2, for vægtinterval, kg:</v>
      </c>
      <c r="E112" s="677">
        <f>'input-data'!E186</f>
        <v>0</v>
      </c>
      <c r="F112" s="261">
        <f>IFERROR('Flow smågrise'!$D$32*100/'Flow smågrise'!D$54*'input-data'!I186/100, 0)</f>
        <v>0</v>
      </c>
      <c r="G112" s="337">
        <f t="shared" si="50"/>
        <v>0</v>
      </c>
      <c r="H112" s="337">
        <f>F112*'Flow smågrise'!$D$9</f>
        <v>0</v>
      </c>
      <c r="I112" s="337">
        <f t="shared" si="51"/>
        <v>0</v>
      </c>
      <c r="J112" s="337">
        <f>I112*'Flow smågrise'!$D$9</f>
        <v>0</v>
      </c>
      <c r="K112" s="337">
        <f t="shared" si="43"/>
        <v>0</v>
      </c>
      <c r="L112" s="633">
        <f t="shared" si="44"/>
        <v>0</v>
      </c>
      <c r="M112" s="677">
        <f t="shared" si="45"/>
        <v>0</v>
      </c>
      <c r="N112" s="337">
        <f t="shared" si="46"/>
        <v>0</v>
      </c>
      <c r="O112" s="337">
        <f t="shared" si="47"/>
        <v>0</v>
      </c>
      <c r="P112" s="637">
        <f t="shared" si="48"/>
        <v>0</v>
      </c>
      <c r="Q112" s="694">
        <f t="shared" si="52"/>
        <v>0</v>
      </c>
      <c r="R112" s="337">
        <f t="shared" si="53"/>
        <v>0</v>
      </c>
      <c r="S112" s="337">
        <f t="shared" si="54"/>
        <v>0</v>
      </c>
      <c r="T112" s="337">
        <f t="shared" si="55"/>
        <v>0</v>
      </c>
      <c r="U112" s="337">
        <f t="shared" si="56"/>
        <v>0</v>
      </c>
      <c r="V112" s="337">
        <f t="shared" si="57"/>
        <v>0</v>
      </c>
      <c r="W112" s="695">
        <f t="shared" si="58"/>
        <v>0</v>
      </c>
      <c r="X112" s="828">
        <f t="shared" si="49"/>
        <v>0</v>
      </c>
    </row>
    <row r="113" spans="2:47" s="110" customFormat="1" x14ac:dyDescent="0.2">
      <c r="B113" s="636" t="str">
        <f>'input-data'!$B$154</f>
        <v xml:space="preserve"> Smågrise</v>
      </c>
      <c r="C113" s="63" t="str">
        <f>'input-data'!$B$155</f>
        <v xml:space="preserve">  Kraftfoder:</v>
      </c>
      <c r="D113" s="63" t="str">
        <f>'input-data'!$B$176</f>
        <v xml:space="preserve">    blanding 2, for vægtinterval, kg:</v>
      </c>
      <c r="E113" s="677">
        <f>'input-data'!E187</f>
        <v>0</v>
      </c>
      <c r="F113" s="261">
        <f>IFERROR('Flow smågrise'!$D$32*100/'Flow smågrise'!D$54*'input-data'!I187/100, 0)</f>
        <v>0</v>
      </c>
      <c r="G113" s="337">
        <f t="shared" si="50"/>
        <v>0</v>
      </c>
      <c r="H113" s="337">
        <f>F113*'Flow smågrise'!$D$9</f>
        <v>0</v>
      </c>
      <c r="I113" s="337">
        <f t="shared" si="51"/>
        <v>0</v>
      </c>
      <c r="J113" s="337">
        <f>I113*'Flow smågrise'!$D$9</f>
        <v>0</v>
      </c>
      <c r="K113" s="337">
        <f t="shared" ref="K113:K144" si="59">IFERROR(J113*VLOOKUP(E113, Fodertabel, 60, FALSE)/100/6.25, 0)</f>
        <v>0</v>
      </c>
      <c r="L113" s="633">
        <f t="shared" ref="L113:L144" si="60">IFERROR(J113*VLOOKUP(E113, Fodertabel, 23, FALSE)/1000, 0)</f>
        <v>0</v>
      </c>
      <c r="M113" s="677">
        <f t="shared" ref="M113:M144" si="61">IFERROR(VLOOKUP(E113, Fodertabel, 226, FALSE), 0)</f>
        <v>0</v>
      </c>
      <c r="N113" s="337">
        <f t="shared" ref="N113:N144" si="62">IF(OR(M113="onfarm", M113="folde", M113="paddock"), J113, 0)</f>
        <v>0</v>
      </c>
      <c r="O113" s="337">
        <f t="shared" ref="O113:O144" si="63">IFERROR(J113/N113*K113, 0)</f>
        <v>0</v>
      </c>
      <c r="P113" s="637">
        <f t="shared" ref="P113:P144" si="64">IFERROR(N113/J113*L113, 0)</f>
        <v>0</v>
      </c>
      <c r="Q113" s="694">
        <f t="shared" si="52"/>
        <v>0</v>
      </c>
      <c r="R113" s="337">
        <f t="shared" si="53"/>
        <v>0</v>
      </c>
      <c r="S113" s="337">
        <f t="shared" si="54"/>
        <v>0</v>
      </c>
      <c r="T113" s="337">
        <f t="shared" si="55"/>
        <v>0</v>
      </c>
      <c r="U113" s="337">
        <f t="shared" si="56"/>
        <v>0</v>
      </c>
      <c r="V113" s="337">
        <f t="shared" si="57"/>
        <v>0</v>
      </c>
      <c r="W113" s="695">
        <f t="shared" si="58"/>
        <v>0</v>
      </c>
      <c r="X113" s="828">
        <f t="shared" ref="X113:X144" si="65">IFERROR(VLOOKUP(E113, Fodertabel, 227, FALSE), 0)</f>
        <v>0</v>
      </c>
    </row>
    <row r="114" spans="2:47" s="110" customFormat="1" x14ac:dyDescent="0.2">
      <c r="B114" s="636" t="str">
        <f>'input-data'!$B$154</f>
        <v xml:space="preserve"> Smågrise</v>
      </c>
      <c r="C114" s="63" t="str">
        <f>'input-data'!$B$155</f>
        <v xml:space="preserve">  Kraftfoder:</v>
      </c>
      <c r="D114" s="63" t="str">
        <f>'input-data'!$B$176</f>
        <v xml:space="preserve">    blanding 2, for vægtinterval, kg:</v>
      </c>
      <c r="E114" s="677">
        <f>'input-data'!E188</f>
        <v>0</v>
      </c>
      <c r="F114" s="261">
        <f>IFERROR('Flow smågrise'!$D$32*100/'Flow smågrise'!D$54*'input-data'!I188/100, 0)</f>
        <v>0</v>
      </c>
      <c r="G114" s="337">
        <f t="shared" si="50"/>
        <v>0</v>
      </c>
      <c r="H114" s="337">
        <f>F114*'Flow smågrise'!$D$9</f>
        <v>0</v>
      </c>
      <c r="I114" s="337">
        <f t="shared" si="51"/>
        <v>0</v>
      </c>
      <c r="J114" s="337">
        <f>I114*'Flow smågrise'!$D$9</f>
        <v>0</v>
      </c>
      <c r="K114" s="337">
        <f t="shared" si="59"/>
        <v>0</v>
      </c>
      <c r="L114" s="633">
        <f t="shared" si="60"/>
        <v>0</v>
      </c>
      <c r="M114" s="677">
        <f t="shared" si="61"/>
        <v>0</v>
      </c>
      <c r="N114" s="337">
        <f t="shared" si="62"/>
        <v>0</v>
      </c>
      <c r="O114" s="337">
        <f t="shared" si="63"/>
        <v>0</v>
      </c>
      <c r="P114" s="637">
        <f t="shared" si="64"/>
        <v>0</v>
      </c>
      <c r="Q114" s="694">
        <f t="shared" si="52"/>
        <v>0</v>
      </c>
      <c r="R114" s="337">
        <f t="shared" si="53"/>
        <v>0</v>
      </c>
      <c r="S114" s="337">
        <f t="shared" si="54"/>
        <v>0</v>
      </c>
      <c r="T114" s="337">
        <f t="shared" si="55"/>
        <v>0</v>
      </c>
      <c r="U114" s="337">
        <f t="shared" si="56"/>
        <v>0</v>
      </c>
      <c r="V114" s="337">
        <f t="shared" si="57"/>
        <v>0</v>
      </c>
      <c r="W114" s="695">
        <f t="shared" si="58"/>
        <v>0</v>
      </c>
      <c r="X114" s="828">
        <f t="shared" si="65"/>
        <v>0</v>
      </c>
    </row>
    <row r="115" spans="2:47" s="110" customFormat="1" x14ac:dyDescent="0.2">
      <c r="B115" s="636" t="str">
        <f>'input-data'!$B$154</f>
        <v xml:space="preserve"> Smågrise</v>
      </c>
      <c r="C115" s="63" t="str">
        <f>'input-data'!$B$155</f>
        <v xml:space="preserve">  Kraftfoder:</v>
      </c>
      <c r="D115" s="63" t="str">
        <f>'input-data'!$B$176</f>
        <v xml:space="preserve">    blanding 2, for vægtinterval, kg:</v>
      </c>
      <c r="E115" s="677">
        <f>'input-data'!E189</f>
        <v>0</v>
      </c>
      <c r="F115" s="261">
        <f>IFERROR('Flow smågrise'!$D$32*100/'Flow smågrise'!D$54*'input-data'!I189/100, 0)</f>
        <v>0</v>
      </c>
      <c r="G115" s="337">
        <f t="shared" si="50"/>
        <v>0</v>
      </c>
      <c r="H115" s="337">
        <f>F115*'Flow smågrise'!$D$9</f>
        <v>0</v>
      </c>
      <c r="I115" s="337">
        <f t="shared" si="51"/>
        <v>0</v>
      </c>
      <c r="J115" s="337">
        <f>I115*'Flow smågrise'!$D$9</f>
        <v>0</v>
      </c>
      <c r="K115" s="337">
        <f t="shared" si="59"/>
        <v>0</v>
      </c>
      <c r="L115" s="633">
        <f t="shared" si="60"/>
        <v>0</v>
      </c>
      <c r="M115" s="677">
        <f t="shared" si="61"/>
        <v>0</v>
      </c>
      <c r="N115" s="337">
        <f t="shared" si="62"/>
        <v>0</v>
      </c>
      <c r="O115" s="337">
        <f t="shared" si="63"/>
        <v>0</v>
      </c>
      <c r="P115" s="637">
        <f t="shared" si="64"/>
        <v>0</v>
      </c>
      <c r="Q115" s="694">
        <f t="shared" si="52"/>
        <v>0</v>
      </c>
      <c r="R115" s="337">
        <f t="shared" si="53"/>
        <v>0</v>
      </c>
      <c r="S115" s="337">
        <f t="shared" si="54"/>
        <v>0</v>
      </c>
      <c r="T115" s="337">
        <f t="shared" si="55"/>
        <v>0</v>
      </c>
      <c r="U115" s="337">
        <f t="shared" si="56"/>
        <v>0</v>
      </c>
      <c r="V115" s="337">
        <f t="shared" si="57"/>
        <v>0</v>
      </c>
      <c r="W115" s="695">
        <f t="shared" si="58"/>
        <v>0</v>
      </c>
      <c r="X115" s="828">
        <f t="shared" si="65"/>
        <v>0</v>
      </c>
    </row>
    <row r="116" spans="2:47" s="110" customFormat="1" x14ac:dyDescent="0.2">
      <c r="B116" s="636" t="str">
        <f>'input-data'!$B$154</f>
        <v xml:space="preserve"> Smågrise</v>
      </c>
      <c r="C116" s="63" t="str">
        <f>'input-data'!$B$155</f>
        <v xml:space="preserve">  Kraftfoder:</v>
      </c>
      <c r="D116" s="63" t="str">
        <f>'input-data'!$B$176</f>
        <v xml:space="preserve">    blanding 2, for vægtinterval, kg:</v>
      </c>
      <c r="E116" s="677">
        <f>'input-data'!E190</f>
        <v>0</v>
      </c>
      <c r="F116" s="261">
        <f>IFERROR('Flow smågrise'!$D$32*100/'Flow smågrise'!D$54*'input-data'!I190/100, 0)</f>
        <v>0</v>
      </c>
      <c r="G116" s="337">
        <f t="shared" si="50"/>
        <v>0</v>
      </c>
      <c r="H116" s="337">
        <f>F116*'Flow smågrise'!$D$9</f>
        <v>0</v>
      </c>
      <c r="I116" s="337">
        <f t="shared" si="51"/>
        <v>0</v>
      </c>
      <c r="J116" s="337">
        <f>I116*'Flow smågrise'!$D$9</f>
        <v>0</v>
      </c>
      <c r="K116" s="337">
        <f t="shared" si="59"/>
        <v>0</v>
      </c>
      <c r="L116" s="633">
        <f t="shared" si="60"/>
        <v>0</v>
      </c>
      <c r="M116" s="677">
        <f t="shared" si="61"/>
        <v>0</v>
      </c>
      <c r="N116" s="337">
        <f t="shared" si="62"/>
        <v>0</v>
      </c>
      <c r="O116" s="337">
        <f t="shared" si="63"/>
        <v>0</v>
      </c>
      <c r="P116" s="637">
        <f t="shared" si="64"/>
        <v>0</v>
      </c>
      <c r="Q116" s="694">
        <f t="shared" si="52"/>
        <v>0</v>
      </c>
      <c r="R116" s="337">
        <f t="shared" si="53"/>
        <v>0</v>
      </c>
      <c r="S116" s="337">
        <f t="shared" si="54"/>
        <v>0</v>
      </c>
      <c r="T116" s="337">
        <f t="shared" si="55"/>
        <v>0</v>
      </c>
      <c r="U116" s="337">
        <f t="shared" si="56"/>
        <v>0</v>
      </c>
      <c r="V116" s="337">
        <f t="shared" si="57"/>
        <v>0</v>
      </c>
      <c r="W116" s="695">
        <f t="shared" si="58"/>
        <v>0</v>
      </c>
      <c r="X116" s="828">
        <f t="shared" si="65"/>
        <v>0</v>
      </c>
    </row>
    <row r="117" spans="2:47" s="110" customFormat="1" x14ac:dyDescent="0.2">
      <c r="B117" s="636" t="str">
        <f>'input-data'!$B$154</f>
        <v xml:space="preserve"> Smågrise</v>
      </c>
      <c r="C117" s="63" t="str">
        <f>'input-data'!$B$155</f>
        <v xml:space="preserve">  Kraftfoder:</v>
      </c>
      <c r="D117" s="63" t="str">
        <f>'input-data'!$B$176</f>
        <v xml:space="preserve">    blanding 2, for vægtinterval, kg:</v>
      </c>
      <c r="E117" s="677">
        <f>'input-data'!E191</f>
        <v>0</v>
      </c>
      <c r="F117" s="261">
        <f>IFERROR('Flow smågrise'!$D$32*100/'Flow smågrise'!D$54*'input-data'!I191/100, 0)</f>
        <v>0</v>
      </c>
      <c r="G117" s="337">
        <f t="shared" si="50"/>
        <v>0</v>
      </c>
      <c r="H117" s="337">
        <f>F117*'Flow smågrise'!$D$9</f>
        <v>0</v>
      </c>
      <c r="I117" s="337">
        <f t="shared" si="51"/>
        <v>0</v>
      </c>
      <c r="J117" s="337">
        <f>I117*'Flow smågrise'!$D$9</f>
        <v>0</v>
      </c>
      <c r="K117" s="337">
        <f t="shared" si="59"/>
        <v>0</v>
      </c>
      <c r="L117" s="633">
        <f t="shared" si="60"/>
        <v>0</v>
      </c>
      <c r="M117" s="677">
        <f t="shared" si="61"/>
        <v>0</v>
      </c>
      <c r="N117" s="337">
        <f t="shared" si="62"/>
        <v>0</v>
      </c>
      <c r="O117" s="337">
        <f t="shared" si="63"/>
        <v>0</v>
      </c>
      <c r="P117" s="637">
        <f t="shared" si="64"/>
        <v>0</v>
      </c>
      <c r="Q117" s="694">
        <f t="shared" si="52"/>
        <v>0</v>
      </c>
      <c r="R117" s="337">
        <f t="shared" si="53"/>
        <v>0</v>
      </c>
      <c r="S117" s="337">
        <f t="shared" si="54"/>
        <v>0</v>
      </c>
      <c r="T117" s="337">
        <f t="shared" si="55"/>
        <v>0</v>
      </c>
      <c r="U117" s="337">
        <f t="shared" si="56"/>
        <v>0</v>
      </c>
      <c r="V117" s="337">
        <f t="shared" si="57"/>
        <v>0</v>
      </c>
      <c r="W117" s="695">
        <f t="shared" si="58"/>
        <v>0</v>
      </c>
      <c r="X117" s="828">
        <f t="shared" si="65"/>
        <v>0</v>
      </c>
    </row>
    <row r="118" spans="2:47" s="110" customFormat="1" x14ac:dyDescent="0.2">
      <c r="B118" s="636" t="str">
        <f>'input-data'!$B$154</f>
        <v xml:space="preserve"> Smågrise</v>
      </c>
      <c r="C118" s="63" t="str">
        <f>'input-data'!$B$155</f>
        <v xml:space="preserve">  Kraftfoder:</v>
      </c>
      <c r="D118" s="63" t="str">
        <f>'input-data'!$B$176</f>
        <v xml:space="preserve">    blanding 2, for vægtinterval, kg:</v>
      </c>
      <c r="E118" s="677">
        <f>'input-data'!E192</f>
        <v>0</v>
      </c>
      <c r="F118" s="261">
        <f>IFERROR('Flow smågrise'!$D$32*100/'Flow smågrise'!D$54*'input-data'!I192/100, 0)</f>
        <v>0</v>
      </c>
      <c r="G118" s="337">
        <f t="shared" si="50"/>
        <v>0</v>
      </c>
      <c r="H118" s="337">
        <f>F118*'Flow smågrise'!$D$9</f>
        <v>0</v>
      </c>
      <c r="I118" s="337">
        <f t="shared" si="51"/>
        <v>0</v>
      </c>
      <c r="J118" s="337">
        <f>I118*'Flow smågrise'!$D$9</f>
        <v>0</v>
      </c>
      <c r="K118" s="337">
        <f t="shared" si="59"/>
        <v>0</v>
      </c>
      <c r="L118" s="633">
        <f t="shared" si="60"/>
        <v>0</v>
      </c>
      <c r="M118" s="677">
        <f t="shared" si="61"/>
        <v>0</v>
      </c>
      <c r="N118" s="337">
        <f t="shared" si="62"/>
        <v>0</v>
      </c>
      <c r="O118" s="337">
        <f t="shared" si="63"/>
        <v>0</v>
      </c>
      <c r="P118" s="637">
        <f t="shared" si="64"/>
        <v>0</v>
      </c>
      <c r="Q118" s="694">
        <f t="shared" si="52"/>
        <v>0</v>
      </c>
      <c r="R118" s="337">
        <f t="shared" si="53"/>
        <v>0</v>
      </c>
      <c r="S118" s="337">
        <f t="shared" si="54"/>
        <v>0</v>
      </c>
      <c r="T118" s="337">
        <f t="shared" si="55"/>
        <v>0</v>
      </c>
      <c r="U118" s="337">
        <f t="shared" si="56"/>
        <v>0</v>
      </c>
      <c r="V118" s="337">
        <f t="shared" si="57"/>
        <v>0</v>
      </c>
      <c r="W118" s="695">
        <f t="shared" si="58"/>
        <v>0</v>
      </c>
      <c r="X118" s="828">
        <f t="shared" si="65"/>
        <v>0</v>
      </c>
    </row>
    <row r="119" spans="2:47" x14ac:dyDescent="0.2">
      <c r="B119" s="636" t="str">
        <f>'input-data'!$B$154</f>
        <v xml:space="preserve"> Smågrise</v>
      </c>
      <c r="C119" s="63" t="str">
        <f>'input-data'!$B$155</f>
        <v xml:space="preserve">  Kraftfoder:</v>
      </c>
      <c r="D119" s="63" t="str">
        <f>'input-data'!$B$195</f>
        <v xml:space="preserve">    blanding 3, for vægtinterval, kg:</v>
      </c>
      <c r="E119" s="688">
        <f>'input-data'!E197</f>
        <v>0</v>
      </c>
      <c r="F119" s="261">
        <f>IFERROR('Flow smågrise'!$D$32*100/'Flow smågrise'!D$54*'input-data'!I193/100, 0)</f>
        <v>0</v>
      </c>
      <c r="G119" s="337">
        <f t="shared" si="50"/>
        <v>0</v>
      </c>
      <c r="H119" s="337">
        <f>F119*'Flow smågrise'!$D$9</f>
        <v>0</v>
      </c>
      <c r="I119" s="337">
        <f t="shared" si="51"/>
        <v>0</v>
      </c>
      <c r="J119" s="337">
        <f>I119*'Flow smågrise'!$D$9</f>
        <v>0</v>
      </c>
      <c r="K119" s="337">
        <f t="shared" si="59"/>
        <v>0</v>
      </c>
      <c r="L119" s="633">
        <f t="shared" si="60"/>
        <v>0</v>
      </c>
      <c r="M119" s="677">
        <f t="shared" si="61"/>
        <v>0</v>
      </c>
      <c r="N119" s="337">
        <f t="shared" si="62"/>
        <v>0</v>
      </c>
      <c r="O119" s="337">
        <f t="shared" si="63"/>
        <v>0</v>
      </c>
      <c r="P119" s="637">
        <f t="shared" si="64"/>
        <v>0</v>
      </c>
      <c r="Q119" s="694">
        <f t="shared" si="52"/>
        <v>0</v>
      </c>
      <c r="R119" s="337">
        <f t="shared" si="53"/>
        <v>0</v>
      </c>
      <c r="S119" s="337">
        <f t="shared" si="54"/>
        <v>0</v>
      </c>
      <c r="T119" s="337">
        <f t="shared" si="55"/>
        <v>0</v>
      </c>
      <c r="U119" s="337">
        <f t="shared" si="56"/>
        <v>0</v>
      </c>
      <c r="V119" s="337">
        <f t="shared" si="57"/>
        <v>0</v>
      </c>
      <c r="W119" s="695">
        <f t="shared" si="58"/>
        <v>0</v>
      </c>
      <c r="X119" s="828">
        <f t="shared" si="65"/>
        <v>0</v>
      </c>
      <c r="AU119" s="110"/>
    </row>
    <row r="120" spans="2:47" x14ac:dyDescent="0.2">
      <c r="B120" s="636" t="str">
        <f>'input-data'!$B$154</f>
        <v xml:space="preserve"> Smågrise</v>
      </c>
      <c r="C120" s="63" t="str">
        <f>'input-data'!$B$155</f>
        <v xml:space="preserve">  Kraftfoder:</v>
      </c>
      <c r="D120" s="63" t="str">
        <f>'input-data'!$B$195</f>
        <v xml:space="preserve">    blanding 3, for vægtinterval, kg:</v>
      </c>
      <c r="E120" s="677">
        <f>'input-data'!E198</f>
        <v>0</v>
      </c>
      <c r="F120" s="261">
        <f>IFERROR('Flow smågrise'!$D$32*100/'Flow smågrise'!D$54*'input-data'!I194/100, 0)</f>
        <v>0</v>
      </c>
      <c r="G120" s="337">
        <f t="shared" si="50"/>
        <v>0</v>
      </c>
      <c r="H120" s="337">
        <f>F120*'Flow smågrise'!$D$9</f>
        <v>0</v>
      </c>
      <c r="I120" s="337">
        <f t="shared" si="51"/>
        <v>0</v>
      </c>
      <c r="J120" s="337">
        <f>I120*'Flow smågrise'!$D$9</f>
        <v>0</v>
      </c>
      <c r="K120" s="337">
        <f t="shared" si="59"/>
        <v>0</v>
      </c>
      <c r="L120" s="633">
        <f t="shared" si="60"/>
        <v>0</v>
      </c>
      <c r="M120" s="677">
        <f t="shared" si="61"/>
        <v>0</v>
      </c>
      <c r="N120" s="337">
        <f t="shared" si="62"/>
        <v>0</v>
      </c>
      <c r="O120" s="337">
        <f t="shared" si="63"/>
        <v>0</v>
      </c>
      <c r="P120" s="637">
        <f t="shared" si="64"/>
        <v>0</v>
      </c>
      <c r="Q120" s="694">
        <f t="shared" si="52"/>
        <v>0</v>
      </c>
      <c r="R120" s="337">
        <f t="shared" si="53"/>
        <v>0</v>
      </c>
      <c r="S120" s="337">
        <f t="shared" si="54"/>
        <v>0</v>
      </c>
      <c r="T120" s="337">
        <f t="shared" si="55"/>
        <v>0</v>
      </c>
      <c r="U120" s="337">
        <f t="shared" si="56"/>
        <v>0</v>
      </c>
      <c r="V120" s="337">
        <f t="shared" si="57"/>
        <v>0</v>
      </c>
      <c r="W120" s="695">
        <f t="shared" si="58"/>
        <v>0</v>
      </c>
      <c r="X120" s="828">
        <f t="shared" si="65"/>
        <v>0</v>
      </c>
      <c r="AU120" s="110"/>
    </row>
    <row r="121" spans="2:47" x14ac:dyDescent="0.2">
      <c r="B121" s="636" t="str">
        <f>'input-data'!$B$154</f>
        <v xml:space="preserve"> Smågrise</v>
      </c>
      <c r="C121" s="63" t="str">
        <f>'input-data'!$B$155</f>
        <v xml:space="preserve">  Kraftfoder:</v>
      </c>
      <c r="D121" s="63" t="str">
        <f>'input-data'!$B$195</f>
        <v xml:space="preserve">    blanding 3, for vægtinterval, kg:</v>
      </c>
      <c r="E121" s="677">
        <f>'input-data'!E199</f>
        <v>0</v>
      </c>
      <c r="F121" s="261">
        <f>IFERROR('Flow smågrise'!$D$32*100/'Flow smågrise'!D$54*'input-data'!I195/100, 0)</f>
        <v>0</v>
      </c>
      <c r="G121" s="337">
        <f t="shared" ref="G121:G152" si="66">IFERROR(F121*VLOOKUP(E121, Fodertabel, 3, FALSE), 0)</f>
        <v>0</v>
      </c>
      <c r="H121" s="337">
        <f>F121*'Flow smågrise'!$D$9</f>
        <v>0</v>
      </c>
      <c r="I121" s="337">
        <f t="shared" ref="I121:I152" si="67">IFERROR(F121*VLOOKUP(E121, Fodertabel, 9, FALSE)/100, 0)</f>
        <v>0</v>
      </c>
      <c r="J121" s="337">
        <f>I121*'Flow smågrise'!$D$9</f>
        <v>0</v>
      </c>
      <c r="K121" s="337">
        <f t="shared" si="59"/>
        <v>0</v>
      </c>
      <c r="L121" s="633">
        <f t="shared" si="60"/>
        <v>0</v>
      </c>
      <c r="M121" s="677">
        <f t="shared" si="61"/>
        <v>0</v>
      </c>
      <c r="N121" s="337">
        <f t="shared" si="62"/>
        <v>0</v>
      </c>
      <c r="O121" s="337">
        <f t="shared" si="63"/>
        <v>0</v>
      </c>
      <c r="P121" s="637">
        <f t="shared" si="64"/>
        <v>0</v>
      </c>
      <c r="Q121" s="694">
        <f t="shared" ref="Q121:Q138" si="68">IFERROR(VLOOKUP($E121, Fodertabel, 218, FALSE)*$J121, 0)</f>
        <v>0</v>
      </c>
      <c r="R121" s="337">
        <f t="shared" ref="R121:R138" si="69">IFERROR(VLOOKUP($E121, Fodertabel, 219, FALSE)*$J121, 0)</f>
        <v>0</v>
      </c>
      <c r="S121" s="337">
        <f t="shared" ref="S121:S138" si="70">IFERROR(VLOOKUP($E121, Fodertabel, 220, FALSE)*$J121, 0)</f>
        <v>0</v>
      </c>
      <c r="T121" s="337">
        <f t="shared" ref="T121:T138" si="71">IFERROR(VLOOKUP($E121, Fodertabel, 221, FALSE)*$J121, 0)</f>
        <v>0</v>
      </c>
      <c r="U121" s="337">
        <f t="shared" ref="U121:U138" si="72">IFERROR(VLOOKUP($E121, Fodertabel, 222, FALSE)*$J121, 0)</f>
        <v>0</v>
      </c>
      <c r="V121" s="337">
        <f t="shared" ref="V121:V138" si="73">IFERROR(VLOOKUP($E121, Fodertabel, 223, FALSE)*$J121, 0)</f>
        <v>0</v>
      </c>
      <c r="W121" s="695">
        <f t="shared" ref="W121:W138" si="74">IFERROR(VLOOKUP($E121, Fodertabel, 224, FALSE)*$J121, 0)</f>
        <v>0</v>
      </c>
      <c r="X121" s="828">
        <f t="shared" si="65"/>
        <v>0</v>
      </c>
      <c r="AU121" s="110"/>
    </row>
    <row r="122" spans="2:47" x14ac:dyDescent="0.2">
      <c r="B122" s="636" t="str">
        <f>'input-data'!$B$154</f>
        <v xml:space="preserve"> Smågrise</v>
      </c>
      <c r="C122" s="63" t="str">
        <f>'input-data'!$B$155</f>
        <v xml:space="preserve">  Kraftfoder:</v>
      </c>
      <c r="D122" s="63" t="str">
        <f>'input-data'!$B$195</f>
        <v xml:space="preserve">    blanding 3, for vægtinterval, kg:</v>
      </c>
      <c r="E122" s="677">
        <f>'input-data'!E200</f>
        <v>0</v>
      </c>
      <c r="F122" s="261">
        <f>IFERROR('Flow smågrise'!$D$32*100/'Flow smågrise'!D$54*'input-data'!I196/100, 0)</f>
        <v>0</v>
      </c>
      <c r="G122" s="337">
        <f t="shared" si="66"/>
        <v>0</v>
      </c>
      <c r="H122" s="337">
        <f>F122*'Flow smågrise'!$D$9</f>
        <v>0</v>
      </c>
      <c r="I122" s="337">
        <f t="shared" si="67"/>
        <v>0</v>
      </c>
      <c r="J122" s="337">
        <f>I122*'Flow smågrise'!$D$9</f>
        <v>0</v>
      </c>
      <c r="K122" s="337">
        <f t="shared" si="59"/>
        <v>0</v>
      </c>
      <c r="L122" s="633">
        <f t="shared" si="60"/>
        <v>0</v>
      </c>
      <c r="M122" s="677">
        <f t="shared" si="61"/>
        <v>0</v>
      </c>
      <c r="N122" s="337">
        <f t="shared" si="62"/>
        <v>0</v>
      </c>
      <c r="O122" s="337">
        <f t="shared" si="63"/>
        <v>0</v>
      </c>
      <c r="P122" s="637">
        <f t="shared" si="64"/>
        <v>0</v>
      </c>
      <c r="Q122" s="694">
        <f t="shared" si="68"/>
        <v>0</v>
      </c>
      <c r="R122" s="337">
        <f t="shared" si="69"/>
        <v>0</v>
      </c>
      <c r="S122" s="337">
        <f t="shared" si="70"/>
        <v>0</v>
      </c>
      <c r="T122" s="337">
        <f t="shared" si="71"/>
        <v>0</v>
      </c>
      <c r="U122" s="337">
        <f t="shared" si="72"/>
        <v>0</v>
      </c>
      <c r="V122" s="337">
        <f t="shared" si="73"/>
        <v>0</v>
      </c>
      <c r="W122" s="695">
        <f t="shared" si="74"/>
        <v>0</v>
      </c>
      <c r="X122" s="828">
        <f t="shared" si="65"/>
        <v>0</v>
      </c>
      <c r="AU122" s="110"/>
    </row>
    <row r="123" spans="2:47" x14ac:dyDescent="0.2">
      <c r="B123" s="636" t="str">
        <f>'input-data'!$B$154</f>
        <v xml:space="preserve"> Smågrise</v>
      </c>
      <c r="C123" s="63" t="str">
        <f>'input-data'!$B$155</f>
        <v xml:space="preserve">  Kraftfoder:</v>
      </c>
      <c r="D123" s="63" t="str">
        <f>'input-data'!$B$195</f>
        <v xml:space="preserve">    blanding 3, for vægtinterval, kg:</v>
      </c>
      <c r="E123" s="677">
        <f>'input-data'!E201</f>
        <v>0</v>
      </c>
      <c r="F123" s="261">
        <f>IFERROR('Flow smågrise'!$D$32*100/'Flow smågrise'!D$54*'input-data'!I197/100, 0)</f>
        <v>0</v>
      </c>
      <c r="G123" s="337">
        <f t="shared" si="66"/>
        <v>0</v>
      </c>
      <c r="H123" s="337">
        <f>F123*'Flow smågrise'!$D$9</f>
        <v>0</v>
      </c>
      <c r="I123" s="337">
        <f t="shared" si="67"/>
        <v>0</v>
      </c>
      <c r="J123" s="337">
        <f>I123*'Flow smågrise'!$D$9</f>
        <v>0</v>
      </c>
      <c r="K123" s="337">
        <f t="shared" si="59"/>
        <v>0</v>
      </c>
      <c r="L123" s="633">
        <f t="shared" si="60"/>
        <v>0</v>
      </c>
      <c r="M123" s="677">
        <f t="shared" si="61"/>
        <v>0</v>
      </c>
      <c r="N123" s="337">
        <f t="shared" si="62"/>
        <v>0</v>
      </c>
      <c r="O123" s="337">
        <f t="shared" si="63"/>
        <v>0</v>
      </c>
      <c r="P123" s="637">
        <f t="shared" si="64"/>
        <v>0</v>
      </c>
      <c r="Q123" s="694">
        <f t="shared" si="68"/>
        <v>0</v>
      </c>
      <c r="R123" s="337">
        <f t="shared" si="69"/>
        <v>0</v>
      </c>
      <c r="S123" s="337">
        <f t="shared" si="70"/>
        <v>0</v>
      </c>
      <c r="T123" s="337">
        <f t="shared" si="71"/>
        <v>0</v>
      </c>
      <c r="U123" s="337">
        <f t="shared" si="72"/>
        <v>0</v>
      </c>
      <c r="V123" s="337">
        <f t="shared" si="73"/>
        <v>0</v>
      </c>
      <c r="W123" s="695">
        <f t="shared" si="74"/>
        <v>0</v>
      </c>
      <c r="X123" s="828">
        <f t="shared" si="65"/>
        <v>0</v>
      </c>
      <c r="AU123" s="110"/>
    </row>
    <row r="124" spans="2:47" x14ac:dyDescent="0.2">
      <c r="B124" s="636" t="str">
        <f>'input-data'!$B$154</f>
        <v xml:space="preserve"> Smågrise</v>
      </c>
      <c r="C124" s="63" t="str">
        <f>'input-data'!$B$155</f>
        <v xml:space="preserve">  Kraftfoder:</v>
      </c>
      <c r="D124" s="63" t="str">
        <f>'input-data'!$B$195</f>
        <v xml:space="preserve">    blanding 3, for vægtinterval, kg:</v>
      </c>
      <c r="E124" s="677">
        <f>'input-data'!E202</f>
        <v>0</v>
      </c>
      <c r="F124" s="261">
        <f>IFERROR('Flow smågrise'!$D$32*100/'Flow smågrise'!D$54*'input-data'!I198/100, 0)</f>
        <v>0</v>
      </c>
      <c r="G124" s="337">
        <f t="shared" si="66"/>
        <v>0</v>
      </c>
      <c r="H124" s="337">
        <f>F124*'Flow smågrise'!$D$9</f>
        <v>0</v>
      </c>
      <c r="I124" s="337">
        <f t="shared" si="67"/>
        <v>0</v>
      </c>
      <c r="J124" s="337">
        <f>I124*'Flow smågrise'!$D$9</f>
        <v>0</v>
      </c>
      <c r="K124" s="337">
        <f t="shared" si="59"/>
        <v>0</v>
      </c>
      <c r="L124" s="633">
        <f t="shared" si="60"/>
        <v>0</v>
      </c>
      <c r="M124" s="677">
        <f t="shared" si="61"/>
        <v>0</v>
      </c>
      <c r="N124" s="337">
        <f t="shared" si="62"/>
        <v>0</v>
      </c>
      <c r="O124" s="337">
        <f t="shared" si="63"/>
        <v>0</v>
      </c>
      <c r="P124" s="637">
        <f t="shared" si="64"/>
        <v>0</v>
      </c>
      <c r="Q124" s="694">
        <f t="shared" si="68"/>
        <v>0</v>
      </c>
      <c r="R124" s="337">
        <f t="shared" si="69"/>
        <v>0</v>
      </c>
      <c r="S124" s="337">
        <f t="shared" si="70"/>
        <v>0</v>
      </c>
      <c r="T124" s="337">
        <f t="shared" si="71"/>
        <v>0</v>
      </c>
      <c r="U124" s="337">
        <f t="shared" si="72"/>
        <v>0</v>
      </c>
      <c r="V124" s="337">
        <f t="shared" si="73"/>
        <v>0</v>
      </c>
      <c r="W124" s="695">
        <f t="shared" si="74"/>
        <v>0</v>
      </c>
      <c r="X124" s="828">
        <f t="shared" si="65"/>
        <v>0</v>
      </c>
      <c r="AU124" s="110"/>
    </row>
    <row r="125" spans="2:47" x14ac:dyDescent="0.2">
      <c r="B125" s="636" t="str">
        <f>'input-data'!$B$154</f>
        <v xml:space="preserve"> Smågrise</v>
      </c>
      <c r="C125" s="63" t="str">
        <f>'input-data'!$B$155</f>
        <v xml:space="preserve">  Kraftfoder:</v>
      </c>
      <c r="D125" s="63" t="str">
        <f>'input-data'!$B$195</f>
        <v xml:space="preserve">    blanding 3, for vægtinterval, kg:</v>
      </c>
      <c r="E125" s="677">
        <f>'input-data'!E203</f>
        <v>0</v>
      </c>
      <c r="F125" s="261">
        <f>IFERROR('Flow smågrise'!$D$32*100/'Flow smågrise'!D$54*'input-data'!I199/100, 0)</f>
        <v>0</v>
      </c>
      <c r="G125" s="337">
        <f t="shared" si="66"/>
        <v>0</v>
      </c>
      <c r="H125" s="337">
        <f>F125*'Flow smågrise'!$D$9</f>
        <v>0</v>
      </c>
      <c r="I125" s="337">
        <f t="shared" si="67"/>
        <v>0</v>
      </c>
      <c r="J125" s="337">
        <f>I125*'Flow smågrise'!$D$9</f>
        <v>0</v>
      </c>
      <c r="K125" s="337">
        <f t="shared" si="59"/>
        <v>0</v>
      </c>
      <c r="L125" s="633">
        <f t="shared" si="60"/>
        <v>0</v>
      </c>
      <c r="M125" s="677">
        <f t="shared" si="61"/>
        <v>0</v>
      </c>
      <c r="N125" s="337">
        <f t="shared" si="62"/>
        <v>0</v>
      </c>
      <c r="O125" s="337">
        <f t="shared" si="63"/>
        <v>0</v>
      </c>
      <c r="P125" s="637">
        <f t="shared" si="64"/>
        <v>0</v>
      </c>
      <c r="Q125" s="694">
        <f t="shared" si="68"/>
        <v>0</v>
      </c>
      <c r="R125" s="337">
        <f t="shared" si="69"/>
        <v>0</v>
      </c>
      <c r="S125" s="337">
        <f t="shared" si="70"/>
        <v>0</v>
      </c>
      <c r="T125" s="337">
        <f t="shared" si="71"/>
        <v>0</v>
      </c>
      <c r="U125" s="337">
        <f t="shared" si="72"/>
        <v>0</v>
      </c>
      <c r="V125" s="337">
        <f t="shared" si="73"/>
        <v>0</v>
      </c>
      <c r="W125" s="695">
        <f t="shared" si="74"/>
        <v>0</v>
      </c>
      <c r="X125" s="828">
        <f t="shared" si="65"/>
        <v>0</v>
      </c>
      <c r="AU125" s="110"/>
    </row>
    <row r="126" spans="2:47" x14ac:dyDescent="0.2">
      <c r="B126" s="636" t="str">
        <f>'input-data'!$B$154</f>
        <v xml:space="preserve"> Smågrise</v>
      </c>
      <c r="C126" s="63" t="str">
        <f>'input-data'!$B$155</f>
        <v xml:space="preserve">  Kraftfoder:</v>
      </c>
      <c r="D126" s="63" t="str">
        <f>'input-data'!$B$195</f>
        <v xml:space="preserve">    blanding 3, for vægtinterval, kg:</v>
      </c>
      <c r="E126" s="677">
        <f>'input-data'!E204</f>
        <v>0</v>
      </c>
      <c r="F126" s="261">
        <f>IFERROR('Flow smågrise'!$D$32*100/'Flow smågrise'!D$54*'input-data'!I200/100, 0)</f>
        <v>0</v>
      </c>
      <c r="G126" s="337">
        <f t="shared" si="66"/>
        <v>0</v>
      </c>
      <c r="H126" s="337">
        <f>F126*'Flow smågrise'!$D$9</f>
        <v>0</v>
      </c>
      <c r="I126" s="337">
        <f t="shared" si="67"/>
        <v>0</v>
      </c>
      <c r="J126" s="337">
        <f>I126*'Flow smågrise'!$D$9</f>
        <v>0</v>
      </c>
      <c r="K126" s="337">
        <f t="shared" si="59"/>
        <v>0</v>
      </c>
      <c r="L126" s="633">
        <f t="shared" si="60"/>
        <v>0</v>
      </c>
      <c r="M126" s="677">
        <f t="shared" si="61"/>
        <v>0</v>
      </c>
      <c r="N126" s="337">
        <f t="shared" si="62"/>
        <v>0</v>
      </c>
      <c r="O126" s="337">
        <f t="shared" si="63"/>
        <v>0</v>
      </c>
      <c r="P126" s="637">
        <f t="shared" si="64"/>
        <v>0</v>
      </c>
      <c r="Q126" s="694">
        <f t="shared" si="68"/>
        <v>0</v>
      </c>
      <c r="R126" s="337">
        <f t="shared" si="69"/>
        <v>0</v>
      </c>
      <c r="S126" s="337">
        <f t="shared" si="70"/>
        <v>0</v>
      </c>
      <c r="T126" s="337">
        <f t="shared" si="71"/>
        <v>0</v>
      </c>
      <c r="U126" s="337">
        <f t="shared" si="72"/>
        <v>0</v>
      </c>
      <c r="V126" s="337">
        <f t="shared" si="73"/>
        <v>0</v>
      </c>
      <c r="W126" s="695">
        <f t="shared" si="74"/>
        <v>0</v>
      </c>
      <c r="X126" s="828">
        <f t="shared" si="65"/>
        <v>0</v>
      </c>
      <c r="AU126" s="110"/>
    </row>
    <row r="127" spans="2:47" x14ac:dyDescent="0.2">
      <c r="B127" s="636" t="str">
        <f>'input-data'!$B$154</f>
        <v xml:space="preserve"> Smågrise</v>
      </c>
      <c r="C127" s="63" t="str">
        <f>'input-data'!$B$155</f>
        <v xml:space="preserve">  Kraftfoder:</v>
      </c>
      <c r="D127" s="63" t="str">
        <f>'input-data'!$B$195</f>
        <v xml:space="preserve">    blanding 3, for vægtinterval, kg:</v>
      </c>
      <c r="E127" s="677">
        <f>'input-data'!E205</f>
        <v>0</v>
      </c>
      <c r="F127" s="261">
        <f>IFERROR('Flow smågrise'!$D$32*100/'Flow smågrise'!D$54*'input-data'!I201/100, 0)</f>
        <v>0</v>
      </c>
      <c r="G127" s="337">
        <f t="shared" si="66"/>
        <v>0</v>
      </c>
      <c r="H127" s="337">
        <f>F127*'Flow smågrise'!$D$9</f>
        <v>0</v>
      </c>
      <c r="I127" s="337">
        <f t="shared" si="67"/>
        <v>0</v>
      </c>
      <c r="J127" s="337">
        <f>I127*'Flow smågrise'!$D$9</f>
        <v>0</v>
      </c>
      <c r="K127" s="337">
        <f t="shared" si="59"/>
        <v>0</v>
      </c>
      <c r="L127" s="633">
        <f t="shared" si="60"/>
        <v>0</v>
      </c>
      <c r="M127" s="677">
        <f t="shared" si="61"/>
        <v>0</v>
      </c>
      <c r="N127" s="337">
        <f t="shared" si="62"/>
        <v>0</v>
      </c>
      <c r="O127" s="337">
        <f t="shared" si="63"/>
        <v>0</v>
      </c>
      <c r="P127" s="637">
        <f t="shared" si="64"/>
        <v>0</v>
      </c>
      <c r="Q127" s="694">
        <f t="shared" si="68"/>
        <v>0</v>
      </c>
      <c r="R127" s="337">
        <f t="shared" si="69"/>
        <v>0</v>
      </c>
      <c r="S127" s="337">
        <f t="shared" si="70"/>
        <v>0</v>
      </c>
      <c r="T127" s="337">
        <f t="shared" si="71"/>
        <v>0</v>
      </c>
      <c r="U127" s="337">
        <f t="shared" si="72"/>
        <v>0</v>
      </c>
      <c r="V127" s="337">
        <f t="shared" si="73"/>
        <v>0</v>
      </c>
      <c r="W127" s="695">
        <f t="shared" si="74"/>
        <v>0</v>
      </c>
      <c r="X127" s="828">
        <f t="shared" si="65"/>
        <v>0</v>
      </c>
      <c r="AU127" s="110"/>
    </row>
    <row r="128" spans="2:47" x14ac:dyDescent="0.2">
      <c r="B128" s="636" t="str">
        <f>'input-data'!$B$154</f>
        <v xml:space="preserve"> Smågrise</v>
      </c>
      <c r="C128" s="63" t="str">
        <f>'input-data'!$B$155</f>
        <v xml:space="preserve">  Kraftfoder:</v>
      </c>
      <c r="D128" s="63" t="str">
        <f>'input-data'!$B$195</f>
        <v xml:space="preserve">    blanding 3, for vægtinterval, kg:</v>
      </c>
      <c r="E128" s="677">
        <f>'input-data'!E206</f>
        <v>0</v>
      </c>
      <c r="F128" s="261">
        <f>IFERROR('Flow smågrise'!$D$32*100/'Flow smågrise'!D$54*'input-data'!I202/100, 0)</f>
        <v>0</v>
      </c>
      <c r="G128" s="337">
        <f t="shared" si="66"/>
        <v>0</v>
      </c>
      <c r="H128" s="337">
        <f>F128*'Flow smågrise'!$D$9</f>
        <v>0</v>
      </c>
      <c r="I128" s="337">
        <f t="shared" si="67"/>
        <v>0</v>
      </c>
      <c r="J128" s="337">
        <f>I128*'Flow smågrise'!$D$9</f>
        <v>0</v>
      </c>
      <c r="K128" s="337">
        <f t="shared" si="59"/>
        <v>0</v>
      </c>
      <c r="L128" s="633">
        <f t="shared" si="60"/>
        <v>0</v>
      </c>
      <c r="M128" s="677">
        <f t="shared" si="61"/>
        <v>0</v>
      </c>
      <c r="N128" s="337">
        <f t="shared" si="62"/>
        <v>0</v>
      </c>
      <c r="O128" s="337">
        <f t="shared" si="63"/>
        <v>0</v>
      </c>
      <c r="P128" s="637">
        <f t="shared" si="64"/>
        <v>0</v>
      </c>
      <c r="Q128" s="694">
        <f t="shared" si="68"/>
        <v>0</v>
      </c>
      <c r="R128" s="337">
        <f t="shared" si="69"/>
        <v>0</v>
      </c>
      <c r="S128" s="337">
        <f t="shared" si="70"/>
        <v>0</v>
      </c>
      <c r="T128" s="337">
        <f t="shared" si="71"/>
        <v>0</v>
      </c>
      <c r="U128" s="337">
        <f t="shared" si="72"/>
        <v>0</v>
      </c>
      <c r="V128" s="337">
        <f t="shared" si="73"/>
        <v>0</v>
      </c>
      <c r="W128" s="695">
        <f t="shared" si="74"/>
        <v>0</v>
      </c>
      <c r="X128" s="828">
        <f t="shared" si="65"/>
        <v>0</v>
      </c>
      <c r="AU128" s="110"/>
    </row>
    <row r="129" spans="2:47" x14ac:dyDescent="0.2">
      <c r="B129" s="636" t="str">
        <f>'input-data'!$B$154</f>
        <v xml:space="preserve"> Smågrise</v>
      </c>
      <c r="C129" s="63" t="str">
        <f>'input-data'!$B$155</f>
        <v xml:space="preserve">  Kraftfoder:</v>
      </c>
      <c r="D129" s="63" t="str">
        <f>'input-data'!$B$195</f>
        <v xml:space="preserve">    blanding 3, for vægtinterval, kg:</v>
      </c>
      <c r="E129" s="677">
        <f>'input-data'!E207</f>
        <v>0</v>
      </c>
      <c r="F129" s="261">
        <f>IFERROR('Flow smågrise'!$D$32*100/'Flow smågrise'!D$54*'input-data'!I203/100, 0)</f>
        <v>0</v>
      </c>
      <c r="G129" s="337">
        <f t="shared" si="66"/>
        <v>0</v>
      </c>
      <c r="H129" s="337">
        <f>F129*'Flow smågrise'!$D$9</f>
        <v>0</v>
      </c>
      <c r="I129" s="337">
        <f t="shared" si="67"/>
        <v>0</v>
      </c>
      <c r="J129" s="337">
        <f>I129*'Flow smågrise'!$D$9</f>
        <v>0</v>
      </c>
      <c r="K129" s="337">
        <f t="shared" si="59"/>
        <v>0</v>
      </c>
      <c r="L129" s="633">
        <f t="shared" si="60"/>
        <v>0</v>
      </c>
      <c r="M129" s="677">
        <f t="shared" si="61"/>
        <v>0</v>
      </c>
      <c r="N129" s="337">
        <f t="shared" si="62"/>
        <v>0</v>
      </c>
      <c r="O129" s="337">
        <f t="shared" si="63"/>
        <v>0</v>
      </c>
      <c r="P129" s="637">
        <f t="shared" si="64"/>
        <v>0</v>
      </c>
      <c r="Q129" s="694">
        <f t="shared" si="68"/>
        <v>0</v>
      </c>
      <c r="R129" s="337">
        <f t="shared" si="69"/>
        <v>0</v>
      </c>
      <c r="S129" s="337">
        <f t="shared" si="70"/>
        <v>0</v>
      </c>
      <c r="T129" s="337">
        <f t="shared" si="71"/>
        <v>0</v>
      </c>
      <c r="U129" s="337">
        <f t="shared" si="72"/>
        <v>0</v>
      </c>
      <c r="V129" s="337">
        <f t="shared" si="73"/>
        <v>0</v>
      </c>
      <c r="W129" s="695">
        <f t="shared" si="74"/>
        <v>0</v>
      </c>
      <c r="X129" s="828">
        <f t="shared" si="65"/>
        <v>0</v>
      </c>
      <c r="AU129" s="110"/>
    </row>
    <row r="130" spans="2:47" x14ac:dyDescent="0.2">
      <c r="B130" s="636" t="str">
        <f>'input-data'!$B$154</f>
        <v xml:space="preserve"> Smågrise</v>
      </c>
      <c r="C130" s="63" t="str">
        <f>'input-data'!$B$155</f>
        <v xml:space="preserve">  Kraftfoder:</v>
      </c>
      <c r="D130" s="63" t="str">
        <f>'input-data'!$B$195</f>
        <v xml:space="preserve">    blanding 3, for vægtinterval, kg:</v>
      </c>
      <c r="E130" s="677">
        <f>'input-data'!E208</f>
        <v>0</v>
      </c>
      <c r="F130" s="261">
        <f>IFERROR('Flow smågrise'!$D$32*100/'Flow smågrise'!D$54*'input-data'!I204/100, 0)</f>
        <v>0</v>
      </c>
      <c r="G130" s="337">
        <f t="shared" si="66"/>
        <v>0</v>
      </c>
      <c r="H130" s="337">
        <f>F130*'Flow smågrise'!$D$9</f>
        <v>0</v>
      </c>
      <c r="I130" s="337">
        <f t="shared" si="67"/>
        <v>0</v>
      </c>
      <c r="J130" s="337">
        <f>I130*'Flow smågrise'!$D$9</f>
        <v>0</v>
      </c>
      <c r="K130" s="337">
        <f t="shared" si="59"/>
        <v>0</v>
      </c>
      <c r="L130" s="633">
        <f t="shared" si="60"/>
        <v>0</v>
      </c>
      <c r="M130" s="677">
        <f t="shared" si="61"/>
        <v>0</v>
      </c>
      <c r="N130" s="337">
        <f t="shared" si="62"/>
        <v>0</v>
      </c>
      <c r="O130" s="337">
        <f t="shared" si="63"/>
        <v>0</v>
      </c>
      <c r="P130" s="637">
        <f t="shared" si="64"/>
        <v>0</v>
      </c>
      <c r="Q130" s="694">
        <f t="shared" si="68"/>
        <v>0</v>
      </c>
      <c r="R130" s="337">
        <f t="shared" si="69"/>
        <v>0</v>
      </c>
      <c r="S130" s="337">
        <f t="shared" si="70"/>
        <v>0</v>
      </c>
      <c r="T130" s="337">
        <f t="shared" si="71"/>
        <v>0</v>
      </c>
      <c r="U130" s="337">
        <f t="shared" si="72"/>
        <v>0</v>
      </c>
      <c r="V130" s="337">
        <f t="shared" si="73"/>
        <v>0</v>
      </c>
      <c r="W130" s="695">
        <f t="shared" si="74"/>
        <v>0</v>
      </c>
      <c r="X130" s="828">
        <f t="shared" si="65"/>
        <v>0</v>
      </c>
      <c r="AU130" s="110"/>
    </row>
    <row r="131" spans="2:47" x14ac:dyDescent="0.2">
      <c r="B131" s="636" t="str">
        <f>'input-data'!$B$154</f>
        <v xml:space="preserve"> Smågrise</v>
      </c>
      <c r="C131" s="63" t="str">
        <f>'input-data'!$B$155</f>
        <v xml:space="preserve">  Kraftfoder:</v>
      </c>
      <c r="D131" s="63" t="str">
        <f>'input-data'!$B$195</f>
        <v xml:space="preserve">    blanding 3, for vægtinterval, kg:</v>
      </c>
      <c r="E131" s="677">
        <f>'input-data'!E209</f>
        <v>0</v>
      </c>
      <c r="F131" s="261">
        <f>IFERROR('Flow smågrise'!$D$32*100/'Flow smågrise'!D$54*'input-data'!I205/100, 0)</f>
        <v>0</v>
      </c>
      <c r="G131" s="337">
        <f t="shared" si="66"/>
        <v>0</v>
      </c>
      <c r="H131" s="337">
        <f>F131*'Flow smågrise'!$D$9</f>
        <v>0</v>
      </c>
      <c r="I131" s="337">
        <f t="shared" si="67"/>
        <v>0</v>
      </c>
      <c r="J131" s="337">
        <f>I131*'Flow smågrise'!$D$9</f>
        <v>0</v>
      </c>
      <c r="K131" s="337">
        <f t="shared" si="59"/>
        <v>0</v>
      </c>
      <c r="L131" s="633">
        <f t="shared" si="60"/>
        <v>0</v>
      </c>
      <c r="M131" s="677">
        <f t="shared" si="61"/>
        <v>0</v>
      </c>
      <c r="N131" s="337">
        <f t="shared" si="62"/>
        <v>0</v>
      </c>
      <c r="O131" s="337">
        <f t="shared" si="63"/>
        <v>0</v>
      </c>
      <c r="P131" s="637">
        <f t="shared" si="64"/>
        <v>0</v>
      </c>
      <c r="Q131" s="694">
        <f t="shared" si="68"/>
        <v>0</v>
      </c>
      <c r="R131" s="337">
        <f t="shared" si="69"/>
        <v>0</v>
      </c>
      <c r="S131" s="337">
        <f t="shared" si="70"/>
        <v>0</v>
      </c>
      <c r="T131" s="337">
        <f t="shared" si="71"/>
        <v>0</v>
      </c>
      <c r="U131" s="337">
        <f t="shared" si="72"/>
        <v>0</v>
      </c>
      <c r="V131" s="337">
        <f t="shared" si="73"/>
        <v>0</v>
      </c>
      <c r="W131" s="695">
        <f t="shared" si="74"/>
        <v>0</v>
      </c>
      <c r="X131" s="828">
        <f t="shared" si="65"/>
        <v>0</v>
      </c>
      <c r="AU131" s="110"/>
    </row>
    <row r="132" spans="2:47" x14ac:dyDescent="0.2">
      <c r="B132" s="636" t="str">
        <f>'input-data'!$B$154</f>
        <v xml:space="preserve"> Smågrise</v>
      </c>
      <c r="C132" s="63" t="str">
        <f>'input-data'!$B$155</f>
        <v xml:space="preserve">  Kraftfoder:</v>
      </c>
      <c r="D132" s="63" t="str">
        <f>'input-data'!$B$195</f>
        <v xml:space="preserve">    blanding 3, for vægtinterval, kg:</v>
      </c>
      <c r="E132" s="677">
        <f>'input-data'!E210</f>
        <v>0</v>
      </c>
      <c r="F132" s="261">
        <f>IFERROR('Flow smågrise'!$D$32*100/'Flow smågrise'!D$54*'input-data'!I206/100, 0)</f>
        <v>0</v>
      </c>
      <c r="G132" s="337">
        <f t="shared" si="66"/>
        <v>0</v>
      </c>
      <c r="H132" s="337">
        <f>F132*'Flow smågrise'!$D$9</f>
        <v>0</v>
      </c>
      <c r="I132" s="337">
        <f t="shared" si="67"/>
        <v>0</v>
      </c>
      <c r="J132" s="337">
        <f>I132*'Flow smågrise'!$D$9</f>
        <v>0</v>
      </c>
      <c r="K132" s="337">
        <f t="shared" si="59"/>
        <v>0</v>
      </c>
      <c r="L132" s="633">
        <f t="shared" si="60"/>
        <v>0</v>
      </c>
      <c r="M132" s="677">
        <f t="shared" si="61"/>
        <v>0</v>
      </c>
      <c r="N132" s="337">
        <f t="shared" si="62"/>
        <v>0</v>
      </c>
      <c r="O132" s="337">
        <f t="shared" si="63"/>
        <v>0</v>
      </c>
      <c r="P132" s="637">
        <f t="shared" si="64"/>
        <v>0</v>
      </c>
      <c r="Q132" s="694">
        <f t="shared" si="68"/>
        <v>0</v>
      </c>
      <c r="R132" s="337">
        <f t="shared" si="69"/>
        <v>0</v>
      </c>
      <c r="S132" s="337">
        <f t="shared" si="70"/>
        <v>0</v>
      </c>
      <c r="T132" s="337">
        <f t="shared" si="71"/>
        <v>0</v>
      </c>
      <c r="U132" s="337">
        <f t="shared" si="72"/>
        <v>0</v>
      </c>
      <c r="V132" s="337">
        <f t="shared" si="73"/>
        <v>0</v>
      </c>
      <c r="W132" s="695">
        <f t="shared" si="74"/>
        <v>0</v>
      </c>
      <c r="X132" s="828">
        <f t="shared" si="65"/>
        <v>0</v>
      </c>
      <c r="AU132" s="110"/>
    </row>
    <row r="133" spans="2:47" x14ac:dyDescent="0.2">
      <c r="B133" s="636" t="str">
        <f>'input-data'!$B$154</f>
        <v xml:space="preserve"> Smågrise</v>
      </c>
      <c r="C133" s="63" t="str">
        <f>'input-data'!$B$155</f>
        <v xml:space="preserve">  Kraftfoder:</v>
      </c>
      <c r="D133" s="63" t="str">
        <f>'input-data'!$B$195</f>
        <v xml:space="preserve">    blanding 3, for vægtinterval, kg:</v>
      </c>
      <c r="E133" s="677">
        <f>'input-data'!E211</f>
        <v>0</v>
      </c>
      <c r="F133" s="261">
        <f>IFERROR('Flow smågrise'!$D$32*100/'Flow smågrise'!D$54*'input-data'!I207/100, 0)</f>
        <v>0</v>
      </c>
      <c r="G133" s="337">
        <f t="shared" si="66"/>
        <v>0</v>
      </c>
      <c r="H133" s="337">
        <f>F133*'Flow smågrise'!$D$9</f>
        <v>0</v>
      </c>
      <c r="I133" s="337">
        <f t="shared" si="67"/>
        <v>0</v>
      </c>
      <c r="J133" s="337">
        <f>I133*'Flow smågrise'!$D$9</f>
        <v>0</v>
      </c>
      <c r="K133" s="337">
        <f t="shared" si="59"/>
        <v>0</v>
      </c>
      <c r="L133" s="633">
        <f t="shared" si="60"/>
        <v>0</v>
      </c>
      <c r="M133" s="677">
        <f t="shared" si="61"/>
        <v>0</v>
      </c>
      <c r="N133" s="337">
        <f t="shared" si="62"/>
        <v>0</v>
      </c>
      <c r="O133" s="337">
        <f t="shared" si="63"/>
        <v>0</v>
      </c>
      <c r="P133" s="637">
        <f t="shared" si="64"/>
        <v>0</v>
      </c>
      <c r="Q133" s="694">
        <f t="shared" si="68"/>
        <v>0</v>
      </c>
      <c r="R133" s="337">
        <f t="shared" si="69"/>
        <v>0</v>
      </c>
      <c r="S133" s="337">
        <f t="shared" si="70"/>
        <v>0</v>
      </c>
      <c r="T133" s="337">
        <f t="shared" si="71"/>
        <v>0</v>
      </c>
      <c r="U133" s="337">
        <f t="shared" si="72"/>
        <v>0</v>
      </c>
      <c r="V133" s="337">
        <f t="shared" si="73"/>
        <v>0</v>
      </c>
      <c r="W133" s="695">
        <f t="shared" si="74"/>
        <v>0</v>
      </c>
      <c r="X133" s="828">
        <f t="shared" si="65"/>
        <v>0</v>
      </c>
      <c r="AU133" s="110"/>
    </row>
    <row r="134" spans="2:47" s="110" customFormat="1" x14ac:dyDescent="0.2">
      <c r="B134" s="636" t="str">
        <f>'input-data'!$B$154</f>
        <v xml:space="preserve"> Smågrise</v>
      </c>
      <c r="C134" s="63" t="str">
        <f>'input-data'!$B$214</f>
        <v xml:space="preserve">  Grovfoder:</v>
      </c>
      <c r="D134" s="63" t="str">
        <f>'Flow smågrise'!$C$38</f>
        <v>Tildelt grovfoder</v>
      </c>
      <c r="E134" s="677">
        <f>'input-data'!E218</f>
        <v>0</v>
      </c>
      <c r="F134" s="813">
        <f>'Flow smågrise'!$D$38*'input-data'!I218/100</f>
        <v>0</v>
      </c>
      <c r="G134" s="337">
        <f t="shared" si="66"/>
        <v>0</v>
      </c>
      <c r="H134" s="337">
        <f>F134*'Flow smågrise'!$D$9</f>
        <v>0</v>
      </c>
      <c r="I134" s="337">
        <f t="shared" si="67"/>
        <v>0</v>
      </c>
      <c r="J134" s="337">
        <f>I134*'Flow smågrise'!$D$9</f>
        <v>0</v>
      </c>
      <c r="K134" s="337">
        <f t="shared" si="59"/>
        <v>0</v>
      </c>
      <c r="L134" s="633">
        <f t="shared" si="60"/>
        <v>0</v>
      </c>
      <c r="M134" s="677">
        <f t="shared" si="61"/>
        <v>0</v>
      </c>
      <c r="N134" s="337">
        <f t="shared" si="62"/>
        <v>0</v>
      </c>
      <c r="O134" s="337">
        <f t="shared" si="63"/>
        <v>0</v>
      </c>
      <c r="P134" s="637">
        <f t="shared" si="64"/>
        <v>0</v>
      </c>
      <c r="Q134" s="694">
        <f t="shared" si="68"/>
        <v>0</v>
      </c>
      <c r="R134" s="337">
        <f t="shared" si="69"/>
        <v>0</v>
      </c>
      <c r="S134" s="337">
        <f t="shared" si="70"/>
        <v>0</v>
      </c>
      <c r="T134" s="337">
        <f t="shared" si="71"/>
        <v>0</v>
      </c>
      <c r="U134" s="337">
        <f t="shared" si="72"/>
        <v>0</v>
      </c>
      <c r="V134" s="337">
        <f t="shared" si="73"/>
        <v>0</v>
      </c>
      <c r="W134" s="695">
        <f t="shared" si="74"/>
        <v>0</v>
      </c>
      <c r="X134" s="828">
        <f t="shared" si="65"/>
        <v>0</v>
      </c>
    </row>
    <row r="135" spans="2:47" s="110" customFormat="1" x14ac:dyDescent="0.2">
      <c r="B135" s="636" t="str">
        <f>'input-data'!$B$154</f>
        <v xml:space="preserve"> Smågrise</v>
      </c>
      <c r="C135" s="63" t="str">
        <f>'input-data'!$B$214</f>
        <v xml:space="preserve">  Grovfoder:</v>
      </c>
      <c r="D135" s="63" t="str">
        <f>'Flow smågrise'!$C$38</f>
        <v>Tildelt grovfoder</v>
      </c>
      <c r="E135" s="677">
        <f>'input-data'!E219</f>
        <v>0</v>
      </c>
      <c r="F135" s="813">
        <f>'Flow smågrise'!$D$38*'input-data'!I219/100</f>
        <v>0</v>
      </c>
      <c r="G135" s="337">
        <f t="shared" si="66"/>
        <v>0</v>
      </c>
      <c r="H135" s="337">
        <f>F135*'Flow smågrise'!$D$9</f>
        <v>0</v>
      </c>
      <c r="I135" s="337">
        <f t="shared" si="67"/>
        <v>0</v>
      </c>
      <c r="J135" s="337">
        <f>I135*'Flow smågrise'!$D$9</f>
        <v>0</v>
      </c>
      <c r="K135" s="337">
        <f t="shared" si="59"/>
        <v>0</v>
      </c>
      <c r="L135" s="633">
        <f t="shared" si="60"/>
        <v>0</v>
      </c>
      <c r="M135" s="677">
        <f t="shared" si="61"/>
        <v>0</v>
      </c>
      <c r="N135" s="337">
        <f t="shared" si="62"/>
        <v>0</v>
      </c>
      <c r="O135" s="337">
        <f t="shared" si="63"/>
        <v>0</v>
      </c>
      <c r="P135" s="637">
        <f t="shared" si="64"/>
        <v>0</v>
      </c>
      <c r="Q135" s="694">
        <f t="shared" si="68"/>
        <v>0</v>
      </c>
      <c r="R135" s="337">
        <f t="shared" si="69"/>
        <v>0</v>
      </c>
      <c r="S135" s="337">
        <f t="shared" si="70"/>
        <v>0</v>
      </c>
      <c r="T135" s="337">
        <f t="shared" si="71"/>
        <v>0</v>
      </c>
      <c r="U135" s="337">
        <f t="shared" si="72"/>
        <v>0</v>
      </c>
      <c r="V135" s="337">
        <f t="shared" si="73"/>
        <v>0</v>
      </c>
      <c r="W135" s="695">
        <f t="shared" si="74"/>
        <v>0</v>
      </c>
      <c r="X135" s="828">
        <f t="shared" si="65"/>
        <v>0</v>
      </c>
    </row>
    <row r="136" spans="2:47" s="110" customFormat="1" x14ac:dyDescent="0.2">
      <c r="B136" s="636" t="str">
        <f>'input-data'!$B$154</f>
        <v xml:space="preserve"> Smågrise</v>
      </c>
      <c r="C136" s="63" t="str">
        <f>'input-data'!$B$214</f>
        <v xml:space="preserve">  Grovfoder:</v>
      </c>
      <c r="D136" s="63" t="str">
        <f>'Flow smågrise'!$C$38</f>
        <v>Tildelt grovfoder</v>
      </c>
      <c r="E136" s="677">
        <f>'input-data'!E220</f>
        <v>0</v>
      </c>
      <c r="F136" s="813">
        <f>'Flow smågrise'!$D$38*'input-data'!I220/100</f>
        <v>0</v>
      </c>
      <c r="G136" s="337">
        <f t="shared" si="66"/>
        <v>0</v>
      </c>
      <c r="H136" s="337">
        <f>F136*'Flow smågrise'!$D$9</f>
        <v>0</v>
      </c>
      <c r="I136" s="337">
        <f t="shared" si="67"/>
        <v>0</v>
      </c>
      <c r="J136" s="337">
        <f>I136*'Flow smågrise'!$D$9</f>
        <v>0</v>
      </c>
      <c r="K136" s="337">
        <f t="shared" si="59"/>
        <v>0</v>
      </c>
      <c r="L136" s="633">
        <f t="shared" si="60"/>
        <v>0</v>
      </c>
      <c r="M136" s="677">
        <f t="shared" si="61"/>
        <v>0</v>
      </c>
      <c r="N136" s="337">
        <f t="shared" si="62"/>
        <v>0</v>
      </c>
      <c r="O136" s="337">
        <f t="shared" si="63"/>
        <v>0</v>
      </c>
      <c r="P136" s="637">
        <f t="shared" si="64"/>
        <v>0</v>
      </c>
      <c r="Q136" s="694">
        <f t="shared" si="68"/>
        <v>0</v>
      </c>
      <c r="R136" s="337">
        <f t="shared" si="69"/>
        <v>0</v>
      </c>
      <c r="S136" s="337">
        <f t="shared" si="70"/>
        <v>0</v>
      </c>
      <c r="T136" s="337">
        <f t="shared" si="71"/>
        <v>0</v>
      </c>
      <c r="U136" s="337">
        <f t="shared" si="72"/>
        <v>0</v>
      </c>
      <c r="V136" s="337">
        <f t="shared" si="73"/>
        <v>0</v>
      </c>
      <c r="W136" s="695">
        <f t="shared" si="74"/>
        <v>0</v>
      </c>
      <c r="X136" s="828">
        <f t="shared" si="65"/>
        <v>0</v>
      </c>
    </row>
    <row r="137" spans="2:47" s="110" customFormat="1" x14ac:dyDescent="0.2">
      <c r="B137" s="636" t="str">
        <f>'input-data'!$B$154</f>
        <v xml:space="preserve"> Smågrise</v>
      </c>
      <c r="C137" s="63" t="str">
        <f>'input-data'!$B$214</f>
        <v xml:space="preserve">  Grovfoder:</v>
      </c>
      <c r="D137" s="63" t="str">
        <f>'Flow smågrise'!$C$38</f>
        <v>Tildelt grovfoder</v>
      </c>
      <c r="E137" s="677">
        <f>'input-data'!E221</f>
        <v>0</v>
      </c>
      <c r="F137" s="813">
        <f>'Flow smågrise'!$D$38*'input-data'!I221/100</f>
        <v>0</v>
      </c>
      <c r="G137" s="337">
        <f t="shared" si="66"/>
        <v>0</v>
      </c>
      <c r="H137" s="337">
        <f>F137*'Flow smågrise'!$D$9</f>
        <v>0</v>
      </c>
      <c r="I137" s="337">
        <f t="shared" si="67"/>
        <v>0</v>
      </c>
      <c r="J137" s="337">
        <f>I137*'Flow smågrise'!$D$9</f>
        <v>0</v>
      </c>
      <c r="K137" s="337">
        <f t="shared" si="59"/>
        <v>0</v>
      </c>
      <c r="L137" s="633">
        <f t="shared" si="60"/>
        <v>0</v>
      </c>
      <c r="M137" s="677">
        <f t="shared" si="61"/>
        <v>0</v>
      </c>
      <c r="N137" s="337">
        <f t="shared" si="62"/>
        <v>0</v>
      </c>
      <c r="O137" s="337">
        <f t="shared" si="63"/>
        <v>0</v>
      </c>
      <c r="P137" s="637">
        <f t="shared" si="64"/>
        <v>0</v>
      </c>
      <c r="Q137" s="694">
        <f t="shared" si="68"/>
        <v>0</v>
      </c>
      <c r="R137" s="337">
        <f t="shared" si="69"/>
        <v>0</v>
      </c>
      <c r="S137" s="337">
        <f t="shared" si="70"/>
        <v>0</v>
      </c>
      <c r="T137" s="337">
        <f t="shared" si="71"/>
        <v>0</v>
      </c>
      <c r="U137" s="337">
        <f t="shared" si="72"/>
        <v>0</v>
      </c>
      <c r="V137" s="337">
        <f t="shared" si="73"/>
        <v>0</v>
      </c>
      <c r="W137" s="695">
        <f t="shared" si="74"/>
        <v>0</v>
      </c>
      <c r="X137" s="828">
        <f t="shared" si="65"/>
        <v>0</v>
      </c>
    </row>
    <row r="138" spans="2:47" s="110" customFormat="1" x14ac:dyDescent="0.2">
      <c r="B138" s="636" t="str">
        <f>'input-data'!$B$154</f>
        <v xml:space="preserve"> Smågrise</v>
      </c>
      <c r="C138" s="63" t="str">
        <f>'input-data'!$B$214</f>
        <v xml:space="preserve">  Grovfoder:</v>
      </c>
      <c r="D138" s="63" t="str">
        <f>'Flow smågrise'!$C$38</f>
        <v>Tildelt grovfoder</v>
      </c>
      <c r="E138" s="677">
        <f>'input-data'!E222</f>
        <v>0</v>
      </c>
      <c r="F138" s="813">
        <f>'Flow smågrise'!$D$38*'input-data'!I222/100</f>
        <v>0</v>
      </c>
      <c r="G138" s="337">
        <f t="shared" si="66"/>
        <v>0</v>
      </c>
      <c r="H138" s="337">
        <f>F138*'Flow smågrise'!$D$9</f>
        <v>0</v>
      </c>
      <c r="I138" s="337">
        <f t="shared" si="67"/>
        <v>0</v>
      </c>
      <c r="J138" s="337">
        <f>I138*'Flow smågrise'!$D$9</f>
        <v>0</v>
      </c>
      <c r="K138" s="337">
        <f t="shared" si="59"/>
        <v>0</v>
      </c>
      <c r="L138" s="633">
        <f t="shared" si="60"/>
        <v>0</v>
      </c>
      <c r="M138" s="677">
        <f t="shared" si="61"/>
        <v>0</v>
      </c>
      <c r="N138" s="337">
        <f t="shared" si="62"/>
        <v>0</v>
      </c>
      <c r="O138" s="337">
        <f t="shared" si="63"/>
        <v>0</v>
      </c>
      <c r="P138" s="637">
        <f t="shared" si="64"/>
        <v>0</v>
      </c>
      <c r="Q138" s="694">
        <f t="shared" si="68"/>
        <v>0</v>
      </c>
      <c r="R138" s="337">
        <f t="shared" si="69"/>
        <v>0</v>
      </c>
      <c r="S138" s="337">
        <f t="shared" si="70"/>
        <v>0</v>
      </c>
      <c r="T138" s="337">
        <f t="shared" si="71"/>
        <v>0</v>
      </c>
      <c r="U138" s="337">
        <f t="shared" si="72"/>
        <v>0</v>
      </c>
      <c r="V138" s="337">
        <f t="shared" si="73"/>
        <v>0</v>
      </c>
      <c r="W138" s="695">
        <f t="shared" si="74"/>
        <v>0</v>
      </c>
      <c r="X138" s="828">
        <f t="shared" si="65"/>
        <v>0</v>
      </c>
    </row>
    <row r="139" spans="2:47" s="110" customFormat="1" ht="15" thickBot="1" x14ac:dyDescent="0.25">
      <c r="B139" s="638" t="str">
        <f>'input-data'!$B$154</f>
        <v xml:space="preserve"> Smågrise</v>
      </c>
      <c r="C139" s="639" t="str">
        <f>'input-data'!$B$214</f>
        <v xml:space="preserve">  Grovfoder:</v>
      </c>
      <c r="D139" s="639" t="str">
        <f>'Flow smågrise'!C37</f>
        <v>Afgræsning (april-september)</v>
      </c>
      <c r="E139" s="642" t="str">
        <f>Fodertabel!D691</f>
        <v xml:space="preserve">kløvergræs </v>
      </c>
      <c r="F139" s="641">
        <f>'Flow smågrise'!D37</f>
        <v>0</v>
      </c>
      <c r="G139" s="641">
        <f t="shared" si="66"/>
        <v>0</v>
      </c>
      <c r="H139" s="641">
        <f>F139*'Flow smågrise'!$D$9</f>
        <v>0</v>
      </c>
      <c r="I139" s="641">
        <f t="shared" si="67"/>
        <v>0</v>
      </c>
      <c r="J139" s="641">
        <f>I139*'Flow smågrise'!$D$9</f>
        <v>0</v>
      </c>
      <c r="K139" s="641">
        <f t="shared" si="59"/>
        <v>0</v>
      </c>
      <c r="L139" s="642">
        <f t="shared" si="60"/>
        <v>0</v>
      </c>
      <c r="M139" s="643" t="str">
        <f t="shared" si="61"/>
        <v>folde</v>
      </c>
      <c r="N139" s="641">
        <f t="shared" si="62"/>
        <v>0</v>
      </c>
      <c r="O139" s="641">
        <f t="shared" si="63"/>
        <v>0</v>
      </c>
      <c r="P139" s="644">
        <f t="shared" si="64"/>
        <v>0</v>
      </c>
      <c r="Q139" s="696">
        <f>$J139*'Mark-Fields'!$E$140</f>
        <v>0</v>
      </c>
      <c r="R139" s="641">
        <f>$J139*'Mark-Fields'!$E$143</f>
        <v>0</v>
      </c>
      <c r="S139" s="641">
        <f>$J139*'Mark-Fields'!$E$146</f>
        <v>0</v>
      </c>
      <c r="T139" s="641">
        <f>$J139*'Mark-Fields'!$E$166</f>
        <v>0</v>
      </c>
      <c r="U139" s="641">
        <f>$J139*'Mark-Fields'!$E$200</f>
        <v>0</v>
      </c>
      <c r="V139" s="641">
        <f>$J139*'Mark-Fields'!$E$184</f>
        <v>0</v>
      </c>
      <c r="W139" s="697">
        <f>$J139*'Mark-Fields'!$E$208</f>
        <v>0</v>
      </c>
      <c r="X139" s="831" t="str">
        <f t="shared" si="65"/>
        <v>kløvergræs</v>
      </c>
    </row>
    <row r="140" spans="2:47" s="110" customFormat="1" x14ac:dyDescent="0.2">
      <c r="B140" s="636" t="str">
        <f>'input-data'!$B$225</f>
        <v xml:space="preserve"> Slagtesvin</v>
      </c>
      <c r="C140" s="63" t="str">
        <f>'input-data'!$B$226</f>
        <v xml:space="preserve">  Kraftfoder:</v>
      </c>
      <c r="D140" s="63" t="str">
        <f>'input-data'!$B$228</f>
        <v xml:space="preserve">    blanding 1, for vægtinterval, kg:</v>
      </c>
      <c r="E140" s="677">
        <f>'input-data'!E230</f>
        <v>0</v>
      </c>
      <c r="F140" s="261">
        <f>IFERROR('Flow slagtesvin'!$D$30*100/'Flow slagtesvin'!$D$49*'input-data'!I230/100,0)</f>
        <v>0</v>
      </c>
      <c r="G140" s="337">
        <f t="shared" si="66"/>
        <v>0</v>
      </c>
      <c r="H140" s="337">
        <f>F140*'Flow slagtesvin'!$D$8</f>
        <v>0</v>
      </c>
      <c r="I140" s="337">
        <f t="shared" si="67"/>
        <v>0</v>
      </c>
      <c r="J140" s="337">
        <f>I140*'Flow slagtesvin'!$D$8</f>
        <v>0</v>
      </c>
      <c r="K140" s="337">
        <f t="shared" si="59"/>
        <v>0</v>
      </c>
      <c r="L140" s="633">
        <f t="shared" si="60"/>
        <v>0</v>
      </c>
      <c r="M140" s="627">
        <f t="shared" si="61"/>
        <v>0</v>
      </c>
      <c r="N140" s="337">
        <f t="shared" si="62"/>
        <v>0</v>
      </c>
      <c r="O140" s="337">
        <f t="shared" si="63"/>
        <v>0</v>
      </c>
      <c r="P140" s="637">
        <f t="shared" si="64"/>
        <v>0</v>
      </c>
      <c r="Q140" s="694">
        <f t="shared" ref="Q140:Q171" si="75">IFERROR(VLOOKUP($E140, Fodertabel, 218, FALSE)*$J140, 0)</f>
        <v>0</v>
      </c>
      <c r="R140" s="337">
        <f t="shared" ref="R140:R171" si="76">IFERROR(VLOOKUP($E140, Fodertabel, 219, FALSE)*$J140, 0)</f>
        <v>0</v>
      </c>
      <c r="S140" s="337">
        <f t="shared" ref="S140:S171" si="77">IFERROR(VLOOKUP($E140, Fodertabel, 220, FALSE)*$J140, 0)</f>
        <v>0</v>
      </c>
      <c r="T140" s="337">
        <f t="shared" ref="T140:T171" si="78">IFERROR(VLOOKUP($E140, Fodertabel, 221, FALSE)*$J140, 0)</f>
        <v>0</v>
      </c>
      <c r="U140" s="337">
        <f t="shared" ref="U140:U171" si="79">IFERROR(VLOOKUP($E140, Fodertabel, 222, FALSE)*$J140, 0)</f>
        <v>0</v>
      </c>
      <c r="V140" s="337">
        <f t="shared" ref="V140:V171" si="80">IFERROR(VLOOKUP($E140, Fodertabel, 223, FALSE)*$J140, 0)</f>
        <v>0</v>
      </c>
      <c r="W140" s="695">
        <f t="shared" ref="W140:W171" si="81">IFERROR(VLOOKUP($E140, Fodertabel, 224, FALSE)*$J140, 0)</f>
        <v>0</v>
      </c>
      <c r="X140" s="828">
        <f t="shared" si="65"/>
        <v>0</v>
      </c>
    </row>
    <row r="141" spans="2:47" s="110" customFormat="1" x14ac:dyDescent="0.2">
      <c r="B141" s="636" t="str">
        <f>'input-data'!$B$225</f>
        <v xml:space="preserve"> Slagtesvin</v>
      </c>
      <c r="C141" s="63" t="str">
        <f>'input-data'!$B$226</f>
        <v xml:space="preserve">  Kraftfoder:</v>
      </c>
      <c r="D141" s="63" t="str">
        <f>'input-data'!$B$228</f>
        <v xml:space="preserve">    blanding 1, for vægtinterval, kg:</v>
      </c>
      <c r="E141" s="677">
        <f>'input-data'!E231</f>
        <v>0</v>
      </c>
      <c r="F141" s="261">
        <f>IFERROR('Flow slagtesvin'!$D$30*100/'Flow slagtesvin'!$D$49*'input-data'!I231/100,0)</f>
        <v>0</v>
      </c>
      <c r="G141" s="337">
        <f t="shared" si="66"/>
        <v>0</v>
      </c>
      <c r="H141" s="337">
        <f>F141*'Flow slagtesvin'!$D$8</f>
        <v>0</v>
      </c>
      <c r="I141" s="337">
        <f t="shared" si="67"/>
        <v>0</v>
      </c>
      <c r="J141" s="337">
        <f>I141*'Flow slagtesvin'!$D$8</f>
        <v>0</v>
      </c>
      <c r="K141" s="337">
        <f t="shared" si="59"/>
        <v>0</v>
      </c>
      <c r="L141" s="633">
        <f t="shared" si="60"/>
        <v>0</v>
      </c>
      <c r="M141" s="627">
        <f t="shared" si="61"/>
        <v>0</v>
      </c>
      <c r="N141" s="337">
        <f t="shared" si="62"/>
        <v>0</v>
      </c>
      <c r="O141" s="337">
        <f t="shared" si="63"/>
        <v>0</v>
      </c>
      <c r="P141" s="637">
        <f t="shared" si="64"/>
        <v>0</v>
      </c>
      <c r="Q141" s="694">
        <f t="shared" si="75"/>
        <v>0</v>
      </c>
      <c r="R141" s="337">
        <f t="shared" si="76"/>
        <v>0</v>
      </c>
      <c r="S141" s="337">
        <f t="shared" si="77"/>
        <v>0</v>
      </c>
      <c r="T141" s="337">
        <f t="shared" si="78"/>
        <v>0</v>
      </c>
      <c r="U141" s="337">
        <f t="shared" si="79"/>
        <v>0</v>
      </c>
      <c r="V141" s="337">
        <f t="shared" si="80"/>
        <v>0</v>
      </c>
      <c r="W141" s="695">
        <f t="shared" si="81"/>
        <v>0</v>
      </c>
      <c r="X141" s="828">
        <f t="shared" si="65"/>
        <v>0</v>
      </c>
    </row>
    <row r="142" spans="2:47" s="110" customFormat="1" x14ac:dyDescent="0.2">
      <c r="B142" s="636" t="str">
        <f>'input-data'!$B$225</f>
        <v xml:space="preserve"> Slagtesvin</v>
      </c>
      <c r="C142" s="63" t="str">
        <f>'input-data'!$B$226</f>
        <v xml:space="preserve">  Kraftfoder:</v>
      </c>
      <c r="D142" s="63" t="str">
        <f>'input-data'!$B$228</f>
        <v xml:space="preserve">    blanding 1, for vægtinterval, kg:</v>
      </c>
      <c r="E142" s="677">
        <f>'input-data'!E232</f>
        <v>0</v>
      </c>
      <c r="F142" s="261">
        <f>IFERROR('Flow slagtesvin'!$D$30*100/'Flow slagtesvin'!$D$49*'input-data'!I232/100,0)</f>
        <v>0</v>
      </c>
      <c r="G142" s="337">
        <f t="shared" si="66"/>
        <v>0</v>
      </c>
      <c r="H142" s="337">
        <f>F142*'Flow slagtesvin'!$D$8</f>
        <v>0</v>
      </c>
      <c r="I142" s="337">
        <f t="shared" si="67"/>
        <v>0</v>
      </c>
      <c r="J142" s="337">
        <f>I142*'Flow slagtesvin'!$D$8</f>
        <v>0</v>
      </c>
      <c r="K142" s="337">
        <f t="shared" si="59"/>
        <v>0</v>
      </c>
      <c r="L142" s="633">
        <f t="shared" si="60"/>
        <v>0</v>
      </c>
      <c r="M142" s="627">
        <f t="shared" si="61"/>
        <v>0</v>
      </c>
      <c r="N142" s="337">
        <f t="shared" si="62"/>
        <v>0</v>
      </c>
      <c r="O142" s="337">
        <f t="shared" si="63"/>
        <v>0</v>
      </c>
      <c r="P142" s="637">
        <f t="shared" si="64"/>
        <v>0</v>
      </c>
      <c r="Q142" s="694">
        <f t="shared" si="75"/>
        <v>0</v>
      </c>
      <c r="R142" s="337">
        <f t="shared" si="76"/>
        <v>0</v>
      </c>
      <c r="S142" s="337">
        <f t="shared" si="77"/>
        <v>0</v>
      </c>
      <c r="T142" s="337">
        <f t="shared" si="78"/>
        <v>0</v>
      </c>
      <c r="U142" s="337">
        <f t="shared" si="79"/>
        <v>0</v>
      </c>
      <c r="V142" s="337">
        <f t="shared" si="80"/>
        <v>0</v>
      </c>
      <c r="W142" s="695">
        <f t="shared" si="81"/>
        <v>0</v>
      </c>
      <c r="X142" s="828">
        <f t="shared" si="65"/>
        <v>0</v>
      </c>
    </row>
    <row r="143" spans="2:47" s="110" customFormat="1" x14ac:dyDescent="0.2">
      <c r="B143" s="636" t="str">
        <f>'input-data'!$B$225</f>
        <v xml:space="preserve"> Slagtesvin</v>
      </c>
      <c r="C143" s="63" t="str">
        <f>'input-data'!$B$226</f>
        <v xml:space="preserve">  Kraftfoder:</v>
      </c>
      <c r="D143" s="63" t="str">
        <f>'input-data'!$B$228</f>
        <v xml:space="preserve">    blanding 1, for vægtinterval, kg:</v>
      </c>
      <c r="E143" s="677">
        <f>'input-data'!E233</f>
        <v>0</v>
      </c>
      <c r="F143" s="261">
        <f>IFERROR('Flow slagtesvin'!$D$30*100/'Flow slagtesvin'!$D$49*'input-data'!I233/100,0)</f>
        <v>0</v>
      </c>
      <c r="G143" s="337">
        <f t="shared" si="66"/>
        <v>0</v>
      </c>
      <c r="H143" s="337">
        <f>F143*'Flow slagtesvin'!$D$8</f>
        <v>0</v>
      </c>
      <c r="I143" s="337">
        <f t="shared" si="67"/>
        <v>0</v>
      </c>
      <c r="J143" s="337">
        <f>I143*'Flow slagtesvin'!$D$8</f>
        <v>0</v>
      </c>
      <c r="K143" s="337">
        <f t="shared" si="59"/>
        <v>0</v>
      </c>
      <c r="L143" s="633">
        <f t="shared" si="60"/>
        <v>0</v>
      </c>
      <c r="M143" s="627">
        <f t="shared" si="61"/>
        <v>0</v>
      </c>
      <c r="N143" s="337">
        <f t="shared" si="62"/>
        <v>0</v>
      </c>
      <c r="O143" s="337">
        <f t="shared" si="63"/>
        <v>0</v>
      </c>
      <c r="P143" s="637">
        <f t="shared" si="64"/>
        <v>0</v>
      </c>
      <c r="Q143" s="694">
        <f t="shared" si="75"/>
        <v>0</v>
      </c>
      <c r="R143" s="337">
        <f t="shared" si="76"/>
        <v>0</v>
      </c>
      <c r="S143" s="337">
        <f t="shared" si="77"/>
        <v>0</v>
      </c>
      <c r="T143" s="337">
        <f t="shared" si="78"/>
        <v>0</v>
      </c>
      <c r="U143" s="337">
        <f t="shared" si="79"/>
        <v>0</v>
      </c>
      <c r="V143" s="337">
        <f t="shared" si="80"/>
        <v>0</v>
      </c>
      <c r="W143" s="695">
        <f t="shared" si="81"/>
        <v>0</v>
      </c>
      <c r="X143" s="828">
        <f t="shared" si="65"/>
        <v>0</v>
      </c>
    </row>
    <row r="144" spans="2:47" s="110" customFormat="1" x14ac:dyDescent="0.2">
      <c r="B144" s="636" t="str">
        <f>'input-data'!$B$225</f>
        <v xml:space="preserve"> Slagtesvin</v>
      </c>
      <c r="C144" s="63" t="str">
        <f>'input-data'!$B$226</f>
        <v xml:space="preserve">  Kraftfoder:</v>
      </c>
      <c r="D144" s="63" t="str">
        <f>'input-data'!$B$228</f>
        <v xml:space="preserve">    blanding 1, for vægtinterval, kg:</v>
      </c>
      <c r="E144" s="677">
        <f>'input-data'!E234</f>
        <v>0</v>
      </c>
      <c r="F144" s="261">
        <f>IFERROR('Flow slagtesvin'!$D$30*100/'Flow slagtesvin'!$D$49*'input-data'!I234/100,0)</f>
        <v>0</v>
      </c>
      <c r="G144" s="337">
        <f t="shared" si="66"/>
        <v>0</v>
      </c>
      <c r="H144" s="337">
        <f>F144*'Flow slagtesvin'!$D$8</f>
        <v>0</v>
      </c>
      <c r="I144" s="337">
        <f t="shared" si="67"/>
        <v>0</v>
      </c>
      <c r="J144" s="337">
        <f>I144*'Flow slagtesvin'!$D$8</f>
        <v>0</v>
      </c>
      <c r="K144" s="337">
        <f t="shared" si="59"/>
        <v>0</v>
      </c>
      <c r="L144" s="633">
        <f t="shared" si="60"/>
        <v>0</v>
      </c>
      <c r="M144" s="627">
        <f t="shared" si="61"/>
        <v>0</v>
      </c>
      <c r="N144" s="337">
        <f t="shared" si="62"/>
        <v>0</v>
      </c>
      <c r="O144" s="337">
        <f t="shared" si="63"/>
        <v>0</v>
      </c>
      <c r="P144" s="637">
        <f t="shared" si="64"/>
        <v>0</v>
      </c>
      <c r="Q144" s="694">
        <f t="shared" si="75"/>
        <v>0</v>
      </c>
      <c r="R144" s="337">
        <f t="shared" si="76"/>
        <v>0</v>
      </c>
      <c r="S144" s="337">
        <f t="shared" si="77"/>
        <v>0</v>
      </c>
      <c r="T144" s="337">
        <f t="shared" si="78"/>
        <v>0</v>
      </c>
      <c r="U144" s="337">
        <f t="shared" si="79"/>
        <v>0</v>
      </c>
      <c r="V144" s="337">
        <f t="shared" si="80"/>
        <v>0</v>
      </c>
      <c r="W144" s="695">
        <f t="shared" si="81"/>
        <v>0</v>
      </c>
      <c r="X144" s="828">
        <f t="shared" si="65"/>
        <v>0</v>
      </c>
    </row>
    <row r="145" spans="2:24" s="110" customFormat="1" x14ac:dyDescent="0.2">
      <c r="B145" s="636" t="str">
        <f>'input-data'!$B$225</f>
        <v xml:space="preserve"> Slagtesvin</v>
      </c>
      <c r="C145" s="63" t="str">
        <f>'input-data'!$B$226</f>
        <v xml:space="preserve">  Kraftfoder:</v>
      </c>
      <c r="D145" s="63" t="str">
        <f>'input-data'!$B$228</f>
        <v xml:space="preserve">    blanding 1, for vægtinterval, kg:</v>
      </c>
      <c r="E145" s="677">
        <f>'input-data'!E235</f>
        <v>0</v>
      </c>
      <c r="F145" s="261">
        <f>IFERROR('Flow slagtesvin'!$D$30*100/'Flow slagtesvin'!$D$49*'input-data'!I235/100,0)</f>
        <v>0</v>
      </c>
      <c r="G145" s="337">
        <f t="shared" si="66"/>
        <v>0</v>
      </c>
      <c r="H145" s="337">
        <f>F145*'Flow slagtesvin'!$D$8</f>
        <v>0</v>
      </c>
      <c r="I145" s="337">
        <f t="shared" si="67"/>
        <v>0</v>
      </c>
      <c r="J145" s="337">
        <f>I145*'Flow slagtesvin'!$D$8</f>
        <v>0</v>
      </c>
      <c r="K145" s="337">
        <f t="shared" ref="K145:K176" si="82">IFERROR(J145*VLOOKUP(E145, Fodertabel, 60, FALSE)/100/6.25, 0)</f>
        <v>0</v>
      </c>
      <c r="L145" s="633">
        <f t="shared" ref="L145:L176" si="83">IFERROR(J145*VLOOKUP(E145, Fodertabel, 23, FALSE)/1000, 0)</f>
        <v>0</v>
      </c>
      <c r="M145" s="627">
        <f t="shared" ref="M145:M176" si="84">IFERROR(VLOOKUP(E145, Fodertabel, 226, FALSE), 0)</f>
        <v>0</v>
      </c>
      <c r="N145" s="337">
        <f t="shared" ref="N145:N176" si="85">IF(OR(M145="onfarm", M145="folde", M145="paddock"), J145, 0)</f>
        <v>0</v>
      </c>
      <c r="O145" s="337">
        <f t="shared" ref="O145:O176" si="86">IFERROR(J145/N145*K145, 0)</f>
        <v>0</v>
      </c>
      <c r="P145" s="637">
        <f t="shared" ref="P145:P176" si="87">IFERROR(N145/J145*L145, 0)</f>
        <v>0</v>
      </c>
      <c r="Q145" s="694">
        <f t="shared" si="75"/>
        <v>0</v>
      </c>
      <c r="R145" s="337">
        <f t="shared" si="76"/>
        <v>0</v>
      </c>
      <c r="S145" s="337">
        <f t="shared" si="77"/>
        <v>0</v>
      </c>
      <c r="T145" s="337">
        <f t="shared" si="78"/>
        <v>0</v>
      </c>
      <c r="U145" s="337">
        <f t="shared" si="79"/>
        <v>0</v>
      </c>
      <c r="V145" s="337">
        <f t="shared" si="80"/>
        <v>0</v>
      </c>
      <c r="W145" s="695">
        <f t="shared" si="81"/>
        <v>0</v>
      </c>
      <c r="X145" s="828">
        <f t="shared" ref="X145:X176" si="88">IFERROR(VLOOKUP(E145, Fodertabel, 227, FALSE), 0)</f>
        <v>0</v>
      </c>
    </row>
    <row r="146" spans="2:24" s="110" customFormat="1" x14ac:dyDescent="0.2">
      <c r="B146" s="636" t="str">
        <f>'input-data'!$B$225</f>
        <v xml:space="preserve"> Slagtesvin</v>
      </c>
      <c r="C146" s="63" t="str">
        <f>'input-data'!$B$226</f>
        <v xml:space="preserve">  Kraftfoder:</v>
      </c>
      <c r="D146" s="63" t="str">
        <f>'input-data'!$B$228</f>
        <v xml:space="preserve">    blanding 1, for vægtinterval, kg:</v>
      </c>
      <c r="E146" s="677">
        <f>'input-data'!E236</f>
        <v>0</v>
      </c>
      <c r="F146" s="261">
        <f>IFERROR('Flow slagtesvin'!$D$30*100/'Flow slagtesvin'!$D$49*'input-data'!I236/100,0)</f>
        <v>0</v>
      </c>
      <c r="G146" s="337">
        <f t="shared" si="66"/>
        <v>0</v>
      </c>
      <c r="H146" s="337">
        <f>F146*'Flow slagtesvin'!$D$8</f>
        <v>0</v>
      </c>
      <c r="I146" s="337">
        <f t="shared" si="67"/>
        <v>0</v>
      </c>
      <c r="J146" s="337">
        <f>I146*'Flow slagtesvin'!$D$8</f>
        <v>0</v>
      </c>
      <c r="K146" s="337">
        <f t="shared" si="82"/>
        <v>0</v>
      </c>
      <c r="L146" s="633">
        <f t="shared" si="83"/>
        <v>0</v>
      </c>
      <c r="M146" s="627">
        <f t="shared" si="84"/>
        <v>0</v>
      </c>
      <c r="N146" s="337">
        <f t="shared" si="85"/>
        <v>0</v>
      </c>
      <c r="O146" s="337">
        <f t="shared" si="86"/>
        <v>0</v>
      </c>
      <c r="P146" s="637">
        <f t="shared" si="87"/>
        <v>0</v>
      </c>
      <c r="Q146" s="694">
        <f t="shared" si="75"/>
        <v>0</v>
      </c>
      <c r="R146" s="337">
        <f t="shared" si="76"/>
        <v>0</v>
      </c>
      <c r="S146" s="337">
        <f t="shared" si="77"/>
        <v>0</v>
      </c>
      <c r="T146" s="337">
        <f t="shared" si="78"/>
        <v>0</v>
      </c>
      <c r="U146" s="337">
        <f t="shared" si="79"/>
        <v>0</v>
      </c>
      <c r="V146" s="337">
        <f t="shared" si="80"/>
        <v>0</v>
      </c>
      <c r="W146" s="695">
        <f t="shared" si="81"/>
        <v>0</v>
      </c>
      <c r="X146" s="828">
        <f t="shared" si="88"/>
        <v>0</v>
      </c>
    </row>
    <row r="147" spans="2:24" s="110" customFormat="1" x14ac:dyDescent="0.2">
      <c r="B147" s="636" t="str">
        <f>'input-data'!$B$225</f>
        <v xml:space="preserve"> Slagtesvin</v>
      </c>
      <c r="C147" s="63" t="str">
        <f>'input-data'!$B$226</f>
        <v xml:space="preserve">  Kraftfoder:</v>
      </c>
      <c r="D147" s="63" t="str">
        <f>'input-data'!$B$228</f>
        <v xml:space="preserve">    blanding 1, for vægtinterval, kg:</v>
      </c>
      <c r="E147" s="677">
        <f>'input-data'!E237</f>
        <v>0</v>
      </c>
      <c r="F147" s="261">
        <f>IFERROR('Flow slagtesvin'!$D$30*100/'Flow slagtesvin'!$D$49*'input-data'!I237/100,0)</f>
        <v>0</v>
      </c>
      <c r="G147" s="337">
        <f t="shared" si="66"/>
        <v>0</v>
      </c>
      <c r="H147" s="337">
        <f>F147*'Flow slagtesvin'!$D$8</f>
        <v>0</v>
      </c>
      <c r="I147" s="337">
        <f t="shared" si="67"/>
        <v>0</v>
      </c>
      <c r="J147" s="337">
        <f>I147*'Flow slagtesvin'!$D$8</f>
        <v>0</v>
      </c>
      <c r="K147" s="337">
        <f t="shared" si="82"/>
        <v>0</v>
      </c>
      <c r="L147" s="633">
        <f t="shared" si="83"/>
        <v>0</v>
      </c>
      <c r="M147" s="627">
        <f t="shared" si="84"/>
        <v>0</v>
      </c>
      <c r="N147" s="337">
        <f t="shared" si="85"/>
        <v>0</v>
      </c>
      <c r="O147" s="337">
        <f t="shared" si="86"/>
        <v>0</v>
      </c>
      <c r="P147" s="637">
        <f t="shared" si="87"/>
        <v>0</v>
      </c>
      <c r="Q147" s="694">
        <f t="shared" si="75"/>
        <v>0</v>
      </c>
      <c r="R147" s="337">
        <f t="shared" si="76"/>
        <v>0</v>
      </c>
      <c r="S147" s="337">
        <f t="shared" si="77"/>
        <v>0</v>
      </c>
      <c r="T147" s="337">
        <f t="shared" si="78"/>
        <v>0</v>
      </c>
      <c r="U147" s="337">
        <f t="shared" si="79"/>
        <v>0</v>
      </c>
      <c r="V147" s="337">
        <f t="shared" si="80"/>
        <v>0</v>
      </c>
      <c r="W147" s="695">
        <f t="shared" si="81"/>
        <v>0</v>
      </c>
      <c r="X147" s="828">
        <f t="shared" si="88"/>
        <v>0</v>
      </c>
    </row>
    <row r="148" spans="2:24" s="110" customFormat="1" x14ac:dyDescent="0.2">
      <c r="B148" s="636" t="str">
        <f>'input-data'!$B$225</f>
        <v xml:space="preserve"> Slagtesvin</v>
      </c>
      <c r="C148" s="63" t="str">
        <f>'input-data'!$B$226</f>
        <v xml:space="preserve">  Kraftfoder:</v>
      </c>
      <c r="D148" s="63" t="str">
        <f>'input-data'!$B$228</f>
        <v xml:space="preserve">    blanding 1, for vægtinterval, kg:</v>
      </c>
      <c r="E148" s="677">
        <f>'input-data'!E238</f>
        <v>0</v>
      </c>
      <c r="F148" s="261">
        <f>IFERROR('Flow slagtesvin'!$D$30*100/'Flow slagtesvin'!$D$49*'input-data'!I238/100,0)</f>
        <v>0</v>
      </c>
      <c r="G148" s="337">
        <f t="shared" si="66"/>
        <v>0</v>
      </c>
      <c r="H148" s="337">
        <f>F148*'Flow slagtesvin'!$D$8</f>
        <v>0</v>
      </c>
      <c r="I148" s="337">
        <f t="shared" si="67"/>
        <v>0</v>
      </c>
      <c r="J148" s="337">
        <f>I148*'Flow slagtesvin'!$D$8</f>
        <v>0</v>
      </c>
      <c r="K148" s="337">
        <f t="shared" si="82"/>
        <v>0</v>
      </c>
      <c r="L148" s="633">
        <f t="shared" si="83"/>
        <v>0</v>
      </c>
      <c r="M148" s="627">
        <f t="shared" si="84"/>
        <v>0</v>
      </c>
      <c r="N148" s="337">
        <f t="shared" si="85"/>
        <v>0</v>
      </c>
      <c r="O148" s="337">
        <f t="shared" si="86"/>
        <v>0</v>
      </c>
      <c r="P148" s="637">
        <f t="shared" si="87"/>
        <v>0</v>
      </c>
      <c r="Q148" s="694">
        <f t="shared" si="75"/>
        <v>0</v>
      </c>
      <c r="R148" s="337">
        <f t="shared" si="76"/>
        <v>0</v>
      </c>
      <c r="S148" s="337">
        <f t="shared" si="77"/>
        <v>0</v>
      </c>
      <c r="T148" s="337">
        <f t="shared" si="78"/>
        <v>0</v>
      </c>
      <c r="U148" s="337">
        <f t="shared" si="79"/>
        <v>0</v>
      </c>
      <c r="V148" s="337">
        <f t="shared" si="80"/>
        <v>0</v>
      </c>
      <c r="W148" s="695">
        <f t="shared" si="81"/>
        <v>0</v>
      </c>
      <c r="X148" s="828">
        <f t="shared" si="88"/>
        <v>0</v>
      </c>
    </row>
    <row r="149" spans="2:24" s="110" customFormat="1" x14ac:dyDescent="0.2">
      <c r="B149" s="636" t="str">
        <f>'input-data'!$B$225</f>
        <v xml:space="preserve"> Slagtesvin</v>
      </c>
      <c r="C149" s="63" t="str">
        <f>'input-data'!$B$226</f>
        <v xml:space="preserve">  Kraftfoder:</v>
      </c>
      <c r="D149" s="63" t="str">
        <f>'input-data'!$B$228</f>
        <v xml:space="preserve">    blanding 1, for vægtinterval, kg:</v>
      </c>
      <c r="E149" s="677">
        <f>'input-data'!E239</f>
        <v>0</v>
      </c>
      <c r="F149" s="261">
        <f>IFERROR('Flow slagtesvin'!$D$30*100/'Flow slagtesvin'!$D$49*'input-data'!I239/100,0)</f>
        <v>0</v>
      </c>
      <c r="G149" s="337">
        <f t="shared" si="66"/>
        <v>0</v>
      </c>
      <c r="H149" s="337">
        <f>F149*'Flow slagtesvin'!$D$8</f>
        <v>0</v>
      </c>
      <c r="I149" s="337">
        <f t="shared" si="67"/>
        <v>0</v>
      </c>
      <c r="J149" s="337">
        <f>I149*'Flow slagtesvin'!$D$8</f>
        <v>0</v>
      </c>
      <c r="K149" s="337">
        <f t="shared" si="82"/>
        <v>0</v>
      </c>
      <c r="L149" s="633">
        <f t="shared" si="83"/>
        <v>0</v>
      </c>
      <c r="M149" s="627">
        <f t="shared" si="84"/>
        <v>0</v>
      </c>
      <c r="N149" s="337">
        <f t="shared" si="85"/>
        <v>0</v>
      </c>
      <c r="O149" s="337">
        <f t="shared" si="86"/>
        <v>0</v>
      </c>
      <c r="P149" s="637">
        <f t="shared" si="87"/>
        <v>0</v>
      </c>
      <c r="Q149" s="694">
        <f t="shared" si="75"/>
        <v>0</v>
      </c>
      <c r="R149" s="337">
        <f t="shared" si="76"/>
        <v>0</v>
      </c>
      <c r="S149" s="337">
        <f t="shared" si="77"/>
        <v>0</v>
      </c>
      <c r="T149" s="337">
        <f t="shared" si="78"/>
        <v>0</v>
      </c>
      <c r="U149" s="337">
        <f t="shared" si="79"/>
        <v>0</v>
      </c>
      <c r="V149" s="337">
        <f t="shared" si="80"/>
        <v>0</v>
      </c>
      <c r="W149" s="695">
        <f t="shared" si="81"/>
        <v>0</v>
      </c>
      <c r="X149" s="828">
        <f t="shared" si="88"/>
        <v>0</v>
      </c>
    </row>
    <row r="150" spans="2:24" s="110" customFormat="1" x14ac:dyDescent="0.2">
      <c r="B150" s="636" t="str">
        <f>'input-data'!$B$225</f>
        <v xml:space="preserve"> Slagtesvin</v>
      </c>
      <c r="C150" s="63" t="str">
        <f>'input-data'!$B$226</f>
        <v xml:space="preserve">  Kraftfoder:</v>
      </c>
      <c r="D150" s="63" t="str">
        <f>'input-data'!$B$228</f>
        <v xml:space="preserve">    blanding 1, for vægtinterval, kg:</v>
      </c>
      <c r="E150" s="677">
        <f>'input-data'!E240</f>
        <v>0</v>
      </c>
      <c r="F150" s="261">
        <f>IFERROR('Flow slagtesvin'!$D$30*100/'Flow slagtesvin'!$D$49*'input-data'!I240/100,0)</f>
        <v>0</v>
      </c>
      <c r="G150" s="337">
        <f t="shared" si="66"/>
        <v>0</v>
      </c>
      <c r="H150" s="337">
        <f>F150*'Flow slagtesvin'!$D$8</f>
        <v>0</v>
      </c>
      <c r="I150" s="337">
        <f t="shared" si="67"/>
        <v>0</v>
      </c>
      <c r="J150" s="337">
        <f>I150*'Flow slagtesvin'!$D$8</f>
        <v>0</v>
      </c>
      <c r="K150" s="337">
        <f t="shared" si="82"/>
        <v>0</v>
      </c>
      <c r="L150" s="633">
        <f t="shared" si="83"/>
        <v>0</v>
      </c>
      <c r="M150" s="627">
        <f t="shared" si="84"/>
        <v>0</v>
      </c>
      <c r="N150" s="337">
        <f t="shared" si="85"/>
        <v>0</v>
      </c>
      <c r="O150" s="337">
        <f t="shared" si="86"/>
        <v>0</v>
      </c>
      <c r="P150" s="637">
        <f t="shared" si="87"/>
        <v>0</v>
      </c>
      <c r="Q150" s="694">
        <f t="shared" si="75"/>
        <v>0</v>
      </c>
      <c r="R150" s="337">
        <f t="shared" si="76"/>
        <v>0</v>
      </c>
      <c r="S150" s="337">
        <f t="shared" si="77"/>
        <v>0</v>
      </c>
      <c r="T150" s="337">
        <f t="shared" si="78"/>
        <v>0</v>
      </c>
      <c r="U150" s="337">
        <f t="shared" si="79"/>
        <v>0</v>
      </c>
      <c r="V150" s="337">
        <f t="shared" si="80"/>
        <v>0</v>
      </c>
      <c r="W150" s="695">
        <f t="shared" si="81"/>
        <v>0</v>
      </c>
      <c r="X150" s="828">
        <f t="shared" si="88"/>
        <v>0</v>
      </c>
    </row>
    <row r="151" spans="2:24" s="110" customFormat="1" x14ac:dyDescent="0.2">
      <c r="B151" s="636" t="str">
        <f>'input-data'!$B$225</f>
        <v xml:space="preserve"> Slagtesvin</v>
      </c>
      <c r="C151" s="63" t="str">
        <f>'input-data'!$B$226</f>
        <v xml:space="preserve">  Kraftfoder:</v>
      </c>
      <c r="D151" s="63" t="str">
        <f>'input-data'!$B$228</f>
        <v xml:space="preserve">    blanding 1, for vægtinterval, kg:</v>
      </c>
      <c r="E151" s="677">
        <f>'input-data'!E241</f>
        <v>0</v>
      </c>
      <c r="F151" s="261">
        <f>IFERROR('Flow slagtesvin'!$D$30*100/'Flow slagtesvin'!$D$49*'input-data'!I241/100,0)</f>
        <v>0</v>
      </c>
      <c r="G151" s="337">
        <f t="shared" si="66"/>
        <v>0</v>
      </c>
      <c r="H151" s="337">
        <f>F151*'Flow slagtesvin'!$D$8</f>
        <v>0</v>
      </c>
      <c r="I151" s="337">
        <f t="shared" si="67"/>
        <v>0</v>
      </c>
      <c r="J151" s="337">
        <f>I151*'Flow slagtesvin'!$D$8</f>
        <v>0</v>
      </c>
      <c r="K151" s="337">
        <f t="shared" si="82"/>
        <v>0</v>
      </c>
      <c r="L151" s="633">
        <f t="shared" si="83"/>
        <v>0</v>
      </c>
      <c r="M151" s="627">
        <f t="shared" si="84"/>
        <v>0</v>
      </c>
      <c r="N151" s="337">
        <f t="shared" si="85"/>
        <v>0</v>
      </c>
      <c r="O151" s="337">
        <f t="shared" si="86"/>
        <v>0</v>
      </c>
      <c r="P151" s="637">
        <f t="shared" si="87"/>
        <v>0</v>
      </c>
      <c r="Q151" s="694">
        <f t="shared" si="75"/>
        <v>0</v>
      </c>
      <c r="R151" s="337">
        <f t="shared" si="76"/>
        <v>0</v>
      </c>
      <c r="S151" s="337">
        <f t="shared" si="77"/>
        <v>0</v>
      </c>
      <c r="T151" s="337">
        <f t="shared" si="78"/>
        <v>0</v>
      </c>
      <c r="U151" s="337">
        <f t="shared" si="79"/>
        <v>0</v>
      </c>
      <c r="V151" s="337">
        <f t="shared" si="80"/>
        <v>0</v>
      </c>
      <c r="W151" s="695">
        <f t="shared" si="81"/>
        <v>0</v>
      </c>
      <c r="X151" s="828">
        <f t="shared" si="88"/>
        <v>0</v>
      </c>
    </row>
    <row r="152" spans="2:24" s="110" customFormat="1" x14ac:dyDescent="0.2">
      <c r="B152" s="636" t="str">
        <f>'input-data'!$B$225</f>
        <v xml:space="preserve"> Slagtesvin</v>
      </c>
      <c r="C152" s="63" t="str">
        <f>'input-data'!$B$226</f>
        <v xml:space="preserve">  Kraftfoder:</v>
      </c>
      <c r="D152" s="63" t="str">
        <f>'input-data'!$B$228</f>
        <v xml:space="preserve">    blanding 1, for vægtinterval, kg:</v>
      </c>
      <c r="E152" s="677">
        <f>'input-data'!E242</f>
        <v>0</v>
      </c>
      <c r="F152" s="261">
        <f>IFERROR('Flow slagtesvin'!$D$30*100/'Flow slagtesvin'!$D$49*'input-data'!I242/100,0)</f>
        <v>0</v>
      </c>
      <c r="G152" s="337">
        <f t="shared" si="66"/>
        <v>0</v>
      </c>
      <c r="H152" s="337">
        <f>F152*'Flow slagtesvin'!$D$8</f>
        <v>0</v>
      </c>
      <c r="I152" s="337">
        <f t="shared" si="67"/>
        <v>0</v>
      </c>
      <c r="J152" s="337">
        <f>I152*'Flow slagtesvin'!$D$8</f>
        <v>0</v>
      </c>
      <c r="K152" s="337">
        <f t="shared" si="82"/>
        <v>0</v>
      </c>
      <c r="L152" s="633">
        <f t="shared" si="83"/>
        <v>0</v>
      </c>
      <c r="M152" s="627">
        <f t="shared" si="84"/>
        <v>0</v>
      </c>
      <c r="N152" s="337">
        <f t="shared" si="85"/>
        <v>0</v>
      </c>
      <c r="O152" s="337">
        <f t="shared" si="86"/>
        <v>0</v>
      </c>
      <c r="P152" s="637">
        <f t="shared" si="87"/>
        <v>0</v>
      </c>
      <c r="Q152" s="694">
        <f t="shared" si="75"/>
        <v>0</v>
      </c>
      <c r="R152" s="337">
        <f t="shared" si="76"/>
        <v>0</v>
      </c>
      <c r="S152" s="337">
        <f t="shared" si="77"/>
        <v>0</v>
      </c>
      <c r="T152" s="337">
        <f t="shared" si="78"/>
        <v>0</v>
      </c>
      <c r="U152" s="337">
        <f t="shared" si="79"/>
        <v>0</v>
      </c>
      <c r="V152" s="337">
        <f t="shared" si="80"/>
        <v>0</v>
      </c>
      <c r="W152" s="695">
        <f t="shared" si="81"/>
        <v>0</v>
      </c>
      <c r="X152" s="828">
        <f t="shared" si="88"/>
        <v>0</v>
      </c>
    </row>
    <row r="153" spans="2:24" s="110" customFormat="1" x14ac:dyDescent="0.2">
      <c r="B153" s="636" t="str">
        <f>'input-data'!$B$225</f>
        <v xml:space="preserve"> Slagtesvin</v>
      </c>
      <c r="C153" s="63" t="str">
        <f>'input-data'!$B$226</f>
        <v xml:space="preserve">  Kraftfoder:</v>
      </c>
      <c r="D153" s="63" t="str">
        <f>'input-data'!$B$228</f>
        <v xml:space="preserve">    blanding 1, for vægtinterval, kg:</v>
      </c>
      <c r="E153" s="677">
        <f>'input-data'!E243</f>
        <v>0</v>
      </c>
      <c r="F153" s="261">
        <f>IFERROR('Flow slagtesvin'!$D$30*100/'Flow slagtesvin'!$D$49*'input-data'!I243/100,0)</f>
        <v>0</v>
      </c>
      <c r="G153" s="337">
        <f t="shared" ref="G153:G184" si="89">IFERROR(F153*VLOOKUP(E153, Fodertabel, 3, FALSE), 0)</f>
        <v>0</v>
      </c>
      <c r="H153" s="337">
        <f>F153*'Flow slagtesvin'!$D$8</f>
        <v>0</v>
      </c>
      <c r="I153" s="337">
        <f t="shared" ref="I153:I184" si="90">IFERROR(F153*VLOOKUP(E153, Fodertabel, 9, FALSE)/100, 0)</f>
        <v>0</v>
      </c>
      <c r="J153" s="337">
        <f>I153*'Flow slagtesvin'!$D$8</f>
        <v>0</v>
      </c>
      <c r="K153" s="337">
        <f t="shared" si="82"/>
        <v>0</v>
      </c>
      <c r="L153" s="633">
        <f t="shared" si="83"/>
        <v>0</v>
      </c>
      <c r="M153" s="627">
        <f t="shared" si="84"/>
        <v>0</v>
      </c>
      <c r="N153" s="337">
        <f t="shared" si="85"/>
        <v>0</v>
      </c>
      <c r="O153" s="337">
        <f t="shared" si="86"/>
        <v>0</v>
      </c>
      <c r="P153" s="637">
        <f t="shared" si="87"/>
        <v>0</v>
      </c>
      <c r="Q153" s="694">
        <f t="shared" si="75"/>
        <v>0</v>
      </c>
      <c r="R153" s="337">
        <f t="shared" si="76"/>
        <v>0</v>
      </c>
      <c r="S153" s="337">
        <f t="shared" si="77"/>
        <v>0</v>
      </c>
      <c r="T153" s="337">
        <f t="shared" si="78"/>
        <v>0</v>
      </c>
      <c r="U153" s="337">
        <f t="shared" si="79"/>
        <v>0</v>
      </c>
      <c r="V153" s="337">
        <f t="shared" si="80"/>
        <v>0</v>
      </c>
      <c r="W153" s="695">
        <f t="shared" si="81"/>
        <v>0</v>
      </c>
      <c r="X153" s="828">
        <f t="shared" si="88"/>
        <v>0</v>
      </c>
    </row>
    <row r="154" spans="2:24" s="110" customFormat="1" x14ac:dyDescent="0.2">
      <c r="B154" s="636" t="str">
        <f>'input-data'!$B$225</f>
        <v xml:space="preserve"> Slagtesvin</v>
      </c>
      <c r="C154" s="63" t="str">
        <f>'input-data'!$B$226</f>
        <v xml:space="preserve">  Kraftfoder:</v>
      </c>
      <c r="D154" s="63" t="str">
        <f>'input-data'!$B$228</f>
        <v xml:space="preserve">    blanding 1, for vægtinterval, kg:</v>
      </c>
      <c r="E154" s="677">
        <f>'input-data'!E244</f>
        <v>0</v>
      </c>
      <c r="F154" s="261">
        <f>IFERROR('Flow slagtesvin'!$D$30*100/'Flow slagtesvin'!$D$49*'input-data'!I244/100,0)</f>
        <v>0</v>
      </c>
      <c r="G154" s="337">
        <f t="shared" si="89"/>
        <v>0</v>
      </c>
      <c r="H154" s="337">
        <f>F154*'Flow slagtesvin'!$D$8</f>
        <v>0</v>
      </c>
      <c r="I154" s="337">
        <f t="shared" si="90"/>
        <v>0</v>
      </c>
      <c r="J154" s="337">
        <f>I154*'Flow slagtesvin'!$D$8</f>
        <v>0</v>
      </c>
      <c r="K154" s="337">
        <f t="shared" si="82"/>
        <v>0</v>
      </c>
      <c r="L154" s="633">
        <f t="shared" si="83"/>
        <v>0</v>
      </c>
      <c r="M154" s="627">
        <f t="shared" si="84"/>
        <v>0</v>
      </c>
      <c r="N154" s="337">
        <f t="shared" si="85"/>
        <v>0</v>
      </c>
      <c r="O154" s="337">
        <f t="shared" si="86"/>
        <v>0</v>
      </c>
      <c r="P154" s="637">
        <f t="shared" si="87"/>
        <v>0</v>
      </c>
      <c r="Q154" s="694">
        <f t="shared" si="75"/>
        <v>0</v>
      </c>
      <c r="R154" s="337">
        <f t="shared" si="76"/>
        <v>0</v>
      </c>
      <c r="S154" s="337">
        <f t="shared" si="77"/>
        <v>0</v>
      </c>
      <c r="T154" s="337">
        <f t="shared" si="78"/>
        <v>0</v>
      </c>
      <c r="U154" s="337">
        <f t="shared" si="79"/>
        <v>0</v>
      </c>
      <c r="V154" s="337">
        <f t="shared" si="80"/>
        <v>0</v>
      </c>
      <c r="W154" s="695">
        <f t="shared" si="81"/>
        <v>0</v>
      </c>
      <c r="X154" s="828">
        <f t="shared" si="88"/>
        <v>0</v>
      </c>
    </row>
    <row r="155" spans="2:24" s="110" customFormat="1" x14ac:dyDescent="0.2">
      <c r="B155" s="636" t="str">
        <f>'input-data'!$B$225</f>
        <v xml:space="preserve"> Slagtesvin</v>
      </c>
      <c r="C155" s="63" t="str">
        <f>'input-data'!$B$226</f>
        <v xml:space="preserve">  Kraftfoder:</v>
      </c>
      <c r="D155" s="63" t="str">
        <f>'input-data'!$B$247</f>
        <v xml:space="preserve">    blanding 2, for vægtinterval, kg:</v>
      </c>
      <c r="E155" s="677">
        <f>'input-data'!E249</f>
        <v>0</v>
      </c>
      <c r="F155" s="261">
        <f>IFERROR('Flow slagtesvin'!$D$31*100/'Flow slagtesvin'!$D$54*'input-data'!I249/100, 0)</f>
        <v>0</v>
      </c>
      <c r="G155" s="337">
        <f t="shared" si="89"/>
        <v>0</v>
      </c>
      <c r="H155" s="337">
        <f>F155*'Flow slagtesvin'!$D$8</f>
        <v>0</v>
      </c>
      <c r="I155" s="337">
        <f t="shared" si="90"/>
        <v>0</v>
      </c>
      <c r="J155" s="337">
        <f>I155*'Flow slagtesvin'!$D$8</f>
        <v>0</v>
      </c>
      <c r="K155" s="337">
        <f t="shared" si="82"/>
        <v>0</v>
      </c>
      <c r="L155" s="633">
        <f t="shared" si="83"/>
        <v>0</v>
      </c>
      <c r="M155" s="627">
        <f t="shared" si="84"/>
        <v>0</v>
      </c>
      <c r="N155" s="337">
        <f t="shared" si="85"/>
        <v>0</v>
      </c>
      <c r="O155" s="337">
        <f t="shared" si="86"/>
        <v>0</v>
      </c>
      <c r="P155" s="637">
        <f t="shared" si="87"/>
        <v>0</v>
      </c>
      <c r="Q155" s="694">
        <f t="shared" si="75"/>
        <v>0</v>
      </c>
      <c r="R155" s="337">
        <f t="shared" si="76"/>
        <v>0</v>
      </c>
      <c r="S155" s="337">
        <f t="shared" si="77"/>
        <v>0</v>
      </c>
      <c r="T155" s="337">
        <f t="shared" si="78"/>
        <v>0</v>
      </c>
      <c r="U155" s="337">
        <f t="shared" si="79"/>
        <v>0</v>
      </c>
      <c r="V155" s="337">
        <f t="shared" si="80"/>
        <v>0</v>
      </c>
      <c r="W155" s="695">
        <f t="shared" si="81"/>
        <v>0</v>
      </c>
      <c r="X155" s="828">
        <f t="shared" si="88"/>
        <v>0</v>
      </c>
    </row>
    <row r="156" spans="2:24" s="110" customFormat="1" x14ac:dyDescent="0.2">
      <c r="B156" s="636" t="str">
        <f>'input-data'!$B$225</f>
        <v xml:space="preserve"> Slagtesvin</v>
      </c>
      <c r="C156" s="63" t="str">
        <f>'input-data'!$B$226</f>
        <v xml:space="preserve">  Kraftfoder:</v>
      </c>
      <c r="D156" s="63" t="str">
        <f>'input-data'!$B$247</f>
        <v xml:space="preserve">    blanding 2, for vægtinterval, kg:</v>
      </c>
      <c r="E156" s="677">
        <f>'input-data'!E250</f>
        <v>0</v>
      </c>
      <c r="F156" s="261">
        <f>IFERROR('Flow slagtesvin'!$D$31*100/'Flow slagtesvin'!$D$54*'input-data'!I250/100, 0)</f>
        <v>0</v>
      </c>
      <c r="G156" s="337">
        <f t="shared" si="89"/>
        <v>0</v>
      </c>
      <c r="H156" s="337">
        <f>F156*'Flow slagtesvin'!$D$8</f>
        <v>0</v>
      </c>
      <c r="I156" s="337">
        <f t="shared" si="90"/>
        <v>0</v>
      </c>
      <c r="J156" s="337">
        <f>I156*'Flow slagtesvin'!$D$8</f>
        <v>0</v>
      </c>
      <c r="K156" s="337">
        <f t="shared" si="82"/>
        <v>0</v>
      </c>
      <c r="L156" s="633">
        <f t="shared" si="83"/>
        <v>0</v>
      </c>
      <c r="M156" s="627">
        <f t="shared" si="84"/>
        <v>0</v>
      </c>
      <c r="N156" s="337">
        <f t="shared" si="85"/>
        <v>0</v>
      </c>
      <c r="O156" s="337">
        <f t="shared" si="86"/>
        <v>0</v>
      </c>
      <c r="P156" s="637">
        <f t="shared" si="87"/>
        <v>0</v>
      </c>
      <c r="Q156" s="694">
        <f t="shared" si="75"/>
        <v>0</v>
      </c>
      <c r="R156" s="337">
        <f t="shared" si="76"/>
        <v>0</v>
      </c>
      <c r="S156" s="337">
        <f t="shared" si="77"/>
        <v>0</v>
      </c>
      <c r="T156" s="337">
        <f t="shared" si="78"/>
        <v>0</v>
      </c>
      <c r="U156" s="337">
        <f t="shared" si="79"/>
        <v>0</v>
      </c>
      <c r="V156" s="337">
        <f t="shared" si="80"/>
        <v>0</v>
      </c>
      <c r="W156" s="695">
        <f t="shared" si="81"/>
        <v>0</v>
      </c>
      <c r="X156" s="828">
        <f t="shared" si="88"/>
        <v>0</v>
      </c>
    </row>
    <row r="157" spans="2:24" s="110" customFormat="1" x14ac:dyDescent="0.2">
      <c r="B157" s="636" t="str">
        <f>'input-data'!$B$225</f>
        <v xml:space="preserve"> Slagtesvin</v>
      </c>
      <c r="C157" s="63" t="str">
        <f>'input-data'!$B$226</f>
        <v xml:space="preserve">  Kraftfoder:</v>
      </c>
      <c r="D157" s="63" t="str">
        <f>'input-data'!$B$247</f>
        <v xml:space="preserve">    blanding 2, for vægtinterval, kg:</v>
      </c>
      <c r="E157" s="677">
        <f>'input-data'!E251</f>
        <v>0</v>
      </c>
      <c r="F157" s="261">
        <f>IFERROR('Flow slagtesvin'!$D$31*100/'Flow slagtesvin'!$D$54*'input-data'!I251/100, 0)</f>
        <v>0</v>
      </c>
      <c r="G157" s="337">
        <f t="shared" si="89"/>
        <v>0</v>
      </c>
      <c r="H157" s="337">
        <f>F157*'Flow slagtesvin'!$D$8</f>
        <v>0</v>
      </c>
      <c r="I157" s="337">
        <f t="shared" si="90"/>
        <v>0</v>
      </c>
      <c r="J157" s="337">
        <f>I157*'Flow slagtesvin'!$D$8</f>
        <v>0</v>
      </c>
      <c r="K157" s="337">
        <f t="shared" si="82"/>
        <v>0</v>
      </c>
      <c r="L157" s="633">
        <f t="shared" si="83"/>
        <v>0</v>
      </c>
      <c r="M157" s="627">
        <f t="shared" si="84"/>
        <v>0</v>
      </c>
      <c r="N157" s="337">
        <f t="shared" si="85"/>
        <v>0</v>
      </c>
      <c r="O157" s="337">
        <f t="shared" si="86"/>
        <v>0</v>
      </c>
      <c r="P157" s="637">
        <f t="shared" si="87"/>
        <v>0</v>
      </c>
      <c r="Q157" s="694">
        <f t="shared" si="75"/>
        <v>0</v>
      </c>
      <c r="R157" s="337">
        <f t="shared" si="76"/>
        <v>0</v>
      </c>
      <c r="S157" s="337">
        <f t="shared" si="77"/>
        <v>0</v>
      </c>
      <c r="T157" s="337">
        <f t="shared" si="78"/>
        <v>0</v>
      </c>
      <c r="U157" s="337">
        <f t="shared" si="79"/>
        <v>0</v>
      </c>
      <c r="V157" s="337">
        <f t="shared" si="80"/>
        <v>0</v>
      </c>
      <c r="W157" s="695">
        <f t="shared" si="81"/>
        <v>0</v>
      </c>
      <c r="X157" s="828">
        <f t="shared" si="88"/>
        <v>0</v>
      </c>
    </row>
    <row r="158" spans="2:24" s="110" customFormat="1" x14ac:dyDescent="0.2">
      <c r="B158" s="636" t="str">
        <f>'input-data'!$B$225</f>
        <v xml:space="preserve"> Slagtesvin</v>
      </c>
      <c r="C158" s="63" t="str">
        <f>'input-data'!$B$226</f>
        <v xml:space="preserve">  Kraftfoder:</v>
      </c>
      <c r="D158" s="63" t="str">
        <f>'input-data'!$B$247</f>
        <v xml:space="preserve">    blanding 2, for vægtinterval, kg:</v>
      </c>
      <c r="E158" s="677">
        <f>'input-data'!E252</f>
        <v>0</v>
      </c>
      <c r="F158" s="261">
        <f>IFERROR('Flow slagtesvin'!$D$31*100/'Flow slagtesvin'!$D$54*'input-data'!I252/100, 0)</f>
        <v>0</v>
      </c>
      <c r="G158" s="337">
        <f t="shared" si="89"/>
        <v>0</v>
      </c>
      <c r="H158" s="337">
        <f>F158*'Flow slagtesvin'!$D$8</f>
        <v>0</v>
      </c>
      <c r="I158" s="337">
        <f t="shared" si="90"/>
        <v>0</v>
      </c>
      <c r="J158" s="337">
        <f>I158*'Flow slagtesvin'!$D$8</f>
        <v>0</v>
      </c>
      <c r="K158" s="337">
        <f t="shared" si="82"/>
        <v>0</v>
      </c>
      <c r="L158" s="633">
        <f t="shared" si="83"/>
        <v>0</v>
      </c>
      <c r="M158" s="627">
        <f t="shared" si="84"/>
        <v>0</v>
      </c>
      <c r="N158" s="337">
        <f t="shared" si="85"/>
        <v>0</v>
      </c>
      <c r="O158" s="337">
        <f t="shared" si="86"/>
        <v>0</v>
      </c>
      <c r="P158" s="637">
        <f t="shared" si="87"/>
        <v>0</v>
      </c>
      <c r="Q158" s="694">
        <f t="shared" si="75"/>
        <v>0</v>
      </c>
      <c r="R158" s="337">
        <f t="shared" si="76"/>
        <v>0</v>
      </c>
      <c r="S158" s="337">
        <f t="shared" si="77"/>
        <v>0</v>
      </c>
      <c r="T158" s="337">
        <f t="shared" si="78"/>
        <v>0</v>
      </c>
      <c r="U158" s="337">
        <f t="shared" si="79"/>
        <v>0</v>
      </c>
      <c r="V158" s="337">
        <f t="shared" si="80"/>
        <v>0</v>
      </c>
      <c r="W158" s="695">
        <f t="shared" si="81"/>
        <v>0</v>
      </c>
      <c r="X158" s="828">
        <f t="shared" si="88"/>
        <v>0</v>
      </c>
    </row>
    <row r="159" spans="2:24" s="110" customFormat="1" x14ac:dyDescent="0.2">
      <c r="B159" s="636" t="str">
        <f>'input-data'!$B$225</f>
        <v xml:space="preserve"> Slagtesvin</v>
      </c>
      <c r="C159" s="63" t="str">
        <f>'input-data'!$B$226</f>
        <v xml:space="preserve">  Kraftfoder:</v>
      </c>
      <c r="D159" s="63" t="str">
        <f>'input-data'!$B$247</f>
        <v xml:space="preserve">    blanding 2, for vægtinterval, kg:</v>
      </c>
      <c r="E159" s="813">
        <f>'input-data'!E253</f>
        <v>0</v>
      </c>
      <c r="F159" s="261">
        <f>IFERROR('Flow slagtesvin'!$D$31*100/'Flow slagtesvin'!$D$54*'input-data'!I253/100, 0)</f>
        <v>0</v>
      </c>
      <c r="G159" s="337">
        <f t="shared" si="89"/>
        <v>0</v>
      </c>
      <c r="H159" s="337">
        <f>F159*'Flow slagtesvin'!$D$8</f>
        <v>0</v>
      </c>
      <c r="I159" s="337">
        <f t="shared" si="90"/>
        <v>0</v>
      </c>
      <c r="J159" s="337">
        <f>I159*'Flow slagtesvin'!$D$8</f>
        <v>0</v>
      </c>
      <c r="K159" s="337">
        <f t="shared" si="82"/>
        <v>0</v>
      </c>
      <c r="L159" s="633">
        <f t="shared" si="83"/>
        <v>0</v>
      </c>
      <c r="M159" s="627">
        <f t="shared" si="84"/>
        <v>0</v>
      </c>
      <c r="N159" s="337">
        <f t="shared" si="85"/>
        <v>0</v>
      </c>
      <c r="O159" s="337">
        <f t="shared" si="86"/>
        <v>0</v>
      </c>
      <c r="P159" s="637">
        <f t="shared" si="87"/>
        <v>0</v>
      </c>
      <c r="Q159" s="694">
        <f t="shared" si="75"/>
        <v>0</v>
      </c>
      <c r="R159" s="337">
        <f t="shared" si="76"/>
        <v>0</v>
      </c>
      <c r="S159" s="337">
        <f t="shared" si="77"/>
        <v>0</v>
      </c>
      <c r="T159" s="337">
        <f t="shared" si="78"/>
        <v>0</v>
      </c>
      <c r="U159" s="337">
        <f t="shared" si="79"/>
        <v>0</v>
      </c>
      <c r="V159" s="337">
        <f t="shared" si="80"/>
        <v>0</v>
      </c>
      <c r="W159" s="695">
        <f t="shared" si="81"/>
        <v>0</v>
      </c>
      <c r="X159" s="828">
        <f t="shared" si="88"/>
        <v>0</v>
      </c>
    </row>
    <row r="160" spans="2:24" s="110" customFormat="1" x14ac:dyDescent="0.2">
      <c r="B160" s="636" t="str">
        <f>'input-data'!$B$225</f>
        <v xml:space="preserve"> Slagtesvin</v>
      </c>
      <c r="C160" s="63" t="str">
        <f>'input-data'!$B$226</f>
        <v xml:space="preserve">  Kraftfoder:</v>
      </c>
      <c r="D160" s="63" t="str">
        <f>'input-data'!$B$247</f>
        <v xml:space="preserve">    blanding 2, for vægtinterval, kg:</v>
      </c>
      <c r="E160" s="813">
        <f>'input-data'!E254</f>
        <v>0</v>
      </c>
      <c r="F160" s="261">
        <f>IFERROR('Flow slagtesvin'!$D$31*100/'Flow slagtesvin'!$D$54*'input-data'!I254/100, 0)</f>
        <v>0</v>
      </c>
      <c r="G160" s="337">
        <f t="shared" si="89"/>
        <v>0</v>
      </c>
      <c r="H160" s="337">
        <f>F160*'Flow slagtesvin'!$D$8</f>
        <v>0</v>
      </c>
      <c r="I160" s="337">
        <f t="shared" si="90"/>
        <v>0</v>
      </c>
      <c r="J160" s="337">
        <f>I160*'Flow slagtesvin'!$D$8</f>
        <v>0</v>
      </c>
      <c r="K160" s="337">
        <f t="shared" si="82"/>
        <v>0</v>
      </c>
      <c r="L160" s="633">
        <f t="shared" si="83"/>
        <v>0</v>
      </c>
      <c r="M160" s="813">
        <f t="shared" si="84"/>
        <v>0</v>
      </c>
      <c r="N160" s="337">
        <f t="shared" si="85"/>
        <v>0</v>
      </c>
      <c r="O160" s="337">
        <f t="shared" si="86"/>
        <v>0</v>
      </c>
      <c r="P160" s="637">
        <f t="shared" si="87"/>
        <v>0</v>
      </c>
      <c r="Q160" s="694">
        <f t="shared" si="75"/>
        <v>0</v>
      </c>
      <c r="R160" s="337">
        <f t="shared" si="76"/>
        <v>0</v>
      </c>
      <c r="S160" s="337">
        <f t="shared" si="77"/>
        <v>0</v>
      </c>
      <c r="T160" s="337">
        <f t="shared" si="78"/>
        <v>0</v>
      </c>
      <c r="U160" s="337">
        <f t="shared" si="79"/>
        <v>0</v>
      </c>
      <c r="V160" s="337">
        <f t="shared" si="80"/>
        <v>0</v>
      </c>
      <c r="W160" s="695">
        <f t="shared" si="81"/>
        <v>0</v>
      </c>
      <c r="X160" s="828">
        <f t="shared" si="88"/>
        <v>0</v>
      </c>
    </row>
    <row r="161" spans="2:24" s="110" customFormat="1" x14ac:dyDescent="0.2">
      <c r="B161" s="636" t="str">
        <f>'input-data'!$B$225</f>
        <v xml:space="preserve"> Slagtesvin</v>
      </c>
      <c r="C161" s="63" t="str">
        <f>'input-data'!$B$226</f>
        <v xml:space="preserve">  Kraftfoder:</v>
      </c>
      <c r="D161" s="63" t="str">
        <f>'input-data'!$B$247</f>
        <v xml:space="preserve">    blanding 2, for vægtinterval, kg:</v>
      </c>
      <c r="E161" s="813">
        <f>'input-data'!E255</f>
        <v>0</v>
      </c>
      <c r="F161" s="261">
        <f>IFERROR('Flow slagtesvin'!$D$31*100/'Flow slagtesvin'!$D$54*'input-data'!I255/100, 0)</f>
        <v>0</v>
      </c>
      <c r="G161" s="337">
        <f t="shared" si="89"/>
        <v>0</v>
      </c>
      <c r="H161" s="337">
        <f>F161*'Flow slagtesvin'!$D$8</f>
        <v>0</v>
      </c>
      <c r="I161" s="337">
        <f t="shared" si="90"/>
        <v>0</v>
      </c>
      <c r="J161" s="337">
        <f>I161*'Flow slagtesvin'!$D$8</f>
        <v>0</v>
      </c>
      <c r="K161" s="337">
        <f t="shared" si="82"/>
        <v>0</v>
      </c>
      <c r="L161" s="633">
        <f t="shared" si="83"/>
        <v>0</v>
      </c>
      <c r="M161" s="813">
        <f t="shared" si="84"/>
        <v>0</v>
      </c>
      <c r="N161" s="337">
        <f t="shared" si="85"/>
        <v>0</v>
      </c>
      <c r="O161" s="337">
        <f t="shared" si="86"/>
        <v>0</v>
      </c>
      <c r="P161" s="637">
        <f t="shared" si="87"/>
        <v>0</v>
      </c>
      <c r="Q161" s="694">
        <f t="shared" si="75"/>
        <v>0</v>
      </c>
      <c r="R161" s="337">
        <f t="shared" si="76"/>
        <v>0</v>
      </c>
      <c r="S161" s="337">
        <f t="shared" si="77"/>
        <v>0</v>
      </c>
      <c r="T161" s="337">
        <f t="shared" si="78"/>
        <v>0</v>
      </c>
      <c r="U161" s="337">
        <f t="shared" si="79"/>
        <v>0</v>
      </c>
      <c r="V161" s="337">
        <f t="shared" si="80"/>
        <v>0</v>
      </c>
      <c r="W161" s="695">
        <f t="shared" si="81"/>
        <v>0</v>
      </c>
      <c r="X161" s="828">
        <f t="shared" si="88"/>
        <v>0</v>
      </c>
    </row>
    <row r="162" spans="2:24" s="110" customFormat="1" x14ac:dyDescent="0.2">
      <c r="B162" s="636" t="str">
        <f>'input-data'!$B$225</f>
        <v xml:space="preserve"> Slagtesvin</v>
      </c>
      <c r="C162" s="63" t="str">
        <f>'input-data'!$B$226</f>
        <v xml:space="preserve">  Kraftfoder:</v>
      </c>
      <c r="D162" s="63" t="str">
        <f>'input-data'!$B$247</f>
        <v xml:space="preserve">    blanding 2, for vægtinterval, kg:</v>
      </c>
      <c r="E162" s="677">
        <f>'input-data'!E256</f>
        <v>0</v>
      </c>
      <c r="F162" s="261">
        <f>IFERROR('Flow slagtesvin'!$D$31*100/'Flow slagtesvin'!$D$54*'input-data'!I256/100, 0)</f>
        <v>0</v>
      </c>
      <c r="G162" s="337">
        <f t="shared" si="89"/>
        <v>0</v>
      </c>
      <c r="H162" s="337">
        <f>F162*'Flow slagtesvin'!$D$8</f>
        <v>0</v>
      </c>
      <c r="I162" s="337">
        <f t="shared" si="90"/>
        <v>0</v>
      </c>
      <c r="J162" s="337">
        <f>I162*'Flow slagtesvin'!$D$8</f>
        <v>0</v>
      </c>
      <c r="K162" s="337">
        <f t="shared" si="82"/>
        <v>0</v>
      </c>
      <c r="L162" s="633">
        <f t="shared" si="83"/>
        <v>0</v>
      </c>
      <c r="M162" s="627">
        <f t="shared" si="84"/>
        <v>0</v>
      </c>
      <c r="N162" s="337">
        <f t="shared" si="85"/>
        <v>0</v>
      </c>
      <c r="O162" s="337">
        <f t="shared" si="86"/>
        <v>0</v>
      </c>
      <c r="P162" s="637">
        <f t="shared" si="87"/>
        <v>0</v>
      </c>
      <c r="Q162" s="694">
        <f t="shared" si="75"/>
        <v>0</v>
      </c>
      <c r="R162" s="337">
        <f t="shared" si="76"/>
        <v>0</v>
      </c>
      <c r="S162" s="337">
        <f t="shared" si="77"/>
        <v>0</v>
      </c>
      <c r="T162" s="337">
        <f t="shared" si="78"/>
        <v>0</v>
      </c>
      <c r="U162" s="337">
        <f t="shared" si="79"/>
        <v>0</v>
      </c>
      <c r="V162" s="337">
        <f t="shared" si="80"/>
        <v>0</v>
      </c>
      <c r="W162" s="695">
        <f t="shared" si="81"/>
        <v>0</v>
      </c>
      <c r="X162" s="828">
        <f t="shared" si="88"/>
        <v>0</v>
      </c>
    </row>
    <row r="163" spans="2:24" s="110" customFormat="1" x14ac:dyDescent="0.2">
      <c r="B163" s="636" t="str">
        <f>'input-data'!$B$225</f>
        <v xml:space="preserve"> Slagtesvin</v>
      </c>
      <c r="C163" s="63" t="str">
        <f>'input-data'!$B$226</f>
        <v xml:space="preserve">  Kraftfoder:</v>
      </c>
      <c r="D163" s="63" t="str">
        <f>'input-data'!$B$247</f>
        <v xml:space="preserve">    blanding 2, for vægtinterval, kg:</v>
      </c>
      <c r="E163" s="677">
        <f>'input-data'!E257</f>
        <v>0</v>
      </c>
      <c r="F163" s="261">
        <f>IFERROR('Flow slagtesvin'!$D$31*100/'Flow slagtesvin'!$D$54*'input-data'!I257/100, 0)</f>
        <v>0</v>
      </c>
      <c r="G163" s="337">
        <f t="shared" si="89"/>
        <v>0</v>
      </c>
      <c r="H163" s="337">
        <f>F163*'Flow slagtesvin'!$D$8</f>
        <v>0</v>
      </c>
      <c r="I163" s="337">
        <f t="shared" si="90"/>
        <v>0</v>
      </c>
      <c r="J163" s="337">
        <f>I163*'Flow slagtesvin'!$D$8</f>
        <v>0</v>
      </c>
      <c r="K163" s="337">
        <f t="shared" si="82"/>
        <v>0</v>
      </c>
      <c r="L163" s="633">
        <f t="shared" si="83"/>
        <v>0</v>
      </c>
      <c r="M163" s="627">
        <f t="shared" si="84"/>
        <v>0</v>
      </c>
      <c r="N163" s="337">
        <f t="shared" si="85"/>
        <v>0</v>
      </c>
      <c r="O163" s="337">
        <f t="shared" si="86"/>
        <v>0</v>
      </c>
      <c r="P163" s="637">
        <f t="shared" si="87"/>
        <v>0</v>
      </c>
      <c r="Q163" s="694">
        <f t="shared" si="75"/>
        <v>0</v>
      </c>
      <c r="R163" s="337">
        <f t="shared" si="76"/>
        <v>0</v>
      </c>
      <c r="S163" s="337">
        <f t="shared" si="77"/>
        <v>0</v>
      </c>
      <c r="T163" s="337">
        <f t="shared" si="78"/>
        <v>0</v>
      </c>
      <c r="U163" s="337">
        <f t="shared" si="79"/>
        <v>0</v>
      </c>
      <c r="V163" s="337">
        <f t="shared" si="80"/>
        <v>0</v>
      </c>
      <c r="W163" s="695">
        <f t="shared" si="81"/>
        <v>0</v>
      </c>
      <c r="X163" s="828">
        <f t="shared" si="88"/>
        <v>0</v>
      </c>
    </row>
    <row r="164" spans="2:24" s="110" customFormat="1" x14ac:dyDescent="0.2">
      <c r="B164" s="636" t="str">
        <f>'input-data'!$B$225</f>
        <v xml:space="preserve"> Slagtesvin</v>
      </c>
      <c r="C164" s="63" t="str">
        <f>'input-data'!$B$226</f>
        <v xml:space="preserve">  Kraftfoder:</v>
      </c>
      <c r="D164" s="63" t="str">
        <f>'input-data'!$B$247</f>
        <v xml:space="preserve">    blanding 2, for vægtinterval, kg:</v>
      </c>
      <c r="E164" s="677">
        <f>'input-data'!E258</f>
        <v>0</v>
      </c>
      <c r="F164" s="261">
        <f>IFERROR('Flow slagtesvin'!$D$31*100/'Flow slagtesvin'!$D$54*'input-data'!I258/100, 0)</f>
        <v>0</v>
      </c>
      <c r="G164" s="337">
        <f t="shared" si="89"/>
        <v>0</v>
      </c>
      <c r="H164" s="337">
        <f>F164*'Flow slagtesvin'!$D$8</f>
        <v>0</v>
      </c>
      <c r="I164" s="337">
        <f t="shared" si="90"/>
        <v>0</v>
      </c>
      <c r="J164" s="337">
        <f>I164*'Flow slagtesvin'!$D$8</f>
        <v>0</v>
      </c>
      <c r="K164" s="337">
        <f t="shared" si="82"/>
        <v>0</v>
      </c>
      <c r="L164" s="633">
        <f t="shared" si="83"/>
        <v>0</v>
      </c>
      <c r="M164" s="627">
        <f t="shared" si="84"/>
        <v>0</v>
      </c>
      <c r="N164" s="337">
        <f t="shared" si="85"/>
        <v>0</v>
      </c>
      <c r="O164" s="337">
        <f t="shared" si="86"/>
        <v>0</v>
      </c>
      <c r="P164" s="637">
        <f t="shared" si="87"/>
        <v>0</v>
      </c>
      <c r="Q164" s="694">
        <f t="shared" si="75"/>
        <v>0</v>
      </c>
      <c r="R164" s="337">
        <f t="shared" si="76"/>
        <v>0</v>
      </c>
      <c r="S164" s="337">
        <f t="shared" si="77"/>
        <v>0</v>
      </c>
      <c r="T164" s="337">
        <f t="shared" si="78"/>
        <v>0</v>
      </c>
      <c r="U164" s="337">
        <f t="shared" si="79"/>
        <v>0</v>
      </c>
      <c r="V164" s="337">
        <f t="shared" si="80"/>
        <v>0</v>
      </c>
      <c r="W164" s="695">
        <f t="shared" si="81"/>
        <v>0</v>
      </c>
      <c r="X164" s="828">
        <f t="shared" si="88"/>
        <v>0</v>
      </c>
    </row>
    <row r="165" spans="2:24" s="110" customFormat="1" x14ac:dyDescent="0.2">
      <c r="B165" s="636" t="str">
        <f>'input-data'!$B$225</f>
        <v xml:space="preserve"> Slagtesvin</v>
      </c>
      <c r="C165" s="63" t="str">
        <f>'input-data'!$B$226</f>
        <v xml:space="preserve">  Kraftfoder:</v>
      </c>
      <c r="D165" s="63" t="str">
        <f>'input-data'!$B$247</f>
        <v xml:space="preserve">    blanding 2, for vægtinterval, kg:</v>
      </c>
      <c r="E165" s="677">
        <f>'input-data'!E259</f>
        <v>0</v>
      </c>
      <c r="F165" s="261">
        <f>IFERROR('Flow slagtesvin'!$D$31*100/'Flow slagtesvin'!$D$54*'input-data'!I259/100, 0)</f>
        <v>0</v>
      </c>
      <c r="G165" s="337">
        <f t="shared" si="89"/>
        <v>0</v>
      </c>
      <c r="H165" s="337">
        <f>F165*'Flow slagtesvin'!$D$8</f>
        <v>0</v>
      </c>
      <c r="I165" s="337">
        <f t="shared" si="90"/>
        <v>0</v>
      </c>
      <c r="J165" s="337">
        <f>I165*'Flow slagtesvin'!$D$8</f>
        <v>0</v>
      </c>
      <c r="K165" s="337">
        <f t="shared" si="82"/>
        <v>0</v>
      </c>
      <c r="L165" s="633">
        <f t="shared" si="83"/>
        <v>0</v>
      </c>
      <c r="M165" s="627">
        <f t="shared" si="84"/>
        <v>0</v>
      </c>
      <c r="N165" s="337">
        <f t="shared" si="85"/>
        <v>0</v>
      </c>
      <c r="O165" s="337">
        <f t="shared" si="86"/>
        <v>0</v>
      </c>
      <c r="P165" s="637">
        <f t="shared" si="87"/>
        <v>0</v>
      </c>
      <c r="Q165" s="694">
        <f t="shared" si="75"/>
        <v>0</v>
      </c>
      <c r="R165" s="337">
        <f t="shared" si="76"/>
        <v>0</v>
      </c>
      <c r="S165" s="337">
        <f t="shared" si="77"/>
        <v>0</v>
      </c>
      <c r="T165" s="337">
        <f t="shared" si="78"/>
        <v>0</v>
      </c>
      <c r="U165" s="337">
        <f t="shared" si="79"/>
        <v>0</v>
      </c>
      <c r="V165" s="337">
        <f t="shared" si="80"/>
        <v>0</v>
      </c>
      <c r="W165" s="695">
        <f t="shared" si="81"/>
        <v>0</v>
      </c>
      <c r="X165" s="828">
        <f t="shared" si="88"/>
        <v>0</v>
      </c>
    </row>
    <row r="166" spans="2:24" s="110" customFormat="1" x14ac:dyDescent="0.2">
      <c r="B166" s="636" t="str">
        <f>'input-data'!$B$225</f>
        <v xml:space="preserve"> Slagtesvin</v>
      </c>
      <c r="C166" s="63" t="str">
        <f>'input-data'!$B$226</f>
        <v xml:space="preserve">  Kraftfoder:</v>
      </c>
      <c r="D166" s="63" t="str">
        <f>'input-data'!$B$247</f>
        <v xml:space="preserve">    blanding 2, for vægtinterval, kg:</v>
      </c>
      <c r="E166" s="677">
        <f>'input-data'!E260</f>
        <v>0</v>
      </c>
      <c r="F166" s="261">
        <f>IFERROR('Flow slagtesvin'!$D$31*100/'Flow slagtesvin'!$D$54*'input-data'!I260/100, 0)</f>
        <v>0</v>
      </c>
      <c r="G166" s="337">
        <f t="shared" si="89"/>
        <v>0</v>
      </c>
      <c r="H166" s="337">
        <f>F166*'Flow slagtesvin'!$D$8</f>
        <v>0</v>
      </c>
      <c r="I166" s="337">
        <f t="shared" si="90"/>
        <v>0</v>
      </c>
      <c r="J166" s="337">
        <f>I166*'Flow slagtesvin'!$D$8</f>
        <v>0</v>
      </c>
      <c r="K166" s="337">
        <f t="shared" si="82"/>
        <v>0</v>
      </c>
      <c r="L166" s="633">
        <f t="shared" si="83"/>
        <v>0</v>
      </c>
      <c r="M166" s="627">
        <f t="shared" si="84"/>
        <v>0</v>
      </c>
      <c r="N166" s="337">
        <f t="shared" si="85"/>
        <v>0</v>
      </c>
      <c r="O166" s="337">
        <f t="shared" si="86"/>
        <v>0</v>
      </c>
      <c r="P166" s="637">
        <f t="shared" si="87"/>
        <v>0</v>
      </c>
      <c r="Q166" s="694">
        <f t="shared" si="75"/>
        <v>0</v>
      </c>
      <c r="R166" s="337">
        <f t="shared" si="76"/>
        <v>0</v>
      </c>
      <c r="S166" s="337">
        <f t="shared" si="77"/>
        <v>0</v>
      </c>
      <c r="T166" s="337">
        <f t="shared" si="78"/>
        <v>0</v>
      </c>
      <c r="U166" s="337">
        <f t="shared" si="79"/>
        <v>0</v>
      </c>
      <c r="V166" s="337">
        <f t="shared" si="80"/>
        <v>0</v>
      </c>
      <c r="W166" s="695">
        <f t="shared" si="81"/>
        <v>0</v>
      </c>
      <c r="X166" s="828">
        <f t="shared" si="88"/>
        <v>0</v>
      </c>
    </row>
    <row r="167" spans="2:24" s="110" customFormat="1" x14ac:dyDescent="0.2">
      <c r="B167" s="636" t="str">
        <f>'input-data'!$B$225</f>
        <v xml:space="preserve"> Slagtesvin</v>
      </c>
      <c r="C167" s="63" t="str">
        <f>'input-data'!$B$226</f>
        <v xml:space="preserve">  Kraftfoder:</v>
      </c>
      <c r="D167" s="63" t="str">
        <f>'input-data'!$B$247</f>
        <v xml:space="preserve">    blanding 2, for vægtinterval, kg:</v>
      </c>
      <c r="E167" s="677">
        <f>'input-data'!E261</f>
        <v>0</v>
      </c>
      <c r="F167" s="261">
        <f>IFERROR('Flow slagtesvin'!$D$31*100/'Flow slagtesvin'!$D$54*'input-data'!I261/100, 0)</f>
        <v>0</v>
      </c>
      <c r="G167" s="337">
        <f t="shared" si="89"/>
        <v>0</v>
      </c>
      <c r="H167" s="337">
        <f>F167*'Flow slagtesvin'!$D$8</f>
        <v>0</v>
      </c>
      <c r="I167" s="337">
        <f t="shared" si="90"/>
        <v>0</v>
      </c>
      <c r="J167" s="337">
        <f>I167*'Flow slagtesvin'!$D$8</f>
        <v>0</v>
      </c>
      <c r="K167" s="337">
        <f t="shared" si="82"/>
        <v>0</v>
      </c>
      <c r="L167" s="633">
        <f t="shared" si="83"/>
        <v>0</v>
      </c>
      <c r="M167" s="627">
        <f t="shared" si="84"/>
        <v>0</v>
      </c>
      <c r="N167" s="337">
        <f t="shared" si="85"/>
        <v>0</v>
      </c>
      <c r="O167" s="337">
        <f t="shared" si="86"/>
        <v>0</v>
      </c>
      <c r="P167" s="637">
        <f t="shared" si="87"/>
        <v>0</v>
      </c>
      <c r="Q167" s="694">
        <f t="shared" si="75"/>
        <v>0</v>
      </c>
      <c r="R167" s="337">
        <f t="shared" si="76"/>
        <v>0</v>
      </c>
      <c r="S167" s="337">
        <f t="shared" si="77"/>
        <v>0</v>
      </c>
      <c r="T167" s="337">
        <f t="shared" si="78"/>
        <v>0</v>
      </c>
      <c r="U167" s="337">
        <f t="shared" si="79"/>
        <v>0</v>
      </c>
      <c r="V167" s="337">
        <f t="shared" si="80"/>
        <v>0</v>
      </c>
      <c r="W167" s="695">
        <f t="shared" si="81"/>
        <v>0</v>
      </c>
      <c r="X167" s="828">
        <f t="shared" si="88"/>
        <v>0</v>
      </c>
    </row>
    <row r="168" spans="2:24" s="110" customFormat="1" x14ac:dyDescent="0.2">
      <c r="B168" s="636" t="str">
        <f>'input-data'!$B$225</f>
        <v xml:space="preserve"> Slagtesvin</v>
      </c>
      <c r="C168" s="63" t="str">
        <f>'input-data'!$B$226</f>
        <v xml:space="preserve">  Kraftfoder:</v>
      </c>
      <c r="D168" s="63" t="str">
        <f>'input-data'!$B$247</f>
        <v xml:space="preserve">    blanding 2, for vægtinterval, kg:</v>
      </c>
      <c r="E168" s="677">
        <f>'input-data'!E262</f>
        <v>0</v>
      </c>
      <c r="F168" s="261">
        <f>IFERROR('Flow slagtesvin'!$D$31*100/'Flow slagtesvin'!$D$54*'input-data'!I262/100, 0)</f>
        <v>0</v>
      </c>
      <c r="G168" s="337">
        <f t="shared" si="89"/>
        <v>0</v>
      </c>
      <c r="H168" s="337">
        <f>F168*'Flow slagtesvin'!$D$8</f>
        <v>0</v>
      </c>
      <c r="I168" s="337">
        <f t="shared" si="90"/>
        <v>0</v>
      </c>
      <c r="J168" s="337">
        <f>I168*'Flow slagtesvin'!$D$8</f>
        <v>0</v>
      </c>
      <c r="K168" s="337">
        <f t="shared" si="82"/>
        <v>0</v>
      </c>
      <c r="L168" s="633">
        <f t="shared" si="83"/>
        <v>0</v>
      </c>
      <c r="M168" s="627">
        <f t="shared" si="84"/>
        <v>0</v>
      </c>
      <c r="N168" s="337">
        <f t="shared" si="85"/>
        <v>0</v>
      </c>
      <c r="O168" s="337">
        <f t="shared" si="86"/>
        <v>0</v>
      </c>
      <c r="P168" s="637">
        <f t="shared" si="87"/>
        <v>0</v>
      </c>
      <c r="Q168" s="694">
        <f t="shared" si="75"/>
        <v>0</v>
      </c>
      <c r="R168" s="337">
        <f t="shared" si="76"/>
        <v>0</v>
      </c>
      <c r="S168" s="337">
        <f t="shared" si="77"/>
        <v>0</v>
      </c>
      <c r="T168" s="337">
        <f t="shared" si="78"/>
        <v>0</v>
      </c>
      <c r="U168" s="337">
        <f t="shared" si="79"/>
        <v>0</v>
      </c>
      <c r="V168" s="337">
        <f t="shared" si="80"/>
        <v>0</v>
      </c>
      <c r="W168" s="695">
        <f t="shared" si="81"/>
        <v>0</v>
      </c>
      <c r="X168" s="828">
        <f t="shared" si="88"/>
        <v>0</v>
      </c>
    </row>
    <row r="169" spans="2:24" s="110" customFormat="1" x14ac:dyDescent="0.2">
      <c r="B169" s="636" t="str">
        <f>'input-data'!$B$225</f>
        <v xml:space="preserve"> Slagtesvin</v>
      </c>
      <c r="C169" s="63" t="str">
        <f>'input-data'!$B$226</f>
        <v xml:space="preserve">  Kraftfoder:</v>
      </c>
      <c r="D169" s="63" t="str">
        <f>'input-data'!$B$247</f>
        <v xml:space="preserve">    blanding 2, for vægtinterval, kg:</v>
      </c>
      <c r="E169" s="677">
        <f>'input-data'!E263</f>
        <v>0</v>
      </c>
      <c r="F169" s="261">
        <f>IFERROR('Flow slagtesvin'!$D$31*100/'Flow slagtesvin'!$D$54*'input-data'!I263/100, 0)</f>
        <v>0</v>
      </c>
      <c r="G169" s="337">
        <f t="shared" si="89"/>
        <v>0</v>
      </c>
      <c r="H169" s="337">
        <f>F169*'Flow slagtesvin'!$D$8</f>
        <v>0</v>
      </c>
      <c r="I169" s="337">
        <f t="shared" si="90"/>
        <v>0</v>
      </c>
      <c r="J169" s="337">
        <f>I169*'Flow slagtesvin'!$D$8</f>
        <v>0</v>
      </c>
      <c r="K169" s="337">
        <f t="shared" si="82"/>
        <v>0</v>
      </c>
      <c r="L169" s="633">
        <f t="shared" si="83"/>
        <v>0</v>
      </c>
      <c r="M169" s="627">
        <f t="shared" si="84"/>
        <v>0</v>
      </c>
      <c r="N169" s="337">
        <f t="shared" si="85"/>
        <v>0</v>
      </c>
      <c r="O169" s="337">
        <f t="shared" si="86"/>
        <v>0</v>
      </c>
      <c r="P169" s="637">
        <f t="shared" si="87"/>
        <v>0</v>
      </c>
      <c r="Q169" s="694">
        <f t="shared" si="75"/>
        <v>0</v>
      </c>
      <c r="R169" s="337">
        <f t="shared" si="76"/>
        <v>0</v>
      </c>
      <c r="S169" s="337">
        <f t="shared" si="77"/>
        <v>0</v>
      </c>
      <c r="T169" s="337">
        <f t="shared" si="78"/>
        <v>0</v>
      </c>
      <c r="U169" s="337">
        <f t="shared" si="79"/>
        <v>0</v>
      </c>
      <c r="V169" s="337">
        <f t="shared" si="80"/>
        <v>0</v>
      </c>
      <c r="W169" s="695">
        <f t="shared" si="81"/>
        <v>0</v>
      </c>
      <c r="X169" s="828">
        <f t="shared" si="88"/>
        <v>0</v>
      </c>
    </row>
    <row r="170" spans="2:24" s="110" customFormat="1" x14ac:dyDescent="0.2">
      <c r="B170" s="636" t="str">
        <f>'input-data'!$B$225</f>
        <v xml:space="preserve"> Slagtesvin</v>
      </c>
      <c r="C170" s="63" t="str">
        <f>'input-data'!$B$226</f>
        <v xml:space="preserve">  Kraftfoder:</v>
      </c>
      <c r="D170" s="63" t="str">
        <f>'input-data'!$B$266</f>
        <v xml:space="preserve">    blanding 3, for vægtinterval, kg:</v>
      </c>
      <c r="E170" s="813">
        <f>'input-data'!E268</f>
        <v>0</v>
      </c>
      <c r="F170" s="261">
        <f>IFERROR('Flow slagtesvin'!$D$31*100/'Flow slagtesvin'!$D$54*'input-data'!I264/100, 0)</f>
        <v>0</v>
      </c>
      <c r="G170" s="337">
        <f t="shared" si="89"/>
        <v>0</v>
      </c>
      <c r="H170" s="337">
        <f>F170*'Flow slagtesvin'!$D$8</f>
        <v>0</v>
      </c>
      <c r="I170" s="337">
        <f t="shared" si="90"/>
        <v>0</v>
      </c>
      <c r="J170" s="337">
        <f>I170*'Flow slagtesvin'!$D$8</f>
        <v>0</v>
      </c>
      <c r="K170" s="337">
        <f t="shared" si="82"/>
        <v>0</v>
      </c>
      <c r="L170" s="633">
        <f t="shared" si="83"/>
        <v>0</v>
      </c>
      <c r="M170" s="813">
        <f t="shared" si="84"/>
        <v>0</v>
      </c>
      <c r="N170" s="337">
        <f t="shared" si="85"/>
        <v>0</v>
      </c>
      <c r="O170" s="337">
        <f t="shared" si="86"/>
        <v>0</v>
      </c>
      <c r="P170" s="637">
        <f t="shared" si="87"/>
        <v>0</v>
      </c>
      <c r="Q170" s="694">
        <f t="shared" si="75"/>
        <v>0</v>
      </c>
      <c r="R170" s="337">
        <f t="shared" si="76"/>
        <v>0</v>
      </c>
      <c r="S170" s="337">
        <f t="shared" si="77"/>
        <v>0</v>
      </c>
      <c r="T170" s="337">
        <f t="shared" si="78"/>
        <v>0</v>
      </c>
      <c r="U170" s="337">
        <f t="shared" si="79"/>
        <v>0</v>
      </c>
      <c r="V170" s="337">
        <f t="shared" si="80"/>
        <v>0</v>
      </c>
      <c r="W170" s="695">
        <f t="shared" si="81"/>
        <v>0</v>
      </c>
      <c r="X170" s="828">
        <f t="shared" si="88"/>
        <v>0</v>
      </c>
    </row>
    <row r="171" spans="2:24" s="110" customFormat="1" x14ac:dyDescent="0.2">
      <c r="B171" s="636" t="str">
        <f>'input-data'!$B$225</f>
        <v xml:space="preserve"> Slagtesvin</v>
      </c>
      <c r="C171" s="63" t="str">
        <f>'input-data'!$B$226</f>
        <v xml:space="preserve">  Kraftfoder:</v>
      </c>
      <c r="D171" s="63" t="str">
        <f>'input-data'!$B$266</f>
        <v xml:space="preserve">    blanding 3, for vægtinterval, kg:</v>
      </c>
      <c r="E171" s="677">
        <f>'input-data'!E269</f>
        <v>0</v>
      </c>
      <c r="F171" s="261">
        <f>IFERROR('Flow slagtesvin'!$D$31*100/'Flow slagtesvin'!$D$54*'input-data'!I265/100, 0)</f>
        <v>0</v>
      </c>
      <c r="G171" s="337">
        <f t="shared" si="89"/>
        <v>0</v>
      </c>
      <c r="H171" s="337">
        <f>F171*'Flow slagtesvin'!$D$8</f>
        <v>0</v>
      </c>
      <c r="I171" s="337">
        <f t="shared" si="90"/>
        <v>0</v>
      </c>
      <c r="J171" s="337">
        <f>I171*'Flow slagtesvin'!$D$8</f>
        <v>0</v>
      </c>
      <c r="K171" s="337">
        <f t="shared" si="82"/>
        <v>0</v>
      </c>
      <c r="L171" s="633">
        <f t="shared" si="83"/>
        <v>0</v>
      </c>
      <c r="M171" s="627">
        <f t="shared" si="84"/>
        <v>0</v>
      </c>
      <c r="N171" s="337">
        <f t="shared" si="85"/>
        <v>0</v>
      </c>
      <c r="O171" s="337">
        <f t="shared" si="86"/>
        <v>0</v>
      </c>
      <c r="P171" s="637">
        <f t="shared" si="87"/>
        <v>0</v>
      </c>
      <c r="Q171" s="694">
        <f t="shared" si="75"/>
        <v>0</v>
      </c>
      <c r="R171" s="337">
        <f t="shared" si="76"/>
        <v>0</v>
      </c>
      <c r="S171" s="337">
        <f t="shared" si="77"/>
        <v>0</v>
      </c>
      <c r="T171" s="337">
        <f t="shared" si="78"/>
        <v>0</v>
      </c>
      <c r="U171" s="337">
        <f t="shared" si="79"/>
        <v>0</v>
      </c>
      <c r="V171" s="337">
        <f t="shared" si="80"/>
        <v>0</v>
      </c>
      <c r="W171" s="695">
        <f t="shared" si="81"/>
        <v>0</v>
      </c>
      <c r="X171" s="828">
        <f t="shared" si="88"/>
        <v>0</v>
      </c>
    </row>
    <row r="172" spans="2:24" s="110" customFormat="1" x14ac:dyDescent="0.2">
      <c r="B172" s="636" t="str">
        <f>'input-data'!$B$225</f>
        <v xml:space="preserve"> Slagtesvin</v>
      </c>
      <c r="C172" s="63" t="str">
        <f>'input-data'!$B$226</f>
        <v xml:space="preserve">  Kraftfoder:</v>
      </c>
      <c r="D172" s="63" t="str">
        <f>'input-data'!$B$266</f>
        <v xml:space="preserve">    blanding 3, for vægtinterval, kg:</v>
      </c>
      <c r="E172" s="677">
        <f>'input-data'!E270</f>
        <v>0</v>
      </c>
      <c r="F172" s="261">
        <f>IFERROR('Flow slagtesvin'!$D$31*100/'Flow slagtesvin'!$D$54*'input-data'!I266/100, 0)</f>
        <v>0</v>
      </c>
      <c r="G172" s="337">
        <f t="shared" si="89"/>
        <v>0</v>
      </c>
      <c r="H172" s="337">
        <f>F172*'Flow slagtesvin'!$D$8</f>
        <v>0</v>
      </c>
      <c r="I172" s="337">
        <f t="shared" si="90"/>
        <v>0</v>
      </c>
      <c r="J172" s="337">
        <f>I172*'Flow slagtesvin'!$D$8</f>
        <v>0</v>
      </c>
      <c r="K172" s="337">
        <f t="shared" si="82"/>
        <v>0</v>
      </c>
      <c r="L172" s="633">
        <f t="shared" si="83"/>
        <v>0</v>
      </c>
      <c r="M172" s="627">
        <f t="shared" si="84"/>
        <v>0</v>
      </c>
      <c r="N172" s="337">
        <f t="shared" si="85"/>
        <v>0</v>
      </c>
      <c r="O172" s="337">
        <f t="shared" si="86"/>
        <v>0</v>
      </c>
      <c r="P172" s="637">
        <f t="shared" si="87"/>
        <v>0</v>
      </c>
      <c r="Q172" s="694">
        <f t="shared" ref="Q172:Q189" si="91">IFERROR(VLOOKUP($E172, Fodertabel, 218, FALSE)*$J172, 0)</f>
        <v>0</v>
      </c>
      <c r="R172" s="337">
        <f t="shared" ref="R172:R189" si="92">IFERROR(VLOOKUP($E172, Fodertabel, 219, FALSE)*$J172, 0)</f>
        <v>0</v>
      </c>
      <c r="S172" s="337">
        <f t="shared" ref="S172:S189" si="93">IFERROR(VLOOKUP($E172, Fodertabel, 220, FALSE)*$J172, 0)</f>
        <v>0</v>
      </c>
      <c r="T172" s="337">
        <f t="shared" ref="T172:T189" si="94">IFERROR(VLOOKUP($E172, Fodertabel, 221, FALSE)*$J172, 0)</f>
        <v>0</v>
      </c>
      <c r="U172" s="337">
        <f t="shared" ref="U172:U189" si="95">IFERROR(VLOOKUP($E172, Fodertabel, 222, FALSE)*$J172, 0)</f>
        <v>0</v>
      </c>
      <c r="V172" s="337">
        <f t="shared" ref="V172:V189" si="96">IFERROR(VLOOKUP($E172, Fodertabel, 223, FALSE)*$J172, 0)</f>
        <v>0</v>
      </c>
      <c r="W172" s="695">
        <f t="shared" ref="W172:W189" si="97">IFERROR(VLOOKUP($E172, Fodertabel, 224, FALSE)*$J172, 0)</f>
        <v>0</v>
      </c>
      <c r="X172" s="828">
        <f t="shared" si="88"/>
        <v>0</v>
      </c>
    </row>
    <row r="173" spans="2:24" s="110" customFormat="1" x14ac:dyDescent="0.2">
      <c r="B173" s="636" t="str">
        <f>'input-data'!$B$225</f>
        <v xml:space="preserve"> Slagtesvin</v>
      </c>
      <c r="C173" s="63" t="str">
        <f>'input-data'!$B$226</f>
        <v xml:space="preserve">  Kraftfoder:</v>
      </c>
      <c r="D173" s="63" t="str">
        <f>'input-data'!$B$266</f>
        <v xml:space="preserve">    blanding 3, for vægtinterval, kg:</v>
      </c>
      <c r="E173" s="677">
        <f>'input-data'!E271</f>
        <v>0</v>
      </c>
      <c r="F173" s="261">
        <f>IFERROR('Flow slagtesvin'!$D$31*100/'Flow slagtesvin'!$D$54*'input-data'!I267/100, 0)</f>
        <v>0</v>
      </c>
      <c r="G173" s="337">
        <f t="shared" si="89"/>
        <v>0</v>
      </c>
      <c r="H173" s="337">
        <f>F173*'Flow slagtesvin'!$D$8</f>
        <v>0</v>
      </c>
      <c r="I173" s="337">
        <f t="shared" si="90"/>
        <v>0</v>
      </c>
      <c r="J173" s="337">
        <f>I173*'Flow slagtesvin'!$D$8</f>
        <v>0</v>
      </c>
      <c r="K173" s="337">
        <f t="shared" si="82"/>
        <v>0</v>
      </c>
      <c r="L173" s="633">
        <f t="shared" si="83"/>
        <v>0</v>
      </c>
      <c r="M173" s="627">
        <f t="shared" si="84"/>
        <v>0</v>
      </c>
      <c r="N173" s="337">
        <f t="shared" si="85"/>
        <v>0</v>
      </c>
      <c r="O173" s="337">
        <f t="shared" si="86"/>
        <v>0</v>
      </c>
      <c r="P173" s="637">
        <f t="shared" si="87"/>
        <v>0</v>
      </c>
      <c r="Q173" s="694">
        <f t="shared" si="91"/>
        <v>0</v>
      </c>
      <c r="R173" s="337">
        <f t="shared" si="92"/>
        <v>0</v>
      </c>
      <c r="S173" s="337">
        <f t="shared" si="93"/>
        <v>0</v>
      </c>
      <c r="T173" s="337">
        <f t="shared" si="94"/>
        <v>0</v>
      </c>
      <c r="U173" s="337">
        <f t="shared" si="95"/>
        <v>0</v>
      </c>
      <c r="V173" s="337">
        <f t="shared" si="96"/>
        <v>0</v>
      </c>
      <c r="W173" s="695">
        <f t="shared" si="97"/>
        <v>0</v>
      </c>
      <c r="X173" s="828">
        <f t="shared" si="88"/>
        <v>0</v>
      </c>
    </row>
    <row r="174" spans="2:24" s="110" customFormat="1" x14ac:dyDescent="0.2">
      <c r="B174" s="636" t="str">
        <f>'input-data'!$B$225</f>
        <v xml:space="preserve"> Slagtesvin</v>
      </c>
      <c r="C174" s="63" t="str">
        <f>'input-data'!$B$226</f>
        <v xml:space="preserve">  Kraftfoder:</v>
      </c>
      <c r="D174" s="63" t="str">
        <f>'input-data'!$B$266</f>
        <v xml:space="preserve">    blanding 3, for vægtinterval, kg:</v>
      </c>
      <c r="E174" s="677">
        <f>'input-data'!E272</f>
        <v>0</v>
      </c>
      <c r="F174" s="261">
        <f>IFERROR('Flow slagtesvin'!$D$31*100/'Flow slagtesvin'!$D$54*'input-data'!I268/100, 0)</f>
        <v>0</v>
      </c>
      <c r="G174" s="337">
        <f t="shared" si="89"/>
        <v>0</v>
      </c>
      <c r="H174" s="337">
        <f>F174*'Flow slagtesvin'!$D$8</f>
        <v>0</v>
      </c>
      <c r="I174" s="337">
        <f t="shared" si="90"/>
        <v>0</v>
      </c>
      <c r="J174" s="337">
        <f>I174*'Flow slagtesvin'!$D$8</f>
        <v>0</v>
      </c>
      <c r="K174" s="337">
        <f t="shared" si="82"/>
        <v>0</v>
      </c>
      <c r="L174" s="633">
        <f t="shared" si="83"/>
        <v>0</v>
      </c>
      <c r="M174" s="627">
        <f t="shared" si="84"/>
        <v>0</v>
      </c>
      <c r="N174" s="337">
        <f t="shared" si="85"/>
        <v>0</v>
      </c>
      <c r="O174" s="337">
        <f t="shared" si="86"/>
        <v>0</v>
      </c>
      <c r="P174" s="637">
        <f t="shared" si="87"/>
        <v>0</v>
      </c>
      <c r="Q174" s="694">
        <f t="shared" si="91"/>
        <v>0</v>
      </c>
      <c r="R174" s="337">
        <f t="shared" si="92"/>
        <v>0</v>
      </c>
      <c r="S174" s="337">
        <f t="shared" si="93"/>
        <v>0</v>
      </c>
      <c r="T174" s="337">
        <f t="shared" si="94"/>
        <v>0</v>
      </c>
      <c r="U174" s="337">
        <f t="shared" si="95"/>
        <v>0</v>
      </c>
      <c r="V174" s="337">
        <f t="shared" si="96"/>
        <v>0</v>
      </c>
      <c r="W174" s="695">
        <f t="shared" si="97"/>
        <v>0</v>
      </c>
      <c r="X174" s="828">
        <f t="shared" si="88"/>
        <v>0</v>
      </c>
    </row>
    <row r="175" spans="2:24" s="110" customFormat="1" x14ac:dyDescent="0.2">
      <c r="B175" s="636" t="str">
        <f>'input-data'!$B$225</f>
        <v xml:space="preserve"> Slagtesvin</v>
      </c>
      <c r="C175" s="63" t="str">
        <f>'input-data'!$B$226</f>
        <v xml:space="preserve">  Kraftfoder:</v>
      </c>
      <c r="D175" s="63" t="str">
        <f>'input-data'!$B$266</f>
        <v xml:space="preserve">    blanding 3, for vægtinterval, kg:</v>
      </c>
      <c r="E175" s="677">
        <f>'input-data'!E273</f>
        <v>0</v>
      </c>
      <c r="F175" s="261">
        <f>IFERROR('Flow slagtesvin'!$D$31*100/'Flow slagtesvin'!$D$54*'input-data'!I269/100, 0)</f>
        <v>0</v>
      </c>
      <c r="G175" s="337">
        <f t="shared" si="89"/>
        <v>0</v>
      </c>
      <c r="H175" s="337">
        <f>F175*'Flow slagtesvin'!$D$8</f>
        <v>0</v>
      </c>
      <c r="I175" s="337">
        <f t="shared" si="90"/>
        <v>0</v>
      </c>
      <c r="J175" s="337">
        <f>I175*'Flow slagtesvin'!$D$8</f>
        <v>0</v>
      </c>
      <c r="K175" s="337">
        <f t="shared" si="82"/>
        <v>0</v>
      </c>
      <c r="L175" s="633">
        <f t="shared" si="83"/>
        <v>0</v>
      </c>
      <c r="M175" s="627">
        <f t="shared" si="84"/>
        <v>0</v>
      </c>
      <c r="N175" s="337">
        <f t="shared" si="85"/>
        <v>0</v>
      </c>
      <c r="O175" s="337">
        <f t="shared" si="86"/>
        <v>0</v>
      </c>
      <c r="P175" s="637">
        <f t="shared" si="87"/>
        <v>0</v>
      </c>
      <c r="Q175" s="694">
        <f t="shared" si="91"/>
        <v>0</v>
      </c>
      <c r="R175" s="337">
        <f t="shared" si="92"/>
        <v>0</v>
      </c>
      <c r="S175" s="337">
        <f t="shared" si="93"/>
        <v>0</v>
      </c>
      <c r="T175" s="337">
        <f t="shared" si="94"/>
        <v>0</v>
      </c>
      <c r="U175" s="337">
        <f t="shared" si="95"/>
        <v>0</v>
      </c>
      <c r="V175" s="337">
        <f t="shared" si="96"/>
        <v>0</v>
      </c>
      <c r="W175" s="695">
        <f t="shared" si="97"/>
        <v>0</v>
      </c>
      <c r="X175" s="828">
        <f t="shared" si="88"/>
        <v>0</v>
      </c>
    </row>
    <row r="176" spans="2:24" s="110" customFormat="1" x14ac:dyDescent="0.2">
      <c r="B176" s="636" t="str">
        <f>'input-data'!$B$225</f>
        <v xml:space="preserve"> Slagtesvin</v>
      </c>
      <c r="C176" s="63" t="str">
        <f>'input-data'!$B$226</f>
        <v xml:space="preserve">  Kraftfoder:</v>
      </c>
      <c r="D176" s="63" t="str">
        <f>'input-data'!$B$266</f>
        <v xml:space="preserve">    blanding 3, for vægtinterval, kg:</v>
      </c>
      <c r="E176" s="813">
        <f>'input-data'!E274</f>
        <v>0</v>
      </c>
      <c r="F176" s="261">
        <f>IFERROR('Flow slagtesvin'!$D$31*100/'Flow slagtesvin'!$D$54*'input-data'!I270/100, 0)</f>
        <v>0</v>
      </c>
      <c r="G176" s="337">
        <f t="shared" si="89"/>
        <v>0</v>
      </c>
      <c r="H176" s="337">
        <f>F176*'Flow slagtesvin'!$D$8</f>
        <v>0</v>
      </c>
      <c r="I176" s="337">
        <f t="shared" si="90"/>
        <v>0</v>
      </c>
      <c r="J176" s="337">
        <f>I176*'Flow slagtesvin'!$D$8</f>
        <v>0</v>
      </c>
      <c r="K176" s="337">
        <f t="shared" si="82"/>
        <v>0</v>
      </c>
      <c r="L176" s="633">
        <f t="shared" si="83"/>
        <v>0</v>
      </c>
      <c r="M176" s="813">
        <f t="shared" si="84"/>
        <v>0</v>
      </c>
      <c r="N176" s="337">
        <f t="shared" si="85"/>
        <v>0</v>
      </c>
      <c r="O176" s="337">
        <f t="shared" si="86"/>
        <v>0</v>
      </c>
      <c r="P176" s="637">
        <f t="shared" si="87"/>
        <v>0</v>
      </c>
      <c r="Q176" s="694">
        <f t="shared" si="91"/>
        <v>0</v>
      </c>
      <c r="R176" s="337">
        <f t="shared" si="92"/>
        <v>0</v>
      </c>
      <c r="S176" s="337">
        <f t="shared" si="93"/>
        <v>0</v>
      </c>
      <c r="T176" s="337">
        <f t="shared" si="94"/>
        <v>0</v>
      </c>
      <c r="U176" s="337">
        <f t="shared" si="95"/>
        <v>0</v>
      </c>
      <c r="V176" s="337">
        <f t="shared" si="96"/>
        <v>0</v>
      </c>
      <c r="W176" s="695">
        <f t="shared" si="97"/>
        <v>0</v>
      </c>
      <c r="X176" s="828">
        <f t="shared" si="88"/>
        <v>0</v>
      </c>
    </row>
    <row r="177" spans="2:24" s="110" customFormat="1" x14ac:dyDescent="0.2">
      <c r="B177" s="636" t="str">
        <f>'input-data'!$B$225</f>
        <v xml:space="preserve"> Slagtesvin</v>
      </c>
      <c r="C177" s="63" t="str">
        <f>'input-data'!$B$226</f>
        <v xml:space="preserve">  Kraftfoder:</v>
      </c>
      <c r="D177" s="63" t="str">
        <f>'input-data'!$B$266</f>
        <v xml:space="preserve">    blanding 3, for vægtinterval, kg:</v>
      </c>
      <c r="E177" s="677">
        <f>'input-data'!E275</f>
        <v>0</v>
      </c>
      <c r="F177" s="261">
        <f>IFERROR('Flow slagtesvin'!$D$31*100/'Flow slagtesvin'!$D$54*'input-data'!I271/100, 0)</f>
        <v>0</v>
      </c>
      <c r="G177" s="337">
        <f t="shared" si="89"/>
        <v>0</v>
      </c>
      <c r="H177" s="337">
        <f>F177*'Flow slagtesvin'!$D$8</f>
        <v>0</v>
      </c>
      <c r="I177" s="337">
        <f t="shared" si="90"/>
        <v>0</v>
      </c>
      <c r="J177" s="337">
        <f>I177*'Flow slagtesvin'!$D$8</f>
        <v>0</v>
      </c>
      <c r="K177" s="337">
        <f t="shared" ref="K177:K190" si="98">IFERROR(J177*VLOOKUP(E177, Fodertabel, 60, FALSE)/100/6.25, 0)</f>
        <v>0</v>
      </c>
      <c r="L177" s="633">
        <f t="shared" ref="L177:L190" si="99">IFERROR(J177*VLOOKUP(E177, Fodertabel, 23, FALSE)/1000, 0)</f>
        <v>0</v>
      </c>
      <c r="M177" s="627">
        <f t="shared" ref="M177:M190" si="100">IFERROR(VLOOKUP(E177, Fodertabel, 226, FALSE), 0)</f>
        <v>0</v>
      </c>
      <c r="N177" s="337">
        <f t="shared" ref="N177:N190" si="101">IF(OR(M177="onfarm", M177="folde", M177="paddock"), J177, 0)</f>
        <v>0</v>
      </c>
      <c r="O177" s="337">
        <f t="shared" ref="O177:O190" si="102">IFERROR(J177/N177*K177, 0)</f>
        <v>0</v>
      </c>
      <c r="P177" s="637">
        <f t="shared" ref="P177:P190" si="103">IFERROR(N177/J177*L177, 0)</f>
        <v>0</v>
      </c>
      <c r="Q177" s="694">
        <f t="shared" si="91"/>
        <v>0</v>
      </c>
      <c r="R177" s="337">
        <f t="shared" si="92"/>
        <v>0</v>
      </c>
      <c r="S177" s="337">
        <f t="shared" si="93"/>
        <v>0</v>
      </c>
      <c r="T177" s="337">
        <f t="shared" si="94"/>
        <v>0</v>
      </c>
      <c r="U177" s="337">
        <f t="shared" si="95"/>
        <v>0</v>
      </c>
      <c r="V177" s="337">
        <f t="shared" si="96"/>
        <v>0</v>
      </c>
      <c r="W177" s="695">
        <f t="shared" si="97"/>
        <v>0</v>
      </c>
      <c r="X177" s="828">
        <f t="shared" ref="X177:X190" si="104">IFERROR(VLOOKUP(E177, Fodertabel, 227, FALSE), 0)</f>
        <v>0</v>
      </c>
    </row>
    <row r="178" spans="2:24" s="110" customFormat="1" x14ac:dyDescent="0.2">
      <c r="B178" s="636" t="str">
        <f>'input-data'!$B$225</f>
        <v xml:space="preserve"> Slagtesvin</v>
      </c>
      <c r="C178" s="63" t="str">
        <f>'input-data'!$B$226</f>
        <v xml:space="preserve">  Kraftfoder:</v>
      </c>
      <c r="D178" s="63" t="str">
        <f>'input-data'!$B$266</f>
        <v xml:space="preserve">    blanding 3, for vægtinterval, kg:</v>
      </c>
      <c r="E178" s="677">
        <f>'input-data'!E276</f>
        <v>0</v>
      </c>
      <c r="F178" s="261">
        <f>IFERROR('Flow slagtesvin'!$D$31*100/'Flow slagtesvin'!$D$54*'input-data'!I272/100, 0)</f>
        <v>0</v>
      </c>
      <c r="G178" s="337">
        <f t="shared" si="89"/>
        <v>0</v>
      </c>
      <c r="H178" s="337">
        <f>F178*'Flow slagtesvin'!$D$8</f>
        <v>0</v>
      </c>
      <c r="I178" s="337">
        <f t="shared" si="90"/>
        <v>0</v>
      </c>
      <c r="J178" s="337">
        <f>I178*'Flow slagtesvin'!$D$8</f>
        <v>0</v>
      </c>
      <c r="K178" s="337">
        <f t="shared" si="98"/>
        <v>0</v>
      </c>
      <c r="L178" s="633">
        <f t="shared" si="99"/>
        <v>0</v>
      </c>
      <c r="M178" s="627">
        <f t="shared" si="100"/>
        <v>0</v>
      </c>
      <c r="N178" s="337">
        <f t="shared" si="101"/>
        <v>0</v>
      </c>
      <c r="O178" s="337">
        <f t="shared" si="102"/>
        <v>0</v>
      </c>
      <c r="P178" s="637">
        <f t="shared" si="103"/>
        <v>0</v>
      </c>
      <c r="Q178" s="694">
        <f t="shared" si="91"/>
        <v>0</v>
      </c>
      <c r="R178" s="337">
        <f t="shared" si="92"/>
        <v>0</v>
      </c>
      <c r="S178" s="337">
        <f t="shared" si="93"/>
        <v>0</v>
      </c>
      <c r="T178" s="337">
        <f t="shared" si="94"/>
        <v>0</v>
      </c>
      <c r="U178" s="337">
        <f t="shared" si="95"/>
        <v>0</v>
      </c>
      <c r="V178" s="337">
        <f t="shared" si="96"/>
        <v>0</v>
      </c>
      <c r="W178" s="695">
        <f t="shared" si="97"/>
        <v>0</v>
      </c>
      <c r="X178" s="828">
        <f t="shared" si="104"/>
        <v>0</v>
      </c>
    </row>
    <row r="179" spans="2:24" s="110" customFormat="1" x14ac:dyDescent="0.2">
      <c r="B179" s="636" t="str">
        <f>'input-data'!$B$225</f>
        <v xml:space="preserve"> Slagtesvin</v>
      </c>
      <c r="C179" s="63" t="str">
        <f>'input-data'!$B$226</f>
        <v xml:space="preserve">  Kraftfoder:</v>
      </c>
      <c r="D179" s="63" t="str">
        <f>'input-data'!$B$266</f>
        <v xml:space="preserve">    blanding 3, for vægtinterval, kg:</v>
      </c>
      <c r="E179" s="677">
        <f>'input-data'!E277</f>
        <v>0</v>
      </c>
      <c r="F179" s="261">
        <f>IFERROR('Flow slagtesvin'!$D$31*100/'Flow slagtesvin'!$D$54*'input-data'!I273/100, 0)</f>
        <v>0</v>
      </c>
      <c r="G179" s="337">
        <f t="shared" si="89"/>
        <v>0</v>
      </c>
      <c r="H179" s="337">
        <f>F179*'Flow slagtesvin'!$D$8</f>
        <v>0</v>
      </c>
      <c r="I179" s="337">
        <f t="shared" si="90"/>
        <v>0</v>
      </c>
      <c r="J179" s="337">
        <f>I179*'Flow slagtesvin'!$D$8</f>
        <v>0</v>
      </c>
      <c r="K179" s="337">
        <f t="shared" si="98"/>
        <v>0</v>
      </c>
      <c r="L179" s="633">
        <f t="shared" si="99"/>
        <v>0</v>
      </c>
      <c r="M179" s="627">
        <f t="shared" si="100"/>
        <v>0</v>
      </c>
      <c r="N179" s="337">
        <f t="shared" si="101"/>
        <v>0</v>
      </c>
      <c r="O179" s="337">
        <f t="shared" si="102"/>
        <v>0</v>
      </c>
      <c r="P179" s="637">
        <f t="shared" si="103"/>
        <v>0</v>
      </c>
      <c r="Q179" s="694">
        <f t="shared" si="91"/>
        <v>0</v>
      </c>
      <c r="R179" s="337">
        <f t="shared" si="92"/>
        <v>0</v>
      </c>
      <c r="S179" s="337">
        <f t="shared" si="93"/>
        <v>0</v>
      </c>
      <c r="T179" s="337">
        <f t="shared" si="94"/>
        <v>0</v>
      </c>
      <c r="U179" s="337">
        <f t="shared" si="95"/>
        <v>0</v>
      </c>
      <c r="V179" s="337">
        <f t="shared" si="96"/>
        <v>0</v>
      </c>
      <c r="W179" s="695">
        <f t="shared" si="97"/>
        <v>0</v>
      </c>
      <c r="X179" s="828">
        <f t="shared" si="104"/>
        <v>0</v>
      </c>
    </row>
    <row r="180" spans="2:24" s="110" customFormat="1" x14ac:dyDescent="0.2">
      <c r="B180" s="636" t="str">
        <f>'input-data'!$B$225</f>
        <v xml:space="preserve"> Slagtesvin</v>
      </c>
      <c r="C180" s="63" t="str">
        <f>'input-data'!$B$226</f>
        <v xml:space="preserve">  Kraftfoder:</v>
      </c>
      <c r="D180" s="63" t="str">
        <f>'input-data'!$B$266</f>
        <v xml:space="preserve">    blanding 3, for vægtinterval, kg:</v>
      </c>
      <c r="E180" s="677">
        <f>'input-data'!E278</f>
        <v>0</v>
      </c>
      <c r="F180" s="261">
        <f>IFERROR('Flow slagtesvin'!$D$31*100/'Flow slagtesvin'!$D$54*'input-data'!I274/100, 0)</f>
        <v>0</v>
      </c>
      <c r="G180" s="337">
        <f t="shared" si="89"/>
        <v>0</v>
      </c>
      <c r="H180" s="337">
        <f>F180*'Flow slagtesvin'!$D$8</f>
        <v>0</v>
      </c>
      <c r="I180" s="337">
        <f t="shared" si="90"/>
        <v>0</v>
      </c>
      <c r="J180" s="337">
        <f>I180*'Flow slagtesvin'!$D$8</f>
        <v>0</v>
      </c>
      <c r="K180" s="337">
        <f t="shared" si="98"/>
        <v>0</v>
      </c>
      <c r="L180" s="633">
        <f t="shared" si="99"/>
        <v>0</v>
      </c>
      <c r="M180" s="627">
        <f t="shared" si="100"/>
        <v>0</v>
      </c>
      <c r="N180" s="337">
        <f t="shared" si="101"/>
        <v>0</v>
      </c>
      <c r="O180" s="337">
        <f t="shared" si="102"/>
        <v>0</v>
      </c>
      <c r="P180" s="637">
        <f t="shared" si="103"/>
        <v>0</v>
      </c>
      <c r="Q180" s="694">
        <f t="shared" si="91"/>
        <v>0</v>
      </c>
      <c r="R180" s="337">
        <f t="shared" si="92"/>
        <v>0</v>
      </c>
      <c r="S180" s="337">
        <f t="shared" si="93"/>
        <v>0</v>
      </c>
      <c r="T180" s="337">
        <f t="shared" si="94"/>
        <v>0</v>
      </c>
      <c r="U180" s="337">
        <f t="shared" si="95"/>
        <v>0</v>
      </c>
      <c r="V180" s="337">
        <f t="shared" si="96"/>
        <v>0</v>
      </c>
      <c r="W180" s="695">
        <f t="shared" si="97"/>
        <v>0</v>
      </c>
      <c r="X180" s="828">
        <f t="shared" si="104"/>
        <v>0</v>
      </c>
    </row>
    <row r="181" spans="2:24" s="110" customFormat="1" x14ac:dyDescent="0.2">
      <c r="B181" s="636" t="str">
        <f>'input-data'!$B$225</f>
        <v xml:space="preserve"> Slagtesvin</v>
      </c>
      <c r="C181" s="63" t="str">
        <f>'input-data'!$B$226</f>
        <v xml:space="preserve">  Kraftfoder:</v>
      </c>
      <c r="D181" s="63" t="str">
        <f>'input-data'!$B$266</f>
        <v xml:space="preserve">    blanding 3, for vægtinterval, kg:</v>
      </c>
      <c r="E181" s="677">
        <f>'input-data'!E279</f>
        <v>0</v>
      </c>
      <c r="F181" s="261">
        <f>IFERROR('Flow slagtesvin'!$D$31*100/'Flow slagtesvin'!$D$54*'input-data'!I275/100, 0)</f>
        <v>0</v>
      </c>
      <c r="G181" s="337">
        <f t="shared" si="89"/>
        <v>0</v>
      </c>
      <c r="H181" s="337">
        <f>F181*'Flow slagtesvin'!$D$8</f>
        <v>0</v>
      </c>
      <c r="I181" s="337">
        <f t="shared" si="90"/>
        <v>0</v>
      </c>
      <c r="J181" s="337">
        <f>I181*'Flow slagtesvin'!$D$8</f>
        <v>0</v>
      </c>
      <c r="K181" s="337">
        <f t="shared" si="98"/>
        <v>0</v>
      </c>
      <c r="L181" s="633">
        <f t="shared" si="99"/>
        <v>0</v>
      </c>
      <c r="M181" s="627">
        <f t="shared" si="100"/>
        <v>0</v>
      </c>
      <c r="N181" s="337">
        <f t="shared" si="101"/>
        <v>0</v>
      </c>
      <c r="O181" s="337">
        <f t="shared" si="102"/>
        <v>0</v>
      </c>
      <c r="P181" s="637">
        <f t="shared" si="103"/>
        <v>0</v>
      </c>
      <c r="Q181" s="694">
        <f t="shared" si="91"/>
        <v>0</v>
      </c>
      <c r="R181" s="337">
        <f t="shared" si="92"/>
        <v>0</v>
      </c>
      <c r="S181" s="337">
        <f t="shared" si="93"/>
        <v>0</v>
      </c>
      <c r="T181" s="337">
        <f t="shared" si="94"/>
        <v>0</v>
      </c>
      <c r="U181" s="337">
        <f t="shared" si="95"/>
        <v>0</v>
      </c>
      <c r="V181" s="337">
        <f t="shared" si="96"/>
        <v>0</v>
      </c>
      <c r="W181" s="695">
        <f t="shared" si="97"/>
        <v>0</v>
      </c>
      <c r="X181" s="828">
        <f t="shared" si="104"/>
        <v>0</v>
      </c>
    </row>
    <row r="182" spans="2:24" s="110" customFormat="1" x14ac:dyDescent="0.2">
      <c r="B182" s="636" t="str">
        <f>'input-data'!$B$225</f>
        <v xml:space="preserve"> Slagtesvin</v>
      </c>
      <c r="C182" s="63" t="str">
        <f>'input-data'!$B$226</f>
        <v xml:space="preserve">  Kraftfoder:</v>
      </c>
      <c r="D182" s="63" t="str">
        <f>'input-data'!$B$266</f>
        <v xml:space="preserve">    blanding 3, for vægtinterval, kg:</v>
      </c>
      <c r="E182" s="677">
        <f>'input-data'!E280</f>
        <v>0</v>
      </c>
      <c r="F182" s="261">
        <f>IFERROR('Flow slagtesvin'!$D$31*100/'Flow slagtesvin'!$D$54*'input-data'!I276/100, 0)</f>
        <v>0</v>
      </c>
      <c r="G182" s="337">
        <f t="shared" si="89"/>
        <v>0</v>
      </c>
      <c r="H182" s="337">
        <f>F182*'Flow slagtesvin'!$D$8</f>
        <v>0</v>
      </c>
      <c r="I182" s="337">
        <f t="shared" si="90"/>
        <v>0</v>
      </c>
      <c r="J182" s="337">
        <f>I182*'Flow slagtesvin'!$D$8</f>
        <v>0</v>
      </c>
      <c r="K182" s="337">
        <f t="shared" si="98"/>
        <v>0</v>
      </c>
      <c r="L182" s="633">
        <f t="shared" si="99"/>
        <v>0</v>
      </c>
      <c r="M182" s="627">
        <f t="shared" si="100"/>
        <v>0</v>
      </c>
      <c r="N182" s="337">
        <f t="shared" si="101"/>
        <v>0</v>
      </c>
      <c r="O182" s="337">
        <f t="shared" si="102"/>
        <v>0</v>
      </c>
      <c r="P182" s="637">
        <f t="shared" si="103"/>
        <v>0</v>
      </c>
      <c r="Q182" s="694">
        <f t="shared" si="91"/>
        <v>0</v>
      </c>
      <c r="R182" s="337">
        <f t="shared" si="92"/>
        <v>0</v>
      </c>
      <c r="S182" s="337">
        <f t="shared" si="93"/>
        <v>0</v>
      </c>
      <c r="T182" s="337">
        <f t="shared" si="94"/>
        <v>0</v>
      </c>
      <c r="U182" s="337">
        <f t="shared" si="95"/>
        <v>0</v>
      </c>
      <c r="V182" s="337">
        <f t="shared" si="96"/>
        <v>0</v>
      </c>
      <c r="W182" s="695">
        <f t="shared" si="97"/>
        <v>0</v>
      </c>
      <c r="X182" s="828">
        <f t="shared" si="104"/>
        <v>0</v>
      </c>
    </row>
    <row r="183" spans="2:24" s="110" customFormat="1" x14ac:dyDescent="0.2">
      <c r="B183" s="636" t="str">
        <f>'input-data'!$B$225</f>
        <v xml:space="preserve"> Slagtesvin</v>
      </c>
      <c r="C183" s="63" t="str">
        <f>'input-data'!$B$226</f>
        <v xml:space="preserve">  Kraftfoder:</v>
      </c>
      <c r="D183" s="63" t="str">
        <f>'input-data'!$B$266</f>
        <v xml:space="preserve">    blanding 3, for vægtinterval, kg:</v>
      </c>
      <c r="E183" s="677">
        <f>'input-data'!E281</f>
        <v>0</v>
      </c>
      <c r="F183" s="261">
        <f>IFERROR('Flow slagtesvin'!$D$31*100/'Flow slagtesvin'!$D$54*'input-data'!I277/100, 0)</f>
        <v>0</v>
      </c>
      <c r="G183" s="337">
        <f t="shared" si="89"/>
        <v>0</v>
      </c>
      <c r="H183" s="337">
        <f>F183*'Flow slagtesvin'!$D$8</f>
        <v>0</v>
      </c>
      <c r="I183" s="337">
        <f t="shared" si="90"/>
        <v>0</v>
      </c>
      <c r="J183" s="337">
        <f>I183*'Flow slagtesvin'!$D$8</f>
        <v>0</v>
      </c>
      <c r="K183" s="337">
        <f t="shared" si="98"/>
        <v>0</v>
      </c>
      <c r="L183" s="633">
        <f t="shared" si="99"/>
        <v>0</v>
      </c>
      <c r="M183" s="627">
        <f t="shared" si="100"/>
        <v>0</v>
      </c>
      <c r="N183" s="337">
        <f t="shared" si="101"/>
        <v>0</v>
      </c>
      <c r="O183" s="337">
        <f t="shared" si="102"/>
        <v>0</v>
      </c>
      <c r="P183" s="637">
        <f t="shared" si="103"/>
        <v>0</v>
      </c>
      <c r="Q183" s="694">
        <f t="shared" si="91"/>
        <v>0</v>
      </c>
      <c r="R183" s="337">
        <f t="shared" si="92"/>
        <v>0</v>
      </c>
      <c r="S183" s="337">
        <f t="shared" si="93"/>
        <v>0</v>
      </c>
      <c r="T183" s="337">
        <f t="shared" si="94"/>
        <v>0</v>
      </c>
      <c r="U183" s="337">
        <f t="shared" si="95"/>
        <v>0</v>
      </c>
      <c r="V183" s="337">
        <f t="shared" si="96"/>
        <v>0</v>
      </c>
      <c r="W183" s="695">
        <f t="shared" si="97"/>
        <v>0</v>
      </c>
      <c r="X183" s="828">
        <f t="shared" si="104"/>
        <v>0</v>
      </c>
    </row>
    <row r="184" spans="2:24" s="110" customFormat="1" x14ac:dyDescent="0.2">
      <c r="B184" s="636" t="str">
        <f>'input-data'!$B$225</f>
        <v xml:space="preserve"> Slagtesvin</v>
      </c>
      <c r="C184" s="63" t="str">
        <f>'input-data'!$B$226</f>
        <v xml:space="preserve">  Kraftfoder:</v>
      </c>
      <c r="D184" s="63" t="str">
        <f>'input-data'!$B$266</f>
        <v xml:space="preserve">    blanding 3, for vægtinterval, kg:</v>
      </c>
      <c r="E184" s="677">
        <f>'input-data'!E282</f>
        <v>0</v>
      </c>
      <c r="F184" s="261">
        <f>IFERROR('Flow slagtesvin'!$D$31*100/'Flow slagtesvin'!$D$54*'input-data'!I278/100, 0)</f>
        <v>0</v>
      </c>
      <c r="G184" s="337">
        <f t="shared" si="89"/>
        <v>0</v>
      </c>
      <c r="H184" s="337">
        <f>F184*'Flow slagtesvin'!$D$8</f>
        <v>0</v>
      </c>
      <c r="I184" s="337">
        <f t="shared" si="90"/>
        <v>0</v>
      </c>
      <c r="J184" s="337">
        <f>I184*'Flow slagtesvin'!$D$8</f>
        <v>0</v>
      </c>
      <c r="K184" s="337">
        <f t="shared" si="98"/>
        <v>0</v>
      </c>
      <c r="L184" s="633">
        <f t="shared" si="99"/>
        <v>0</v>
      </c>
      <c r="M184" s="627">
        <f t="shared" si="100"/>
        <v>0</v>
      </c>
      <c r="N184" s="337">
        <f t="shared" si="101"/>
        <v>0</v>
      </c>
      <c r="O184" s="337">
        <f t="shared" si="102"/>
        <v>0</v>
      </c>
      <c r="P184" s="637">
        <f t="shared" si="103"/>
        <v>0</v>
      </c>
      <c r="Q184" s="694">
        <f t="shared" si="91"/>
        <v>0</v>
      </c>
      <c r="R184" s="337">
        <f t="shared" si="92"/>
        <v>0</v>
      </c>
      <c r="S184" s="337">
        <f t="shared" si="93"/>
        <v>0</v>
      </c>
      <c r="T184" s="337">
        <f t="shared" si="94"/>
        <v>0</v>
      </c>
      <c r="U184" s="337">
        <f t="shared" si="95"/>
        <v>0</v>
      </c>
      <c r="V184" s="337">
        <f t="shared" si="96"/>
        <v>0</v>
      </c>
      <c r="W184" s="695">
        <f t="shared" si="97"/>
        <v>0</v>
      </c>
      <c r="X184" s="828">
        <f t="shared" si="104"/>
        <v>0</v>
      </c>
    </row>
    <row r="185" spans="2:24" s="110" customFormat="1" x14ac:dyDescent="0.2">
      <c r="B185" s="636" t="str">
        <f>'input-data'!$B$225</f>
        <v xml:space="preserve"> Slagtesvin</v>
      </c>
      <c r="C185" s="63" t="str">
        <f>'input-data'!$B$285</f>
        <v xml:space="preserve">  Grovfoder:</v>
      </c>
      <c r="D185" s="63" t="str">
        <f>'Flow slagtesvin'!$C$37</f>
        <v>Tildelt grovfoder</v>
      </c>
      <c r="E185" s="677">
        <f>'input-data'!E289</f>
        <v>0</v>
      </c>
      <c r="F185" s="261">
        <f>'Flow slagtesvin'!$D$37*'input-data'!I289/100</f>
        <v>0</v>
      </c>
      <c r="G185" s="337">
        <f t="shared" ref="G185:G190" si="105">IFERROR(F185*VLOOKUP(E185, Fodertabel, 3, FALSE), 0)</f>
        <v>0</v>
      </c>
      <c r="H185" s="337">
        <f>F185*'Flow slagtesvin'!$D$8</f>
        <v>0</v>
      </c>
      <c r="I185" s="337">
        <f t="shared" ref="I185:I190" si="106">IFERROR(F185*VLOOKUP(E185, Fodertabel, 9, FALSE)/100, 0)</f>
        <v>0</v>
      </c>
      <c r="J185" s="337">
        <f>I185*'Flow slagtesvin'!$D$8</f>
        <v>0</v>
      </c>
      <c r="K185" s="337">
        <f t="shared" si="98"/>
        <v>0</v>
      </c>
      <c r="L185" s="633">
        <f t="shared" si="99"/>
        <v>0</v>
      </c>
      <c r="M185" s="627">
        <f t="shared" si="100"/>
        <v>0</v>
      </c>
      <c r="N185" s="337">
        <f t="shared" si="101"/>
        <v>0</v>
      </c>
      <c r="O185" s="337">
        <f t="shared" si="102"/>
        <v>0</v>
      </c>
      <c r="P185" s="637">
        <f t="shared" si="103"/>
        <v>0</v>
      </c>
      <c r="Q185" s="694">
        <f t="shared" si="91"/>
        <v>0</v>
      </c>
      <c r="R185" s="337">
        <f t="shared" si="92"/>
        <v>0</v>
      </c>
      <c r="S185" s="337">
        <f t="shared" si="93"/>
        <v>0</v>
      </c>
      <c r="T185" s="337">
        <f t="shared" si="94"/>
        <v>0</v>
      </c>
      <c r="U185" s="337">
        <f t="shared" si="95"/>
        <v>0</v>
      </c>
      <c r="V185" s="337">
        <f t="shared" si="96"/>
        <v>0</v>
      </c>
      <c r="W185" s="695">
        <f t="shared" si="97"/>
        <v>0</v>
      </c>
      <c r="X185" s="828">
        <f t="shared" si="104"/>
        <v>0</v>
      </c>
    </row>
    <row r="186" spans="2:24" s="110" customFormat="1" x14ac:dyDescent="0.2">
      <c r="B186" s="636" t="str">
        <f>'input-data'!$B$225</f>
        <v xml:space="preserve"> Slagtesvin</v>
      </c>
      <c r="C186" s="63" t="str">
        <f>'input-data'!$B$285</f>
        <v xml:space="preserve">  Grovfoder:</v>
      </c>
      <c r="D186" s="63" t="str">
        <f>'Flow slagtesvin'!$C$37</f>
        <v>Tildelt grovfoder</v>
      </c>
      <c r="E186" s="813">
        <f>'input-data'!E290</f>
        <v>0</v>
      </c>
      <c r="F186" s="261">
        <f>'Flow slagtesvin'!$D$37*'input-data'!I290/100</f>
        <v>0</v>
      </c>
      <c r="G186" s="337">
        <f t="shared" si="105"/>
        <v>0</v>
      </c>
      <c r="H186" s="337">
        <f>F186*'Flow slagtesvin'!$D$8</f>
        <v>0</v>
      </c>
      <c r="I186" s="337">
        <f t="shared" si="106"/>
        <v>0</v>
      </c>
      <c r="J186" s="337">
        <f>I186*'Flow slagtesvin'!$D$8</f>
        <v>0</v>
      </c>
      <c r="K186" s="337">
        <f t="shared" si="98"/>
        <v>0</v>
      </c>
      <c r="L186" s="633">
        <f t="shared" si="99"/>
        <v>0</v>
      </c>
      <c r="M186" s="813">
        <f t="shared" si="100"/>
        <v>0</v>
      </c>
      <c r="N186" s="337">
        <f t="shared" si="101"/>
        <v>0</v>
      </c>
      <c r="O186" s="337">
        <f t="shared" si="102"/>
        <v>0</v>
      </c>
      <c r="P186" s="637">
        <f t="shared" si="103"/>
        <v>0</v>
      </c>
      <c r="Q186" s="694">
        <f t="shared" si="91"/>
        <v>0</v>
      </c>
      <c r="R186" s="337">
        <f t="shared" si="92"/>
        <v>0</v>
      </c>
      <c r="S186" s="337">
        <f t="shared" si="93"/>
        <v>0</v>
      </c>
      <c r="T186" s="337">
        <f t="shared" si="94"/>
        <v>0</v>
      </c>
      <c r="U186" s="337">
        <f t="shared" si="95"/>
        <v>0</v>
      </c>
      <c r="V186" s="337">
        <f t="shared" si="96"/>
        <v>0</v>
      </c>
      <c r="W186" s="695">
        <f t="shared" si="97"/>
        <v>0</v>
      </c>
      <c r="X186" s="828">
        <f t="shared" si="104"/>
        <v>0</v>
      </c>
    </row>
    <row r="187" spans="2:24" s="110" customFormat="1" x14ac:dyDescent="0.2">
      <c r="B187" s="636" t="str">
        <f>'input-data'!$B$225</f>
        <v xml:space="preserve"> Slagtesvin</v>
      </c>
      <c r="C187" s="63" t="str">
        <f>'input-data'!$B$285</f>
        <v xml:space="preserve">  Grovfoder:</v>
      </c>
      <c r="D187" s="63" t="str">
        <f>'Flow slagtesvin'!$C$37</f>
        <v>Tildelt grovfoder</v>
      </c>
      <c r="E187" s="677">
        <f>'input-data'!E291</f>
        <v>0</v>
      </c>
      <c r="F187" s="261">
        <f>'Flow slagtesvin'!$D$37*'input-data'!I291/100</f>
        <v>0</v>
      </c>
      <c r="G187" s="337">
        <f t="shared" si="105"/>
        <v>0</v>
      </c>
      <c r="H187" s="337">
        <f>F187*'Flow slagtesvin'!$D$8</f>
        <v>0</v>
      </c>
      <c r="I187" s="337">
        <f t="shared" si="106"/>
        <v>0</v>
      </c>
      <c r="J187" s="337">
        <f>I187*'Flow slagtesvin'!$D$8</f>
        <v>0</v>
      </c>
      <c r="K187" s="337">
        <f t="shared" si="98"/>
        <v>0</v>
      </c>
      <c r="L187" s="633">
        <f t="shared" si="99"/>
        <v>0</v>
      </c>
      <c r="M187" s="627">
        <f t="shared" si="100"/>
        <v>0</v>
      </c>
      <c r="N187" s="337">
        <f t="shared" si="101"/>
        <v>0</v>
      </c>
      <c r="O187" s="337">
        <f t="shared" si="102"/>
        <v>0</v>
      </c>
      <c r="P187" s="637">
        <f t="shared" si="103"/>
        <v>0</v>
      </c>
      <c r="Q187" s="694">
        <f t="shared" si="91"/>
        <v>0</v>
      </c>
      <c r="R187" s="337">
        <f t="shared" si="92"/>
        <v>0</v>
      </c>
      <c r="S187" s="337">
        <f t="shared" si="93"/>
        <v>0</v>
      </c>
      <c r="T187" s="337">
        <f t="shared" si="94"/>
        <v>0</v>
      </c>
      <c r="U187" s="337">
        <f t="shared" si="95"/>
        <v>0</v>
      </c>
      <c r="V187" s="337">
        <f t="shared" si="96"/>
        <v>0</v>
      </c>
      <c r="W187" s="695">
        <f t="shared" si="97"/>
        <v>0</v>
      </c>
      <c r="X187" s="828">
        <f t="shared" si="104"/>
        <v>0</v>
      </c>
    </row>
    <row r="188" spans="2:24" s="110" customFormat="1" x14ac:dyDescent="0.2">
      <c r="B188" s="636" t="str">
        <f>'input-data'!$B$225</f>
        <v xml:space="preserve"> Slagtesvin</v>
      </c>
      <c r="C188" s="63" t="str">
        <f>'input-data'!$B$285</f>
        <v xml:space="preserve">  Grovfoder:</v>
      </c>
      <c r="D188" s="63" t="str">
        <f>'Flow slagtesvin'!$C$37</f>
        <v>Tildelt grovfoder</v>
      </c>
      <c r="E188" s="677">
        <f>'input-data'!E292</f>
        <v>0</v>
      </c>
      <c r="F188" s="261">
        <f>'Flow slagtesvin'!$D$37*'input-data'!I292/100</f>
        <v>0</v>
      </c>
      <c r="G188" s="337">
        <f t="shared" si="105"/>
        <v>0</v>
      </c>
      <c r="H188" s="337">
        <f>F188*'Flow slagtesvin'!$D$8</f>
        <v>0</v>
      </c>
      <c r="I188" s="337">
        <f t="shared" si="106"/>
        <v>0</v>
      </c>
      <c r="J188" s="337">
        <f>I188*'Flow slagtesvin'!$D$8</f>
        <v>0</v>
      </c>
      <c r="K188" s="337">
        <f t="shared" si="98"/>
        <v>0</v>
      </c>
      <c r="L188" s="633">
        <f t="shared" si="99"/>
        <v>0</v>
      </c>
      <c r="M188" s="627">
        <f t="shared" si="100"/>
        <v>0</v>
      </c>
      <c r="N188" s="337">
        <f t="shared" si="101"/>
        <v>0</v>
      </c>
      <c r="O188" s="337">
        <f t="shared" si="102"/>
        <v>0</v>
      </c>
      <c r="P188" s="637">
        <f t="shared" si="103"/>
        <v>0</v>
      </c>
      <c r="Q188" s="694">
        <f t="shared" si="91"/>
        <v>0</v>
      </c>
      <c r="R188" s="337">
        <f t="shared" si="92"/>
        <v>0</v>
      </c>
      <c r="S188" s="337">
        <f t="shared" si="93"/>
        <v>0</v>
      </c>
      <c r="T188" s="337">
        <f t="shared" si="94"/>
        <v>0</v>
      </c>
      <c r="U188" s="337">
        <f t="shared" si="95"/>
        <v>0</v>
      </c>
      <c r="V188" s="337">
        <f t="shared" si="96"/>
        <v>0</v>
      </c>
      <c r="W188" s="695">
        <f t="shared" si="97"/>
        <v>0</v>
      </c>
      <c r="X188" s="828">
        <f t="shared" si="104"/>
        <v>0</v>
      </c>
    </row>
    <row r="189" spans="2:24" s="110" customFormat="1" x14ac:dyDescent="0.2">
      <c r="B189" s="636" t="str">
        <f>'input-data'!$B$225</f>
        <v xml:space="preserve"> Slagtesvin</v>
      </c>
      <c r="C189" s="63" t="str">
        <f>'input-data'!$B$285</f>
        <v xml:space="preserve">  Grovfoder:</v>
      </c>
      <c r="D189" s="63" t="str">
        <f>'Flow slagtesvin'!$C$37</f>
        <v>Tildelt grovfoder</v>
      </c>
      <c r="E189" s="677">
        <f>'input-data'!E293</f>
        <v>0</v>
      </c>
      <c r="F189" s="261">
        <f>'Flow slagtesvin'!$D$37*'input-data'!I293/100</f>
        <v>0</v>
      </c>
      <c r="G189" s="337">
        <f t="shared" si="105"/>
        <v>0</v>
      </c>
      <c r="H189" s="337">
        <f>F189*'Flow slagtesvin'!$D$8</f>
        <v>0</v>
      </c>
      <c r="I189" s="337">
        <f t="shared" si="106"/>
        <v>0</v>
      </c>
      <c r="J189" s="337">
        <f>I189*'Flow slagtesvin'!$D$8</f>
        <v>0</v>
      </c>
      <c r="K189" s="337">
        <f t="shared" si="98"/>
        <v>0</v>
      </c>
      <c r="L189" s="633">
        <f t="shared" si="99"/>
        <v>0</v>
      </c>
      <c r="M189" s="627">
        <f t="shared" si="100"/>
        <v>0</v>
      </c>
      <c r="N189" s="337">
        <f t="shared" si="101"/>
        <v>0</v>
      </c>
      <c r="O189" s="337">
        <f t="shared" si="102"/>
        <v>0</v>
      </c>
      <c r="P189" s="637">
        <f t="shared" si="103"/>
        <v>0</v>
      </c>
      <c r="Q189" s="694">
        <f t="shared" si="91"/>
        <v>0</v>
      </c>
      <c r="R189" s="337">
        <f t="shared" si="92"/>
        <v>0</v>
      </c>
      <c r="S189" s="337">
        <f t="shared" si="93"/>
        <v>0</v>
      </c>
      <c r="T189" s="337">
        <f t="shared" si="94"/>
        <v>0</v>
      </c>
      <c r="U189" s="337">
        <f t="shared" si="95"/>
        <v>0</v>
      </c>
      <c r="V189" s="337">
        <f t="shared" si="96"/>
        <v>0</v>
      </c>
      <c r="W189" s="695">
        <f t="shared" si="97"/>
        <v>0</v>
      </c>
      <c r="X189" s="828">
        <f t="shared" si="104"/>
        <v>0</v>
      </c>
    </row>
    <row r="190" spans="2:24" s="110" customFormat="1" ht="15" thickBot="1" x14ac:dyDescent="0.25">
      <c r="B190" s="638" t="str">
        <f>'input-data'!$B$225</f>
        <v xml:space="preserve"> Slagtesvin</v>
      </c>
      <c r="C190" s="639" t="str">
        <f>'input-data'!$B$285</f>
        <v xml:space="preserve">  Grovfoder:</v>
      </c>
      <c r="D190" s="639" t="str">
        <f>'Flow slagtesvin'!$C$36</f>
        <v>Afgræsning (april-september)</v>
      </c>
      <c r="E190" s="642" t="str">
        <f>Fodertabel!D692</f>
        <v>Vælg……………………………..</v>
      </c>
      <c r="F190" s="640">
        <f>'Flow slagtesvin'!$D$36*'input-data'!I294/100</f>
        <v>0</v>
      </c>
      <c r="G190" s="641">
        <f t="shared" si="105"/>
        <v>0</v>
      </c>
      <c r="H190" s="641">
        <f>F190*'Flow slagtesvin'!$D$8</f>
        <v>0</v>
      </c>
      <c r="I190" s="641">
        <f t="shared" si="106"/>
        <v>0</v>
      </c>
      <c r="J190" s="641">
        <f>I190*'Flow slagtesvin'!$D$8</f>
        <v>0</v>
      </c>
      <c r="K190" s="641">
        <f t="shared" si="98"/>
        <v>0</v>
      </c>
      <c r="L190" s="642">
        <f t="shared" si="99"/>
        <v>0</v>
      </c>
      <c r="M190" s="643" t="str">
        <f t="shared" si="100"/>
        <v>folde</v>
      </c>
      <c r="N190" s="641">
        <f t="shared" si="101"/>
        <v>0</v>
      </c>
      <c r="O190" s="641">
        <f t="shared" si="102"/>
        <v>0</v>
      </c>
      <c r="P190" s="644">
        <f t="shared" si="103"/>
        <v>0</v>
      </c>
      <c r="Q190" s="696">
        <f>$J190*'Mark-Fields'!$F$140</f>
        <v>0</v>
      </c>
      <c r="R190" s="641">
        <f>$J190*'Mark-Fields'!$F$143</f>
        <v>0</v>
      </c>
      <c r="S190" s="641">
        <f>$J190*'Mark-Fields'!$F$146</f>
        <v>0</v>
      </c>
      <c r="T190" s="641">
        <f>$J190*'Mark-Fields'!$F$166</f>
        <v>0</v>
      </c>
      <c r="U190" s="641">
        <f>$J190*'Mark-Fields'!$F$200</f>
        <v>0</v>
      </c>
      <c r="V190" s="641">
        <f>$J190*'Mark-Fields'!$F$184</f>
        <v>0</v>
      </c>
      <c r="W190" s="697">
        <f>$J190*'Mark-Fields'!$F$208</f>
        <v>0</v>
      </c>
      <c r="X190" s="828" t="str">
        <f t="shared" si="104"/>
        <v>kløvergræs</v>
      </c>
    </row>
    <row r="191" spans="2:24" s="110" customFormat="1" ht="15" thickBot="1" x14ac:dyDescent="0.25">
      <c r="B191" s="814" t="s">
        <v>1923</v>
      </c>
      <c r="C191" s="815"/>
      <c r="D191" s="815"/>
      <c r="E191" s="816"/>
      <c r="F191" s="817">
        <f>SUM(F17:F190)</f>
        <v>0</v>
      </c>
      <c r="G191" s="817">
        <f t="shared" ref="G191:J191" si="107">SUM(G17:G190)</f>
        <v>0</v>
      </c>
      <c r="H191" s="817">
        <f t="shared" si="107"/>
        <v>0</v>
      </c>
      <c r="I191" s="817">
        <f t="shared" si="107"/>
        <v>0</v>
      </c>
      <c r="J191" s="817">
        <f t="shared" si="107"/>
        <v>0</v>
      </c>
      <c r="K191" s="817">
        <f>SUM(K17:K190)</f>
        <v>0</v>
      </c>
      <c r="L191" s="826">
        <f>SUM(L17:L190)</f>
        <v>0</v>
      </c>
      <c r="M191" s="815"/>
      <c r="N191" s="815"/>
      <c r="O191" s="817">
        <f>SUM(O17:O190)</f>
        <v>0</v>
      </c>
      <c r="P191" s="815"/>
      <c r="Q191" s="815"/>
      <c r="R191" s="815"/>
      <c r="S191" s="815"/>
      <c r="T191" s="815"/>
      <c r="U191" s="815"/>
      <c r="V191" s="815"/>
      <c r="W191" s="818"/>
      <c r="X191" s="829"/>
    </row>
    <row r="192" spans="2:24" s="110" customFormat="1" x14ac:dyDescent="0.2">
      <c r="E192" s="678"/>
      <c r="R192" s="812"/>
    </row>
    <row r="193" spans="5:5" s="110" customFormat="1" x14ac:dyDescent="0.2">
      <c r="E193" s="678"/>
    </row>
    <row r="194" spans="5:5" s="110" customFormat="1" x14ac:dyDescent="0.2">
      <c r="E194" s="678"/>
    </row>
    <row r="195" spans="5:5" s="110" customFormat="1" x14ac:dyDescent="0.2">
      <c r="E195" s="678"/>
    </row>
    <row r="196" spans="5:5" s="110" customFormat="1" x14ac:dyDescent="0.2">
      <c r="E196" s="678"/>
    </row>
    <row r="197" spans="5:5" s="110" customFormat="1" x14ac:dyDescent="0.2">
      <c r="E197" s="678"/>
    </row>
    <row r="198" spans="5:5" s="110" customFormat="1" x14ac:dyDescent="0.2">
      <c r="E198" s="678"/>
    </row>
    <row r="199" spans="5:5" s="110" customFormat="1" x14ac:dyDescent="0.2">
      <c r="E199" s="678"/>
    </row>
    <row r="200" spans="5:5" s="110" customFormat="1" x14ac:dyDescent="0.2">
      <c r="E200" s="678"/>
    </row>
    <row r="201" spans="5:5" s="110" customFormat="1" x14ac:dyDescent="0.2">
      <c r="E201" s="678"/>
    </row>
    <row r="202" spans="5:5" s="110" customFormat="1" x14ac:dyDescent="0.2">
      <c r="E202" s="678"/>
    </row>
    <row r="203" spans="5:5" s="110" customFormat="1" x14ac:dyDescent="0.2">
      <c r="E203" s="678"/>
    </row>
    <row r="204" spans="5:5" s="110" customFormat="1" x14ac:dyDescent="0.2">
      <c r="E204" s="678"/>
    </row>
    <row r="205" spans="5:5" s="110" customFormat="1" x14ac:dyDescent="0.2">
      <c r="E205" s="678"/>
    </row>
    <row r="206" spans="5:5" s="110" customFormat="1" x14ac:dyDescent="0.2">
      <c r="E206" s="678"/>
    </row>
    <row r="207" spans="5:5" s="110" customFormat="1" x14ac:dyDescent="0.2">
      <c r="E207" s="678"/>
    </row>
    <row r="208" spans="5:5" s="110" customFormat="1" x14ac:dyDescent="0.2">
      <c r="E208" s="678"/>
    </row>
    <row r="209" spans="5:5" s="110" customFormat="1" x14ac:dyDescent="0.2">
      <c r="E209" s="678"/>
    </row>
    <row r="210" spans="5:5" s="110" customFormat="1" x14ac:dyDescent="0.2">
      <c r="E210" s="678"/>
    </row>
    <row r="211" spans="5:5" s="110" customFormat="1" x14ac:dyDescent="0.2">
      <c r="E211" s="678"/>
    </row>
    <row r="212" spans="5:5" s="110" customFormat="1" x14ac:dyDescent="0.2">
      <c r="E212" s="678"/>
    </row>
    <row r="213" spans="5:5" s="110" customFormat="1" x14ac:dyDescent="0.2">
      <c r="E213" s="678"/>
    </row>
    <row r="214" spans="5:5" s="110" customFormat="1" x14ac:dyDescent="0.2">
      <c r="E214" s="678"/>
    </row>
    <row r="215" spans="5:5" s="110" customFormat="1" x14ac:dyDescent="0.2">
      <c r="E215" s="678"/>
    </row>
    <row r="216" spans="5:5" s="110" customFormat="1" x14ac:dyDescent="0.2">
      <c r="E216" s="678"/>
    </row>
    <row r="217" spans="5:5" s="110" customFormat="1" x14ac:dyDescent="0.2">
      <c r="E217" s="678"/>
    </row>
    <row r="218" spans="5:5" s="110" customFormat="1" x14ac:dyDescent="0.2">
      <c r="E218" s="678"/>
    </row>
    <row r="219" spans="5:5" s="110" customFormat="1" x14ac:dyDescent="0.2">
      <c r="E219" s="678"/>
    </row>
    <row r="220" spans="5:5" s="110" customFormat="1" x14ac:dyDescent="0.2">
      <c r="E220" s="678"/>
    </row>
    <row r="221" spans="5:5" s="110" customFormat="1" x14ac:dyDescent="0.2">
      <c r="E221" s="678"/>
    </row>
    <row r="222" spans="5:5" s="110" customFormat="1" x14ac:dyDescent="0.2">
      <c r="E222" s="678"/>
    </row>
    <row r="223" spans="5:5" s="110" customFormat="1" x14ac:dyDescent="0.2">
      <c r="E223" s="678"/>
    </row>
    <row r="224" spans="5:5" s="110" customFormat="1" x14ac:dyDescent="0.2">
      <c r="E224" s="678"/>
    </row>
    <row r="225" spans="5:5" s="110" customFormat="1" x14ac:dyDescent="0.2">
      <c r="E225" s="678"/>
    </row>
    <row r="226" spans="5:5" s="110" customFormat="1" x14ac:dyDescent="0.2">
      <c r="E226" s="678"/>
    </row>
    <row r="227" spans="5:5" s="110" customFormat="1" x14ac:dyDescent="0.2">
      <c r="E227" s="678"/>
    </row>
    <row r="228" spans="5:5" s="110" customFormat="1" x14ac:dyDescent="0.2">
      <c r="E228" s="678"/>
    </row>
    <row r="229" spans="5:5" s="110" customFormat="1" x14ac:dyDescent="0.2">
      <c r="E229" s="678"/>
    </row>
    <row r="230" spans="5:5" s="110" customFormat="1" x14ac:dyDescent="0.2">
      <c r="E230" s="678"/>
    </row>
    <row r="231" spans="5:5" s="110" customFormat="1" x14ac:dyDescent="0.2">
      <c r="E231" s="678"/>
    </row>
    <row r="232" spans="5:5" s="110" customFormat="1" x14ac:dyDescent="0.2">
      <c r="E232" s="678"/>
    </row>
    <row r="233" spans="5:5" s="110" customFormat="1" x14ac:dyDescent="0.2">
      <c r="E233" s="678"/>
    </row>
    <row r="234" spans="5:5" s="110" customFormat="1" x14ac:dyDescent="0.2">
      <c r="E234" s="678"/>
    </row>
    <row r="235" spans="5:5" s="110" customFormat="1" x14ac:dyDescent="0.2">
      <c r="E235" s="678"/>
    </row>
    <row r="236" spans="5:5" s="110" customFormat="1" x14ac:dyDescent="0.2">
      <c r="E236" s="678"/>
    </row>
    <row r="237" spans="5:5" s="110" customFormat="1" x14ac:dyDescent="0.2">
      <c r="E237" s="678"/>
    </row>
    <row r="238" spans="5:5" s="110" customFormat="1" x14ac:dyDescent="0.2">
      <c r="E238" s="678"/>
    </row>
    <row r="239" spans="5:5" s="110" customFormat="1" x14ac:dyDescent="0.2">
      <c r="E239" s="678"/>
    </row>
    <row r="240" spans="5:5" s="110" customFormat="1" x14ac:dyDescent="0.2">
      <c r="E240" s="678"/>
    </row>
    <row r="241" spans="5:5" s="110" customFormat="1" x14ac:dyDescent="0.2">
      <c r="E241" s="678"/>
    </row>
    <row r="242" spans="5:5" s="110" customFormat="1" x14ac:dyDescent="0.2">
      <c r="E242" s="678"/>
    </row>
    <row r="243" spans="5:5" s="110" customFormat="1" x14ac:dyDescent="0.2">
      <c r="E243" s="678"/>
    </row>
    <row r="244" spans="5:5" s="110" customFormat="1" x14ac:dyDescent="0.2">
      <c r="E244" s="678"/>
    </row>
    <row r="245" spans="5:5" s="110" customFormat="1" x14ac:dyDescent="0.2">
      <c r="E245" s="678"/>
    </row>
    <row r="246" spans="5:5" s="110" customFormat="1" x14ac:dyDescent="0.2">
      <c r="E246" s="678"/>
    </row>
    <row r="247" spans="5:5" s="110" customFormat="1" x14ac:dyDescent="0.2">
      <c r="E247" s="678"/>
    </row>
    <row r="248" spans="5:5" s="110" customFormat="1" x14ac:dyDescent="0.2">
      <c r="E248" s="678"/>
    </row>
    <row r="249" spans="5:5" s="110" customFormat="1" x14ac:dyDescent="0.2">
      <c r="E249" s="678"/>
    </row>
    <row r="250" spans="5:5" s="110" customFormat="1" x14ac:dyDescent="0.2">
      <c r="E250" s="678"/>
    </row>
    <row r="251" spans="5:5" s="110" customFormat="1" x14ac:dyDescent="0.2">
      <c r="E251" s="678"/>
    </row>
    <row r="252" spans="5:5" s="110" customFormat="1" x14ac:dyDescent="0.2">
      <c r="E252" s="678"/>
    </row>
    <row r="253" spans="5:5" s="110" customFormat="1" x14ac:dyDescent="0.2">
      <c r="E253" s="678"/>
    </row>
    <row r="254" spans="5:5" s="110" customFormat="1" x14ac:dyDescent="0.2">
      <c r="E254" s="678"/>
    </row>
    <row r="255" spans="5:5" s="110" customFormat="1" x14ac:dyDescent="0.2">
      <c r="E255" s="678"/>
    </row>
    <row r="256" spans="5:5" s="110" customFormat="1" x14ac:dyDescent="0.2">
      <c r="E256" s="678"/>
    </row>
    <row r="257" spans="5:5" s="110" customFormat="1" x14ac:dyDescent="0.2">
      <c r="E257" s="678"/>
    </row>
    <row r="258" spans="5:5" s="110" customFormat="1" x14ac:dyDescent="0.2">
      <c r="E258" s="678"/>
    </row>
    <row r="259" spans="5:5" s="110" customFormat="1" x14ac:dyDescent="0.2">
      <c r="E259" s="678"/>
    </row>
    <row r="260" spans="5:5" s="110" customFormat="1" x14ac:dyDescent="0.2">
      <c r="E260" s="678"/>
    </row>
    <row r="261" spans="5:5" s="110" customFormat="1" x14ac:dyDescent="0.2">
      <c r="E261" s="678"/>
    </row>
    <row r="262" spans="5:5" s="110" customFormat="1" x14ac:dyDescent="0.2">
      <c r="E262" s="678"/>
    </row>
    <row r="263" spans="5:5" s="110" customFormat="1" x14ac:dyDescent="0.2">
      <c r="E263" s="678"/>
    </row>
    <row r="264" spans="5:5" s="110" customFormat="1" x14ac:dyDescent="0.2">
      <c r="E264" s="678"/>
    </row>
  </sheetData>
  <sheetProtection algorithmName="SHA-512" hashValue="b+GhtgJfy07qp+o9Hc0WHiA7JiGIMGTXNTMlGAvoOcs5U02T5+Z8Jxy/mJgQTR2S5VOJAgefwxf83MI3N8om2A==" saltValue="PxRaw4B90hIhyOmFYfFWIA==" spinCount="100000" sheet="1" objects="1" scenarios="1"/>
  <protectedRanges>
    <protectedRange sqref="A1:XFD1048576" name="all"/>
    <protectedRange sqref="B16:W190 X17:X190" name="feed"/>
  </protectedRanges>
  <sortState ref="B17:M188">
    <sortCondition ref="B17:B188"/>
  </sortState>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32</vt:i4>
      </vt:variant>
    </vt:vector>
  </HeadingPairs>
  <TitlesOfParts>
    <vt:vector size="56" baseType="lpstr">
      <vt:lpstr>model</vt:lpstr>
      <vt:lpstr>Fodertabel</vt:lpstr>
      <vt:lpstr>input-data</vt:lpstr>
      <vt:lpstr>N-balance</vt:lpstr>
      <vt:lpstr>results</vt:lpstr>
      <vt:lpstr>feed available</vt:lpstr>
      <vt:lpstr>Feed rations</vt:lpstr>
      <vt:lpstr>Mark-Fields</vt:lpstr>
      <vt:lpstr>Feed - overview</vt:lpstr>
      <vt:lpstr>Feed use at farm</vt:lpstr>
      <vt:lpstr>Flow sohold</vt:lpstr>
      <vt:lpstr>Flow smågrise</vt:lpstr>
      <vt:lpstr>Flow slagtesvin</vt:lpstr>
      <vt:lpstr>N-P balance sohold</vt:lpstr>
      <vt:lpstr>N-P balance smågrise</vt:lpstr>
      <vt:lpstr>N-P balance slagtesvin</vt:lpstr>
      <vt:lpstr>Opstaldingsform-Housing </vt:lpstr>
      <vt:lpstr>Lagring-Storage</vt:lpstr>
      <vt:lpstr>Udbringning af gylleApplication</vt:lpstr>
      <vt:lpstr>background data</vt:lpstr>
      <vt:lpstr>øvrige EFS-other EFs</vt:lpstr>
      <vt:lpstr>topdowntables</vt:lpstr>
      <vt:lpstr>NPK tal</vt:lpstr>
      <vt:lpstr>Emission Stald-fold</vt:lpstr>
      <vt:lpstr>allfeed</vt:lpstr>
      <vt:lpstr>cropsonfarm</vt:lpstr>
      <vt:lpstr>ENfoder</vt:lpstr>
      <vt:lpstr>feedavailability</vt:lpstr>
      <vt:lpstr>feedimpact</vt:lpstr>
      <vt:lpstr>FoderEN</vt:lpstr>
      <vt:lpstr>Fodermiddel</vt:lpstr>
      <vt:lpstr>Fodertabel</vt:lpstr>
      <vt:lpstr>homeprod</vt:lpstr>
      <vt:lpstr>Housing_sows</vt:lpstr>
      <vt:lpstr>Indendørs_areal</vt:lpstr>
      <vt:lpstr>Indoor_area</vt:lpstr>
      <vt:lpstr>Konv._NH4_udskilt</vt:lpstr>
      <vt:lpstr>LAgerAfgassetGylle</vt:lpstr>
      <vt:lpstr>LagerAjle</vt:lpstr>
      <vt:lpstr>LagerDybstrøelse</vt:lpstr>
      <vt:lpstr>LagerFastGødning</vt:lpstr>
      <vt:lpstr>LagerForsurretGylle</vt:lpstr>
      <vt:lpstr>lagerGylle</vt:lpstr>
      <vt:lpstr>Opstald_flyt</vt:lpstr>
      <vt:lpstr>Opstald_sl</vt:lpstr>
      <vt:lpstr>Opstald_so</vt:lpstr>
      <vt:lpstr>Opstalding_slagtesvin</vt:lpstr>
      <vt:lpstr>Opstaldningsform</vt:lpstr>
      <vt:lpstr>Outdoor_area</vt:lpstr>
      <vt:lpstr>production</vt:lpstr>
      <vt:lpstr>So_flyt</vt:lpstr>
      <vt:lpstr>StorageDeepLitter</vt:lpstr>
      <vt:lpstr>StorageSlurry</vt:lpstr>
      <vt:lpstr>StorageSolidManure</vt:lpstr>
      <vt:lpstr>Udendørs_areal</vt:lpstr>
      <vt:lpstr>Øko_NH4_N_udskilt</vt:lpstr>
    </vt:vector>
  </TitlesOfParts>
  <Company>Aarhus Universitet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Heidi Mai-Lis Andersen</dc:creator>
  <cp:lastModifiedBy>Heidi Mai-Lis Andersen</cp:lastModifiedBy>
  <cp:lastPrinted>2017-11-21T12:44:13Z</cp:lastPrinted>
  <dcterms:created xsi:type="dcterms:W3CDTF">2015-12-10T12:26:27Z</dcterms:created>
  <dcterms:modified xsi:type="dcterms:W3CDTF">2018-09-19T13:53:29Z</dcterms:modified>
</cp:coreProperties>
</file>